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ONSTRUVIAS\GRUPO 12 Y 14, ESTADO DE CALAMIDAD\NUEVA PLANIFICACIÓN GRUPO 14\"/>
    </mc:Choice>
  </mc:AlternateContent>
  <xr:revisionPtr revIDLastSave="0" documentId="13_ncr:1_{EA576DB2-61C1-4471-89FF-D5C522628A15}" xr6:coauthVersionLast="47" xr6:coauthVersionMax="47" xr10:uidLastSave="{00000000-0000-0000-0000-000000000000}"/>
  <bookViews>
    <workbookView xWindow="-108" yWindow="-108" windowWidth="23256" windowHeight="12456" tabRatio="851" xr2:uid="{00000000-000D-0000-FFFF-FFFF00000000}"/>
  </bookViews>
  <sheets>
    <sheet name="CATALOGO" sheetId="1" r:id="rId1"/>
    <sheet name="UNITARIOS" sheetId="143" r:id="rId2"/>
    <sheet name="ADMINISTRATIVO" sheetId="146" r:id="rId3"/>
    <sheet name="CRONOGRAMA" sheetId="140" r:id="rId4"/>
    <sheet name="PRECIOS" sheetId="145" r:id="rId5"/>
    <sheet name="Hoja1" sheetId="147" r:id="rId6"/>
  </sheets>
  <definedNames>
    <definedName name="_xlnm._FilterDatabase" localSheetId="0" hidden="1">CATALOGO!$B$9:$G$161</definedName>
    <definedName name="_xlnm.Print_Area" localSheetId="2">ADMINISTRATIVO!$B$1:$K$34</definedName>
    <definedName name="_xlnm.Print_Area" localSheetId="0">CATALOGO!$B$1:$G$174</definedName>
    <definedName name="_xlnm.Print_Area" localSheetId="3">CRONOGRAMA!$B$1:$Q$92</definedName>
    <definedName name="_xlnm.Print_Area" localSheetId="1">UNITARIOS!$B$1:$K$5814</definedName>
    <definedName name="_xlnm.Print_Titles" localSheetId="0">CATALOGO!$1:$9</definedName>
    <definedName name="_xlnm.Print_Titles" localSheetId="3">CRONOGRAMA!$1:$12</definedName>
    <definedName name="_xlnm.Print_Titles" localSheetId="1">UNITARIOS!$1:$9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40" l="1"/>
  <c r="E44" i="140"/>
  <c r="E43" i="140" s="1"/>
  <c r="G46" i="140"/>
  <c r="G45" i="140" s="1"/>
  <c r="P7" i="140"/>
  <c r="P9" i="140"/>
  <c r="D6" i="143"/>
  <c r="G5621" i="143"/>
  <c r="G392" i="143"/>
  <c r="I183" i="143"/>
  <c r="G183" i="143"/>
  <c r="E4" i="146" l="1"/>
  <c r="E5" i="146"/>
  <c r="E6" i="146"/>
  <c r="D7" i="143"/>
  <c r="E7" i="146"/>
  <c r="K701" i="143" l="1"/>
  <c r="I701" i="143"/>
  <c r="E706" i="143" s="1"/>
  <c r="D701" i="143"/>
  <c r="B701" i="143"/>
  <c r="L740" i="143"/>
  <c r="K740" i="143"/>
  <c r="L739" i="143"/>
  <c r="K739" i="143"/>
  <c r="L738" i="143"/>
  <c r="K738" i="143"/>
  <c r="L732" i="143"/>
  <c r="I731" i="143"/>
  <c r="K731" i="143" s="1"/>
  <c r="I730" i="143"/>
  <c r="K730" i="143" s="1"/>
  <c r="I729" i="143"/>
  <c r="G729" i="143"/>
  <c r="I723" i="143"/>
  <c r="L723" i="143" s="1"/>
  <c r="I722" i="143"/>
  <c r="L722" i="143" s="1"/>
  <c r="I721" i="143"/>
  <c r="K721" i="143" s="1"/>
  <c r="I720" i="143"/>
  <c r="K720" i="143" s="1"/>
  <c r="I714" i="143"/>
  <c r="K714" i="143" s="1"/>
  <c r="I713" i="143"/>
  <c r="K713" i="143" s="1"/>
  <c r="I712" i="143"/>
  <c r="I711" i="143"/>
  <c r="I710" i="143"/>
  <c r="I709" i="143"/>
  <c r="I708" i="143"/>
  <c r="G708" i="143"/>
  <c r="I707" i="143"/>
  <c r="G707" i="143"/>
  <c r="I706" i="143"/>
  <c r="G706" i="143"/>
  <c r="I705" i="143"/>
  <c r="G705" i="143"/>
  <c r="K5760" i="143"/>
  <c r="I5760" i="143"/>
  <c r="E5764" i="143" s="1"/>
  <c r="D5760" i="143"/>
  <c r="B5760" i="143"/>
  <c r="L5799" i="143"/>
  <c r="K5799" i="143"/>
  <c r="L5798" i="143"/>
  <c r="K5798" i="143"/>
  <c r="L5797" i="143"/>
  <c r="K5797" i="143"/>
  <c r="L5791" i="143"/>
  <c r="I5790" i="143"/>
  <c r="K5790" i="143" s="1"/>
  <c r="I5789" i="143"/>
  <c r="L5789" i="143" s="1"/>
  <c r="I5788" i="143"/>
  <c r="G5788" i="143"/>
  <c r="I5782" i="143"/>
  <c r="L5782" i="143" s="1"/>
  <c r="I5781" i="143"/>
  <c r="L5781" i="143" s="1"/>
  <c r="I5780" i="143"/>
  <c r="L5780" i="143" s="1"/>
  <c r="I5779" i="143"/>
  <c r="L5779" i="143" s="1"/>
  <c r="I5773" i="143"/>
  <c r="L5773" i="143" s="1"/>
  <c r="I5772" i="143"/>
  <c r="G5772" i="143"/>
  <c r="I5771" i="143"/>
  <c r="G5771" i="143"/>
  <c r="I5770" i="143"/>
  <c r="G5770" i="143"/>
  <c r="I5769" i="143"/>
  <c r="G5769" i="143"/>
  <c r="I5768" i="143"/>
  <c r="G5768" i="143"/>
  <c r="I5767" i="143"/>
  <c r="G5767" i="143"/>
  <c r="I5766" i="143"/>
  <c r="G5766" i="143"/>
  <c r="I5765" i="143"/>
  <c r="G5765" i="143"/>
  <c r="I5764" i="143"/>
  <c r="G5764" i="143"/>
  <c r="K5704" i="143"/>
  <c r="I5704" i="143"/>
  <c r="D5704" i="143"/>
  <c r="B5704" i="143"/>
  <c r="L5743" i="143"/>
  <c r="K5743" i="143"/>
  <c r="L5742" i="143"/>
  <c r="K5742" i="143"/>
  <c r="L5741" i="143"/>
  <c r="K5741" i="143"/>
  <c r="L5735" i="143"/>
  <c r="I5734" i="143"/>
  <c r="K5734" i="143" s="1"/>
  <c r="I5733" i="143"/>
  <c r="L5733" i="143" s="1"/>
  <c r="I5732" i="143"/>
  <c r="G5732" i="143"/>
  <c r="I5726" i="143"/>
  <c r="L5726" i="143" s="1"/>
  <c r="I5725" i="143"/>
  <c r="K5725" i="143" s="1"/>
  <c r="I5724" i="143"/>
  <c r="L5724" i="143" s="1"/>
  <c r="I5723" i="143"/>
  <c r="L5723" i="143" s="1"/>
  <c r="I5717" i="143"/>
  <c r="I5716" i="143"/>
  <c r="G5716" i="143"/>
  <c r="I5715" i="143"/>
  <c r="G5715" i="143"/>
  <c r="I5714" i="143"/>
  <c r="G5714" i="143"/>
  <c r="I5713" i="143"/>
  <c r="G5713" i="143"/>
  <c r="I5712" i="143"/>
  <c r="G5712" i="143"/>
  <c r="I5711" i="143"/>
  <c r="G5711" i="143"/>
  <c r="I5710" i="143"/>
  <c r="G5710" i="143"/>
  <c r="I5709" i="143"/>
  <c r="G5709" i="143"/>
  <c r="I5708" i="143"/>
  <c r="L5708" i="143" s="1"/>
  <c r="G5708" i="143"/>
  <c r="I5652" i="143"/>
  <c r="G5652" i="143"/>
  <c r="K5648" i="143"/>
  <c r="I5648" i="143"/>
  <c r="E5652" i="143" s="1"/>
  <c r="D5648" i="143"/>
  <c r="B5648" i="143"/>
  <c r="L5687" i="143"/>
  <c r="K5687" i="143"/>
  <c r="L5686" i="143"/>
  <c r="K5686" i="143"/>
  <c r="L5685" i="143"/>
  <c r="K5685" i="143"/>
  <c r="L5679" i="143"/>
  <c r="I5678" i="143"/>
  <c r="K5678" i="143" s="1"/>
  <c r="I5677" i="143"/>
  <c r="L5677" i="143" s="1"/>
  <c r="I5676" i="143"/>
  <c r="G5676" i="143"/>
  <c r="I5670" i="143"/>
  <c r="L5670" i="143" s="1"/>
  <c r="I5669" i="143"/>
  <c r="L5669" i="143" s="1"/>
  <c r="I5668" i="143"/>
  <c r="L5668" i="143" s="1"/>
  <c r="I5667" i="143"/>
  <c r="K5667" i="143" s="1"/>
  <c r="I5661" i="143"/>
  <c r="L5661" i="143" s="1"/>
  <c r="I5660" i="143"/>
  <c r="L5660" i="143" s="1"/>
  <c r="I5659" i="143"/>
  <c r="L5659" i="143" s="1"/>
  <c r="I5658" i="143"/>
  <c r="L5658" i="143" s="1"/>
  <c r="I5657" i="143"/>
  <c r="L5657" i="143" s="1"/>
  <c r="I5656" i="143"/>
  <c r="L5656" i="143" s="1"/>
  <c r="I5655" i="143"/>
  <c r="L5655" i="143" s="1"/>
  <c r="I5654" i="143"/>
  <c r="L5654" i="143" s="1"/>
  <c r="I5653" i="143"/>
  <c r="L5653" i="143" s="1"/>
  <c r="K5592" i="143"/>
  <c r="I5592" i="143"/>
  <c r="E5621" i="143" s="1"/>
  <c r="F5621" i="143" s="1"/>
  <c r="D5592" i="143"/>
  <c r="B5592" i="143"/>
  <c r="L5631" i="143"/>
  <c r="K5631" i="143"/>
  <c r="L5630" i="143"/>
  <c r="K5630" i="143"/>
  <c r="L5629" i="143"/>
  <c r="K5629" i="143"/>
  <c r="L5623" i="143"/>
  <c r="I5622" i="143"/>
  <c r="K5622" i="143" s="1"/>
  <c r="I5621" i="143"/>
  <c r="I5620" i="143"/>
  <c r="G5620" i="143"/>
  <c r="I5614" i="143"/>
  <c r="L5614" i="143" s="1"/>
  <c r="I5613" i="143"/>
  <c r="L5613" i="143" s="1"/>
  <c r="I5612" i="143"/>
  <c r="L5612" i="143" s="1"/>
  <c r="I5611" i="143"/>
  <c r="I5605" i="143"/>
  <c r="L5605" i="143" s="1"/>
  <c r="I5604" i="143"/>
  <c r="L5604" i="143" s="1"/>
  <c r="I5603" i="143"/>
  <c r="L5603" i="143" s="1"/>
  <c r="I5602" i="143"/>
  <c r="K5602" i="143" s="1"/>
  <c r="I5601" i="143"/>
  <c r="L5601" i="143" s="1"/>
  <c r="I5600" i="143"/>
  <c r="L5600" i="143" s="1"/>
  <c r="I5599" i="143"/>
  <c r="L5599" i="143" s="1"/>
  <c r="I5598" i="143"/>
  <c r="K5598" i="143" s="1"/>
  <c r="I5597" i="143"/>
  <c r="L5597" i="143" s="1"/>
  <c r="I5596" i="143"/>
  <c r="L5596" i="143" s="1"/>
  <c r="E5620" i="143"/>
  <c r="K5536" i="143"/>
  <c r="I5536" i="143"/>
  <c r="E5564" i="143" s="1"/>
  <c r="D5536" i="143"/>
  <c r="B5536" i="143"/>
  <c r="K5480" i="143"/>
  <c r="I5480" i="143"/>
  <c r="E5508" i="143" s="1"/>
  <c r="D5480" i="143"/>
  <c r="B5480" i="143"/>
  <c r="L5575" i="143"/>
  <c r="K5575" i="143"/>
  <c r="L5574" i="143"/>
  <c r="K5574" i="143"/>
  <c r="L5573" i="143"/>
  <c r="K5573" i="143"/>
  <c r="L5567" i="143"/>
  <c r="I5566" i="143"/>
  <c r="K5566" i="143" s="1"/>
  <c r="I5565" i="143"/>
  <c r="L5565" i="143" s="1"/>
  <c r="I5564" i="143"/>
  <c r="G5564" i="143"/>
  <c r="I5558" i="143"/>
  <c r="L5558" i="143" s="1"/>
  <c r="I5557" i="143"/>
  <c r="K5557" i="143" s="1"/>
  <c r="I5556" i="143"/>
  <c r="K5556" i="143" s="1"/>
  <c r="I5555" i="143"/>
  <c r="G5555" i="143"/>
  <c r="I5549" i="143"/>
  <c r="L5549" i="143" s="1"/>
  <c r="I5548" i="143"/>
  <c r="L5548" i="143" s="1"/>
  <c r="I5547" i="143"/>
  <c r="L5547" i="143" s="1"/>
  <c r="I5546" i="143"/>
  <c r="K5546" i="143" s="1"/>
  <c r="I5545" i="143"/>
  <c r="L5545" i="143" s="1"/>
  <c r="I5544" i="143"/>
  <c r="L5544" i="143" s="1"/>
  <c r="I5543" i="143"/>
  <c r="L5543" i="143" s="1"/>
  <c r="I5542" i="143"/>
  <c r="L5542" i="143" s="1"/>
  <c r="I5541" i="143"/>
  <c r="L5541" i="143" s="1"/>
  <c r="I5540" i="143"/>
  <c r="L5540" i="143" s="1"/>
  <c r="L5519" i="143"/>
  <c r="K5519" i="143"/>
  <c r="L5518" i="143"/>
  <c r="K5518" i="143"/>
  <c r="L5517" i="143"/>
  <c r="K5517" i="143"/>
  <c r="L5511" i="143"/>
  <c r="I5510" i="143"/>
  <c r="L5510" i="143" s="1"/>
  <c r="I5509" i="143"/>
  <c r="L5509" i="143" s="1"/>
  <c r="I5508" i="143"/>
  <c r="G5508" i="143"/>
  <c r="I5502" i="143"/>
  <c r="K5502" i="143" s="1"/>
  <c r="I5501" i="143"/>
  <c r="L5501" i="143" s="1"/>
  <c r="I5500" i="143"/>
  <c r="L5500" i="143" s="1"/>
  <c r="L5499" i="143"/>
  <c r="I5493" i="143"/>
  <c r="K5493" i="143" s="1"/>
  <c r="I5492" i="143"/>
  <c r="K5492" i="143" s="1"/>
  <c r="I5491" i="143"/>
  <c r="L5491" i="143" s="1"/>
  <c r="I5490" i="143"/>
  <c r="L5490" i="143" s="1"/>
  <c r="I5489" i="143"/>
  <c r="L5489" i="143" s="1"/>
  <c r="I5488" i="143"/>
  <c r="K5488" i="143" s="1"/>
  <c r="I5487" i="143"/>
  <c r="L5487" i="143" s="1"/>
  <c r="I5486" i="143"/>
  <c r="L5486" i="143" s="1"/>
  <c r="I5485" i="143"/>
  <c r="L5485" i="143" s="1"/>
  <c r="I5484" i="143"/>
  <c r="L5484" i="143" s="1"/>
  <c r="K5424" i="143"/>
  <c r="I5424" i="143"/>
  <c r="E5430" i="143" s="1"/>
  <c r="D5424" i="143"/>
  <c r="B5424" i="143"/>
  <c r="K5368" i="143"/>
  <c r="I5368" i="143"/>
  <c r="E5396" i="143" s="1"/>
  <c r="D5368" i="143"/>
  <c r="B5368" i="143"/>
  <c r="L5463" i="143"/>
  <c r="K5463" i="143"/>
  <c r="L5462" i="143"/>
  <c r="K5462" i="143"/>
  <c r="L5461" i="143"/>
  <c r="K5461" i="143"/>
  <c r="L5455" i="143"/>
  <c r="I5454" i="143"/>
  <c r="K5454" i="143" s="1"/>
  <c r="I5453" i="143"/>
  <c r="L5453" i="143" s="1"/>
  <c r="I5452" i="143"/>
  <c r="G5452" i="143"/>
  <c r="I5446" i="143"/>
  <c r="L5446" i="143" s="1"/>
  <c r="I5445" i="143"/>
  <c r="K5445" i="143" s="1"/>
  <c r="I5444" i="143"/>
  <c r="L5444" i="143" s="1"/>
  <c r="I5443" i="143"/>
  <c r="L5443" i="143" s="1"/>
  <c r="I5437" i="143"/>
  <c r="K5437" i="143" s="1"/>
  <c r="I5436" i="143"/>
  <c r="L5436" i="143" s="1"/>
  <c r="I5435" i="143"/>
  <c r="L5435" i="143" s="1"/>
  <c r="I5434" i="143"/>
  <c r="K5434" i="143" s="1"/>
  <c r="I5433" i="143"/>
  <c r="K5433" i="143" s="1"/>
  <c r="I5432" i="143"/>
  <c r="L5432" i="143" s="1"/>
  <c r="I5431" i="143"/>
  <c r="L5431" i="143" s="1"/>
  <c r="I5430" i="143"/>
  <c r="G5430" i="143"/>
  <c r="I5429" i="143"/>
  <c r="G5429" i="143"/>
  <c r="I5428" i="143"/>
  <c r="G5428" i="143"/>
  <c r="L5407" i="143"/>
  <c r="K5407" i="143"/>
  <c r="L5406" i="143"/>
  <c r="K5406" i="143"/>
  <c r="L5405" i="143"/>
  <c r="K5405" i="143"/>
  <c r="L5399" i="143"/>
  <c r="I5398" i="143"/>
  <c r="L5398" i="143" s="1"/>
  <c r="I5397" i="143"/>
  <c r="K5397" i="143" s="1"/>
  <c r="I5396" i="143"/>
  <c r="G5396" i="143"/>
  <c r="I5390" i="143"/>
  <c r="L5390" i="143" s="1"/>
  <c r="I5389" i="143"/>
  <c r="L5389" i="143" s="1"/>
  <c r="I5388" i="143"/>
  <c r="L5388" i="143" s="1"/>
  <c r="I5387" i="143"/>
  <c r="K5387" i="143" s="1"/>
  <c r="I5381" i="143"/>
  <c r="L5381" i="143" s="1"/>
  <c r="I5380" i="143"/>
  <c r="K5380" i="143" s="1"/>
  <c r="I5379" i="143"/>
  <c r="L5379" i="143" s="1"/>
  <c r="I5378" i="143"/>
  <c r="L5378" i="143" s="1"/>
  <c r="I5377" i="143"/>
  <c r="L5377" i="143" s="1"/>
  <c r="I5376" i="143"/>
  <c r="K5376" i="143" s="1"/>
  <c r="I5375" i="143"/>
  <c r="L5375" i="143" s="1"/>
  <c r="I5374" i="143"/>
  <c r="L5374" i="143" s="1"/>
  <c r="I5373" i="143"/>
  <c r="G5373" i="143"/>
  <c r="I5372" i="143"/>
  <c r="G5372" i="143"/>
  <c r="K5312" i="143"/>
  <c r="I5312" i="143"/>
  <c r="E5340" i="143" s="1"/>
  <c r="D5312" i="143"/>
  <c r="B5312" i="143"/>
  <c r="L5351" i="143"/>
  <c r="K5351" i="143"/>
  <c r="L5350" i="143"/>
  <c r="K5350" i="143"/>
  <c r="L5349" i="143"/>
  <c r="K5349" i="143"/>
  <c r="L5343" i="143"/>
  <c r="I5342" i="143"/>
  <c r="K5342" i="143" s="1"/>
  <c r="I5341" i="143"/>
  <c r="L5341" i="143" s="1"/>
  <c r="I5340" i="143"/>
  <c r="G5340" i="143"/>
  <c r="I5334" i="143"/>
  <c r="L5334" i="143" s="1"/>
  <c r="I5333" i="143"/>
  <c r="L5333" i="143" s="1"/>
  <c r="I5332" i="143"/>
  <c r="L5332" i="143" s="1"/>
  <c r="I5331" i="143"/>
  <c r="L5331" i="143" s="1"/>
  <c r="I5325" i="143"/>
  <c r="K5325" i="143" s="1"/>
  <c r="I5324" i="143"/>
  <c r="L5324" i="143" s="1"/>
  <c r="I5323" i="143"/>
  <c r="L5323" i="143" s="1"/>
  <c r="I5322" i="143"/>
  <c r="L5322" i="143" s="1"/>
  <c r="I5321" i="143"/>
  <c r="K5321" i="143" s="1"/>
  <c r="I5320" i="143"/>
  <c r="L5320" i="143" s="1"/>
  <c r="I5319" i="143"/>
  <c r="L5319" i="143" s="1"/>
  <c r="I5318" i="143"/>
  <c r="L5318" i="143" s="1"/>
  <c r="I5317" i="143"/>
  <c r="K5317" i="143" s="1"/>
  <c r="I5316" i="143"/>
  <c r="L5316" i="143" s="1"/>
  <c r="K5259" i="143"/>
  <c r="I5259" i="143"/>
  <c r="E5264" i="143" s="1"/>
  <c r="D5259" i="143"/>
  <c r="B5259" i="143"/>
  <c r="L5295" i="143"/>
  <c r="K5295" i="143"/>
  <c r="L5294" i="143"/>
  <c r="K5294" i="143"/>
  <c r="L5293" i="143"/>
  <c r="K5293" i="143"/>
  <c r="L5287" i="143"/>
  <c r="I5286" i="143"/>
  <c r="K5286" i="143" s="1"/>
  <c r="I5285" i="143"/>
  <c r="L5285" i="143" s="1"/>
  <c r="I5284" i="143"/>
  <c r="G5284" i="143"/>
  <c r="I5278" i="143"/>
  <c r="L5278" i="143" s="1"/>
  <c r="I5277" i="143"/>
  <c r="L5277" i="143" s="1"/>
  <c r="I5276" i="143"/>
  <c r="K5276" i="143" s="1"/>
  <c r="I5275" i="143"/>
  <c r="L5275" i="143" s="1"/>
  <c r="I5269" i="143"/>
  <c r="K5269" i="143" s="1"/>
  <c r="I5268" i="143"/>
  <c r="L5268" i="143" s="1"/>
  <c r="I5267" i="143"/>
  <c r="L5267" i="143" s="1"/>
  <c r="I5266" i="143"/>
  <c r="L5266" i="143" s="1"/>
  <c r="I5265" i="143"/>
  <c r="G5265" i="143"/>
  <c r="I5264" i="143"/>
  <c r="G5264" i="143"/>
  <c r="I5263" i="143"/>
  <c r="G5263" i="143"/>
  <c r="K5208" i="143"/>
  <c r="I5208" i="143"/>
  <c r="E5214" i="143" s="1"/>
  <c r="D5208" i="143"/>
  <c r="B5208" i="143"/>
  <c r="L5242" i="143"/>
  <c r="K5242" i="143"/>
  <c r="L5241" i="143"/>
  <c r="K5241" i="143"/>
  <c r="L5240" i="143"/>
  <c r="K5240" i="143"/>
  <c r="I5234" i="143"/>
  <c r="L5234" i="143" s="1"/>
  <c r="I5233" i="143"/>
  <c r="L5233" i="143" s="1"/>
  <c r="I5232" i="143"/>
  <c r="K5232" i="143" s="1"/>
  <c r="I5231" i="143"/>
  <c r="G5231" i="143"/>
  <c r="I5225" i="143"/>
  <c r="L5225" i="143" s="1"/>
  <c r="I5224" i="143"/>
  <c r="L5224" i="143" s="1"/>
  <c r="I5223" i="143"/>
  <c r="L5223" i="143" s="1"/>
  <c r="I5222" i="143"/>
  <c r="K5222" i="143" s="1"/>
  <c r="I5216" i="143"/>
  <c r="L5216" i="143" s="1"/>
  <c r="I5215" i="143"/>
  <c r="G5215" i="143"/>
  <c r="I5214" i="143"/>
  <c r="G5214" i="143"/>
  <c r="I5213" i="143"/>
  <c r="G5213" i="143"/>
  <c r="I5212" i="143"/>
  <c r="G5212" i="143"/>
  <c r="K5152" i="143"/>
  <c r="I5152" i="143"/>
  <c r="D5152" i="143"/>
  <c r="B5152" i="143"/>
  <c r="L5191" i="143"/>
  <c r="K5191" i="143"/>
  <c r="L5190" i="143"/>
  <c r="K5190" i="143"/>
  <c r="L5189" i="143"/>
  <c r="K5189" i="143"/>
  <c r="I5183" i="143"/>
  <c r="L5183" i="143" s="1"/>
  <c r="I5182" i="143"/>
  <c r="L5182" i="143" s="1"/>
  <c r="I5181" i="143"/>
  <c r="K5181" i="143" s="1"/>
  <c r="I5180" i="143"/>
  <c r="G5180" i="143"/>
  <c r="I5174" i="143"/>
  <c r="K5174" i="143" s="1"/>
  <c r="I5173" i="143"/>
  <c r="L5173" i="143" s="1"/>
  <c r="I5172" i="143"/>
  <c r="L5172" i="143" s="1"/>
  <c r="I5171" i="143"/>
  <c r="K5171" i="143" s="1"/>
  <c r="I5165" i="143"/>
  <c r="L5165" i="143" s="1"/>
  <c r="I5164" i="143"/>
  <c r="K5164" i="143" s="1"/>
  <c r="I5163" i="143"/>
  <c r="L5163" i="143" s="1"/>
  <c r="I5162" i="143"/>
  <c r="L5162" i="143" s="1"/>
  <c r="I5161" i="143"/>
  <c r="L5161" i="143" s="1"/>
  <c r="I5160" i="143"/>
  <c r="K5160" i="143" s="1"/>
  <c r="I5159" i="143"/>
  <c r="L5159" i="143" s="1"/>
  <c r="I5158" i="143"/>
  <c r="L5158" i="143" s="1"/>
  <c r="I5157" i="143"/>
  <c r="L5157" i="143" s="1"/>
  <c r="I5156" i="143"/>
  <c r="K5156" i="143" s="1"/>
  <c r="E5180" i="143"/>
  <c r="K5096" i="143"/>
  <c r="I5096" i="143"/>
  <c r="E5124" i="143" s="1"/>
  <c r="D5096" i="143"/>
  <c r="B5096" i="143"/>
  <c r="K5040" i="143"/>
  <c r="I5040" i="143"/>
  <c r="D5040" i="143"/>
  <c r="B5040" i="143"/>
  <c r="K4984" i="143"/>
  <c r="I4984" i="143"/>
  <c r="D4984" i="143"/>
  <c r="B4984" i="143"/>
  <c r="L5135" i="143"/>
  <c r="K5135" i="143"/>
  <c r="L5134" i="143"/>
  <c r="K5134" i="143"/>
  <c r="L5133" i="143"/>
  <c r="K5133" i="143"/>
  <c r="L5127" i="143"/>
  <c r="I5126" i="143"/>
  <c r="K5126" i="143" s="1"/>
  <c r="I5125" i="143"/>
  <c r="L5125" i="143" s="1"/>
  <c r="I5124" i="143"/>
  <c r="G5124" i="143"/>
  <c r="I5118" i="143"/>
  <c r="L5118" i="143" s="1"/>
  <c r="I5117" i="143"/>
  <c r="K5117" i="143" s="1"/>
  <c r="I5116" i="143"/>
  <c r="L5116" i="143" s="1"/>
  <c r="I5115" i="143"/>
  <c r="L5115" i="143" s="1"/>
  <c r="I5109" i="143"/>
  <c r="L5109" i="143" s="1"/>
  <c r="I5108" i="143"/>
  <c r="L5108" i="143" s="1"/>
  <c r="I5107" i="143"/>
  <c r="L5107" i="143" s="1"/>
  <c r="I5106" i="143"/>
  <c r="K5106" i="143" s="1"/>
  <c r="I5105" i="143"/>
  <c r="L5105" i="143" s="1"/>
  <c r="I5104" i="143"/>
  <c r="L5104" i="143" s="1"/>
  <c r="I5103" i="143"/>
  <c r="L5103" i="143" s="1"/>
  <c r="I5102" i="143"/>
  <c r="K5102" i="143" s="1"/>
  <c r="I5101" i="143"/>
  <c r="L5101" i="143" s="1"/>
  <c r="I5100" i="143"/>
  <c r="L5100" i="143" s="1"/>
  <c r="L5079" i="143"/>
  <c r="K5079" i="143"/>
  <c r="L5078" i="143"/>
  <c r="K5078" i="143"/>
  <c r="L5077" i="143"/>
  <c r="K5077" i="143"/>
  <c r="L5071" i="143"/>
  <c r="I5070" i="143"/>
  <c r="L5070" i="143" s="1"/>
  <c r="I5069" i="143"/>
  <c r="L5069" i="143" s="1"/>
  <c r="I5068" i="143"/>
  <c r="G5068" i="143"/>
  <c r="E5068" i="143"/>
  <c r="I5062" i="143"/>
  <c r="L5062" i="143" s="1"/>
  <c r="I5061" i="143"/>
  <c r="L5061" i="143" s="1"/>
  <c r="I5060" i="143"/>
  <c r="L5060" i="143" s="1"/>
  <c r="L5059" i="143"/>
  <c r="I5053" i="143"/>
  <c r="L5053" i="143" s="1"/>
  <c r="I5052" i="143"/>
  <c r="L5052" i="143" s="1"/>
  <c r="I5051" i="143"/>
  <c r="L5051" i="143" s="1"/>
  <c r="I5050" i="143"/>
  <c r="L5050" i="143" s="1"/>
  <c r="I5049" i="143"/>
  <c r="L5049" i="143" s="1"/>
  <c r="I5048" i="143"/>
  <c r="L5048" i="143" s="1"/>
  <c r="I5047" i="143"/>
  <c r="K5047" i="143" s="1"/>
  <c r="I5046" i="143"/>
  <c r="L5046" i="143" s="1"/>
  <c r="I5045" i="143"/>
  <c r="L5045" i="143" s="1"/>
  <c r="I5044" i="143"/>
  <c r="L5044" i="143" s="1"/>
  <c r="L5023" i="143"/>
  <c r="K5023" i="143"/>
  <c r="L5022" i="143"/>
  <c r="K5022" i="143"/>
  <c r="L5021" i="143"/>
  <c r="K5021" i="143"/>
  <c r="L5015" i="143"/>
  <c r="I5014" i="143"/>
  <c r="K5014" i="143" s="1"/>
  <c r="I5013" i="143"/>
  <c r="L5013" i="143" s="1"/>
  <c r="I5012" i="143"/>
  <c r="G5012" i="143"/>
  <c r="I5006" i="143"/>
  <c r="L5006" i="143" s="1"/>
  <c r="I5005" i="143"/>
  <c r="L5005" i="143" s="1"/>
  <c r="I5004" i="143"/>
  <c r="L5004" i="143" s="1"/>
  <c r="L5003" i="143"/>
  <c r="I4997" i="143"/>
  <c r="L4997" i="143" s="1"/>
  <c r="I4996" i="143"/>
  <c r="K4996" i="143" s="1"/>
  <c r="I4995" i="143"/>
  <c r="L4995" i="143" s="1"/>
  <c r="I4994" i="143"/>
  <c r="L4994" i="143" s="1"/>
  <c r="I4993" i="143"/>
  <c r="L4993" i="143" s="1"/>
  <c r="I4992" i="143"/>
  <c r="L4992" i="143" s="1"/>
  <c r="I4991" i="143"/>
  <c r="K4991" i="143" s="1"/>
  <c r="I4990" i="143"/>
  <c r="L4990" i="143" s="1"/>
  <c r="I4989" i="143"/>
  <c r="L4989" i="143" s="1"/>
  <c r="I4988" i="143"/>
  <c r="L4988" i="143" s="1"/>
  <c r="E5012" i="143"/>
  <c r="K4934" i="143"/>
  <c r="I4934" i="143"/>
  <c r="E4939" i="143" s="1"/>
  <c r="D4934" i="143"/>
  <c r="B4934" i="143"/>
  <c r="K4882" i="143"/>
  <c r="I4882" i="143"/>
  <c r="D4882" i="143"/>
  <c r="B4882" i="143"/>
  <c r="K4829" i="143"/>
  <c r="I4829" i="143"/>
  <c r="E4835" i="143" s="1"/>
  <c r="D4829" i="143"/>
  <c r="B4829" i="143"/>
  <c r="L4865" i="143"/>
  <c r="K4865" i="143"/>
  <c r="L4864" i="143"/>
  <c r="K4864" i="143"/>
  <c r="L4863" i="143"/>
  <c r="K4863" i="143"/>
  <c r="L4857" i="143"/>
  <c r="I4856" i="143"/>
  <c r="K4856" i="143" s="1"/>
  <c r="I4855" i="143"/>
  <c r="L4855" i="143" s="1"/>
  <c r="I4854" i="143"/>
  <c r="G4854" i="143"/>
  <c r="I4848" i="143"/>
  <c r="L4848" i="143" s="1"/>
  <c r="I4847" i="143"/>
  <c r="K4847" i="143" s="1"/>
  <c r="I4846" i="143"/>
  <c r="L4846" i="143" s="1"/>
  <c r="I4845" i="143"/>
  <c r="L4845" i="143" s="1"/>
  <c r="I4839" i="143"/>
  <c r="G4839" i="143"/>
  <c r="I4838" i="143"/>
  <c r="G4838" i="143"/>
  <c r="I4837" i="143"/>
  <c r="G4837" i="143"/>
  <c r="I4836" i="143"/>
  <c r="G4836" i="143"/>
  <c r="I4835" i="143"/>
  <c r="G4835" i="143"/>
  <c r="I4834" i="143"/>
  <c r="G4834" i="143"/>
  <c r="I4833" i="143"/>
  <c r="G4833" i="143"/>
  <c r="E4839" i="143"/>
  <c r="K4773" i="143"/>
  <c r="I4773" i="143"/>
  <c r="E4801" i="143" s="1"/>
  <c r="F4801" i="143" s="1"/>
  <c r="D4773" i="143"/>
  <c r="B4773" i="143"/>
  <c r="K4717" i="143"/>
  <c r="I4717" i="143"/>
  <c r="E4745" i="143" s="1"/>
  <c r="D4717" i="143"/>
  <c r="B4717" i="143"/>
  <c r="K4661" i="143"/>
  <c r="I4661" i="143"/>
  <c r="E4689" i="143" s="1"/>
  <c r="D4661" i="143"/>
  <c r="B4661" i="143"/>
  <c r="K4605" i="143"/>
  <c r="I4605" i="143"/>
  <c r="D4605" i="143"/>
  <c r="B4605" i="143"/>
  <c r="K4554" i="143"/>
  <c r="I4554" i="143"/>
  <c r="E4559" i="143" s="1"/>
  <c r="D4554" i="143"/>
  <c r="B4554" i="143"/>
  <c r="K4503" i="143"/>
  <c r="I4503" i="143"/>
  <c r="D4503" i="143"/>
  <c r="B4503" i="143"/>
  <c r="K4450" i="143"/>
  <c r="I4450" i="143"/>
  <c r="E4475" i="143" s="1"/>
  <c r="D4450" i="143"/>
  <c r="B4450" i="143"/>
  <c r="L4967" i="143"/>
  <c r="K4967" i="143"/>
  <c r="L4966" i="143"/>
  <c r="K4966" i="143"/>
  <c r="L4965" i="143"/>
  <c r="K4965" i="143"/>
  <c r="L4959" i="143"/>
  <c r="I4958" i="143"/>
  <c r="K4958" i="143" s="1"/>
  <c r="I4957" i="143"/>
  <c r="L4957" i="143" s="1"/>
  <c r="I4956" i="143"/>
  <c r="G4956" i="143"/>
  <c r="I4950" i="143"/>
  <c r="I4949" i="143"/>
  <c r="L4949" i="143" s="1"/>
  <c r="I4948" i="143"/>
  <c r="L4948" i="143" s="1"/>
  <c r="I4947" i="143"/>
  <c r="L4947" i="143" s="1"/>
  <c r="I4941" i="143"/>
  <c r="L4941" i="143" s="1"/>
  <c r="I4940" i="143"/>
  <c r="G4940" i="143"/>
  <c r="I4939" i="143"/>
  <c r="G4939" i="143"/>
  <c r="I4938" i="143"/>
  <c r="G4938" i="143"/>
  <c r="L4917" i="143"/>
  <c r="K4917" i="143"/>
  <c r="L4916" i="143"/>
  <c r="K4916" i="143"/>
  <c r="L4915" i="143"/>
  <c r="K4915" i="143"/>
  <c r="L4909" i="143"/>
  <c r="I4908" i="143"/>
  <c r="K4908" i="143" s="1"/>
  <c r="I4907" i="143"/>
  <c r="L4907" i="143" s="1"/>
  <c r="I4906" i="143"/>
  <c r="G4906" i="143"/>
  <c r="I4900" i="143"/>
  <c r="I4899" i="143"/>
  <c r="K4899" i="143" s="1"/>
  <c r="I4898" i="143"/>
  <c r="L4898" i="143" s="1"/>
  <c r="I4897" i="143"/>
  <c r="L4897" i="143" s="1"/>
  <c r="I4891" i="143"/>
  <c r="G4891" i="143"/>
  <c r="I4890" i="143"/>
  <c r="G4890" i="143"/>
  <c r="I4889" i="143"/>
  <c r="G4889" i="143"/>
  <c r="I4888" i="143"/>
  <c r="G4888" i="143"/>
  <c r="I4887" i="143"/>
  <c r="G4887" i="143"/>
  <c r="I4886" i="143"/>
  <c r="G4886" i="143"/>
  <c r="L4812" i="143"/>
  <c r="K4812" i="143"/>
  <c r="L4811" i="143"/>
  <c r="K4811" i="143"/>
  <c r="L4810" i="143"/>
  <c r="K4810" i="143"/>
  <c r="L4804" i="143"/>
  <c r="I4803" i="143"/>
  <c r="L4803" i="143" s="1"/>
  <c r="I4802" i="143"/>
  <c r="I4801" i="143"/>
  <c r="G4801" i="143"/>
  <c r="I4795" i="143"/>
  <c r="K4795" i="143" s="1"/>
  <c r="I4794" i="143"/>
  <c r="K4794" i="143" s="1"/>
  <c r="I4793" i="143"/>
  <c r="L4793" i="143" s="1"/>
  <c r="I4792" i="143"/>
  <c r="I4786" i="143"/>
  <c r="L4786" i="143" s="1"/>
  <c r="I4785" i="143"/>
  <c r="I4784" i="143"/>
  <c r="K4784" i="143" s="1"/>
  <c r="I4783" i="143"/>
  <c r="L4783" i="143" s="1"/>
  <c r="I4782" i="143"/>
  <c r="L4782" i="143" s="1"/>
  <c r="I4781" i="143"/>
  <c r="I4780" i="143"/>
  <c r="K4780" i="143" s="1"/>
  <c r="I4779" i="143"/>
  <c r="K4779" i="143" s="1"/>
  <c r="I4778" i="143"/>
  <c r="L4778" i="143" s="1"/>
  <c r="I4777" i="143"/>
  <c r="L4756" i="143"/>
  <c r="K4756" i="143"/>
  <c r="L4755" i="143"/>
  <c r="K4755" i="143"/>
  <c r="L4754" i="143"/>
  <c r="K4754" i="143"/>
  <c r="L4748" i="143"/>
  <c r="I4747" i="143"/>
  <c r="L4747" i="143" s="1"/>
  <c r="I4746" i="143"/>
  <c r="L4746" i="143" s="1"/>
  <c r="I4745" i="143"/>
  <c r="G4745" i="143"/>
  <c r="I4739" i="143"/>
  <c r="I4738" i="143"/>
  <c r="K4738" i="143" s="1"/>
  <c r="I4737" i="143"/>
  <c r="L4737" i="143" s="1"/>
  <c r="I4736" i="143"/>
  <c r="L4736" i="143" s="1"/>
  <c r="I4730" i="143"/>
  <c r="K4730" i="143" s="1"/>
  <c r="I4729" i="143"/>
  <c r="L4729" i="143" s="1"/>
  <c r="I4728" i="143"/>
  <c r="I4727" i="143"/>
  <c r="K4727" i="143" s="1"/>
  <c r="I4726" i="143"/>
  <c r="K4726" i="143" s="1"/>
  <c r="I4725" i="143"/>
  <c r="L4725" i="143" s="1"/>
  <c r="I4724" i="143"/>
  <c r="I4723" i="143"/>
  <c r="K4723" i="143" s="1"/>
  <c r="I4722" i="143"/>
  <c r="L4722" i="143" s="1"/>
  <c r="I4721" i="143"/>
  <c r="L4721" i="143" s="1"/>
  <c r="L4700" i="143"/>
  <c r="K4700" i="143"/>
  <c r="L4699" i="143"/>
  <c r="K4699" i="143"/>
  <c r="L4698" i="143"/>
  <c r="K4698" i="143"/>
  <c r="L4692" i="143"/>
  <c r="I4691" i="143"/>
  <c r="K4691" i="143" s="1"/>
  <c r="I4690" i="143"/>
  <c r="L4690" i="143" s="1"/>
  <c r="I4689" i="143"/>
  <c r="G4689" i="143"/>
  <c r="I4683" i="143"/>
  <c r="L4683" i="143" s="1"/>
  <c r="I4682" i="143"/>
  <c r="I4681" i="143"/>
  <c r="L4681" i="143" s="1"/>
  <c r="I4680" i="143"/>
  <c r="L4680" i="143" s="1"/>
  <c r="I4674" i="143"/>
  <c r="L4674" i="143" s="1"/>
  <c r="I4673" i="143"/>
  <c r="K4673" i="143" s="1"/>
  <c r="I4672" i="143"/>
  <c r="L4672" i="143" s="1"/>
  <c r="I4671" i="143"/>
  <c r="I4670" i="143"/>
  <c r="L4670" i="143" s="1"/>
  <c r="I4669" i="143"/>
  <c r="L4669" i="143" s="1"/>
  <c r="I4668" i="143"/>
  <c r="L4668" i="143" s="1"/>
  <c r="I4667" i="143"/>
  <c r="I4666" i="143"/>
  <c r="L4666" i="143" s="1"/>
  <c r="I4665" i="143"/>
  <c r="L4665" i="143" s="1"/>
  <c r="L4644" i="143"/>
  <c r="K4644" i="143"/>
  <c r="L4643" i="143"/>
  <c r="K4643" i="143"/>
  <c r="L4642" i="143"/>
  <c r="K4642" i="143"/>
  <c r="L4636" i="143"/>
  <c r="I4635" i="143"/>
  <c r="I4634" i="143"/>
  <c r="K4634" i="143" s="1"/>
  <c r="I4633" i="143"/>
  <c r="G4633" i="143"/>
  <c r="I4627" i="143"/>
  <c r="L4627" i="143" s="1"/>
  <c r="I4626" i="143"/>
  <c r="L4626" i="143" s="1"/>
  <c r="I4625" i="143"/>
  <c r="I4624" i="143"/>
  <c r="K4624" i="143" s="1"/>
  <c r="I4618" i="143"/>
  <c r="I4617" i="143"/>
  <c r="K4617" i="143" s="1"/>
  <c r="I4616" i="143"/>
  <c r="L4616" i="143" s="1"/>
  <c r="I4615" i="143"/>
  <c r="G4615" i="143"/>
  <c r="I4614" i="143"/>
  <c r="G4614" i="143"/>
  <c r="I4613" i="143"/>
  <c r="G4613" i="143"/>
  <c r="I4612" i="143"/>
  <c r="G4612" i="143"/>
  <c r="I4611" i="143"/>
  <c r="G4611" i="143"/>
  <c r="I4610" i="143"/>
  <c r="G4610" i="143"/>
  <c r="I4609" i="143"/>
  <c r="G4609" i="143"/>
  <c r="L4588" i="143"/>
  <c r="K4588" i="143"/>
  <c r="L4587" i="143"/>
  <c r="K4587" i="143"/>
  <c r="L4586" i="143"/>
  <c r="K4586" i="143"/>
  <c r="I4580" i="143"/>
  <c r="L4580" i="143" s="1"/>
  <c r="I4579" i="143"/>
  <c r="K4579" i="143" s="1"/>
  <c r="I4578" i="143"/>
  <c r="K4578" i="143" s="1"/>
  <c r="I4577" i="143"/>
  <c r="G4577" i="143"/>
  <c r="I4571" i="143"/>
  <c r="L4571" i="143" s="1"/>
  <c r="I4570" i="143"/>
  <c r="L4570" i="143" s="1"/>
  <c r="I4569" i="143"/>
  <c r="K4569" i="143" s="1"/>
  <c r="I4568" i="143"/>
  <c r="K4568" i="143" s="1"/>
  <c r="I4562" i="143"/>
  <c r="K4562" i="143" s="1"/>
  <c r="I4561" i="143"/>
  <c r="G4561" i="143"/>
  <c r="I4560" i="143"/>
  <c r="G4560" i="143"/>
  <c r="I4559" i="143"/>
  <c r="G4559" i="143"/>
  <c r="I4558" i="143"/>
  <c r="G4558" i="143"/>
  <c r="L4537" i="143"/>
  <c r="K4537" i="143"/>
  <c r="L4536" i="143"/>
  <c r="K4536" i="143"/>
  <c r="L4535" i="143"/>
  <c r="K4535" i="143"/>
  <c r="I4529" i="143"/>
  <c r="L4529" i="143" s="1"/>
  <c r="I4528" i="143"/>
  <c r="K4528" i="143" s="1"/>
  <c r="I4527" i="143"/>
  <c r="L4527" i="143" s="1"/>
  <c r="I4526" i="143"/>
  <c r="G4526" i="143"/>
  <c r="I4520" i="143"/>
  <c r="L4520" i="143" s="1"/>
  <c r="I4519" i="143"/>
  <c r="K4519" i="143" s="1"/>
  <c r="I4518" i="143"/>
  <c r="L4518" i="143" s="1"/>
  <c r="I4517" i="143"/>
  <c r="L4517" i="143" s="1"/>
  <c r="I4511" i="143"/>
  <c r="K4511" i="143" s="1"/>
  <c r="I4510" i="143"/>
  <c r="G4510" i="143"/>
  <c r="I4509" i="143"/>
  <c r="G4509" i="143"/>
  <c r="I4508" i="143"/>
  <c r="G4508" i="143"/>
  <c r="I4507" i="143"/>
  <c r="G4507" i="143"/>
  <c r="L4486" i="143"/>
  <c r="K4486" i="143"/>
  <c r="L4485" i="143"/>
  <c r="K4485" i="143"/>
  <c r="L4484" i="143"/>
  <c r="K4484" i="143"/>
  <c r="I4478" i="143"/>
  <c r="L4478" i="143" s="1"/>
  <c r="I4477" i="143"/>
  <c r="K4477" i="143" s="1"/>
  <c r="I4476" i="143"/>
  <c r="L4476" i="143" s="1"/>
  <c r="I4475" i="143"/>
  <c r="G4475" i="143"/>
  <c r="I4469" i="143"/>
  <c r="K4469" i="143" s="1"/>
  <c r="I4468" i="143"/>
  <c r="L4468" i="143" s="1"/>
  <c r="I4467" i="143"/>
  <c r="K4467" i="143" s="1"/>
  <c r="I4466" i="143"/>
  <c r="L4466" i="143" s="1"/>
  <c r="I4460" i="143"/>
  <c r="K4460" i="143" s="1"/>
  <c r="I4459" i="143"/>
  <c r="K4459" i="143" s="1"/>
  <c r="I4458" i="143"/>
  <c r="L4458" i="143" s="1"/>
  <c r="I4457" i="143"/>
  <c r="K4457" i="143" s="1"/>
  <c r="I4456" i="143"/>
  <c r="G4456" i="143"/>
  <c r="I4455" i="143"/>
  <c r="G4455" i="143"/>
  <c r="I4454" i="143"/>
  <c r="G4454" i="143"/>
  <c r="K4398" i="143"/>
  <c r="I4398" i="143"/>
  <c r="E4422" i="143" s="1"/>
  <c r="D4398" i="143"/>
  <c r="B4398" i="143"/>
  <c r="K4346" i="143"/>
  <c r="I4346" i="143"/>
  <c r="E4361" i="143" s="1"/>
  <c r="D4346" i="143"/>
  <c r="B4346" i="143"/>
  <c r="L4433" i="143"/>
  <c r="K4433" i="143"/>
  <c r="L4432" i="143"/>
  <c r="K4432" i="143"/>
  <c r="L4431" i="143"/>
  <c r="K4431" i="143"/>
  <c r="I4425" i="143"/>
  <c r="L4425" i="143" s="1"/>
  <c r="I4424" i="143"/>
  <c r="L4424" i="143" s="1"/>
  <c r="I4423" i="143"/>
  <c r="K4423" i="143" s="1"/>
  <c r="I4422" i="143"/>
  <c r="G4422" i="143"/>
  <c r="I4416" i="143"/>
  <c r="L4416" i="143" s="1"/>
  <c r="I4415" i="143"/>
  <c r="L4415" i="143" s="1"/>
  <c r="I4414" i="143"/>
  <c r="K4414" i="143" s="1"/>
  <c r="I4413" i="143"/>
  <c r="K4413" i="143" s="1"/>
  <c r="I4407" i="143"/>
  <c r="K4407" i="143" s="1"/>
  <c r="I4406" i="143"/>
  <c r="K4406" i="143" s="1"/>
  <c r="I4405" i="143"/>
  <c r="L4405" i="143" s="1"/>
  <c r="I4404" i="143"/>
  <c r="L4404" i="143" s="1"/>
  <c r="I4403" i="143"/>
  <c r="K4403" i="143" s="1"/>
  <c r="I4402" i="143"/>
  <c r="K4402" i="143" s="1"/>
  <c r="L4381" i="143"/>
  <c r="K4381" i="143"/>
  <c r="L4380" i="143"/>
  <c r="K4380" i="143"/>
  <c r="L4379" i="143"/>
  <c r="K4379" i="143"/>
  <c r="I4373" i="143"/>
  <c r="L4373" i="143" s="1"/>
  <c r="I4372" i="143"/>
  <c r="L4372" i="143" s="1"/>
  <c r="I4371" i="143"/>
  <c r="L4371" i="143" s="1"/>
  <c r="I4370" i="143"/>
  <c r="L4370" i="143" s="1"/>
  <c r="I4364" i="143"/>
  <c r="L4364" i="143" s="1"/>
  <c r="I4363" i="143"/>
  <c r="L4363" i="143" s="1"/>
  <c r="I4362" i="143"/>
  <c r="K4362" i="143" s="1"/>
  <c r="I4361" i="143"/>
  <c r="G4361" i="143"/>
  <c r="I4355" i="143"/>
  <c r="L4355" i="143" s="1"/>
  <c r="I4354" i="143"/>
  <c r="L4354" i="143" s="1"/>
  <c r="I4353" i="143"/>
  <c r="L4353" i="143" s="1"/>
  <c r="I4352" i="143"/>
  <c r="K4352" i="143" s="1"/>
  <c r="I4351" i="143"/>
  <c r="L4351" i="143" s="1"/>
  <c r="I4350" i="143"/>
  <c r="L4350" i="143" s="1"/>
  <c r="K4297" i="143"/>
  <c r="I4297" i="143"/>
  <c r="E4318" i="143" s="1"/>
  <c r="D4297" i="143"/>
  <c r="B4297" i="143"/>
  <c r="K4246" i="143"/>
  <c r="I4246" i="143"/>
  <c r="E4269" i="143" s="1"/>
  <c r="D4246" i="143"/>
  <c r="B4246" i="143"/>
  <c r="K4190" i="143"/>
  <c r="I4190" i="143"/>
  <c r="E4218" i="143" s="1"/>
  <c r="D4190" i="143"/>
  <c r="B4190" i="143"/>
  <c r="L4329" i="143"/>
  <c r="K4329" i="143"/>
  <c r="L4328" i="143"/>
  <c r="K4328" i="143"/>
  <c r="L4327" i="143"/>
  <c r="K4327" i="143"/>
  <c r="L4321" i="143"/>
  <c r="I4320" i="143"/>
  <c r="K4320" i="143" s="1"/>
  <c r="I4319" i="143"/>
  <c r="L4319" i="143" s="1"/>
  <c r="I4318" i="143"/>
  <c r="G4318" i="143"/>
  <c r="I4312" i="143"/>
  <c r="L4312" i="143" s="1"/>
  <c r="I4311" i="143"/>
  <c r="K4311" i="143" s="1"/>
  <c r="I4310" i="143"/>
  <c r="L4310" i="143" s="1"/>
  <c r="I4309" i="143"/>
  <c r="L4309" i="143" s="1"/>
  <c r="I4303" i="143"/>
  <c r="L4303" i="143" s="1"/>
  <c r="I4302" i="143"/>
  <c r="L4302" i="143" s="1"/>
  <c r="I4301" i="143"/>
  <c r="L4301" i="143" s="1"/>
  <c r="L4280" i="143"/>
  <c r="K4280" i="143"/>
  <c r="L4279" i="143"/>
  <c r="K4279" i="143"/>
  <c r="L4278" i="143"/>
  <c r="K4278" i="143"/>
  <c r="L4272" i="143"/>
  <c r="I4271" i="143"/>
  <c r="L4271" i="143" s="1"/>
  <c r="I4270" i="143"/>
  <c r="L4270" i="143" s="1"/>
  <c r="I4269" i="143"/>
  <c r="G4269" i="143"/>
  <c r="I4263" i="143"/>
  <c r="L4263" i="143" s="1"/>
  <c r="I4262" i="143"/>
  <c r="L4262" i="143" s="1"/>
  <c r="I4261" i="143"/>
  <c r="L4261" i="143" s="1"/>
  <c r="L4260" i="143"/>
  <c r="I4254" i="143"/>
  <c r="L4254" i="143" s="1"/>
  <c r="I4253" i="143"/>
  <c r="K4253" i="143" s="1"/>
  <c r="I4252" i="143"/>
  <c r="K4252" i="143" s="1"/>
  <c r="I4251" i="143"/>
  <c r="L4251" i="143" s="1"/>
  <c r="I4250" i="143"/>
  <c r="L4250" i="143" s="1"/>
  <c r="L4229" i="143"/>
  <c r="K4229" i="143"/>
  <c r="L4228" i="143"/>
  <c r="K4228" i="143"/>
  <c r="L4227" i="143"/>
  <c r="K4227" i="143"/>
  <c r="L4221" i="143"/>
  <c r="I4220" i="143"/>
  <c r="K4220" i="143" s="1"/>
  <c r="I4219" i="143"/>
  <c r="L4219" i="143" s="1"/>
  <c r="I4218" i="143"/>
  <c r="G4218" i="143"/>
  <c r="I4212" i="143"/>
  <c r="L4212" i="143" s="1"/>
  <c r="I4211" i="143"/>
  <c r="L4211" i="143" s="1"/>
  <c r="I4210" i="143"/>
  <c r="L4210" i="143" s="1"/>
  <c r="L4209" i="143"/>
  <c r="I4203" i="143"/>
  <c r="L4203" i="143" s="1"/>
  <c r="I4202" i="143"/>
  <c r="K4202" i="143" s="1"/>
  <c r="I4201" i="143"/>
  <c r="L4201" i="143" s="1"/>
  <c r="I4200" i="143"/>
  <c r="L4200" i="143" s="1"/>
  <c r="I4199" i="143"/>
  <c r="L4199" i="143" s="1"/>
  <c r="I4198" i="143"/>
  <c r="L4198" i="143" s="1"/>
  <c r="I4197" i="143"/>
  <c r="K4197" i="143" s="1"/>
  <c r="I4196" i="143"/>
  <c r="L4196" i="143" s="1"/>
  <c r="I4195" i="143"/>
  <c r="L4195" i="143" s="1"/>
  <c r="I4194" i="143"/>
  <c r="L4194" i="143" s="1"/>
  <c r="I4162" i="143"/>
  <c r="K4140" i="143"/>
  <c r="I4140" i="143"/>
  <c r="E4146" i="143" s="1"/>
  <c r="D4140" i="143"/>
  <c r="B4140" i="143"/>
  <c r="L4173" i="143"/>
  <c r="K4173" i="143"/>
  <c r="L4172" i="143"/>
  <c r="K4172" i="143"/>
  <c r="L4171" i="143"/>
  <c r="K4171" i="143"/>
  <c r="L4165" i="143"/>
  <c r="I4164" i="143"/>
  <c r="K4164" i="143" s="1"/>
  <c r="I4163" i="143"/>
  <c r="L4163" i="143" s="1"/>
  <c r="G4162" i="143"/>
  <c r="I4156" i="143"/>
  <c r="L4156" i="143" s="1"/>
  <c r="I4155" i="143"/>
  <c r="L4155" i="143" s="1"/>
  <c r="I4154" i="143"/>
  <c r="L4154" i="143" s="1"/>
  <c r="I4153" i="143"/>
  <c r="K4153" i="143" s="1"/>
  <c r="I4147" i="143"/>
  <c r="I4146" i="143"/>
  <c r="G4146" i="143"/>
  <c r="I4145" i="143"/>
  <c r="G4145" i="143"/>
  <c r="I4144" i="143"/>
  <c r="G4144" i="143"/>
  <c r="K4088" i="143"/>
  <c r="I4088" i="143"/>
  <c r="E4092" i="143" s="1"/>
  <c r="E4093" i="143" s="1"/>
  <c r="D4088" i="143"/>
  <c r="B4088" i="143"/>
  <c r="L4123" i="143"/>
  <c r="K4123" i="143"/>
  <c r="L4122" i="143"/>
  <c r="K4122" i="143"/>
  <c r="L4121" i="143"/>
  <c r="K4121" i="143"/>
  <c r="L4115" i="143"/>
  <c r="I4114" i="143"/>
  <c r="K4114" i="143" s="1"/>
  <c r="I4113" i="143"/>
  <c r="L4113" i="143" s="1"/>
  <c r="I4112" i="143"/>
  <c r="G4112" i="143"/>
  <c r="I4106" i="143"/>
  <c r="K4106" i="143" s="1"/>
  <c r="I4105" i="143"/>
  <c r="L4105" i="143" s="1"/>
  <c r="I4104" i="143"/>
  <c r="K4104" i="143" s="1"/>
  <c r="I4103" i="143"/>
  <c r="L4103" i="143" s="1"/>
  <c r="I4097" i="143"/>
  <c r="G4097" i="143"/>
  <c r="I4096" i="143"/>
  <c r="G4096" i="143"/>
  <c r="I4095" i="143"/>
  <c r="G4095" i="143"/>
  <c r="I4094" i="143"/>
  <c r="G4094" i="143"/>
  <c r="I4093" i="143"/>
  <c r="G4093" i="143"/>
  <c r="I4092" i="143"/>
  <c r="G4092" i="143"/>
  <c r="K4032" i="143"/>
  <c r="I4032" i="143"/>
  <c r="D4032" i="143"/>
  <c r="B4032" i="143"/>
  <c r="L4071" i="143"/>
  <c r="K4071" i="143"/>
  <c r="L4070" i="143"/>
  <c r="K4070" i="143"/>
  <c r="L4069" i="143"/>
  <c r="K4069" i="143"/>
  <c r="L4063" i="143"/>
  <c r="I4062" i="143"/>
  <c r="K4062" i="143" s="1"/>
  <c r="I4061" i="143"/>
  <c r="L4061" i="143" s="1"/>
  <c r="I4060" i="143"/>
  <c r="G4060" i="143"/>
  <c r="I4054" i="143"/>
  <c r="L4054" i="143" s="1"/>
  <c r="I4053" i="143"/>
  <c r="L4053" i="143" s="1"/>
  <c r="I4052" i="143"/>
  <c r="L4052" i="143" s="1"/>
  <c r="I4051" i="143"/>
  <c r="L4051" i="143" s="1"/>
  <c r="I4045" i="143"/>
  <c r="L4045" i="143" s="1"/>
  <c r="I4044" i="143"/>
  <c r="L4044" i="143" s="1"/>
  <c r="I4043" i="143"/>
  <c r="L4043" i="143" s="1"/>
  <c r="I4042" i="143"/>
  <c r="K4042" i="143" s="1"/>
  <c r="I4041" i="143"/>
  <c r="L4041" i="143" s="1"/>
  <c r="I4040" i="143"/>
  <c r="L4040" i="143" s="1"/>
  <c r="I4039" i="143"/>
  <c r="L4039" i="143" s="1"/>
  <c r="I4038" i="143"/>
  <c r="L4038" i="143" s="1"/>
  <c r="I4037" i="143"/>
  <c r="K4037" i="143" s="1"/>
  <c r="I4036" i="143"/>
  <c r="L4036" i="143" s="1"/>
  <c r="E4060" i="143"/>
  <c r="K3976" i="143"/>
  <c r="I3976" i="143"/>
  <c r="E4004" i="143" s="1"/>
  <c r="D3976" i="143"/>
  <c r="B3976" i="143"/>
  <c r="L4015" i="143"/>
  <c r="K4015" i="143"/>
  <c r="L4014" i="143"/>
  <c r="K4014" i="143"/>
  <c r="L4013" i="143"/>
  <c r="K4013" i="143"/>
  <c r="L4007" i="143"/>
  <c r="I4006" i="143"/>
  <c r="K4006" i="143" s="1"/>
  <c r="I4005" i="143"/>
  <c r="L4005" i="143" s="1"/>
  <c r="I4004" i="143"/>
  <c r="G4004" i="143"/>
  <c r="I3998" i="143"/>
  <c r="L3998" i="143" s="1"/>
  <c r="I3997" i="143"/>
  <c r="L3997" i="143" s="1"/>
  <c r="I3996" i="143"/>
  <c r="L3996" i="143" s="1"/>
  <c r="I3995" i="143"/>
  <c r="K3995" i="143" s="1"/>
  <c r="I3989" i="143"/>
  <c r="L3989" i="143" s="1"/>
  <c r="I3988" i="143"/>
  <c r="L3988" i="143" s="1"/>
  <c r="I3987" i="143"/>
  <c r="L3987" i="143" s="1"/>
  <c r="I3986" i="143"/>
  <c r="L3986" i="143" s="1"/>
  <c r="I3985" i="143"/>
  <c r="L3985" i="143" s="1"/>
  <c r="I3984" i="143"/>
  <c r="L3984" i="143" s="1"/>
  <c r="I3983" i="143"/>
  <c r="L3983" i="143" s="1"/>
  <c r="I3982" i="143"/>
  <c r="L3982" i="143" s="1"/>
  <c r="I3981" i="143"/>
  <c r="L3981" i="143" s="1"/>
  <c r="I3980" i="143"/>
  <c r="L3980" i="143" s="1"/>
  <c r="K3920" i="143"/>
  <c r="I3920" i="143"/>
  <c r="D3920" i="143"/>
  <c r="B3920" i="143"/>
  <c r="L3959" i="143"/>
  <c r="K3959" i="143"/>
  <c r="L3958" i="143"/>
  <c r="K3958" i="143"/>
  <c r="L3957" i="143"/>
  <c r="K3957" i="143"/>
  <c r="L3951" i="143"/>
  <c r="I3950" i="143"/>
  <c r="K3950" i="143" s="1"/>
  <c r="I3949" i="143"/>
  <c r="L3949" i="143" s="1"/>
  <c r="I3948" i="143"/>
  <c r="G3948" i="143"/>
  <c r="I3942" i="143"/>
  <c r="L3942" i="143" s="1"/>
  <c r="I3941" i="143"/>
  <c r="K3941" i="143" s="1"/>
  <c r="I3940" i="143"/>
  <c r="K3940" i="143" s="1"/>
  <c r="I3939" i="143"/>
  <c r="L3939" i="143" s="1"/>
  <c r="I3933" i="143"/>
  <c r="L3933" i="143" s="1"/>
  <c r="I3932" i="143"/>
  <c r="L3932" i="143" s="1"/>
  <c r="I3931" i="143"/>
  <c r="L3931" i="143" s="1"/>
  <c r="I3930" i="143"/>
  <c r="I3929" i="143"/>
  <c r="I3928" i="143"/>
  <c r="I3927" i="143"/>
  <c r="I3926" i="143"/>
  <c r="I3925" i="143"/>
  <c r="I3924" i="143"/>
  <c r="K3864" i="143"/>
  <c r="I3864" i="143"/>
  <c r="E3892" i="143" s="1"/>
  <c r="D3864" i="143"/>
  <c r="B3864" i="143"/>
  <c r="L3903" i="143"/>
  <c r="K3903" i="143"/>
  <c r="L3902" i="143"/>
  <c r="K3902" i="143"/>
  <c r="L3901" i="143"/>
  <c r="K3901" i="143"/>
  <c r="L3895" i="143"/>
  <c r="I3894" i="143"/>
  <c r="K3894" i="143" s="1"/>
  <c r="I3893" i="143"/>
  <c r="L3893" i="143" s="1"/>
  <c r="I3892" i="143"/>
  <c r="G3892" i="143"/>
  <c r="I3886" i="143"/>
  <c r="K3886" i="143" s="1"/>
  <c r="I3885" i="143"/>
  <c r="L3885" i="143" s="1"/>
  <c r="I3884" i="143"/>
  <c r="L3884" i="143" s="1"/>
  <c r="I3883" i="143"/>
  <c r="L3883" i="143" s="1"/>
  <c r="I3877" i="143"/>
  <c r="L3877" i="143" s="1"/>
  <c r="I3876" i="143"/>
  <c r="K3876" i="143" s="1"/>
  <c r="I3875" i="143"/>
  <c r="K3875" i="143" s="1"/>
  <c r="I3874" i="143"/>
  <c r="G3874" i="143"/>
  <c r="I3873" i="143"/>
  <c r="G3873" i="143"/>
  <c r="I3872" i="143"/>
  <c r="G3872" i="143"/>
  <c r="I3871" i="143"/>
  <c r="G3871" i="143"/>
  <c r="I3870" i="143"/>
  <c r="G3870" i="143"/>
  <c r="I3869" i="143"/>
  <c r="G3869" i="143"/>
  <c r="I3868" i="143"/>
  <c r="G3868" i="143"/>
  <c r="K3813" i="143"/>
  <c r="I3813" i="143"/>
  <c r="E3817" i="143" s="1"/>
  <c r="D3813" i="143"/>
  <c r="B3813" i="143"/>
  <c r="L3847" i="143"/>
  <c r="K3847" i="143"/>
  <c r="L3846" i="143"/>
  <c r="K3846" i="143"/>
  <c r="L3845" i="143"/>
  <c r="K3845" i="143"/>
  <c r="I3839" i="143"/>
  <c r="L3839" i="143" s="1"/>
  <c r="I3838" i="143"/>
  <c r="L3838" i="143" s="1"/>
  <c r="I3837" i="143"/>
  <c r="K3837" i="143" s="1"/>
  <c r="I3836" i="143"/>
  <c r="G3836" i="143"/>
  <c r="I3830" i="143"/>
  <c r="L3830" i="143" s="1"/>
  <c r="I3829" i="143"/>
  <c r="L3829" i="143" s="1"/>
  <c r="I3828" i="143"/>
  <c r="L3828" i="143" s="1"/>
  <c r="I3827" i="143"/>
  <c r="L3827" i="143" s="1"/>
  <c r="I3821" i="143"/>
  <c r="L3821" i="143" s="1"/>
  <c r="I3820" i="143"/>
  <c r="G3820" i="143"/>
  <c r="I3819" i="143"/>
  <c r="G3819" i="143"/>
  <c r="I3818" i="143"/>
  <c r="G3818" i="143"/>
  <c r="I3817" i="143"/>
  <c r="G3817" i="143"/>
  <c r="I3786" i="143"/>
  <c r="L3786" i="143" s="1"/>
  <c r="I3787" i="143"/>
  <c r="I3788" i="143"/>
  <c r="L3788" i="143" s="1"/>
  <c r="I3785" i="143"/>
  <c r="I3777" i="143"/>
  <c r="L3777" i="143" s="1"/>
  <c r="I3778" i="143"/>
  <c r="K3778" i="143" s="1"/>
  <c r="I3779" i="143"/>
  <c r="L3779" i="143" s="1"/>
  <c r="I3776" i="143"/>
  <c r="L3776" i="143" s="1"/>
  <c r="I3767" i="143"/>
  <c r="I3768" i="143"/>
  <c r="I3769" i="143"/>
  <c r="I3770" i="143"/>
  <c r="K3770" i="143" s="1"/>
  <c r="I3766" i="143"/>
  <c r="I3735" i="143"/>
  <c r="L3735" i="143" s="1"/>
  <c r="I3736" i="143"/>
  <c r="K3736" i="143" s="1"/>
  <c r="I3737" i="143"/>
  <c r="I3734" i="143"/>
  <c r="I3726" i="143"/>
  <c r="L3726" i="143" s="1"/>
  <c r="I3727" i="143"/>
  <c r="L3727" i="143" s="1"/>
  <c r="I3728" i="143"/>
  <c r="L3728" i="143" s="1"/>
  <c r="I3725" i="143"/>
  <c r="L3725" i="143" s="1"/>
  <c r="I3711" i="143"/>
  <c r="I3712" i="143"/>
  <c r="I3713" i="143"/>
  <c r="L3713" i="143" s="1"/>
  <c r="I3714" i="143"/>
  <c r="L3714" i="143" s="1"/>
  <c r="I3715" i="143"/>
  <c r="L3715" i="143" s="1"/>
  <c r="I3716" i="143"/>
  <c r="K3716" i="143" s="1"/>
  <c r="I3717" i="143"/>
  <c r="L3717" i="143" s="1"/>
  <c r="I3718" i="143"/>
  <c r="L3718" i="143" s="1"/>
  <c r="I3719" i="143"/>
  <c r="L3719" i="143" s="1"/>
  <c r="I3710" i="143"/>
  <c r="I3670" i="143"/>
  <c r="L3670" i="143" s="1"/>
  <c r="I3671" i="143"/>
  <c r="L3671" i="143" s="1"/>
  <c r="I3672" i="143"/>
  <c r="L3672" i="143" s="1"/>
  <c r="I3669" i="143"/>
  <c r="I3679" i="143"/>
  <c r="L3679" i="143" s="1"/>
  <c r="I3680" i="143"/>
  <c r="K3680" i="143" s="1"/>
  <c r="I3681" i="143"/>
  <c r="L3681" i="143" s="1"/>
  <c r="I3678" i="143"/>
  <c r="I3655" i="143"/>
  <c r="K3655" i="143" s="1"/>
  <c r="I3656" i="143"/>
  <c r="L3656" i="143" s="1"/>
  <c r="I3657" i="143"/>
  <c r="K3657" i="143" s="1"/>
  <c r="I3658" i="143"/>
  <c r="K3658" i="143" s="1"/>
  <c r="I3659" i="143"/>
  <c r="K3659" i="143" s="1"/>
  <c r="I3660" i="143"/>
  <c r="L3660" i="143" s="1"/>
  <c r="I3661" i="143"/>
  <c r="L3661" i="143" s="1"/>
  <c r="I3662" i="143"/>
  <c r="K3662" i="143" s="1"/>
  <c r="I3663" i="143"/>
  <c r="K3663" i="143" s="1"/>
  <c r="I3654" i="143"/>
  <c r="L3654" i="143" s="1"/>
  <c r="I3623" i="143"/>
  <c r="K3623" i="143" s="1"/>
  <c r="I3624" i="143"/>
  <c r="K3624" i="143" s="1"/>
  <c r="I3625" i="143"/>
  <c r="L3625" i="143" s="1"/>
  <c r="I3622" i="143"/>
  <c r="K3622" i="143" s="1"/>
  <c r="I3614" i="143"/>
  <c r="L3614" i="143" s="1"/>
  <c r="I3615" i="143"/>
  <c r="K3615" i="143" s="1"/>
  <c r="I3616" i="143"/>
  <c r="K3616" i="143" s="1"/>
  <c r="I3599" i="143"/>
  <c r="K3599" i="143" s="1"/>
  <c r="I3600" i="143"/>
  <c r="L3600" i="143" s="1"/>
  <c r="I3601" i="143"/>
  <c r="L3601" i="143" s="1"/>
  <c r="I3602" i="143"/>
  <c r="L3602" i="143" s="1"/>
  <c r="I3603" i="143"/>
  <c r="K3603" i="143" s="1"/>
  <c r="I3604" i="143"/>
  <c r="L3604" i="143" s="1"/>
  <c r="I3605" i="143"/>
  <c r="L3605" i="143" s="1"/>
  <c r="I3606" i="143"/>
  <c r="L3606" i="143" s="1"/>
  <c r="I3607" i="143"/>
  <c r="K3607" i="143" s="1"/>
  <c r="I3598" i="143"/>
  <c r="L3598" i="143" s="1"/>
  <c r="G3785" i="143"/>
  <c r="G3767" i="143"/>
  <c r="G3768" i="143"/>
  <c r="G3769" i="143"/>
  <c r="G3766" i="143"/>
  <c r="K3762" i="143"/>
  <c r="I3762" i="143"/>
  <c r="E3768" i="143" s="1"/>
  <c r="D3762" i="143"/>
  <c r="B3762" i="143"/>
  <c r="L3796" i="143"/>
  <c r="K3796" i="143"/>
  <c r="L3795" i="143"/>
  <c r="K3795" i="143"/>
  <c r="L3794" i="143"/>
  <c r="K3794" i="143"/>
  <c r="K3787" i="143"/>
  <c r="G3711" i="143"/>
  <c r="G3712" i="143"/>
  <c r="G3710" i="143"/>
  <c r="K3706" i="143"/>
  <c r="I3706" i="143"/>
  <c r="E3712" i="143" s="1"/>
  <c r="D3706" i="143"/>
  <c r="B3706" i="143"/>
  <c r="L3745" i="143"/>
  <c r="K3745" i="143"/>
  <c r="L3744" i="143"/>
  <c r="K3744" i="143"/>
  <c r="L3743" i="143"/>
  <c r="K3743" i="143"/>
  <c r="L3737" i="143"/>
  <c r="G3734" i="143"/>
  <c r="G3678" i="143"/>
  <c r="K3650" i="143"/>
  <c r="I3650" i="143"/>
  <c r="E3678" i="143" s="1"/>
  <c r="F3678" i="143" s="1"/>
  <c r="D3650" i="143"/>
  <c r="B3650" i="143"/>
  <c r="L3689" i="143"/>
  <c r="K3689" i="143"/>
  <c r="L3688" i="143"/>
  <c r="K3688" i="143"/>
  <c r="L3687" i="143"/>
  <c r="K3687" i="143"/>
  <c r="I3613" i="143"/>
  <c r="G3613" i="143"/>
  <c r="K3594" i="143"/>
  <c r="I3594" i="143"/>
  <c r="E3613" i="143" s="1"/>
  <c r="D3594" i="143"/>
  <c r="B3594" i="143"/>
  <c r="L3633" i="143"/>
  <c r="K3633" i="143"/>
  <c r="L3632" i="143"/>
  <c r="K3632" i="143"/>
  <c r="L3631" i="143"/>
  <c r="K3631" i="143"/>
  <c r="K5577" i="143" l="1"/>
  <c r="K742" i="143"/>
  <c r="L5621" i="143"/>
  <c r="E729" i="143"/>
  <c r="E5771" i="143"/>
  <c r="F5771" i="143" s="1"/>
  <c r="K5771" i="143" s="1"/>
  <c r="K5689" i="143"/>
  <c r="K5745" i="143"/>
  <c r="E5712" i="143"/>
  <c r="F5712" i="143" s="1"/>
  <c r="K5712" i="143" s="1"/>
  <c r="E5716" i="143"/>
  <c r="F5716" i="143" s="1"/>
  <c r="E5711" i="143"/>
  <c r="F5711" i="143" s="1"/>
  <c r="E5715" i="143"/>
  <c r="F5715" i="143" s="1"/>
  <c r="E5710" i="143"/>
  <c r="F5710" i="143" s="1"/>
  <c r="K5710" i="143" s="1"/>
  <c r="E5714" i="143"/>
  <c r="F5714" i="143" s="1"/>
  <c r="K5714" i="143" s="1"/>
  <c r="E5709" i="143"/>
  <c r="F5709" i="143" s="1"/>
  <c r="E5713" i="143"/>
  <c r="F5713" i="143" s="1"/>
  <c r="F5708" i="143"/>
  <c r="K5708" i="143" s="1"/>
  <c r="E5765" i="143"/>
  <c r="F5765" i="143" s="1"/>
  <c r="L742" i="143"/>
  <c r="L5353" i="143"/>
  <c r="K5409" i="143"/>
  <c r="L5633" i="143"/>
  <c r="L5689" i="143"/>
  <c r="L5801" i="143"/>
  <c r="E5766" i="143"/>
  <c r="F5766" i="143" s="1"/>
  <c r="K5766" i="143" s="1"/>
  <c r="E708" i="143"/>
  <c r="E705" i="143"/>
  <c r="F5764" i="143"/>
  <c r="K5764" i="143" s="1"/>
  <c r="E5770" i="143"/>
  <c r="F5770" i="143" s="1"/>
  <c r="K5770" i="143" s="1"/>
  <c r="E707" i="143"/>
  <c r="L720" i="143"/>
  <c r="L731" i="143"/>
  <c r="L713" i="143"/>
  <c r="L714" i="143"/>
  <c r="L730" i="143"/>
  <c r="L721" i="143"/>
  <c r="L711" i="143"/>
  <c r="K711" i="143"/>
  <c r="K723" i="143"/>
  <c r="E5769" i="143"/>
  <c r="F5769" i="143" s="1"/>
  <c r="K722" i="143"/>
  <c r="E5767" i="143"/>
  <c r="F5767" i="143" s="1"/>
  <c r="E5676" i="143"/>
  <c r="L5676" i="143" s="1"/>
  <c r="L5025" i="143"/>
  <c r="L5081" i="143"/>
  <c r="L5193" i="143"/>
  <c r="L5244" i="143"/>
  <c r="K5297" i="143"/>
  <c r="K5465" i="143"/>
  <c r="L5745" i="143"/>
  <c r="K5801" i="143"/>
  <c r="E5772" i="143"/>
  <c r="F5772" i="143" s="1"/>
  <c r="K5772" i="143" s="1"/>
  <c r="K4969" i="143"/>
  <c r="K5137" i="143"/>
  <c r="L5297" i="143"/>
  <c r="L5409" i="143"/>
  <c r="L5465" i="143"/>
  <c r="K5633" i="143"/>
  <c r="L5764" i="143"/>
  <c r="E5768" i="143"/>
  <c r="F5768" i="143" s="1"/>
  <c r="K5768" i="143" s="1"/>
  <c r="K5779" i="143"/>
  <c r="K5773" i="143"/>
  <c r="K5781" i="143"/>
  <c r="L5790" i="143"/>
  <c r="K5780" i="143"/>
  <c r="K5724" i="143"/>
  <c r="L5784" i="143"/>
  <c r="K5789" i="143"/>
  <c r="K5782" i="143"/>
  <c r="E5788" i="143"/>
  <c r="K5723" i="143"/>
  <c r="K5733" i="143"/>
  <c r="L5725" i="143"/>
  <c r="L5734" i="143"/>
  <c r="L5717" i="143"/>
  <c r="K5717" i="143"/>
  <c r="L5728" i="143"/>
  <c r="K5726" i="143"/>
  <c r="E5732" i="143"/>
  <c r="K5668" i="143"/>
  <c r="L5667" i="143"/>
  <c r="L5672" i="143" s="1"/>
  <c r="L5652" i="143"/>
  <c r="L5663" i="143" s="1"/>
  <c r="F5652" i="143"/>
  <c r="K5652" i="143" s="1"/>
  <c r="K5653" i="143"/>
  <c r="K5657" i="143"/>
  <c r="K5661" i="143"/>
  <c r="L5678" i="143"/>
  <c r="K5656" i="143"/>
  <c r="K5660" i="143"/>
  <c r="K5677" i="143"/>
  <c r="L130" i="145"/>
  <c r="M130" i="145" s="1"/>
  <c r="K5655" i="143"/>
  <c r="K5659" i="143"/>
  <c r="K5670" i="143"/>
  <c r="K5654" i="143"/>
  <c r="K5658" i="143"/>
  <c r="K5669" i="143"/>
  <c r="K5612" i="143"/>
  <c r="L5598" i="143"/>
  <c r="L5602" i="143"/>
  <c r="K5597" i="143"/>
  <c r="K5601" i="143"/>
  <c r="K5605" i="143"/>
  <c r="L5622" i="143"/>
  <c r="K5599" i="143"/>
  <c r="K5603" i="143"/>
  <c r="K5621" i="143"/>
  <c r="L5611" i="143"/>
  <c r="L5616" i="143" s="1"/>
  <c r="L5620" i="143"/>
  <c r="F5620" i="143"/>
  <c r="K5620" i="143" s="1"/>
  <c r="K5596" i="143"/>
  <c r="K5600" i="143"/>
  <c r="K5604" i="143"/>
  <c r="K5611" i="143"/>
  <c r="K5614" i="143"/>
  <c r="K5541" i="143"/>
  <c r="K5613" i="143"/>
  <c r="L5493" i="143"/>
  <c r="L5488" i="143"/>
  <c r="L3798" i="143"/>
  <c r="L4175" i="143"/>
  <c r="L4231" i="143"/>
  <c r="L4282" i="143"/>
  <c r="K4383" i="143"/>
  <c r="L4435" i="143"/>
  <c r="L4646" i="143"/>
  <c r="K4702" i="143"/>
  <c r="L4758" i="143"/>
  <c r="K4814" i="143"/>
  <c r="L4919" i="143"/>
  <c r="L4969" i="143"/>
  <c r="K5331" i="143"/>
  <c r="L5492" i="143"/>
  <c r="L5502" i="143"/>
  <c r="K5521" i="143"/>
  <c r="L5546" i="143"/>
  <c r="L5577" i="143"/>
  <c r="L5556" i="143"/>
  <c r="L3635" i="143"/>
  <c r="K3691" i="143"/>
  <c r="K4331" i="143"/>
  <c r="K4488" i="143"/>
  <c r="K4590" i="143"/>
  <c r="K4646" i="143"/>
  <c r="L4702" i="143"/>
  <c r="K4758" i="143"/>
  <c r="K5193" i="143"/>
  <c r="K5244" i="143"/>
  <c r="K5353" i="143"/>
  <c r="L5521" i="143"/>
  <c r="K5374" i="143"/>
  <c r="K5485" i="143"/>
  <c r="K5487" i="143"/>
  <c r="L5504" i="143"/>
  <c r="K5501" i="143"/>
  <c r="K5543" i="143"/>
  <c r="K5545" i="143"/>
  <c r="L5566" i="143"/>
  <c r="L5387" i="143"/>
  <c r="L5392" i="143" s="1"/>
  <c r="K5432" i="143"/>
  <c r="K5484" i="143"/>
  <c r="K5489" i="143"/>
  <c r="K5491" i="143"/>
  <c r="K5510" i="143"/>
  <c r="K5542" i="143"/>
  <c r="K5547" i="143"/>
  <c r="K5549" i="143"/>
  <c r="L5557" i="143"/>
  <c r="K5500" i="143"/>
  <c r="E5555" i="143"/>
  <c r="L5555" i="143" s="1"/>
  <c r="K5565" i="143"/>
  <c r="L5551" i="143"/>
  <c r="L5508" i="143"/>
  <c r="L5513" i="143" s="1"/>
  <c r="F5508" i="143"/>
  <c r="K5508" i="143" s="1"/>
  <c r="L5564" i="143"/>
  <c r="F5564" i="143"/>
  <c r="K5564" i="143" s="1"/>
  <c r="K5486" i="143"/>
  <c r="K5490" i="143"/>
  <c r="K5509" i="143"/>
  <c r="K5540" i="143"/>
  <c r="K5544" i="143"/>
  <c r="K5548" i="143"/>
  <c r="K5558" i="143"/>
  <c r="K5378" i="143"/>
  <c r="K5389" i="143"/>
  <c r="K5443" i="143"/>
  <c r="K5436" i="143"/>
  <c r="L5434" i="143"/>
  <c r="L5376" i="143"/>
  <c r="L5380" i="143"/>
  <c r="K5390" i="143"/>
  <c r="K5332" i="143"/>
  <c r="K5375" i="143"/>
  <c r="K5379" i="143"/>
  <c r="L5397" i="143"/>
  <c r="L5433" i="143"/>
  <c r="L5437" i="143"/>
  <c r="K5444" i="143"/>
  <c r="K5453" i="143"/>
  <c r="L5445" i="143"/>
  <c r="L5448" i="143" s="1"/>
  <c r="L5454" i="143"/>
  <c r="L5396" i="143"/>
  <c r="F5396" i="143"/>
  <c r="K5396" i="143" s="1"/>
  <c r="L5430" i="143"/>
  <c r="F5430" i="143"/>
  <c r="K5430" i="143" s="1"/>
  <c r="E5373" i="143"/>
  <c r="K5377" i="143"/>
  <c r="K5381" i="143"/>
  <c r="K5388" i="143"/>
  <c r="K5398" i="143"/>
  <c r="K5431" i="143"/>
  <c r="K5435" i="143"/>
  <c r="K5446" i="143"/>
  <c r="E5452" i="143"/>
  <c r="E5429" i="143"/>
  <c r="E5428" i="143"/>
  <c r="E5372" i="143"/>
  <c r="L5342" i="143"/>
  <c r="K5316" i="143"/>
  <c r="L5317" i="143"/>
  <c r="K5320" i="143"/>
  <c r="L5321" i="143"/>
  <c r="K5324" i="143"/>
  <c r="L5325" i="143"/>
  <c r="K5341" i="143"/>
  <c r="L5340" i="143"/>
  <c r="F5340" i="143"/>
  <c r="K5340" i="143" s="1"/>
  <c r="L5336" i="143"/>
  <c r="K5319" i="143"/>
  <c r="K5323" i="143"/>
  <c r="K5334" i="143"/>
  <c r="K5318" i="143"/>
  <c r="K5322" i="143"/>
  <c r="K5333" i="143"/>
  <c r="L5276" i="143"/>
  <c r="L5280" i="143" s="1"/>
  <c r="E5265" i="143"/>
  <c r="L5265" i="143" s="1"/>
  <c r="K5275" i="143"/>
  <c r="L5286" i="143"/>
  <c r="K5268" i="143"/>
  <c r="L5269" i="143"/>
  <c r="K5285" i="143"/>
  <c r="E5215" i="143"/>
  <c r="F5215" i="143" s="1"/>
  <c r="K5215" i="143" s="1"/>
  <c r="E5231" i="143"/>
  <c r="L5231" i="143" s="1"/>
  <c r="L5232" i="143"/>
  <c r="K5267" i="143"/>
  <c r="K5278" i="143"/>
  <c r="E5284" i="143"/>
  <c r="E5212" i="143"/>
  <c r="F5212" i="143" s="1"/>
  <c r="K5212" i="143" s="1"/>
  <c r="K5266" i="143"/>
  <c r="K5277" i="143"/>
  <c r="E5263" i="143"/>
  <c r="L5222" i="143"/>
  <c r="L5227" i="143" s="1"/>
  <c r="K5225" i="143"/>
  <c r="L5164" i="143"/>
  <c r="L5214" i="143"/>
  <c r="K5224" i="143"/>
  <c r="F5214" i="143"/>
  <c r="K5214" i="143" s="1"/>
  <c r="K5216" i="143"/>
  <c r="K5223" i="143"/>
  <c r="K5233" i="143"/>
  <c r="E5213" i="143"/>
  <c r="L5174" i="143"/>
  <c r="L5181" i="143"/>
  <c r="K5163" i="143"/>
  <c r="L4996" i="143"/>
  <c r="L5156" i="143"/>
  <c r="K5159" i="143"/>
  <c r="L5160" i="143"/>
  <c r="L5171" i="143"/>
  <c r="L5180" i="143"/>
  <c r="F5180" i="143"/>
  <c r="K5180" i="143" s="1"/>
  <c r="K5158" i="143"/>
  <c r="K5162" i="143"/>
  <c r="K5173" i="143"/>
  <c r="K5157" i="143"/>
  <c r="K5161" i="143"/>
  <c r="K5165" i="143"/>
  <c r="K5172" i="143"/>
  <c r="K5182" i="143"/>
  <c r="K5046" i="143"/>
  <c r="L5014" i="143"/>
  <c r="K5005" i="143"/>
  <c r="K3905" i="143"/>
  <c r="L4017" i="143"/>
  <c r="L4488" i="143"/>
  <c r="L4539" i="143"/>
  <c r="L4590" i="143"/>
  <c r="L4814" i="143"/>
  <c r="K4919" i="143"/>
  <c r="K4867" i="143"/>
  <c r="K5025" i="143"/>
  <c r="L5047" i="143"/>
  <c r="K5104" i="143"/>
  <c r="L5137" i="143"/>
  <c r="L4991" i="143"/>
  <c r="K3635" i="143"/>
  <c r="K3798" i="143"/>
  <c r="L3849" i="143"/>
  <c r="L3905" i="143"/>
  <c r="K3961" i="143"/>
  <c r="K4073" i="143"/>
  <c r="L4125" i="143"/>
  <c r="K4175" i="143"/>
  <c r="L4383" i="143"/>
  <c r="K4435" i="143"/>
  <c r="K4539" i="143"/>
  <c r="L4867" i="143"/>
  <c r="K5081" i="143"/>
  <c r="K4995" i="143"/>
  <c r="K5004" i="143"/>
  <c r="K5060" i="143"/>
  <c r="K5062" i="143"/>
  <c r="K5070" i="143"/>
  <c r="L5102" i="143"/>
  <c r="K5115" i="143"/>
  <c r="K5051" i="143"/>
  <c r="K5053" i="143"/>
  <c r="L5068" i="143"/>
  <c r="L5073" i="143" s="1"/>
  <c r="K5069" i="143"/>
  <c r="K5100" i="143"/>
  <c r="K5108" i="143"/>
  <c r="K5049" i="143"/>
  <c r="L5106" i="143"/>
  <c r="L5055" i="143"/>
  <c r="K4988" i="143"/>
  <c r="K4990" i="143"/>
  <c r="L5008" i="143"/>
  <c r="K5013" i="143"/>
  <c r="K5050" i="143"/>
  <c r="L5064" i="143"/>
  <c r="K5101" i="143"/>
  <c r="K5105" i="143"/>
  <c r="K5109" i="143"/>
  <c r="L5117" i="143"/>
  <c r="L5120" i="143" s="1"/>
  <c r="L5126" i="143"/>
  <c r="K4992" i="143"/>
  <c r="K4994" i="143"/>
  <c r="K5045" i="143"/>
  <c r="K5116" i="143"/>
  <c r="K5125" i="143"/>
  <c r="L5012" i="143"/>
  <c r="F5012" i="143"/>
  <c r="K5012" i="143" s="1"/>
  <c r="L5124" i="143"/>
  <c r="F5124" i="143"/>
  <c r="K5124" i="143" s="1"/>
  <c r="K5129" i="143" s="1"/>
  <c r="K4989" i="143"/>
  <c r="K4993" i="143"/>
  <c r="K4997" i="143"/>
  <c r="K5006" i="143"/>
  <c r="K5044" i="143"/>
  <c r="K5048" i="143"/>
  <c r="K5052" i="143"/>
  <c r="K5061" i="143"/>
  <c r="F5068" i="143"/>
  <c r="K5068" i="143" s="1"/>
  <c r="K5103" i="143"/>
  <c r="K5107" i="143"/>
  <c r="K5118" i="143"/>
  <c r="K4846" i="143"/>
  <c r="L4847" i="143"/>
  <c r="L4850" i="143" s="1"/>
  <c r="L128" i="145"/>
  <c r="M128" i="145" s="1"/>
  <c r="E4940" i="143"/>
  <c r="L4940" i="143" s="1"/>
  <c r="L4839" i="143"/>
  <c r="F4839" i="143"/>
  <c r="K4839" i="143" s="1"/>
  <c r="K4845" i="143"/>
  <c r="K4855" i="143"/>
  <c r="L4856" i="143"/>
  <c r="E4838" i="143"/>
  <c r="K4848" i="143"/>
  <c r="E4854" i="143"/>
  <c r="E4833" i="143"/>
  <c r="E4837" i="143"/>
  <c r="L4528" i="143"/>
  <c r="K4737" i="143"/>
  <c r="L4779" i="143"/>
  <c r="L4475" i="143"/>
  <c r="L4624" i="143"/>
  <c r="L4634" i="143"/>
  <c r="L4726" i="143"/>
  <c r="L4617" i="143"/>
  <c r="L4730" i="143"/>
  <c r="L4899" i="143"/>
  <c r="K4947" i="143"/>
  <c r="L4467" i="143"/>
  <c r="L4511" i="143"/>
  <c r="L4568" i="143"/>
  <c r="L4578" i="143"/>
  <c r="L4673" i="143"/>
  <c r="K4681" i="143"/>
  <c r="K4683" i="143"/>
  <c r="K4690" i="143"/>
  <c r="K4898" i="143"/>
  <c r="K4626" i="143"/>
  <c r="L4723" i="143"/>
  <c r="K4746" i="143"/>
  <c r="K4801" i="143"/>
  <c r="L4794" i="143"/>
  <c r="L4908" i="143"/>
  <c r="E4938" i="143"/>
  <c r="L4938" i="143" s="1"/>
  <c r="K4518" i="143"/>
  <c r="K4520" i="143"/>
  <c r="K4527" i="143"/>
  <c r="K4616" i="143"/>
  <c r="K4666" i="143"/>
  <c r="K4670" i="143"/>
  <c r="K4672" i="143"/>
  <c r="K4680" i="143"/>
  <c r="K4722" i="143"/>
  <c r="L4784" i="143"/>
  <c r="K4803" i="143"/>
  <c r="K4907" i="143"/>
  <c r="K4941" i="143"/>
  <c r="K4949" i="143"/>
  <c r="L4958" i="143"/>
  <c r="L4414" i="143"/>
  <c r="L4460" i="143"/>
  <c r="K4468" i="143"/>
  <c r="K4517" i="143"/>
  <c r="K4627" i="143"/>
  <c r="K4665" i="143"/>
  <c r="K4669" i="143"/>
  <c r="K4674" i="143"/>
  <c r="K4736" i="143"/>
  <c r="K4747" i="143"/>
  <c r="L4780" i="143"/>
  <c r="K4783" i="143"/>
  <c r="L4795" i="143"/>
  <c r="L4801" i="143"/>
  <c r="K4897" i="143"/>
  <c r="K4948" i="143"/>
  <c r="L4477" i="143"/>
  <c r="L4459" i="143"/>
  <c r="K4570" i="143"/>
  <c r="L4691" i="143"/>
  <c r="L4727" i="143"/>
  <c r="L4738" i="143"/>
  <c r="K4957" i="143"/>
  <c r="L4559" i="143"/>
  <c r="F4559" i="143"/>
  <c r="K4559" i="143" s="1"/>
  <c r="E4614" i="143"/>
  <c r="E4615" i="143"/>
  <c r="L4375" i="143"/>
  <c r="K4458" i="143"/>
  <c r="K4466" i="143"/>
  <c r="K4476" i="143"/>
  <c r="E4509" i="143"/>
  <c r="E4507" i="143"/>
  <c r="E4510" i="143"/>
  <c r="E4577" i="143"/>
  <c r="E4612" i="143"/>
  <c r="L4745" i="143"/>
  <c r="L4750" i="143" s="1"/>
  <c r="F4745" i="143"/>
  <c r="K4745" i="143" s="1"/>
  <c r="L4724" i="143"/>
  <c r="K4724" i="143"/>
  <c r="L4792" i="143"/>
  <c r="K4792" i="143"/>
  <c r="E4455" i="143"/>
  <c r="E4456" i="143"/>
  <c r="E279" i="145" s="1"/>
  <c r="F279" i="145" s="1"/>
  <c r="F4475" i="143"/>
  <c r="K4475" i="143" s="1"/>
  <c r="E4560" i="143"/>
  <c r="E4561" i="143"/>
  <c r="L4728" i="143"/>
  <c r="K4728" i="143"/>
  <c r="L4777" i="143"/>
  <c r="K4777" i="143"/>
  <c r="L4469" i="143"/>
  <c r="E4454" i="143"/>
  <c r="L4519" i="143"/>
  <c r="L4522" i="143" s="1"/>
  <c r="E4558" i="143"/>
  <c r="L4569" i="143"/>
  <c r="K4571" i="143"/>
  <c r="E4609" i="143"/>
  <c r="E4610" i="143"/>
  <c r="E4611" i="143"/>
  <c r="E4633" i="143"/>
  <c r="L4785" i="143"/>
  <c r="K4785" i="143"/>
  <c r="L4457" i="143"/>
  <c r="E4508" i="143"/>
  <c r="E4526" i="143"/>
  <c r="L4562" i="143"/>
  <c r="L4579" i="143"/>
  <c r="E4613" i="143"/>
  <c r="L4618" i="143"/>
  <c r="K4618" i="143"/>
  <c r="L4635" i="143"/>
  <c r="K4635" i="143"/>
  <c r="L4689" i="143"/>
  <c r="F4689" i="143"/>
  <c r="K4689" i="143" s="1"/>
  <c r="L4667" i="143"/>
  <c r="K4667" i="143"/>
  <c r="L4781" i="143"/>
  <c r="K4781" i="143"/>
  <c r="L4900" i="143"/>
  <c r="L4902" i="143" s="1"/>
  <c r="K4900" i="143"/>
  <c r="L4939" i="143"/>
  <c r="F4939" i="143"/>
  <c r="K4939" i="143" s="1"/>
  <c r="L4625" i="143"/>
  <c r="K4625" i="143"/>
  <c r="L4671" i="143"/>
  <c r="K4671" i="143"/>
  <c r="L4682" i="143"/>
  <c r="L4685" i="143" s="1"/>
  <c r="K4682" i="143"/>
  <c r="L4739" i="143"/>
  <c r="K4739" i="143"/>
  <c r="L4802" i="143"/>
  <c r="K4802" i="143"/>
  <c r="E4891" i="143"/>
  <c r="E4889" i="143"/>
  <c r="E4906" i="143"/>
  <c r="E4890" i="143"/>
  <c r="E4888" i="143"/>
  <c r="E4886" i="143"/>
  <c r="K4668" i="143"/>
  <c r="K4721" i="143"/>
  <c r="K4725" i="143"/>
  <c r="K4729" i="143"/>
  <c r="K4778" i="143"/>
  <c r="K4782" i="143"/>
  <c r="K4786" i="143"/>
  <c r="K4793" i="143"/>
  <c r="L4950" i="143"/>
  <c r="L4952" i="143" s="1"/>
  <c r="K4950" i="143"/>
  <c r="E4956" i="143"/>
  <c r="K4363" i="143"/>
  <c r="K4370" i="143"/>
  <c r="K4372" i="143"/>
  <c r="L4403" i="143"/>
  <c r="L4407" i="143"/>
  <c r="K4416" i="143"/>
  <c r="L4423" i="143"/>
  <c r="L4253" i="143"/>
  <c r="K4351" i="143"/>
  <c r="K4353" i="143"/>
  <c r="K4355" i="143"/>
  <c r="L4402" i="143"/>
  <c r="L4406" i="143"/>
  <c r="L4361" i="143"/>
  <c r="L4362" i="143"/>
  <c r="L4413" i="143"/>
  <c r="L4352" i="143"/>
  <c r="K4405" i="143"/>
  <c r="L4422" i="143"/>
  <c r="F4422" i="143"/>
  <c r="K4422" i="143" s="1"/>
  <c r="K4350" i="143"/>
  <c r="K4354" i="143"/>
  <c r="F4361" i="143"/>
  <c r="K4361" i="143" s="1"/>
  <c r="K4364" i="143"/>
  <c r="K4371" i="143"/>
  <c r="K4404" i="143"/>
  <c r="K4415" i="143"/>
  <c r="K4424" i="143"/>
  <c r="L4220" i="143"/>
  <c r="L4252" i="143"/>
  <c r="L3961" i="143"/>
  <c r="K4211" i="143"/>
  <c r="K4017" i="143"/>
  <c r="K4231" i="143"/>
  <c r="L4331" i="143"/>
  <c r="L3691" i="143"/>
  <c r="K3747" i="143"/>
  <c r="L3747" i="143"/>
  <c r="K3849" i="143"/>
  <c r="L4073" i="143"/>
  <c r="K4125" i="143"/>
  <c r="K4282" i="143"/>
  <c r="L4197" i="143"/>
  <c r="L4202" i="143"/>
  <c r="K4210" i="143"/>
  <c r="K4261" i="143"/>
  <c r="K4263" i="143"/>
  <c r="K4271" i="143"/>
  <c r="K4309" i="143"/>
  <c r="K4201" i="143"/>
  <c r="K4254" i="143"/>
  <c r="L4269" i="143"/>
  <c r="L4274" i="143" s="1"/>
  <c r="K4270" i="143"/>
  <c r="K4301" i="143"/>
  <c r="K4194" i="143"/>
  <c r="K4196" i="143"/>
  <c r="L4214" i="143"/>
  <c r="K4219" i="143"/>
  <c r="L4265" i="143"/>
  <c r="K4302" i="143"/>
  <c r="K4303" i="143"/>
  <c r="L4311" i="143"/>
  <c r="L4314" i="143" s="1"/>
  <c r="L4320" i="143"/>
  <c r="K4198" i="143"/>
  <c r="K4200" i="143"/>
  <c r="K4251" i="143"/>
  <c r="K4310" i="143"/>
  <c r="K4319" i="143"/>
  <c r="L4218" i="143"/>
  <c r="L4223" i="143" s="1"/>
  <c r="F4218" i="143"/>
  <c r="K4218" i="143" s="1"/>
  <c r="L4318" i="143"/>
  <c r="F4318" i="143"/>
  <c r="K4318" i="143" s="1"/>
  <c r="K4195" i="143"/>
  <c r="K4199" i="143"/>
  <c r="K4203" i="143"/>
  <c r="K4212" i="143"/>
  <c r="K4250" i="143"/>
  <c r="K4262" i="143"/>
  <c r="F4269" i="143"/>
  <c r="K4269" i="143" s="1"/>
  <c r="K4312" i="143"/>
  <c r="E4094" i="143"/>
  <c r="L4094" i="143" s="1"/>
  <c r="E4144" i="143"/>
  <c r="L4144" i="143" s="1"/>
  <c r="L4153" i="143"/>
  <c r="L4158" i="143" s="1"/>
  <c r="E4162" i="143"/>
  <c r="L4162" i="143" s="1"/>
  <c r="L4146" i="143"/>
  <c r="E4097" i="143"/>
  <c r="L4097" i="143" s="1"/>
  <c r="E4112" i="143"/>
  <c r="F4112" i="143" s="1"/>
  <c r="K4112" i="143" s="1"/>
  <c r="K4154" i="143"/>
  <c r="K4163" i="143"/>
  <c r="E4096" i="143"/>
  <c r="F4096" i="143" s="1"/>
  <c r="K4096" i="143" s="1"/>
  <c r="L4164" i="143"/>
  <c r="L4147" i="143"/>
  <c r="K4147" i="143"/>
  <c r="L4104" i="143"/>
  <c r="K4156" i="143"/>
  <c r="K4103" i="143"/>
  <c r="F4146" i="143"/>
  <c r="K4146" i="143" s="1"/>
  <c r="K4155" i="143"/>
  <c r="E4145" i="143"/>
  <c r="L4114" i="143"/>
  <c r="K4113" i="143"/>
  <c r="L4093" i="143"/>
  <c r="F4093" i="143"/>
  <c r="K4093" i="143" s="1"/>
  <c r="F4092" i="143"/>
  <c r="K4092" i="143" s="1"/>
  <c r="L4092" i="143"/>
  <c r="K4105" i="143"/>
  <c r="L4106" i="143"/>
  <c r="E4095" i="143"/>
  <c r="K4041" i="143"/>
  <c r="K4051" i="143"/>
  <c r="L4037" i="143"/>
  <c r="L4042" i="143"/>
  <c r="K4036" i="143"/>
  <c r="K4045" i="143"/>
  <c r="K4053" i="143"/>
  <c r="K4038" i="143"/>
  <c r="K4040" i="143"/>
  <c r="K4052" i="143"/>
  <c r="L4062" i="143"/>
  <c r="K4044" i="143"/>
  <c r="L4056" i="143"/>
  <c r="K4061" i="143"/>
  <c r="L4060" i="143"/>
  <c r="F4060" i="143"/>
  <c r="K4060" i="143" s="1"/>
  <c r="K4039" i="143"/>
  <c r="K4043" i="143"/>
  <c r="K4054" i="143"/>
  <c r="L132" i="145"/>
  <c r="M132" i="145" s="1"/>
  <c r="K3996" i="143"/>
  <c r="L3991" i="143"/>
  <c r="L3995" i="143"/>
  <c r="L4000" i="143" s="1"/>
  <c r="K3981" i="143"/>
  <c r="K3985" i="143"/>
  <c r="K3989" i="143"/>
  <c r="L4006" i="143"/>
  <c r="K3980" i="143"/>
  <c r="K3984" i="143"/>
  <c r="K3988" i="143"/>
  <c r="K4005" i="143"/>
  <c r="L4004" i="143"/>
  <c r="F4004" i="143"/>
  <c r="K4004" i="143" s="1"/>
  <c r="K3983" i="143"/>
  <c r="K3987" i="143"/>
  <c r="K3998" i="143"/>
  <c r="K3982" i="143"/>
  <c r="K3986" i="143"/>
  <c r="K3997" i="143"/>
  <c r="K3932" i="143"/>
  <c r="L3940" i="143"/>
  <c r="K3939" i="143"/>
  <c r="L3950" i="143"/>
  <c r="K3933" i="143"/>
  <c r="L3941" i="143"/>
  <c r="K3883" i="143"/>
  <c r="K3949" i="143"/>
  <c r="L3930" i="143"/>
  <c r="K3930" i="143"/>
  <c r="L3876" i="143"/>
  <c r="K3931" i="143"/>
  <c r="K3942" i="143"/>
  <c r="E3948" i="143"/>
  <c r="K3884" i="143"/>
  <c r="K3877" i="143"/>
  <c r="L3894" i="143"/>
  <c r="K3893" i="143"/>
  <c r="L3892" i="143"/>
  <c r="F3892" i="143"/>
  <c r="K3892" i="143" s="1"/>
  <c r="E3868" i="143"/>
  <c r="E3870" i="143"/>
  <c r="E3872" i="143"/>
  <c r="E3874" i="143"/>
  <c r="L3875" i="143"/>
  <c r="K3885" i="143"/>
  <c r="L3886" i="143"/>
  <c r="L3888" i="143" s="1"/>
  <c r="E3869" i="143"/>
  <c r="E3871" i="143"/>
  <c r="E3873" i="143"/>
  <c r="E3819" i="143"/>
  <c r="L3819" i="143" s="1"/>
  <c r="L3817" i="143"/>
  <c r="E3820" i="143"/>
  <c r="L3820" i="143" s="1"/>
  <c r="L3832" i="143"/>
  <c r="E3836" i="143"/>
  <c r="L3836" i="143" s="1"/>
  <c r="L3837" i="143"/>
  <c r="K3827" i="143"/>
  <c r="K3830" i="143"/>
  <c r="K3829" i="143"/>
  <c r="F3817" i="143"/>
  <c r="K3817" i="143" s="1"/>
  <c r="K3821" i="143"/>
  <c r="K3828" i="143"/>
  <c r="K3838" i="143"/>
  <c r="E3818" i="143"/>
  <c r="E3766" i="143"/>
  <c r="K3776" i="143"/>
  <c r="L3787" i="143"/>
  <c r="L3770" i="143"/>
  <c r="K3777" i="143"/>
  <c r="K3786" i="143"/>
  <c r="L3778" i="143"/>
  <c r="L3781" i="143" s="1"/>
  <c r="L3768" i="143"/>
  <c r="F3768" i="143"/>
  <c r="K3768" i="143" s="1"/>
  <c r="E3767" i="143"/>
  <c r="E3769" i="143"/>
  <c r="K3779" i="143"/>
  <c r="E3785" i="143"/>
  <c r="K3725" i="143"/>
  <c r="K3714" i="143"/>
  <c r="K3718" i="143"/>
  <c r="F3712" i="143"/>
  <c r="K3712" i="143" s="1"/>
  <c r="L3712" i="143"/>
  <c r="L3716" i="143"/>
  <c r="E3711" i="143"/>
  <c r="E3734" i="143"/>
  <c r="E3710" i="143"/>
  <c r="K3715" i="143"/>
  <c r="K3719" i="143"/>
  <c r="K3727" i="143"/>
  <c r="L3736" i="143"/>
  <c r="K3726" i="143"/>
  <c r="L3730" i="143"/>
  <c r="K3735" i="143"/>
  <c r="K3713" i="143"/>
  <c r="K3717" i="143"/>
  <c r="K3728" i="143"/>
  <c r="L3678" i="143"/>
  <c r="L3658" i="143"/>
  <c r="L3655" i="143"/>
  <c r="K3672" i="143"/>
  <c r="L3662" i="143"/>
  <c r="K3654" i="143"/>
  <c r="L3680" i="143"/>
  <c r="L3663" i="143"/>
  <c r="L3659" i="143"/>
  <c r="K3679" i="143"/>
  <c r="K3669" i="143"/>
  <c r="L3669" i="143"/>
  <c r="L3674" i="143" s="1"/>
  <c r="K3661" i="143"/>
  <c r="K3671" i="143"/>
  <c r="K3678" i="143"/>
  <c r="K3656" i="143"/>
  <c r="L3657" i="143"/>
  <c r="K3660" i="143"/>
  <c r="K3670" i="143"/>
  <c r="L3624" i="143"/>
  <c r="L3607" i="143"/>
  <c r="L3603" i="143"/>
  <c r="K3606" i="143"/>
  <c r="K3602" i="143"/>
  <c r="K3598" i="143"/>
  <c r="L3616" i="143"/>
  <c r="L3623" i="143"/>
  <c r="L3599" i="143"/>
  <c r="K3627" i="143"/>
  <c r="L3613" i="143"/>
  <c r="F3613" i="143"/>
  <c r="K3613" i="143" s="1"/>
  <c r="K3601" i="143"/>
  <c r="K3605" i="143"/>
  <c r="K3614" i="143"/>
  <c r="L3615" i="143"/>
  <c r="L3622" i="143"/>
  <c r="K3600" i="143"/>
  <c r="K3604" i="143"/>
  <c r="K5176" i="143" l="1"/>
  <c r="L5345" i="143"/>
  <c r="L5212" i="143"/>
  <c r="K4418" i="143"/>
  <c r="L5768" i="143"/>
  <c r="L5766" i="143"/>
  <c r="L5771" i="143"/>
  <c r="L5714" i="143"/>
  <c r="L5017" i="143"/>
  <c r="L5710" i="143"/>
  <c r="L5770" i="143"/>
  <c r="L725" i="143"/>
  <c r="F5676" i="143"/>
  <c r="K5676" i="143" s="1"/>
  <c r="K5681" i="143" s="1"/>
  <c r="K725" i="143"/>
  <c r="L5772" i="143"/>
  <c r="L5712" i="143"/>
  <c r="L707" i="143"/>
  <c r="F707" i="143"/>
  <c r="K707" i="143" s="1"/>
  <c r="L710" i="143"/>
  <c r="K710" i="143"/>
  <c r="K709" i="143"/>
  <c r="L709" i="143"/>
  <c r="L712" i="143"/>
  <c r="K712" i="143"/>
  <c r="L705" i="143"/>
  <c r="F705" i="143"/>
  <c r="K705" i="143" s="1"/>
  <c r="L729" i="143"/>
  <c r="L734" i="143" s="1"/>
  <c r="F729" i="143"/>
  <c r="K729" i="143" s="1"/>
  <c r="K734" i="143" s="1"/>
  <c r="L708" i="143"/>
  <c r="F708" i="143"/>
  <c r="K708" i="143" s="1"/>
  <c r="L706" i="143"/>
  <c r="F706" i="143"/>
  <c r="K706" i="143" s="1"/>
  <c r="K5784" i="143"/>
  <c r="K5728" i="143"/>
  <c r="L5767" i="143"/>
  <c r="K5767" i="143"/>
  <c r="L5765" i="143"/>
  <c r="K5765" i="143"/>
  <c r="L5769" i="143"/>
  <c r="K5769" i="143"/>
  <c r="L5788" i="143"/>
  <c r="L5793" i="143" s="1"/>
  <c r="F5788" i="143"/>
  <c r="K5788" i="143" s="1"/>
  <c r="K5793" i="143" s="1"/>
  <c r="L3944" i="143"/>
  <c r="L5713" i="143"/>
  <c r="K5713" i="143"/>
  <c r="L5711" i="143"/>
  <c r="K5711" i="143"/>
  <c r="L5716" i="143"/>
  <c r="K5716" i="143"/>
  <c r="L5709" i="143"/>
  <c r="K5709" i="143"/>
  <c r="K5715" i="143"/>
  <c r="L5715" i="143"/>
  <c r="L5732" i="143"/>
  <c r="L5737" i="143" s="1"/>
  <c r="F5732" i="143"/>
  <c r="K5732" i="143" s="1"/>
  <c r="K5737" i="143" s="1"/>
  <c r="L5607" i="143"/>
  <c r="K5625" i="143"/>
  <c r="K5672" i="143"/>
  <c r="K5663" i="143"/>
  <c r="L5681" i="143"/>
  <c r="L5692" i="143" s="1"/>
  <c r="K5569" i="143"/>
  <c r="K5448" i="143"/>
  <c r="K5616" i="143"/>
  <c r="K5504" i="143"/>
  <c r="L5560" i="143"/>
  <c r="L5625" i="143"/>
  <c r="L5495" i="143"/>
  <c r="L5524" i="143" s="1"/>
  <c r="L5526" i="143" s="1"/>
  <c r="L5528" i="143" s="1"/>
  <c r="L5529" i="143" s="1"/>
  <c r="K5607" i="143"/>
  <c r="F5555" i="143"/>
  <c r="K5555" i="143" s="1"/>
  <c r="K5560" i="143" s="1"/>
  <c r="L5569" i="143"/>
  <c r="K5513" i="143"/>
  <c r="K5495" i="143"/>
  <c r="F5231" i="143"/>
  <c r="K5231" i="143" s="1"/>
  <c r="L5327" i="143"/>
  <c r="L5356" i="143" s="1"/>
  <c r="L5358" i="143" s="1"/>
  <c r="K5551" i="143"/>
  <c r="K5392" i="143"/>
  <c r="L5401" i="143"/>
  <c r="K5401" i="143"/>
  <c r="K5327" i="143"/>
  <c r="L5372" i="143"/>
  <c r="F5372" i="143"/>
  <c r="K5372" i="143" s="1"/>
  <c r="L5428" i="143"/>
  <c r="F5428" i="143"/>
  <c r="K5428" i="143" s="1"/>
  <c r="L5215" i="143"/>
  <c r="K5336" i="143"/>
  <c r="L5429" i="143"/>
  <c r="F5429" i="143"/>
  <c r="K5429" i="143" s="1"/>
  <c r="L5452" i="143"/>
  <c r="L5457" i="143" s="1"/>
  <c r="F5452" i="143"/>
  <c r="K5452" i="143" s="1"/>
  <c r="K5457" i="143" s="1"/>
  <c r="L5373" i="143"/>
  <c r="F5373" i="143"/>
  <c r="K5373" i="143" s="1"/>
  <c r="K5345" i="143"/>
  <c r="K5280" i="143"/>
  <c r="F5265" i="143"/>
  <c r="K5265" i="143" s="1"/>
  <c r="L5236" i="143"/>
  <c r="L5264" i="143"/>
  <c r="F5264" i="143"/>
  <c r="K5264" i="143" s="1"/>
  <c r="L5176" i="143"/>
  <c r="L5263" i="143"/>
  <c r="F5263" i="143"/>
  <c r="K5263" i="143" s="1"/>
  <c r="L5284" i="143"/>
  <c r="L5289" i="143" s="1"/>
  <c r="F5284" i="143"/>
  <c r="K5284" i="143" s="1"/>
  <c r="K5289" i="143" s="1"/>
  <c r="L5167" i="143"/>
  <c r="K5227" i="143"/>
  <c r="K5236" i="143"/>
  <c r="L5185" i="143"/>
  <c r="L5213" i="143"/>
  <c r="F5213" i="143"/>
  <c r="K5213" i="143" s="1"/>
  <c r="K5218" i="143" s="1"/>
  <c r="K5008" i="143"/>
  <c r="L4999" i="143"/>
  <c r="K5167" i="143"/>
  <c r="L5111" i="143"/>
  <c r="K5185" i="143"/>
  <c r="K5073" i="143"/>
  <c r="K5120" i="143"/>
  <c r="K5064" i="143"/>
  <c r="K5017" i="143"/>
  <c r="L5129" i="143"/>
  <c r="K5111" i="143"/>
  <c r="K5140" i="143" s="1"/>
  <c r="K5055" i="143"/>
  <c r="K4999" i="143"/>
  <c r="L5084" i="143"/>
  <c r="K4741" i="143"/>
  <c r="F4940" i="143"/>
  <c r="K4940" i="143" s="1"/>
  <c r="K4806" i="143"/>
  <c r="E4836" i="143"/>
  <c r="L4837" i="143"/>
  <c r="F4837" i="143"/>
  <c r="K4837" i="143" s="1"/>
  <c r="K4850" i="143"/>
  <c r="L4835" i="143"/>
  <c r="F4835" i="143"/>
  <c r="K4835" i="143" s="1"/>
  <c r="L4838" i="143"/>
  <c r="F4838" i="143"/>
  <c r="K4838" i="143" s="1"/>
  <c r="E4834" i="143"/>
  <c r="L4833" i="143"/>
  <c r="F4833" i="143"/>
  <c r="K4833" i="143" s="1"/>
  <c r="L4854" i="143"/>
  <c r="L4859" i="143" s="1"/>
  <c r="F4854" i="143"/>
  <c r="K4854" i="143" s="1"/>
  <c r="K4859" i="143" s="1"/>
  <c r="L4629" i="143"/>
  <c r="K4902" i="143"/>
  <c r="K4750" i="143"/>
  <c r="L4480" i="143"/>
  <c r="K4694" i="143"/>
  <c r="L4573" i="143"/>
  <c r="L4427" i="143"/>
  <c r="K4629" i="143"/>
  <c r="L4741" i="143"/>
  <c r="F4938" i="143"/>
  <c r="K4938" i="143" s="1"/>
  <c r="K4685" i="143"/>
  <c r="K4480" i="143"/>
  <c r="L4797" i="143"/>
  <c r="K4522" i="143"/>
  <c r="L4418" i="143"/>
  <c r="L4806" i="143"/>
  <c r="L4471" i="143"/>
  <c r="K4573" i="143"/>
  <c r="K4676" i="143"/>
  <c r="L4676" i="143"/>
  <c r="K4788" i="143"/>
  <c r="L4732" i="143"/>
  <c r="K4375" i="143"/>
  <c r="K4952" i="143"/>
  <c r="L4694" i="143"/>
  <c r="K4471" i="143"/>
  <c r="L4455" i="143"/>
  <c r="F4455" i="143"/>
  <c r="K4455" i="143" s="1"/>
  <c r="L4612" i="143"/>
  <c r="F4612" i="143"/>
  <c r="K4612" i="143" s="1"/>
  <c r="L4615" i="143"/>
  <c r="F4615" i="143"/>
  <c r="K4615" i="143" s="1"/>
  <c r="L4357" i="143"/>
  <c r="L4256" i="143"/>
  <c r="L4285" i="143" s="1"/>
  <c r="L4287" i="143" s="1"/>
  <c r="L4289" i="143" s="1"/>
  <c r="L4290" i="143" s="1"/>
  <c r="L4956" i="143"/>
  <c r="L4961" i="143" s="1"/>
  <c r="F4956" i="143"/>
  <c r="K4956" i="143" s="1"/>
  <c r="K4961" i="143" s="1"/>
  <c r="L4890" i="143"/>
  <c r="F4890" i="143"/>
  <c r="K4890" i="143" s="1"/>
  <c r="L4611" i="143"/>
  <c r="F4611" i="143"/>
  <c r="K4611" i="143" s="1"/>
  <c r="L4788" i="143"/>
  <c r="L4560" i="143"/>
  <c r="F4560" i="143"/>
  <c r="K4560" i="143" s="1"/>
  <c r="K4797" i="143"/>
  <c r="L4577" i="143"/>
  <c r="L4582" i="143" s="1"/>
  <c r="F4577" i="143"/>
  <c r="K4577" i="143" s="1"/>
  <c r="K4582" i="143" s="1"/>
  <c r="F4614" i="143"/>
  <c r="K4614" i="143" s="1"/>
  <c r="L4614" i="143"/>
  <c r="K4732" i="143"/>
  <c r="L4943" i="143"/>
  <c r="L4906" i="143"/>
  <c r="L4911" i="143" s="1"/>
  <c r="F4906" i="143"/>
  <c r="K4906" i="143" s="1"/>
  <c r="K4911" i="143" s="1"/>
  <c r="L4613" i="143"/>
  <c r="F4613" i="143"/>
  <c r="K4613" i="143" s="1"/>
  <c r="L4526" i="143"/>
  <c r="L4531" i="143" s="1"/>
  <c r="F4526" i="143"/>
  <c r="K4526" i="143" s="1"/>
  <c r="K4531" i="143" s="1"/>
  <c r="L4610" i="143"/>
  <c r="F4610" i="143"/>
  <c r="K4610" i="143" s="1"/>
  <c r="L4558" i="143"/>
  <c r="F4558" i="143"/>
  <c r="K4558" i="143" s="1"/>
  <c r="L4510" i="143"/>
  <c r="F4510" i="143"/>
  <c r="K4510" i="143" s="1"/>
  <c r="L4888" i="143"/>
  <c r="F4888" i="143"/>
  <c r="K4888" i="143" s="1"/>
  <c r="L4891" i="143"/>
  <c r="F4891" i="143"/>
  <c r="K4891" i="143" s="1"/>
  <c r="L4454" i="143"/>
  <c r="F4454" i="143"/>
  <c r="K4454" i="143" s="1"/>
  <c r="L4561" i="143"/>
  <c r="F4561" i="143"/>
  <c r="K4561" i="143" s="1"/>
  <c r="L4509" i="143"/>
  <c r="F4509" i="143"/>
  <c r="K4509" i="143" s="1"/>
  <c r="L4886" i="143"/>
  <c r="F4886" i="143"/>
  <c r="K4886" i="143" s="1"/>
  <c r="E4887" i="143"/>
  <c r="F4889" i="143"/>
  <c r="K4889" i="143" s="1"/>
  <c r="L4889" i="143"/>
  <c r="L4508" i="143"/>
  <c r="F4508" i="143"/>
  <c r="K4508" i="143" s="1"/>
  <c r="L4633" i="143"/>
  <c r="L4638" i="143" s="1"/>
  <c r="F4633" i="143"/>
  <c r="K4633" i="143" s="1"/>
  <c r="K4638" i="143" s="1"/>
  <c r="L4609" i="143"/>
  <c r="F4609" i="143"/>
  <c r="K4609" i="143" s="1"/>
  <c r="L4456" i="143"/>
  <c r="F4456" i="143"/>
  <c r="K4456" i="143" s="1"/>
  <c r="F4507" i="143"/>
  <c r="K4507" i="143" s="1"/>
  <c r="L4507" i="143"/>
  <c r="K4427" i="143"/>
  <c r="L4366" i="143"/>
  <c r="K4409" i="143"/>
  <c r="K4366" i="143"/>
  <c r="L4409" i="143"/>
  <c r="L4323" i="143"/>
  <c r="K4357" i="143"/>
  <c r="L4305" i="143"/>
  <c r="K4323" i="143"/>
  <c r="L4205" i="143"/>
  <c r="L4234" i="143" s="1"/>
  <c r="L4236" i="143" s="1"/>
  <c r="L4238" i="143" s="1"/>
  <c r="L4239" i="143" s="1"/>
  <c r="K4274" i="143"/>
  <c r="K4314" i="143"/>
  <c r="K4265" i="143"/>
  <c r="K4214" i="143"/>
  <c r="K4305" i="143"/>
  <c r="K4223" i="143"/>
  <c r="K4205" i="143"/>
  <c r="K4256" i="143"/>
  <c r="F4094" i="143"/>
  <c r="K4094" i="143" s="1"/>
  <c r="F4144" i="143"/>
  <c r="K4144" i="143" s="1"/>
  <c r="K4158" i="143"/>
  <c r="L4065" i="143"/>
  <c r="L4112" i="143"/>
  <c r="L4117" i="143" s="1"/>
  <c r="F4162" i="143"/>
  <c r="K4162" i="143" s="1"/>
  <c r="K4167" i="143" s="1"/>
  <c r="F4097" i="143"/>
  <c r="K4097" i="143" s="1"/>
  <c r="L4096" i="143"/>
  <c r="L4167" i="143"/>
  <c r="L4047" i="143"/>
  <c r="L4108" i="143"/>
  <c r="L4145" i="143"/>
  <c r="L4149" i="143" s="1"/>
  <c r="F4145" i="143"/>
  <c r="K4145" i="143" s="1"/>
  <c r="K4108" i="143"/>
  <c r="K4117" i="143"/>
  <c r="L4095" i="143"/>
  <c r="F4095" i="143"/>
  <c r="K4095" i="143" s="1"/>
  <c r="K4065" i="143"/>
  <c r="K4056" i="143"/>
  <c r="K4047" i="143"/>
  <c r="L3897" i="143"/>
  <c r="K3991" i="143"/>
  <c r="K4009" i="143"/>
  <c r="K4000" i="143"/>
  <c r="L4009" i="143"/>
  <c r="L4020" i="143" s="1"/>
  <c r="L4022" i="143" s="1"/>
  <c r="K3944" i="143"/>
  <c r="K3888" i="143"/>
  <c r="L3926" i="143"/>
  <c r="K3926" i="143"/>
  <c r="L3925" i="143"/>
  <c r="K3925" i="143"/>
  <c r="L3928" i="143"/>
  <c r="K3928" i="143"/>
  <c r="L3927" i="143"/>
  <c r="K3927" i="143"/>
  <c r="L3924" i="143"/>
  <c r="K3924" i="143"/>
  <c r="L3948" i="143"/>
  <c r="L3953" i="143" s="1"/>
  <c r="F3948" i="143"/>
  <c r="K3948" i="143" s="1"/>
  <c r="K3953" i="143" s="1"/>
  <c r="L3929" i="143"/>
  <c r="K3929" i="143"/>
  <c r="K3897" i="143"/>
  <c r="L3874" i="143"/>
  <c r="F3874" i="143"/>
  <c r="K3874" i="143" s="1"/>
  <c r="L3841" i="143"/>
  <c r="L3872" i="143"/>
  <c r="F3872" i="143"/>
  <c r="K3872" i="143" s="1"/>
  <c r="L3873" i="143"/>
  <c r="F3873" i="143"/>
  <c r="K3873" i="143" s="1"/>
  <c r="L3870" i="143"/>
  <c r="F3870" i="143"/>
  <c r="K3870" i="143" s="1"/>
  <c r="L3869" i="143"/>
  <c r="F3869" i="143"/>
  <c r="K3869" i="143" s="1"/>
  <c r="L3871" i="143"/>
  <c r="F3871" i="143"/>
  <c r="K3871" i="143" s="1"/>
  <c r="L3868" i="143"/>
  <c r="F3868" i="143"/>
  <c r="K3868" i="143" s="1"/>
  <c r="F3819" i="143"/>
  <c r="K3819" i="143" s="1"/>
  <c r="K3832" i="143"/>
  <c r="F3820" i="143"/>
  <c r="K3820" i="143" s="1"/>
  <c r="F3836" i="143"/>
  <c r="K3836" i="143" s="1"/>
  <c r="K3841" i="143" s="1"/>
  <c r="E280" i="145"/>
  <c r="F280" i="145" s="1"/>
  <c r="E281" i="145"/>
  <c r="F281" i="145" s="1"/>
  <c r="L3818" i="143"/>
  <c r="L3823" i="143" s="1"/>
  <c r="F3818" i="143"/>
  <c r="K3818" i="143" s="1"/>
  <c r="K3781" i="143"/>
  <c r="L3769" i="143"/>
  <c r="F3769" i="143"/>
  <c r="K3769" i="143" s="1"/>
  <c r="L3785" i="143"/>
  <c r="L3790" i="143" s="1"/>
  <c r="F3785" i="143"/>
  <c r="K3785" i="143" s="1"/>
  <c r="K3790" i="143" s="1"/>
  <c r="L3766" i="143"/>
  <c r="F3766" i="143"/>
  <c r="K3766" i="143" s="1"/>
  <c r="L3767" i="143"/>
  <c r="F3767" i="143"/>
  <c r="K3767" i="143" s="1"/>
  <c r="L3734" i="143"/>
  <c r="L3739" i="143" s="1"/>
  <c r="L15" i="145"/>
  <c r="M15" i="145" s="1"/>
  <c r="F3734" i="143"/>
  <c r="K3734" i="143" s="1"/>
  <c r="K3739" i="143" s="1"/>
  <c r="F3710" i="143"/>
  <c r="K3710" i="143" s="1"/>
  <c r="E277" i="145"/>
  <c r="F277" i="145" s="1"/>
  <c r="F3711" i="143"/>
  <c r="K3711" i="143" s="1"/>
  <c r="E278" i="145"/>
  <c r="F278" i="145" s="1"/>
  <c r="L3711" i="143"/>
  <c r="L3710" i="143"/>
  <c r="K3730" i="143"/>
  <c r="L3683" i="143"/>
  <c r="L3665" i="143"/>
  <c r="K3683" i="143"/>
  <c r="K3674" i="143"/>
  <c r="K3665" i="143"/>
  <c r="L3609" i="143"/>
  <c r="L3618" i="143"/>
  <c r="K3618" i="143"/>
  <c r="L3627" i="143"/>
  <c r="K3609" i="143"/>
  <c r="K5028" i="143" l="1"/>
  <c r="K4943" i="143"/>
  <c r="L4386" i="143"/>
  <c r="L4388" i="143" s="1"/>
  <c r="L4390" i="143" s="1"/>
  <c r="L4391" i="143" s="1"/>
  <c r="L5028" i="143"/>
  <c r="L5030" i="143" s="1"/>
  <c r="L5032" i="143" s="1"/>
  <c r="L5033" i="143" s="1"/>
  <c r="K716" i="143"/>
  <c r="K745" i="143" s="1"/>
  <c r="K747" i="143" s="1"/>
  <c r="L716" i="143"/>
  <c r="L745" i="143" s="1"/>
  <c r="K5775" i="143"/>
  <c r="K5804" i="143" s="1"/>
  <c r="K5806" i="143" s="1"/>
  <c r="K5808" i="143" s="1"/>
  <c r="F160" i="1" s="1"/>
  <c r="L5775" i="143"/>
  <c r="L5804" i="143" s="1"/>
  <c r="L5719" i="143"/>
  <c r="L5748" i="143" s="1"/>
  <c r="L5750" i="143" s="1"/>
  <c r="L5752" i="143" s="1"/>
  <c r="L5753" i="143" s="1"/>
  <c r="K5719" i="143"/>
  <c r="K5748" i="143" s="1"/>
  <c r="L5636" i="143"/>
  <c r="L5638" i="143" s="1"/>
  <c r="L5640" i="143" s="1"/>
  <c r="L5641" i="143" s="1"/>
  <c r="K5692" i="143"/>
  <c r="K5694" i="143" s="1"/>
  <c r="K5696" i="143" s="1"/>
  <c r="F157" i="1" s="1"/>
  <c r="L5694" i="143"/>
  <c r="L5696" i="143" s="1"/>
  <c r="L5697" i="143" s="1"/>
  <c r="K5636" i="143"/>
  <c r="K5638" i="143" s="1"/>
  <c r="K5640" i="143" s="1"/>
  <c r="F155" i="1" s="1"/>
  <c r="L5580" i="143"/>
  <c r="L5582" i="143" s="1"/>
  <c r="L5584" i="143" s="1"/>
  <c r="L5585" i="143" s="1"/>
  <c r="K5580" i="143"/>
  <c r="K5582" i="143" s="1"/>
  <c r="K5584" i="143" s="1"/>
  <c r="F152" i="1" s="1"/>
  <c r="K5524" i="143"/>
  <c r="K5526" i="143" s="1"/>
  <c r="K5528" i="143" s="1"/>
  <c r="K5356" i="143"/>
  <c r="K5358" i="143" s="1"/>
  <c r="K5360" i="143" s="1"/>
  <c r="K5383" i="143"/>
  <c r="K5412" i="143" s="1"/>
  <c r="K5414" i="143" s="1"/>
  <c r="K5416" i="143" s="1"/>
  <c r="F147" i="1" s="1"/>
  <c r="K5439" i="143"/>
  <c r="K5468" i="143" s="1"/>
  <c r="K5470" i="143" s="1"/>
  <c r="K5472" i="143" s="1"/>
  <c r="F148" i="1" s="1"/>
  <c r="L5360" i="143"/>
  <c r="L5361" i="143" s="1"/>
  <c r="L5218" i="143"/>
  <c r="L5247" i="143" s="1"/>
  <c r="L5249" i="143" s="1"/>
  <c r="L5251" i="143" s="1"/>
  <c r="L5252" i="143" s="1"/>
  <c r="L5439" i="143"/>
  <c r="L5468" i="143" s="1"/>
  <c r="L5383" i="143"/>
  <c r="L5412" i="143" s="1"/>
  <c r="L5196" i="143"/>
  <c r="L5198" i="143" s="1"/>
  <c r="L5200" i="143" s="1"/>
  <c r="L5201" i="143" s="1"/>
  <c r="L5271" i="143"/>
  <c r="L5300" i="143" s="1"/>
  <c r="L5302" i="143" s="1"/>
  <c r="L5304" i="143" s="1"/>
  <c r="L5305" i="143" s="1"/>
  <c r="K5247" i="143"/>
  <c r="K5271" i="143"/>
  <c r="K5300" i="143" s="1"/>
  <c r="L5140" i="143"/>
  <c r="L5142" i="143" s="1"/>
  <c r="L5144" i="143" s="1"/>
  <c r="L5145" i="143" s="1"/>
  <c r="K5084" i="143"/>
  <c r="K5086" i="143" s="1"/>
  <c r="K5088" i="143" s="1"/>
  <c r="F136" i="1" s="1"/>
  <c r="K5196" i="143"/>
  <c r="K5198" i="143" s="1"/>
  <c r="K5200" i="143" s="1"/>
  <c r="F140" i="1" s="1"/>
  <c r="L5086" i="143"/>
  <c r="L5088" i="143" s="1"/>
  <c r="L5089" i="143" s="1"/>
  <c r="K5142" i="143"/>
  <c r="K5144" i="143" s="1"/>
  <c r="F137" i="1" s="1"/>
  <c r="K5030" i="143"/>
  <c r="K5032" i="143" s="1"/>
  <c r="F135" i="1" s="1"/>
  <c r="L4438" i="143"/>
  <c r="L4440" i="143" s="1"/>
  <c r="K4705" i="143"/>
  <c r="K4707" i="143" s="1"/>
  <c r="K4709" i="143" s="1"/>
  <c r="F125" i="1" s="1"/>
  <c r="L4761" i="143"/>
  <c r="L4763" i="143" s="1"/>
  <c r="L4765" i="143" s="1"/>
  <c r="L4766" i="143" s="1"/>
  <c r="K4438" i="143"/>
  <c r="K4440" i="143" s="1"/>
  <c r="K4442" i="143" s="1"/>
  <c r="F117" i="1" s="1"/>
  <c r="L4834" i="143"/>
  <c r="F4834" i="143"/>
  <c r="K4834" i="143" s="1"/>
  <c r="L4836" i="143"/>
  <c r="F4836" i="143"/>
  <c r="K4836" i="143" s="1"/>
  <c r="K4761" i="143"/>
  <c r="K4763" i="143" s="1"/>
  <c r="K4765" i="143" s="1"/>
  <c r="K4620" i="143"/>
  <c r="K4649" i="143" s="1"/>
  <c r="K4651" i="143" s="1"/>
  <c r="K4653" i="143" s="1"/>
  <c r="F123" i="1" s="1"/>
  <c r="K4564" i="143"/>
  <c r="K4593" i="143" s="1"/>
  <c r="K4595" i="143" s="1"/>
  <c r="K4597" i="143" s="1"/>
  <c r="F122" i="1" s="1"/>
  <c r="K4513" i="143"/>
  <c r="K4542" i="143" s="1"/>
  <c r="K4544" i="143" s="1"/>
  <c r="K4546" i="143" s="1"/>
  <c r="F121" i="1" s="1"/>
  <c r="L4972" i="143"/>
  <c r="L4974" i="143" s="1"/>
  <c r="L4976" i="143" s="1"/>
  <c r="L4977" i="143" s="1"/>
  <c r="L4817" i="143"/>
  <c r="L4819" i="143" s="1"/>
  <c r="L4821" i="143" s="1"/>
  <c r="L4822" i="143" s="1"/>
  <c r="K4972" i="143"/>
  <c r="K4974" i="143" s="1"/>
  <c r="K4462" i="143"/>
  <c r="K4491" i="143" s="1"/>
  <c r="K4493" i="143" s="1"/>
  <c r="K4495" i="143" s="1"/>
  <c r="F119" i="1" s="1"/>
  <c r="K4817" i="143"/>
  <c r="K4819" i="143" s="1"/>
  <c r="K4821" i="143" s="1"/>
  <c r="F128" i="1" s="1"/>
  <c r="L4705" i="143"/>
  <c r="L4513" i="143"/>
  <c r="L4542" i="143" s="1"/>
  <c r="L4544" i="143" s="1"/>
  <c r="L4546" i="143" s="1"/>
  <c r="L4547" i="143" s="1"/>
  <c r="L4462" i="143"/>
  <c r="L4491" i="143" s="1"/>
  <c r="L4564" i="143"/>
  <c r="L4593" i="143" s="1"/>
  <c r="L4595" i="143" s="1"/>
  <c r="L4597" i="143" s="1"/>
  <c r="L4598" i="143" s="1"/>
  <c r="L4887" i="143"/>
  <c r="L4893" i="143" s="1"/>
  <c r="L4922" i="143" s="1"/>
  <c r="F4887" i="143"/>
  <c r="K4887" i="143" s="1"/>
  <c r="K4893" i="143" s="1"/>
  <c r="K4922" i="143" s="1"/>
  <c r="K4924" i="143" s="1"/>
  <c r="K4926" i="143" s="1"/>
  <c r="F131" i="1" s="1"/>
  <c r="L4620" i="143"/>
  <c r="L4649" i="143" s="1"/>
  <c r="K4386" i="143"/>
  <c r="K4388" i="143" s="1"/>
  <c r="K4390" i="143" s="1"/>
  <c r="L4334" i="143"/>
  <c r="L4336" i="143" s="1"/>
  <c r="L4338" i="143" s="1"/>
  <c r="L4339" i="143" s="1"/>
  <c r="K4334" i="143"/>
  <c r="K4336" i="143" s="1"/>
  <c r="K4338" i="143" s="1"/>
  <c r="F113" i="1" s="1"/>
  <c r="K4285" i="143"/>
  <c r="K4287" i="143" s="1"/>
  <c r="K4289" i="143" s="1"/>
  <c r="K4234" i="143"/>
  <c r="K4236" i="143" s="1"/>
  <c r="K4238" i="143" s="1"/>
  <c r="K4149" i="143"/>
  <c r="K4178" i="143" s="1"/>
  <c r="K4180" i="143" s="1"/>
  <c r="K4182" i="143" s="1"/>
  <c r="F108" i="1" s="1"/>
  <c r="L4076" i="143"/>
  <c r="L4078" i="143" s="1"/>
  <c r="L4080" i="143" s="1"/>
  <c r="L4081" i="143" s="1"/>
  <c r="K4099" i="143"/>
  <c r="K4128" i="143" s="1"/>
  <c r="K4130" i="143" s="1"/>
  <c r="K4132" i="143" s="1"/>
  <c r="F107" i="1" s="1"/>
  <c r="L4099" i="143"/>
  <c r="L4128" i="143" s="1"/>
  <c r="L4130" i="143" s="1"/>
  <c r="L4132" i="143" s="1"/>
  <c r="L4133" i="143" s="1"/>
  <c r="L4178" i="143"/>
  <c r="L4180" i="143" s="1"/>
  <c r="L4182" i="143" s="1"/>
  <c r="L4183" i="143" s="1"/>
  <c r="K4076" i="143"/>
  <c r="K4078" i="143" s="1"/>
  <c r="K4080" i="143" s="1"/>
  <c r="L4024" i="143"/>
  <c r="L4025" i="143" s="1"/>
  <c r="K4020" i="143"/>
  <c r="K3935" i="143"/>
  <c r="K3964" i="143" s="1"/>
  <c r="K3879" i="143"/>
  <c r="K3908" i="143" s="1"/>
  <c r="K3910" i="143" s="1"/>
  <c r="K3912" i="143" s="1"/>
  <c r="F100" i="1" s="1"/>
  <c r="L3935" i="143"/>
  <c r="L3964" i="143" s="1"/>
  <c r="K3823" i="143"/>
  <c r="K3852" i="143" s="1"/>
  <c r="K3854" i="143" s="1"/>
  <c r="K3856" i="143" s="1"/>
  <c r="F99" i="1" s="1"/>
  <c r="L3852" i="143"/>
  <c r="L3854" i="143" s="1"/>
  <c r="L3879" i="143"/>
  <c r="L3908" i="143" s="1"/>
  <c r="K3772" i="143"/>
  <c r="K3801" i="143" s="1"/>
  <c r="L3772" i="143"/>
  <c r="L3801" i="143" s="1"/>
  <c r="K3721" i="143"/>
  <c r="K3750" i="143" s="1"/>
  <c r="K3752" i="143" s="1"/>
  <c r="K3754" i="143" s="1"/>
  <c r="F96" i="1" s="1"/>
  <c r="L3694" i="143"/>
  <c r="L3696" i="143" s="1"/>
  <c r="L3698" i="143" s="1"/>
  <c r="L3699" i="143" s="1"/>
  <c r="L3721" i="143"/>
  <c r="L3750" i="143" s="1"/>
  <c r="L3752" i="143" s="1"/>
  <c r="K3694" i="143"/>
  <c r="K3696" i="143" s="1"/>
  <c r="K3698" i="143" s="1"/>
  <c r="F94" i="1" s="1"/>
  <c r="L3638" i="143"/>
  <c r="L3640" i="143" s="1"/>
  <c r="L3642" i="143" s="1"/>
  <c r="L3643" i="143" s="1"/>
  <c r="K3638" i="143"/>
  <c r="K3640" i="143" s="1"/>
  <c r="K3642" i="143" s="1"/>
  <c r="K749" i="143" l="1"/>
  <c r="F27" i="1" s="1"/>
  <c r="L747" i="143"/>
  <c r="L749" i="143" s="1"/>
  <c r="L750" i="143" s="1"/>
  <c r="L5806" i="143"/>
  <c r="L5808" i="143" s="1"/>
  <c r="L5809" i="143" s="1"/>
  <c r="M5809" i="143" s="1"/>
  <c r="K5750" i="143"/>
  <c r="K5752" i="143" s="1"/>
  <c r="M5697" i="143"/>
  <c r="M5641" i="143"/>
  <c r="M5529" i="143"/>
  <c r="F151" i="1"/>
  <c r="M5585" i="143"/>
  <c r="L5414" i="143"/>
  <c r="L5416" i="143" s="1"/>
  <c r="L5417" i="143" s="1"/>
  <c r="M5417" i="143" s="1"/>
  <c r="M5361" i="143"/>
  <c r="F145" i="1"/>
  <c r="L5470" i="143"/>
  <c r="L5472" i="143" s="1"/>
  <c r="L5473" i="143" s="1"/>
  <c r="M5473" i="143" s="1"/>
  <c r="K5249" i="143"/>
  <c r="K5251" i="143" s="1"/>
  <c r="M5201" i="143"/>
  <c r="K5302" i="143"/>
  <c r="K5304" i="143" s="1"/>
  <c r="M5089" i="143"/>
  <c r="M5033" i="143"/>
  <c r="M5145" i="143"/>
  <c r="L4442" i="143"/>
  <c r="L4443" i="143" s="1"/>
  <c r="M4443" i="143" s="1"/>
  <c r="K4841" i="143"/>
  <c r="K4870" i="143" s="1"/>
  <c r="K4872" i="143" s="1"/>
  <c r="K4874" i="143" s="1"/>
  <c r="F130" i="1" s="1"/>
  <c r="L4841" i="143"/>
  <c r="L4870" i="143" s="1"/>
  <c r="L4872" i="143" s="1"/>
  <c r="L4874" i="143" s="1"/>
  <c r="L4875" i="143" s="1"/>
  <c r="M4766" i="143"/>
  <c r="F127" i="1"/>
  <c r="M4339" i="143"/>
  <c r="L4493" i="143"/>
  <c r="L4495" i="143" s="1"/>
  <c r="L4496" i="143" s="1"/>
  <c r="M4496" i="143" s="1"/>
  <c r="K4976" i="143"/>
  <c r="F132" i="1" s="1"/>
  <c r="L4707" i="143"/>
  <c r="L4709" i="143" s="1"/>
  <c r="L4710" i="143" s="1"/>
  <c r="M4710" i="143" s="1"/>
  <c r="M4598" i="143"/>
  <c r="M4547" i="143"/>
  <c r="M4822" i="143"/>
  <c r="L4924" i="143"/>
  <c r="L4926" i="143" s="1"/>
  <c r="L4927" i="143" s="1"/>
  <c r="M4927" i="143" s="1"/>
  <c r="L4651" i="143"/>
  <c r="L4653" i="143" s="1"/>
  <c r="L4654" i="143" s="1"/>
  <c r="M4654" i="143" s="1"/>
  <c r="M4391" i="143"/>
  <c r="F116" i="1"/>
  <c r="M4290" i="143"/>
  <c r="F112" i="1"/>
  <c r="M4239" i="143"/>
  <c r="F111" i="1"/>
  <c r="M4183" i="143"/>
  <c r="M4133" i="143"/>
  <c r="M4081" i="143"/>
  <c r="F105" i="1"/>
  <c r="K4022" i="143"/>
  <c r="K4024" i="143" s="1"/>
  <c r="L3966" i="143"/>
  <c r="L3968" i="143" s="1"/>
  <c r="L3969" i="143" s="1"/>
  <c r="K3966" i="143"/>
  <c r="K3968" i="143" s="1"/>
  <c r="L3856" i="143"/>
  <c r="L3857" i="143" s="1"/>
  <c r="M3857" i="143" s="1"/>
  <c r="L3910" i="143"/>
  <c r="L3912" i="143" s="1"/>
  <c r="L3913" i="143" s="1"/>
  <c r="M3913" i="143" s="1"/>
  <c r="L3803" i="143"/>
  <c r="L3805" i="143" s="1"/>
  <c r="L3806" i="143" s="1"/>
  <c r="K3803" i="143"/>
  <c r="K3805" i="143" s="1"/>
  <c r="F98" i="1" s="1"/>
  <c r="L3754" i="143"/>
  <c r="L3755" i="143" s="1"/>
  <c r="M3755" i="143" s="1"/>
  <c r="M3699" i="143"/>
  <c r="M3643" i="143"/>
  <c r="F93" i="1"/>
  <c r="M750" i="143" l="1"/>
  <c r="M5753" i="143"/>
  <c r="F159" i="1"/>
  <c r="M5305" i="143"/>
  <c r="F143" i="1"/>
  <c r="F142" i="1"/>
  <c r="M5252" i="143"/>
  <c r="M4977" i="143"/>
  <c r="M4875" i="143"/>
  <c r="M4025" i="143"/>
  <c r="F104" i="1"/>
  <c r="M3969" i="143"/>
  <c r="F102" i="1"/>
  <c r="M3806" i="143"/>
  <c r="K3539" i="143" l="1"/>
  <c r="I3539" i="143"/>
  <c r="D3539" i="143"/>
  <c r="B3539" i="143"/>
  <c r="G3491" i="143"/>
  <c r="G3492" i="143"/>
  <c r="G3493" i="143"/>
  <c r="G3494" i="143"/>
  <c r="G3495" i="143"/>
  <c r="G3496" i="143"/>
  <c r="K3484" i="143"/>
  <c r="I3484" i="143"/>
  <c r="E3511" i="143" s="1"/>
  <c r="D3484" i="143"/>
  <c r="B3484" i="143"/>
  <c r="L3522" i="143"/>
  <c r="K3522" i="143"/>
  <c r="L3521" i="143"/>
  <c r="K3521" i="143"/>
  <c r="L3520" i="143"/>
  <c r="K3520" i="143"/>
  <c r="L3514" i="143"/>
  <c r="I3513" i="143"/>
  <c r="K3513" i="143" s="1"/>
  <c r="I3512" i="143"/>
  <c r="L3512" i="143" s="1"/>
  <c r="I3511" i="143"/>
  <c r="G3511" i="143"/>
  <c r="I3505" i="143"/>
  <c r="L3505" i="143" s="1"/>
  <c r="I3504" i="143"/>
  <c r="L3504" i="143" s="1"/>
  <c r="I3503" i="143"/>
  <c r="L3503" i="143" s="1"/>
  <c r="I3502" i="143"/>
  <c r="L3502" i="143" s="1"/>
  <c r="I3496" i="143"/>
  <c r="L3496" i="143" s="1"/>
  <c r="I3495" i="143"/>
  <c r="L3495" i="143" s="1"/>
  <c r="I3494" i="143"/>
  <c r="L3494" i="143" s="1"/>
  <c r="I3493" i="143"/>
  <c r="L3493" i="143" s="1"/>
  <c r="I3492" i="143"/>
  <c r="L3492" i="143" s="1"/>
  <c r="I3491" i="143"/>
  <c r="L3491" i="143" s="1"/>
  <c r="I3490" i="143"/>
  <c r="G3490" i="143"/>
  <c r="I3489" i="143"/>
  <c r="G3489" i="143"/>
  <c r="I3488" i="143"/>
  <c r="G3488" i="143"/>
  <c r="K3429" i="143"/>
  <c r="I3429" i="143"/>
  <c r="D3429" i="143"/>
  <c r="B3429" i="143"/>
  <c r="L3467" i="143"/>
  <c r="K3467" i="143"/>
  <c r="L3466" i="143"/>
  <c r="K3466" i="143"/>
  <c r="L3465" i="143"/>
  <c r="K3465" i="143"/>
  <c r="L3459" i="143"/>
  <c r="I3458" i="143"/>
  <c r="K3458" i="143" s="1"/>
  <c r="I3457" i="143"/>
  <c r="L3457" i="143" s="1"/>
  <c r="I3456" i="143"/>
  <c r="G3456" i="143"/>
  <c r="I3450" i="143"/>
  <c r="L3450" i="143" s="1"/>
  <c r="I3449" i="143"/>
  <c r="K3449" i="143" s="1"/>
  <c r="I3448" i="143"/>
  <c r="L3448" i="143" s="1"/>
  <c r="I3447" i="143"/>
  <c r="L3447" i="143" s="1"/>
  <c r="I3441" i="143"/>
  <c r="L3441" i="143" s="1"/>
  <c r="I3440" i="143"/>
  <c r="L3440" i="143" s="1"/>
  <c r="I3439" i="143"/>
  <c r="I3438" i="143"/>
  <c r="I3437" i="143"/>
  <c r="I3436" i="143"/>
  <c r="L3436" i="143" s="1"/>
  <c r="I3435" i="143"/>
  <c r="G3435" i="143"/>
  <c r="I3434" i="143"/>
  <c r="G3434" i="143"/>
  <c r="I3433" i="143"/>
  <c r="G3433" i="143"/>
  <c r="K3379" i="143"/>
  <c r="I3379" i="143"/>
  <c r="E3383" i="143" s="1"/>
  <c r="D3379" i="143"/>
  <c r="B3379" i="143"/>
  <c r="L3412" i="143"/>
  <c r="K3412" i="143"/>
  <c r="L3411" i="143"/>
  <c r="K3411" i="143"/>
  <c r="L3410" i="143"/>
  <c r="K3410" i="143"/>
  <c r="L3404" i="143"/>
  <c r="I3403" i="143"/>
  <c r="K3403" i="143" s="1"/>
  <c r="I3402" i="143"/>
  <c r="L3402" i="143" s="1"/>
  <c r="I3401" i="143"/>
  <c r="G3401" i="143"/>
  <c r="I3395" i="143"/>
  <c r="L3395" i="143" s="1"/>
  <c r="I3394" i="143"/>
  <c r="L3394" i="143" s="1"/>
  <c r="I3393" i="143"/>
  <c r="L3393" i="143" s="1"/>
  <c r="I3392" i="143"/>
  <c r="L3392" i="143" s="1"/>
  <c r="I3386" i="143"/>
  <c r="L3386" i="143" s="1"/>
  <c r="I3385" i="143"/>
  <c r="L3385" i="143" s="1"/>
  <c r="I3384" i="143"/>
  <c r="L3384" i="143" s="1"/>
  <c r="I3383" i="143"/>
  <c r="G3383" i="143"/>
  <c r="K3329" i="143"/>
  <c r="I3329" i="143"/>
  <c r="E3333" i="143" s="1"/>
  <c r="D3329" i="143"/>
  <c r="B3329" i="143"/>
  <c r="L3362" i="143"/>
  <c r="K3362" i="143"/>
  <c r="L3361" i="143"/>
  <c r="K3361" i="143"/>
  <c r="L3360" i="143"/>
  <c r="K3360" i="143"/>
  <c r="L3354" i="143"/>
  <c r="I3353" i="143"/>
  <c r="K3353" i="143" s="1"/>
  <c r="I3352" i="143"/>
  <c r="L3352" i="143" s="1"/>
  <c r="I3351" i="143"/>
  <c r="G3351" i="143"/>
  <c r="I3345" i="143"/>
  <c r="L3345" i="143" s="1"/>
  <c r="I3344" i="143"/>
  <c r="K3344" i="143" s="1"/>
  <c r="I3343" i="143"/>
  <c r="K3343" i="143" s="1"/>
  <c r="I3342" i="143"/>
  <c r="L3342" i="143" s="1"/>
  <c r="I3336" i="143"/>
  <c r="L3336" i="143" s="1"/>
  <c r="I3335" i="143"/>
  <c r="L3335" i="143" s="1"/>
  <c r="I3334" i="143"/>
  <c r="L3334" i="143" s="1"/>
  <c r="I3333" i="143"/>
  <c r="G3333" i="143"/>
  <c r="K3279" i="143"/>
  <c r="I3279" i="143"/>
  <c r="E3283" i="143" s="1"/>
  <c r="D3279" i="143"/>
  <c r="B3279" i="143"/>
  <c r="L3312" i="143"/>
  <c r="K3312" i="143"/>
  <c r="L3311" i="143"/>
  <c r="K3311" i="143"/>
  <c r="L3310" i="143"/>
  <c r="K3310" i="143"/>
  <c r="L3304" i="143"/>
  <c r="I3303" i="143"/>
  <c r="K3303" i="143" s="1"/>
  <c r="I3302" i="143"/>
  <c r="K3302" i="143" s="1"/>
  <c r="I3301" i="143"/>
  <c r="G3301" i="143"/>
  <c r="I3295" i="143"/>
  <c r="L3295" i="143" s="1"/>
  <c r="I3294" i="143"/>
  <c r="L3294" i="143" s="1"/>
  <c r="I3293" i="143"/>
  <c r="K3293" i="143" s="1"/>
  <c r="I3292" i="143"/>
  <c r="K3292" i="143" s="1"/>
  <c r="I3286" i="143"/>
  <c r="I3285" i="143"/>
  <c r="I3284" i="143"/>
  <c r="I3283" i="143"/>
  <c r="G3283" i="143"/>
  <c r="K3229" i="143"/>
  <c r="I3229" i="143"/>
  <c r="D3229" i="143"/>
  <c r="B3229" i="143"/>
  <c r="K3180" i="143"/>
  <c r="I3180" i="143"/>
  <c r="E3186" i="143" s="1"/>
  <c r="D3180" i="143"/>
  <c r="B3180" i="143"/>
  <c r="L3212" i="143"/>
  <c r="K3212" i="143"/>
  <c r="L3211" i="143"/>
  <c r="K3211" i="143"/>
  <c r="L3210" i="143"/>
  <c r="K3210" i="143"/>
  <c r="L3204" i="143"/>
  <c r="I3203" i="143"/>
  <c r="K3203" i="143" s="1"/>
  <c r="I3202" i="143"/>
  <c r="L3202" i="143" s="1"/>
  <c r="I3201" i="143"/>
  <c r="G3201" i="143"/>
  <c r="I3195" i="143"/>
  <c r="L3195" i="143" s="1"/>
  <c r="I3194" i="143"/>
  <c r="L3194" i="143" s="1"/>
  <c r="I3193" i="143"/>
  <c r="L3193" i="143" s="1"/>
  <c r="I3192" i="143"/>
  <c r="L3192" i="143" s="1"/>
  <c r="I3186" i="143"/>
  <c r="G3186" i="143"/>
  <c r="I3185" i="143"/>
  <c r="G3185" i="143"/>
  <c r="I3184" i="143"/>
  <c r="G3184" i="143"/>
  <c r="K3131" i="143"/>
  <c r="I3131" i="143"/>
  <c r="D3131" i="143"/>
  <c r="B3131" i="143"/>
  <c r="K3079" i="143"/>
  <c r="I3079" i="143"/>
  <c r="E3085" i="143" s="1"/>
  <c r="D3079" i="143"/>
  <c r="B3079" i="143"/>
  <c r="K3026" i="143"/>
  <c r="I3026" i="143"/>
  <c r="E3032" i="143" s="1"/>
  <c r="D3026" i="143"/>
  <c r="B3026" i="143"/>
  <c r="K2970" i="143"/>
  <c r="I2970" i="143"/>
  <c r="E2998" i="143" s="1"/>
  <c r="L91" i="145" s="1"/>
  <c r="D2970" i="143"/>
  <c r="B2970" i="143"/>
  <c r="L3009" i="143"/>
  <c r="K3009" i="143"/>
  <c r="L3008" i="143"/>
  <c r="K3008" i="143"/>
  <c r="L3007" i="143"/>
  <c r="K3007" i="143"/>
  <c r="L3001" i="143"/>
  <c r="I3000" i="143"/>
  <c r="K3000" i="143" s="1"/>
  <c r="I2999" i="143"/>
  <c r="L2999" i="143" s="1"/>
  <c r="I2998" i="143"/>
  <c r="G2998" i="143"/>
  <c r="I2992" i="143"/>
  <c r="L2992" i="143" s="1"/>
  <c r="I2991" i="143"/>
  <c r="K2991" i="143" s="1"/>
  <c r="I2990" i="143"/>
  <c r="K2990" i="143" s="1"/>
  <c r="I2989" i="143"/>
  <c r="L2989" i="143" s="1"/>
  <c r="I2983" i="143"/>
  <c r="L2983" i="143" s="1"/>
  <c r="I2982" i="143"/>
  <c r="L2982" i="143" s="1"/>
  <c r="I2981" i="143"/>
  <c r="L2981" i="143" s="1"/>
  <c r="I2980" i="143"/>
  <c r="K2980" i="143" s="1"/>
  <c r="I2979" i="143"/>
  <c r="L2979" i="143" s="1"/>
  <c r="I2978" i="143"/>
  <c r="L2978" i="143" s="1"/>
  <c r="I2977" i="143"/>
  <c r="L2977" i="143" s="1"/>
  <c r="I2976" i="143"/>
  <c r="K2976" i="143" s="1"/>
  <c r="I2975" i="143"/>
  <c r="L2975" i="143" s="1"/>
  <c r="I2974" i="143"/>
  <c r="G2974" i="143"/>
  <c r="K2914" i="143"/>
  <c r="I2914" i="143"/>
  <c r="E2942" i="143" s="1"/>
  <c r="D2914" i="143"/>
  <c r="B2914" i="143"/>
  <c r="L2953" i="143"/>
  <c r="K2953" i="143"/>
  <c r="L2952" i="143"/>
  <c r="K2952" i="143"/>
  <c r="L2951" i="143"/>
  <c r="K2951" i="143"/>
  <c r="L2945" i="143"/>
  <c r="I2944" i="143"/>
  <c r="K2944" i="143" s="1"/>
  <c r="I2943" i="143"/>
  <c r="L2943" i="143" s="1"/>
  <c r="I2942" i="143"/>
  <c r="G2942" i="143"/>
  <c r="I2936" i="143"/>
  <c r="L2936" i="143" s="1"/>
  <c r="I2935" i="143"/>
  <c r="L2935" i="143" s="1"/>
  <c r="I2934" i="143"/>
  <c r="L2934" i="143" s="1"/>
  <c r="I2933" i="143"/>
  <c r="L2933" i="143" s="1"/>
  <c r="I2927" i="143"/>
  <c r="L2927" i="143" s="1"/>
  <c r="I2926" i="143"/>
  <c r="L2926" i="143" s="1"/>
  <c r="I2925" i="143"/>
  <c r="L2925" i="143" s="1"/>
  <c r="I2924" i="143"/>
  <c r="L2924" i="143" s="1"/>
  <c r="I2923" i="143"/>
  <c r="L2923" i="143" s="1"/>
  <c r="I2922" i="143"/>
  <c r="L2922" i="143" s="1"/>
  <c r="I2921" i="143"/>
  <c r="L2921" i="143" s="1"/>
  <c r="I2920" i="143"/>
  <c r="L2920" i="143" s="1"/>
  <c r="I2919" i="143"/>
  <c r="K2919" i="143" s="1"/>
  <c r="I2918" i="143"/>
  <c r="G2918" i="143"/>
  <c r="K2858" i="143"/>
  <c r="I2858" i="143"/>
  <c r="E2862" i="143" s="1"/>
  <c r="D2858" i="143"/>
  <c r="B2858" i="143"/>
  <c r="L2897" i="143"/>
  <c r="K2897" i="143"/>
  <c r="L2896" i="143"/>
  <c r="K2896" i="143"/>
  <c r="L2895" i="143"/>
  <c r="K2895" i="143"/>
  <c r="L2889" i="143"/>
  <c r="I2888" i="143"/>
  <c r="K2888" i="143" s="1"/>
  <c r="I2887" i="143"/>
  <c r="L2887" i="143" s="1"/>
  <c r="I2886" i="143"/>
  <c r="G2886" i="143"/>
  <c r="I2880" i="143"/>
  <c r="L2880" i="143" s="1"/>
  <c r="I2879" i="143"/>
  <c r="K2879" i="143" s="1"/>
  <c r="I2878" i="143"/>
  <c r="L2878" i="143" s="1"/>
  <c r="I2877" i="143"/>
  <c r="L2877" i="143" s="1"/>
  <c r="I2871" i="143"/>
  <c r="L2871" i="143" s="1"/>
  <c r="I2870" i="143"/>
  <c r="L2870" i="143" s="1"/>
  <c r="I2869" i="143"/>
  <c r="L2869" i="143" s="1"/>
  <c r="I2868" i="143"/>
  <c r="K2868" i="143" s="1"/>
  <c r="I2867" i="143"/>
  <c r="L2867" i="143" s="1"/>
  <c r="I2866" i="143"/>
  <c r="L2866" i="143" s="1"/>
  <c r="I2865" i="143"/>
  <c r="L2865" i="143" s="1"/>
  <c r="I2864" i="143"/>
  <c r="K2864" i="143" s="1"/>
  <c r="I2863" i="143"/>
  <c r="L2863" i="143" s="1"/>
  <c r="I2862" i="143"/>
  <c r="G2862" i="143"/>
  <c r="G2830" i="143"/>
  <c r="K2802" i="143"/>
  <c r="I2802" i="143"/>
  <c r="E2806" i="143" s="1"/>
  <c r="D2802" i="143"/>
  <c r="B2802" i="143"/>
  <c r="L2841" i="143"/>
  <c r="K2841" i="143"/>
  <c r="L2840" i="143"/>
  <c r="K2840" i="143"/>
  <c r="L2839" i="143"/>
  <c r="K2839" i="143"/>
  <c r="L2833" i="143"/>
  <c r="I2832" i="143"/>
  <c r="K2832" i="143" s="1"/>
  <c r="I2831" i="143"/>
  <c r="L2831" i="143" s="1"/>
  <c r="I2830" i="143"/>
  <c r="I2824" i="143"/>
  <c r="L2824" i="143" s="1"/>
  <c r="I2823" i="143"/>
  <c r="L2823" i="143" s="1"/>
  <c r="I2822" i="143"/>
  <c r="K2822" i="143" s="1"/>
  <c r="I2821" i="143"/>
  <c r="K2821" i="143" s="1"/>
  <c r="I2815" i="143"/>
  <c r="L2815" i="143" s="1"/>
  <c r="I2814" i="143"/>
  <c r="K2814" i="143" s="1"/>
  <c r="I2813" i="143"/>
  <c r="L2813" i="143" s="1"/>
  <c r="I2812" i="143"/>
  <c r="L2812" i="143" s="1"/>
  <c r="I2811" i="143"/>
  <c r="L2811" i="143" s="1"/>
  <c r="I2810" i="143"/>
  <c r="K2810" i="143" s="1"/>
  <c r="I2809" i="143"/>
  <c r="L2809" i="143" s="1"/>
  <c r="I2808" i="143"/>
  <c r="L2808" i="143" s="1"/>
  <c r="I2807" i="143"/>
  <c r="L2807" i="143" s="1"/>
  <c r="I2806" i="143"/>
  <c r="G2806" i="143"/>
  <c r="K2746" i="143"/>
  <c r="I2746" i="143"/>
  <c r="E2750" i="143" s="1"/>
  <c r="D2746" i="143"/>
  <c r="B2746" i="143"/>
  <c r="L2785" i="143"/>
  <c r="K2785" i="143"/>
  <c r="L2784" i="143"/>
  <c r="K2784" i="143"/>
  <c r="L2783" i="143"/>
  <c r="K2783" i="143"/>
  <c r="L2777" i="143"/>
  <c r="I2776" i="143"/>
  <c r="K2776" i="143" s="1"/>
  <c r="I2775" i="143"/>
  <c r="L2775" i="143" s="1"/>
  <c r="I2774" i="143"/>
  <c r="I2768" i="143"/>
  <c r="L2768" i="143" s="1"/>
  <c r="I2767" i="143"/>
  <c r="K2767" i="143" s="1"/>
  <c r="I2766" i="143"/>
  <c r="L2766" i="143" s="1"/>
  <c r="I2765" i="143"/>
  <c r="L2765" i="143" s="1"/>
  <c r="I2759" i="143"/>
  <c r="L2759" i="143" s="1"/>
  <c r="I2758" i="143"/>
  <c r="L2758" i="143" s="1"/>
  <c r="I2757" i="143"/>
  <c r="L2757" i="143" s="1"/>
  <c r="I2756" i="143"/>
  <c r="K2756" i="143" s="1"/>
  <c r="I2755" i="143"/>
  <c r="L2755" i="143" s="1"/>
  <c r="I2754" i="143"/>
  <c r="L2754" i="143" s="1"/>
  <c r="I2753" i="143"/>
  <c r="L2753" i="143" s="1"/>
  <c r="I2752" i="143"/>
  <c r="K2752" i="143" s="1"/>
  <c r="I2751" i="143"/>
  <c r="L2751" i="143" s="1"/>
  <c r="I2750" i="143"/>
  <c r="G2750" i="143"/>
  <c r="K2690" i="143"/>
  <c r="I2690" i="143"/>
  <c r="D2690" i="143"/>
  <c r="B2690" i="143"/>
  <c r="L2729" i="143"/>
  <c r="K2729" i="143"/>
  <c r="L2728" i="143"/>
  <c r="K2728" i="143"/>
  <c r="L2727" i="143"/>
  <c r="K2727" i="143"/>
  <c r="L2721" i="143"/>
  <c r="I2720" i="143"/>
  <c r="K2720" i="143" s="1"/>
  <c r="I2719" i="143"/>
  <c r="K2719" i="143" s="1"/>
  <c r="I2718" i="143"/>
  <c r="G2718" i="143"/>
  <c r="I2712" i="143"/>
  <c r="L2712" i="143" s="1"/>
  <c r="I2711" i="143"/>
  <c r="L2711" i="143" s="1"/>
  <c r="I2710" i="143"/>
  <c r="K2710" i="143" s="1"/>
  <c r="I2709" i="143"/>
  <c r="L2709" i="143" s="1"/>
  <c r="I2703" i="143"/>
  <c r="K2703" i="143" s="1"/>
  <c r="I2702" i="143"/>
  <c r="L2702" i="143" s="1"/>
  <c r="I2701" i="143"/>
  <c r="L2701" i="143" s="1"/>
  <c r="I2700" i="143"/>
  <c r="L2700" i="143" s="1"/>
  <c r="I2699" i="143"/>
  <c r="K2699" i="143" s="1"/>
  <c r="I2698" i="143"/>
  <c r="L2698" i="143" s="1"/>
  <c r="I2697" i="143"/>
  <c r="L2697" i="143" s="1"/>
  <c r="I2696" i="143"/>
  <c r="I2695" i="143"/>
  <c r="I2694" i="143"/>
  <c r="G2694" i="143"/>
  <c r="G2640" i="143"/>
  <c r="K2634" i="143"/>
  <c r="I2634" i="143"/>
  <c r="E2640" i="143" s="1"/>
  <c r="F2640" i="143" s="1"/>
  <c r="D2634" i="143"/>
  <c r="B2634" i="143"/>
  <c r="L2673" i="143"/>
  <c r="K2673" i="143"/>
  <c r="L2672" i="143"/>
  <c r="K2672" i="143"/>
  <c r="L2671" i="143"/>
  <c r="K2671" i="143"/>
  <c r="L2665" i="143"/>
  <c r="I2664" i="143"/>
  <c r="K2664" i="143" s="1"/>
  <c r="I2663" i="143"/>
  <c r="L2663" i="143" s="1"/>
  <c r="I2662" i="143"/>
  <c r="G2662" i="143"/>
  <c r="I2656" i="143"/>
  <c r="L2656" i="143" s="1"/>
  <c r="I2655" i="143"/>
  <c r="K2655" i="143" s="1"/>
  <c r="I2654" i="143"/>
  <c r="K2654" i="143" s="1"/>
  <c r="I2653" i="143"/>
  <c r="L2653" i="143" s="1"/>
  <c r="I2647" i="143"/>
  <c r="L2647" i="143" s="1"/>
  <c r="I2646" i="143"/>
  <c r="L2646" i="143" s="1"/>
  <c r="I2645" i="143"/>
  <c r="L2645" i="143" s="1"/>
  <c r="I2644" i="143"/>
  <c r="K2644" i="143" s="1"/>
  <c r="I2643" i="143"/>
  <c r="L2643" i="143" s="1"/>
  <c r="I2642" i="143"/>
  <c r="L2642" i="143" s="1"/>
  <c r="I2641" i="143"/>
  <c r="L2641" i="143" s="1"/>
  <c r="I2640" i="143"/>
  <c r="I2639" i="143"/>
  <c r="G2639" i="143"/>
  <c r="I2638" i="143"/>
  <c r="G2638" i="143"/>
  <c r="K2578" i="143"/>
  <c r="I2578" i="143"/>
  <c r="E2583" i="143" s="1"/>
  <c r="F2583" i="143" s="1"/>
  <c r="D2578" i="143"/>
  <c r="B2578" i="143"/>
  <c r="L2617" i="143"/>
  <c r="K2617" i="143"/>
  <c r="L2616" i="143"/>
  <c r="K2616" i="143"/>
  <c r="L2615" i="143"/>
  <c r="K2615" i="143"/>
  <c r="L2609" i="143"/>
  <c r="I2608" i="143"/>
  <c r="K2608" i="143" s="1"/>
  <c r="I2607" i="143"/>
  <c r="L2607" i="143" s="1"/>
  <c r="I2606" i="143"/>
  <c r="G2606" i="143"/>
  <c r="I2600" i="143"/>
  <c r="L2600" i="143" s="1"/>
  <c r="I2599" i="143"/>
  <c r="L2599" i="143" s="1"/>
  <c r="I2598" i="143"/>
  <c r="L2598" i="143" s="1"/>
  <c r="I2597" i="143"/>
  <c r="L2597" i="143" s="1"/>
  <c r="I2591" i="143"/>
  <c r="L2591" i="143" s="1"/>
  <c r="I2590" i="143"/>
  <c r="L2590" i="143" s="1"/>
  <c r="I2589" i="143"/>
  <c r="L2589" i="143" s="1"/>
  <c r="I2588" i="143"/>
  <c r="L2588" i="143" s="1"/>
  <c r="I2587" i="143"/>
  <c r="L2587" i="143" s="1"/>
  <c r="I2586" i="143"/>
  <c r="L2586" i="143" s="1"/>
  <c r="I2585" i="143"/>
  <c r="L2585" i="143" s="1"/>
  <c r="I2584" i="143"/>
  <c r="L2584" i="143" s="1"/>
  <c r="I2583" i="143"/>
  <c r="G2583" i="143"/>
  <c r="I2582" i="143"/>
  <c r="G2582" i="143"/>
  <c r="G2531" i="143"/>
  <c r="G2532" i="143"/>
  <c r="K2522" i="143"/>
  <c r="I2522" i="143"/>
  <c r="F2532" i="143" s="1"/>
  <c r="D2522" i="143"/>
  <c r="B2522" i="143"/>
  <c r="L2561" i="143"/>
  <c r="K2561" i="143"/>
  <c r="L2560" i="143"/>
  <c r="K2560" i="143"/>
  <c r="L2559" i="143"/>
  <c r="K2559" i="143"/>
  <c r="L2553" i="143"/>
  <c r="I2552" i="143"/>
  <c r="K2552" i="143" s="1"/>
  <c r="I2551" i="143"/>
  <c r="L2551" i="143" s="1"/>
  <c r="I2550" i="143"/>
  <c r="G2550" i="143"/>
  <c r="I2544" i="143"/>
  <c r="L2544" i="143" s="1"/>
  <c r="I2543" i="143"/>
  <c r="K2543" i="143" s="1"/>
  <c r="I2542" i="143"/>
  <c r="L2542" i="143" s="1"/>
  <c r="I2541" i="143"/>
  <c r="L2541" i="143" s="1"/>
  <c r="I2535" i="143"/>
  <c r="L2535" i="143" s="1"/>
  <c r="I2534" i="143"/>
  <c r="L2534" i="143" s="1"/>
  <c r="I2533" i="143"/>
  <c r="L2533" i="143" s="1"/>
  <c r="I2532" i="143"/>
  <c r="I2531" i="143"/>
  <c r="L2531" i="143" s="1"/>
  <c r="I2530" i="143"/>
  <c r="G2530" i="143"/>
  <c r="I2529" i="143"/>
  <c r="G2529" i="143"/>
  <c r="I2528" i="143"/>
  <c r="L2528" i="143" s="1"/>
  <c r="G2528" i="143"/>
  <c r="I2527" i="143"/>
  <c r="G2527" i="143"/>
  <c r="I2526" i="143"/>
  <c r="L2526" i="143" s="1"/>
  <c r="G2526" i="143"/>
  <c r="K2466" i="143"/>
  <c r="I2466" i="143"/>
  <c r="E2494" i="143" s="1"/>
  <c r="D2466" i="143"/>
  <c r="B2466" i="143"/>
  <c r="L2505" i="143"/>
  <c r="K2505" i="143"/>
  <c r="L2504" i="143"/>
  <c r="K2504" i="143"/>
  <c r="L2503" i="143"/>
  <c r="K2503" i="143"/>
  <c r="L2497" i="143"/>
  <c r="I2496" i="143"/>
  <c r="K2496" i="143" s="1"/>
  <c r="I2495" i="143"/>
  <c r="L2495" i="143" s="1"/>
  <c r="I2494" i="143"/>
  <c r="G2494" i="143"/>
  <c r="I2488" i="143"/>
  <c r="L2488" i="143" s="1"/>
  <c r="I2487" i="143"/>
  <c r="L2487" i="143" s="1"/>
  <c r="I2486" i="143"/>
  <c r="K2486" i="143" s="1"/>
  <c r="I2485" i="143"/>
  <c r="L2485" i="143" s="1"/>
  <c r="I2479" i="143"/>
  <c r="K2479" i="143" s="1"/>
  <c r="I2478" i="143"/>
  <c r="L2478" i="143" s="1"/>
  <c r="I2477" i="143"/>
  <c r="L2477" i="143" s="1"/>
  <c r="I2476" i="143"/>
  <c r="L2476" i="143" s="1"/>
  <c r="I2475" i="143"/>
  <c r="K2475" i="143" s="1"/>
  <c r="I2474" i="143"/>
  <c r="G2474" i="143"/>
  <c r="I2473" i="143"/>
  <c r="G2473" i="143"/>
  <c r="I2472" i="143"/>
  <c r="G2472" i="143"/>
  <c r="I2471" i="143"/>
  <c r="G2471" i="143"/>
  <c r="I2470" i="143"/>
  <c r="G2470" i="143"/>
  <c r="G2420" i="143"/>
  <c r="G2421" i="143"/>
  <c r="K2413" i="143"/>
  <c r="I2413" i="143"/>
  <c r="E2418" i="143" s="1"/>
  <c r="D2413" i="143"/>
  <c r="B2413" i="143"/>
  <c r="L2449" i="143"/>
  <c r="K2449" i="143"/>
  <c r="L2448" i="143"/>
  <c r="K2448" i="143"/>
  <c r="L2447" i="143"/>
  <c r="K2447" i="143"/>
  <c r="L2441" i="143"/>
  <c r="I2440" i="143"/>
  <c r="K2440" i="143" s="1"/>
  <c r="I2439" i="143"/>
  <c r="L2439" i="143" s="1"/>
  <c r="I2438" i="143"/>
  <c r="G2438" i="143"/>
  <c r="I2432" i="143"/>
  <c r="L2432" i="143" s="1"/>
  <c r="I2431" i="143"/>
  <c r="L2431" i="143" s="1"/>
  <c r="I2430" i="143"/>
  <c r="L2430" i="143" s="1"/>
  <c r="I2429" i="143"/>
  <c r="L2429" i="143" s="1"/>
  <c r="I2423" i="143"/>
  <c r="L2423" i="143" s="1"/>
  <c r="I2422" i="143"/>
  <c r="L2422" i="143" s="1"/>
  <c r="I2421" i="143"/>
  <c r="I2420" i="143"/>
  <c r="I2419" i="143"/>
  <c r="G2419" i="143"/>
  <c r="I2418" i="143"/>
  <c r="G2418" i="143"/>
  <c r="I2417" i="143"/>
  <c r="G2417" i="143"/>
  <c r="K2362" i="143"/>
  <c r="I2362" i="143"/>
  <c r="E2368" i="143" s="1"/>
  <c r="F2368" i="143" s="1"/>
  <c r="D2362" i="143"/>
  <c r="B2362" i="143"/>
  <c r="L2396" i="143"/>
  <c r="K2396" i="143"/>
  <c r="L2395" i="143"/>
  <c r="K2395" i="143"/>
  <c r="L2394" i="143"/>
  <c r="K2394" i="143"/>
  <c r="L2388" i="143"/>
  <c r="I2387" i="143"/>
  <c r="K2387" i="143" s="1"/>
  <c r="I2386" i="143"/>
  <c r="L2386" i="143" s="1"/>
  <c r="I2385" i="143"/>
  <c r="G2385" i="143"/>
  <c r="I2379" i="143"/>
  <c r="L2379" i="143" s="1"/>
  <c r="I2378" i="143"/>
  <c r="L2378" i="143" s="1"/>
  <c r="I2377" i="143"/>
  <c r="L2377" i="143" s="1"/>
  <c r="I2376" i="143"/>
  <c r="L2376" i="143" s="1"/>
  <c r="I2370" i="143"/>
  <c r="K2370" i="143" s="1"/>
  <c r="I2369" i="143"/>
  <c r="L2369" i="143" s="1"/>
  <c r="I2368" i="143"/>
  <c r="G2368" i="143"/>
  <c r="I2367" i="143"/>
  <c r="G2367" i="143"/>
  <c r="I2366" i="143"/>
  <c r="G2366" i="143"/>
  <c r="K2311" i="143"/>
  <c r="I2311" i="143"/>
  <c r="E2317" i="143" s="1"/>
  <c r="D2311" i="143"/>
  <c r="B2311" i="143"/>
  <c r="L2345" i="143"/>
  <c r="K2345" i="143"/>
  <c r="L2344" i="143"/>
  <c r="K2344" i="143"/>
  <c r="L2343" i="143"/>
  <c r="K2343" i="143"/>
  <c r="L2337" i="143"/>
  <c r="I2336" i="143"/>
  <c r="K2336" i="143" s="1"/>
  <c r="I2335" i="143"/>
  <c r="L2335" i="143" s="1"/>
  <c r="I2334" i="143"/>
  <c r="G2334" i="143"/>
  <c r="I2328" i="143"/>
  <c r="L2328" i="143" s="1"/>
  <c r="I2327" i="143"/>
  <c r="L2327" i="143" s="1"/>
  <c r="I2326" i="143"/>
  <c r="L2326" i="143" s="1"/>
  <c r="I2325" i="143"/>
  <c r="L2325" i="143" s="1"/>
  <c r="I2319" i="143"/>
  <c r="L2319" i="143" s="1"/>
  <c r="I2318" i="143"/>
  <c r="L2318" i="143" s="1"/>
  <c r="I2317" i="143"/>
  <c r="G2317" i="143"/>
  <c r="I2316" i="143"/>
  <c r="G2316" i="143"/>
  <c r="I2315" i="143"/>
  <c r="G2315" i="143"/>
  <c r="K2255" i="143"/>
  <c r="I2255" i="143"/>
  <c r="E2261" i="143" s="1"/>
  <c r="D2255" i="143"/>
  <c r="B2255" i="143"/>
  <c r="L2294" i="143"/>
  <c r="K2294" i="143"/>
  <c r="L2293" i="143"/>
  <c r="K2293" i="143"/>
  <c r="L2292" i="143"/>
  <c r="K2292" i="143"/>
  <c r="L2286" i="143"/>
  <c r="I2285" i="143"/>
  <c r="K2285" i="143" s="1"/>
  <c r="I2284" i="143"/>
  <c r="L2284" i="143" s="1"/>
  <c r="I2283" i="143"/>
  <c r="G2283" i="143"/>
  <c r="I2277" i="143"/>
  <c r="L2277" i="143" s="1"/>
  <c r="I2276" i="143"/>
  <c r="K2276" i="143" s="1"/>
  <c r="I2275" i="143"/>
  <c r="K2275" i="143" s="1"/>
  <c r="I2274" i="143"/>
  <c r="L2274" i="143" s="1"/>
  <c r="I2268" i="143"/>
  <c r="L2268" i="143" s="1"/>
  <c r="I2267" i="143"/>
  <c r="L2267" i="143" s="1"/>
  <c r="I2266" i="143"/>
  <c r="L2266" i="143" s="1"/>
  <c r="I2265" i="143"/>
  <c r="K2265" i="143" s="1"/>
  <c r="I2264" i="143"/>
  <c r="L2264" i="143" s="1"/>
  <c r="I2263" i="143"/>
  <c r="L2263" i="143" s="1"/>
  <c r="I2262" i="143"/>
  <c r="L2262" i="143" s="1"/>
  <c r="I2261" i="143"/>
  <c r="G2261" i="143"/>
  <c r="I2260" i="143"/>
  <c r="G2260" i="143"/>
  <c r="I2259" i="143"/>
  <c r="G2259" i="143"/>
  <c r="I2206" i="143"/>
  <c r="K2206" i="143" s="1"/>
  <c r="I2207" i="143"/>
  <c r="K2207" i="143" s="1"/>
  <c r="I2208" i="143"/>
  <c r="L2208" i="143" s="1"/>
  <c r="I2209" i="143"/>
  <c r="K2209" i="143" s="1"/>
  <c r="K2199" i="143"/>
  <c r="I2199" i="143"/>
  <c r="E2203" i="143" s="1"/>
  <c r="D2199" i="143"/>
  <c r="B2199" i="143"/>
  <c r="L2238" i="143"/>
  <c r="K2238" i="143"/>
  <c r="L2237" i="143"/>
  <c r="K2237" i="143"/>
  <c r="L2236" i="143"/>
  <c r="K2236" i="143"/>
  <c r="L2230" i="143"/>
  <c r="I2229" i="143"/>
  <c r="K2229" i="143" s="1"/>
  <c r="I2228" i="143"/>
  <c r="L2228" i="143" s="1"/>
  <c r="I2227" i="143"/>
  <c r="G2227" i="143"/>
  <c r="I2221" i="143"/>
  <c r="L2221" i="143" s="1"/>
  <c r="I2220" i="143"/>
  <c r="L2220" i="143" s="1"/>
  <c r="I2219" i="143"/>
  <c r="L2219" i="143" s="1"/>
  <c r="I2218" i="143"/>
  <c r="L2218" i="143" s="1"/>
  <c r="I2212" i="143"/>
  <c r="L2212" i="143" s="1"/>
  <c r="I2211" i="143"/>
  <c r="L2211" i="143" s="1"/>
  <c r="I2210" i="143"/>
  <c r="L2210" i="143" s="1"/>
  <c r="I2205" i="143"/>
  <c r="G2205" i="143"/>
  <c r="I2204" i="143"/>
  <c r="G2204" i="143"/>
  <c r="I2203" i="143"/>
  <c r="G2203" i="143"/>
  <c r="D2146" i="143"/>
  <c r="B2146" i="143"/>
  <c r="L2182" i="143"/>
  <c r="K2182" i="143"/>
  <c r="L2181" i="143"/>
  <c r="K2181" i="143"/>
  <c r="L2180" i="143"/>
  <c r="K2180" i="143"/>
  <c r="L2174" i="143"/>
  <c r="I2173" i="143"/>
  <c r="K2173" i="143" s="1"/>
  <c r="I2172" i="143"/>
  <c r="L2172" i="143" s="1"/>
  <c r="I2171" i="143"/>
  <c r="G2171" i="143"/>
  <c r="I2165" i="143"/>
  <c r="L2165" i="143" s="1"/>
  <c r="I2164" i="143"/>
  <c r="L2164" i="143" s="1"/>
  <c r="I2163" i="143"/>
  <c r="K2163" i="143" s="1"/>
  <c r="I2162" i="143"/>
  <c r="L2162" i="143" s="1"/>
  <c r="I2153" i="143"/>
  <c r="G2153" i="143"/>
  <c r="I2152" i="143"/>
  <c r="G2152" i="143"/>
  <c r="I2151" i="143"/>
  <c r="G2151" i="143"/>
  <c r="I2150" i="143"/>
  <c r="G2150" i="143"/>
  <c r="K2146" i="143"/>
  <c r="I2146" i="143"/>
  <c r="E2153" i="143" s="1"/>
  <c r="F2153" i="143" s="1"/>
  <c r="G2098" i="143"/>
  <c r="G2099" i="143"/>
  <c r="G2100" i="143"/>
  <c r="D2037" i="143"/>
  <c r="B2037" i="143"/>
  <c r="K1928" i="143"/>
  <c r="I1928" i="143"/>
  <c r="E1932" i="143" s="1"/>
  <c r="D1928" i="143"/>
  <c r="B1928" i="143"/>
  <c r="L1967" i="143"/>
  <c r="K1967" i="143"/>
  <c r="L1966" i="143"/>
  <c r="K1966" i="143"/>
  <c r="L1965" i="143"/>
  <c r="K1965" i="143"/>
  <c r="L1959" i="143"/>
  <c r="I1958" i="143"/>
  <c r="K1958" i="143" s="1"/>
  <c r="I1957" i="143"/>
  <c r="L1957" i="143" s="1"/>
  <c r="I1956" i="143"/>
  <c r="G1956" i="143"/>
  <c r="I1950" i="143"/>
  <c r="L1950" i="143" s="1"/>
  <c r="I1949" i="143"/>
  <c r="K1949" i="143" s="1"/>
  <c r="I1948" i="143"/>
  <c r="K1948" i="143" s="1"/>
  <c r="I1947" i="143"/>
  <c r="L1947" i="143" s="1"/>
  <c r="I1941" i="143"/>
  <c r="L1941" i="143" s="1"/>
  <c r="I1940" i="143"/>
  <c r="L1940" i="143" s="1"/>
  <c r="I1939" i="143"/>
  <c r="L1939" i="143" s="1"/>
  <c r="I1938" i="143"/>
  <c r="G1938" i="143"/>
  <c r="I1937" i="143"/>
  <c r="G1937" i="143"/>
  <c r="I1936" i="143"/>
  <c r="G1936" i="143"/>
  <c r="I1935" i="143"/>
  <c r="G1935" i="143"/>
  <c r="I1934" i="143"/>
  <c r="G1934" i="143"/>
  <c r="I1933" i="143"/>
  <c r="G1933" i="143"/>
  <c r="I1932" i="143"/>
  <c r="G1932" i="143"/>
  <c r="K1872" i="143"/>
  <c r="I1872" i="143"/>
  <c r="E1880" i="143" s="1"/>
  <c r="D1872" i="143"/>
  <c r="B1872" i="143"/>
  <c r="K1819" i="143"/>
  <c r="I1819" i="143"/>
  <c r="D1819" i="143"/>
  <c r="B1819" i="143"/>
  <c r="K1763" i="143"/>
  <c r="I1763" i="143"/>
  <c r="E1768" i="143" s="1"/>
  <c r="D1763" i="143"/>
  <c r="B1763" i="143"/>
  <c r="L1802" i="143"/>
  <c r="K1802" i="143"/>
  <c r="L1801" i="143"/>
  <c r="K1801" i="143"/>
  <c r="L1800" i="143"/>
  <c r="K1800" i="143"/>
  <c r="L1794" i="143"/>
  <c r="I1793" i="143"/>
  <c r="K1793" i="143" s="1"/>
  <c r="I1792" i="143"/>
  <c r="L1792" i="143" s="1"/>
  <c r="I1791" i="143"/>
  <c r="G1791" i="143"/>
  <c r="I1785" i="143"/>
  <c r="L1785" i="143" s="1"/>
  <c r="I1784" i="143"/>
  <c r="K1784" i="143" s="1"/>
  <c r="I1783" i="143"/>
  <c r="L1783" i="143" s="1"/>
  <c r="I1782" i="143"/>
  <c r="L1782" i="143" s="1"/>
  <c r="I1776" i="143"/>
  <c r="L1776" i="143" s="1"/>
  <c r="I1775" i="143"/>
  <c r="L1775" i="143" s="1"/>
  <c r="I1774" i="143"/>
  <c r="L1774" i="143" s="1"/>
  <c r="I1773" i="143"/>
  <c r="K1773" i="143" s="1"/>
  <c r="I1772" i="143"/>
  <c r="K1772" i="143" s="1"/>
  <c r="I1771" i="143"/>
  <c r="L1771" i="143" s="1"/>
  <c r="I1770" i="143"/>
  <c r="I1769" i="143"/>
  <c r="I1768" i="143"/>
  <c r="G1768" i="143"/>
  <c r="I1767" i="143"/>
  <c r="G1767" i="143"/>
  <c r="I1715" i="143"/>
  <c r="K1715" i="143" s="1"/>
  <c r="I1716" i="143"/>
  <c r="K1716" i="143" s="1"/>
  <c r="I1717" i="143"/>
  <c r="K1717" i="143" s="1"/>
  <c r="K1707" i="143"/>
  <c r="I1707" i="143"/>
  <c r="E1711" i="143" s="1"/>
  <c r="D1707" i="143"/>
  <c r="B1707" i="143"/>
  <c r="L1746" i="143"/>
  <c r="K1746" i="143"/>
  <c r="L1745" i="143"/>
  <c r="K1745" i="143"/>
  <c r="L1744" i="143"/>
  <c r="K1744" i="143"/>
  <c r="L1738" i="143"/>
  <c r="I1737" i="143"/>
  <c r="K1737" i="143" s="1"/>
  <c r="I1736" i="143"/>
  <c r="I1735" i="143"/>
  <c r="G1735" i="143"/>
  <c r="I1729" i="143"/>
  <c r="L1729" i="143" s="1"/>
  <c r="I1728" i="143"/>
  <c r="K1728" i="143" s="1"/>
  <c r="I1727" i="143"/>
  <c r="K1727" i="143" s="1"/>
  <c r="I1726" i="143"/>
  <c r="L1726" i="143" s="1"/>
  <c r="I1720" i="143"/>
  <c r="I1719" i="143"/>
  <c r="I1718" i="143"/>
  <c r="I1714" i="143"/>
  <c r="G1714" i="143"/>
  <c r="I1713" i="143"/>
  <c r="G1713" i="143"/>
  <c r="I1712" i="143"/>
  <c r="G1712" i="143"/>
  <c r="I1711" i="143"/>
  <c r="G1711" i="143"/>
  <c r="K1654" i="143"/>
  <c r="I1654" i="143"/>
  <c r="E1658" i="143" s="1"/>
  <c r="D1654" i="143"/>
  <c r="B1654" i="143"/>
  <c r="L1690" i="143"/>
  <c r="K1690" i="143"/>
  <c r="L1689" i="143"/>
  <c r="K1689" i="143"/>
  <c r="L1688" i="143"/>
  <c r="K1688" i="143"/>
  <c r="L1682" i="143"/>
  <c r="I1681" i="143"/>
  <c r="K1681" i="143" s="1"/>
  <c r="I1680" i="143"/>
  <c r="G1680" i="143"/>
  <c r="I1679" i="143"/>
  <c r="G1679" i="143"/>
  <c r="I1673" i="143"/>
  <c r="L1673" i="143" s="1"/>
  <c r="I1672" i="143"/>
  <c r="K1672" i="143" s="1"/>
  <c r="I1671" i="143"/>
  <c r="L1671" i="143" s="1"/>
  <c r="I1670" i="143"/>
  <c r="L1670" i="143" s="1"/>
  <c r="I1664" i="143"/>
  <c r="G1664" i="143"/>
  <c r="I1663" i="143"/>
  <c r="G1663" i="143"/>
  <c r="I1662" i="143"/>
  <c r="G1662" i="143"/>
  <c r="I1661" i="143"/>
  <c r="G1661" i="143"/>
  <c r="I1660" i="143"/>
  <c r="G1660" i="143"/>
  <c r="I1659" i="143"/>
  <c r="G1659" i="143"/>
  <c r="I1658" i="143"/>
  <c r="G1658" i="143"/>
  <c r="K1598" i="143"/>
  <c r="I1598" i="143"/>
  <c r="E1603" i="143" s="1"/>
  <c r="D1598" i="143"/>
  <c r="B1598" i="143"/>
  <c r="L1637" i="143"/>
  <c r="K1637" i="143"/>
  <c r="L1636" i="143"/>
  <c r="K1636" i="143"/>
  <c r="L1635" i="143"/>
  <c r="K1635" i="143"/>
  <c r="L1629" i="143"/>
  <c r="I1628" i="143"/>
  <c r="K1628" i="143" s="1"/>
  <c r="I1627" i="143"/>
  <c r="L1627" i="143" s="1"/>
  <c r="I1626" i="143"/>
  <c r="G1626" i="143"/>
  <c r="I1620" i="143"/>
  <c r="L1620" i="143" s="1"/>
  <c r="I1619" i="143"/>
  <c r="K1619" i="143" s="1"/>
  <c r="I1618" i="143"/>
  <c r="L1618" i="143" s="1"/>
  <c r="I1617" i="143"/>
  <c r="L1617" i="143" s="1"/>
  <c r="I1611" i="143"/>
  <c r="L1611" i="143" s="1"/>
  <c r="I1610" i="143"/>
  <c r="L1610" i="143" s="1"/>
  <c r="I1609" i="143"/>
  <c r="L1609" i="143" s="1"/>
  <c r="I1608" i="143"/>
  <c r="K1608" i="143" s="1"/>
  <c r="I1607" i="143"/>
  <c r="L1607" i="143" s="1"/>
  <c r="I1606" i="143"/>
  <c r="L1606" i="143" s="1"/>
  <c r="I1605" i="143"/>
  <c r="L1605" i="143" s="1"/>
  <c r="I1604" i="143"/>
  <c r="K1604" i="143" s="1"/>
  <c r="I1603" i="143"/>
  <c r="G1603" i="143"/>
  <c r="I1602" i="143"/>
  <c r="G1602" i="143"/>
  <c r="I1550" i="143"/>
  <c r="K1550" i="143" s="1"/>
  <c r="I1551" i="143"/>
  <c r="K1551" i="143" s="1"/>
  <c r="I1552" i="143"/>
  <c r="L1552" i="143" s="1"/>
  <c r="G93" i="1"/>
  <c r="G94" i="1"/>
  <c r="G96" i="1"/>
  <c r="H96" i="1" s="1"/>
  <c r="G98" i="1"/>
  <c r="G99" i="1"/>
  <c r="G100" i="1"/>
  <c r="G102" i="1"/>
  <c r="H102" i="1" s="1"/>
  <c r="Q49" i="140" s="1"/>
  <c r="I50" i="140" s="1"/>
  <c r="I49" i="140" s="1"/>
  <c r="G104" i="1"/>
  <c r="G105" i="1"/>
  <c r="G107" i="1"/>
  <c r="G108" i="1"/>
  <c r="G111" i="1"/>
  <c r="G112" i="1"/>
  <c r="G113" i="1"/>
  <c r="G116" i="1"/>
  <c r="G117" i="1"/>
  <c r="G119" i="1"/>
  <c r="H119" i="1" s="1"/>
  <c r="Q61" i="140" s="1"/>
  <c r="O62" i="140" s="1"/>
  <c r="O61" i="140" s="1"/>
  <c r="G121" i="1"/>
  <c r="G122" i="1"/>
  <c r="G123" i="1"/>
  <c r="G125" i="1"/>
  <c r="H125" i="1" s="1"/>
  <c r="Q65" i="140" s="1"/>
  <c r="O66" i="140" s="1"/>
  <c r="O65" i="140" s="1"/>
  <c r="G127" i="1"/>
  <c r="G128" i="1"/>
  <c r="G130" i="1"/>
  <c r="G131" i="1"/>
  <c r="G132" i="1"/>
  <c r="G135" i="1"/>
  <c r="G136" i="1"/>
  <c r="G137" i="1"/>
  <c r="G140" i="1"/>
  <c r="H140" i="1" s="1"/>
  <c r="Q75" i="140" s="1"/>
  <c r="E76" i="140" s="1"/>
  <c r="E75" i="140" s="1"/>
  <c r="G142" i="1"/>
  <c r="G143" i="1"/>
  <c r="G145" i="1"/>
  <c r="H145" i="1" s="1"/>
  <c r="Q79" i="140" s="1"/>
  <c r="I80" i="140" s="1"/>
  <c r="I79" i="140" s="1"/>
  <c r="G147" i="1"/>
  <c r="G148" i="1"/>
  <c r="G151" i="1"/>
  <c r="G152" i="1"/>
  <c r="G155" i="1"/>
  <c r="H155" i="1" s="1"/>
  <c r="Q87" i="140" s="1"/>
  <c r="O88" i="140" s="1"/>
  <c r="O87" i="140" s="1"/>
  <c r="G157" i="1"/>
  <c r="H157" i="1" s="1"/>
  <c r="Q89" i="140" s="1"/>
  <c r="M90" i="140" s="1"/>
  <c r="M89" i="140" s="1"/>
  <c r="G159" i="1"/>
  <c r="G160" i="1"/>
  <c r="G1494" i="143"/>
  <c r="I1495" i="143"/>
  <c r="K1495" i="143" s="1"/>
  <c r="I1496" i="143"/>
  <c r="K1496" i="143" s="1"/>
  <c r="G1491" i="143"/>
  <c r="G1492" i="143"/>
  <c r="G1493" i="143"/>
  <c r="G1490" i="143"/>
  <c r="K1486" i="143"/>
  <c r="I1486" i="143"/>
  <c r="D1486" i="143"/>
  <c r="B1486" i="143"/>
  <c r="L1525" i="143"/>
  <c r="K1525" i="143"/>
  <c r="L1524" i="143"/>
  <c r="K1524" i="143"/>
  <c r="L1523" i="143"/>
  <c r="K1523" i="143"/>
  <c r="L1517" i="143"/>
  <c r="I1516" i="143"/>
  <c r="K1516" i="143" s="1"/>
  <c r="I1515" i="143"/>
  <c r="L1515" i="143" s="1"/>
  <c r="I1514" i="143"/>
  <c r="G1514" i="143"/>
  <c r="I1508" i="143"/>
  <c r="L1508" i="143" s="1"/>
  <c r="I1507" i="143"/>
  <c r="L1507" i="143" s="1"/>
  <c r="I1506" i="143"/>
  <c r="L1506" i="143" s="1"/>
  <c r="I1505" i="143"/>
  <c r="L1505" i="143" s="1"/>
  <c r="I1499" i="143"/>
  <c r="I1498" i="143"/>
  <c r="I1497" i="143"/>
  <c r="I1494" i="143"/>
  <c r="I1493" i="143"/>
  <c r="I1492" i="143"/>
  <c r="I1491" i="143"/>
  <c r="I1490" i="143"/>
  <c r="I1330" i="143"/>
  <c r="K1330" i="143" s="1"/>
  <c r="K1318" i="143"/>
  <c r="I1318" i="143"/>
  <c r="E1322" i="143" s="1"/>
  <c r="D1318" i="143"/>
  <c r="B1318" i="143"/>
  <c r="L1357" i="143"/>
  <c r="K1357" i="143"/>
  <c r="L1356" i="143"/>
  <c r="K1356" i="143"/>
  <c r="L1355" i="143"/>
  <c r="K1355" i="143"/>
  <c r="L1349" i="143"/>
  <c r="I1348" i="143"/>
  <c r="K1348" i="143" s="1"/>
  <c r="I1347" i="143"/>
  <c r="L1347" i="143" s="1"/>
  <c r="I1346" i="143"/>
  <c r="G1346" i="143"/>
  <c r="I1340" i="143"/>
  <c r="L1340" i="143" s="1"/>
  <c r="I1339" i="143"/>
  <c r="K1339" i="143" s="1"/>
  <c r="I1338" i="143"/>
  <c r="K1338" i="143" s="1"/>
  <c r="I1337" i="143"/>
  <c r="L1337" i="143" s="1"/>
  <c r="I1331" i="143"/>
  <c r="L1331" i="143" s="1"/>
  <c r="I1329" i="143"/>
  <c r="L1329" i="143" s="1"/>
  <c r="I1328" i="143"/>
  <c r="G1328" i="143"/>
  <c r="I1327" i="143"/>
  <c r="G1327" i="143"/>
  <c r="I1326" i="143"/>
  <c r="G1326" i="143"/>
  <c r="I1325" i="143"/>
  <c r="G1325" i="143"/>
  <c r="I1324" i="143"/>
  <c r="G1324" i="143"/>
  <c r="I1323" i="143"/>
  <c r="G1323" i="143"/>
  <c r="I1322" i="143"/>
  <c r="G1322" i="143"/>
  <c r="K1262" i="143"/>
  <c r="I1262" i="143"/>
  <c r="E1269" i="143" s="1"/>
  <c r="D1262" i="143"/>
  <c r="B1262" i="143"/>
  <c r="L1301" i="143"/>
  <c r="K1301" i="143"/>
  <c r="L1300" i="143"/>
  <c r="K1300" i="143"/>
  <c r="L1299" i="143"/>
  <c r="K1299" i="143"/>
  <c r="L1293" i="143"/>
  <c r="I1292" i="143"/>
  <c r="K1292" i="143" s="1"/>
  <c r="I1291" i="143"/>
  <c r="L1291" i="143" s="1"/>
  <c r="I1290" i="143"/>
  <c r="G1290" i="143"/>
  <c r="I1284" i="143"/>
  <c r="L1284" i="143" s="1"/>
  <c r="I1283" i="143"/>
  <c r="L1283" i="143" s="1"/>
  <c r="I1282" i="143"/>
  <c r="L1282" i="143" s="1"/>
  <c r="I1281" i="143"/>
  <c r="L1281" i="143" s="1"/>
  <c r="I1275" i="143"/>
  <c r="L1275" i="143" s="1"/>
  <c r="I1273" i="143"/>
  <c r="I1272" i="143"/>
  <c r="G1272" i="143"/>
  <c r="I1271" i="143"/>
  <c r="G1271" i="143"/>
  <c r="E1271" i="143"/>
  <c r="I1270" i="143"/>
  <c r="G1270" i="143"/>
  <c r="I1269" i="143"/>
  <c r="G1269" i="143"/>
  <c r="I1268" i="143"/>
  <c r="G1268" i="143"/>
  <c r="I1267" i="143"/>
  <c r="G1267" i="143"/>
  <c r="I1266" i="143"/>
  <c r="G1266" i="143"/>
  <c r="I1218" i="143"/>
  <c r="G1218" i="143"/>
  <c r="K1206" i="143"/>
  <c r="I1206" i="143"/>
  <c r="E1216" i="143" s="1"/>
  <c r="D1206" i="143"/>
  <c r="B1206" i="143"/>
  <c r="L1245" i="143"/>
  <c r="K1245" i="143"/>
  <c r="L1244" i="143"/>
  <c r="K1244" i="143"/>
  <c r="L1243" i="143"/>
  <c r="K1243" i="143"/>
  <c r="L1237" i="143"/>
  <c r="I1236" i="143"/>
  <c r="K1236" i="143" s="1"/>
  <c r="I1235" i="143"/>
  <c r="L1235" i="143" s="1"/>
  <c r="I1234" i="143"/>
  <c r="G1234" i="143"/>
  <c r="I1228" i="143"/>
  <c r="L1228" i="143" s="1"/>
  <c r="I1227" i="143"/>
  <c r="L1227" i="143" s="1"/>
  <c r="I1226" i="143"/>
  <c r="L1226" i="143" s="1"/>
  <c r="I1225" i="143"/>
  <c r="L1225" i="143" s="1"/>
  <c r="I1219" i="143"/>
  <c r="L1219" i="143" s="1"/>
  <c r="I1217" i="143"/>
  <c r="G1217" i="143"/>
  <c r="I1216" i="143"/>
  <c r="G1216" i="143"/>
  <c r="I1215" i="143"/>
  <c r="G1215" i="143"/>
  <c r="I1214" i="143"/>
  <c r="G1214" i="143"/>
  <c r="I1213" i="143"/>
  <c r="E1218" i="143" s="1"/>
  <c r="G1213" i="143"/>
  <c r="I1212" i="143"/>
  <c r="G1212" i="143"/>
  <c r="I1211" i="143"/>
  <c r="G1211" i="143"/>
  <c r="I1210" i="143"/>
  <c r="G1210" i="143"/>
  <c r="K1150" i="143"/>
  <c r="I1150" i="143"/>
  <c r="E1154" i="143" s="1"/>
  <c r="D1150" i="143"/>
  <c r="B1150" i="143"/>
  <c r="L1189" i="143"/>
  <c r="K1189" i="143"/>
  <c r="L1188" i="143"/>
  <c r="K1188" i="143"/>
  <c r="L1187" i="143"/>
  <c r="K1187" i="143"/>
  <c r="L1181" i="143"/>
  <c r="I1180" i="143"/>
  <c r="K1180" i="143" s="1"/>
  <c r="I1179" i="143"/>
  <c r="L1179" i="143" s="1"/>
  <c r="I1178" i="143"/>
  <c r="G1178" i="143"/>
  <c r="I1172" i="143"/>
  <c r="L1172" i="143" s="1"/>
  <c r="I1171" i="143"/>
  <c r="L1171" i="143" s="1"/>
  <c r="I1170" i="143"/>
  <c r="L1170" i="143" s="1"/>
  <c r="I1169" i="143"/>
  <c r="L1169" i="143" s="1"/>
  <c r="I1163" i="143"/>
  <c r="L1163" i="143" s="1"/>
  <c r="I1162" i="143"/>
  <c r="L1162" i="143" s="1"/>
  <c r="I1161" i="143"/>
  <c r="G1161" i="143"/>
  <c r="I1160" i="143"/>
  <c r="G1160" i="143"/>
  <c r="I1159" i="143"/>
  <c r="G1159" i="143"/>
  <c r="I1158" i="143"/>
  <c r="G1158" i="143"/>
  <c r="I1157" i="143"/>
  <c r="G1157" i="143"/>
  <c r="I1156" i="143"/>
  <c r="G1156" i="143"/>
  <c r="I1155" i="143"/>
  <c r="G1155" i="143"/>
  <c r="I1154" i="143"/>
  <c r="G1154" i="143"/>
  <c r="K1094" i="143"/>
  <c r="I1094" i="143"/>
  <c r="E1104" i="143" s="1"/>
  <c r="D1094" i="143"/>
  <c r="B1094" i="143"/>
  <c r="L1133" i="143"/>
  <c r="K1133" i="143"/>
  <c r="L1132" i="143"/>
  <c r="K1132" i="143"/>
  <c r="L1131" i="143"/>
  <c r="K1131" i="143"/>
  <c r="L1125" i="143"/>
  <c r="I1124" i="143"/>
  <c r="K1124" i="143" s="1"/>
  <c r="I1123" i="143"/>
  <c r="L1123" i="143" s="1"/>
  <c r="I1122" i="143"/>
  <c r="G1122" i="143"/>
  <c r="I1116" i="143"/>
  <c r="L1116" i="143" s="1"/>
  <c r="I1115" i="143"/>
  <c r="K1115" i="143" s="1"/>
  <c r="I1114" i="143"/>
  <c r="L1114" i="143" s="1"/>
  <c r="I1113" i="143"/>
  <c r="L1113" i="143" s="1"/>
  <c r="I1107" i="143"/>
  <c r="L1107" i="143" s="1"/>
  <c r="I1106" i="143"/>
  <c r="L1106" i="143" s="1"/>
  <c r="I1105" i="143"/>
  <c r="G1105" i="143"/>
  <c r="I1104" i="143"/>
  <c r="G1104" i="143"/>
  <c r="I1103" i="143"/>
  <c r="G1103" i="143"/>
  <c r="I1102" i="143"/>
  <c r="G1102" i="143"/>
  <c r="I1101" i="143"/>
  <c r="G1101" i="143"/>
  <c r="I1100" i="143"/>
  <c r="G1100" i="143"/>
  <c r="I1099" i="143"/>
  <c r="G1099" i="143"/>
  <c r="I1098" i="143"/>
  <c r="G1098" i="143"/>
  <c r="K1038" i="143"/>
  <c r="I1038" i="143"/>
  <c r="E1048" i="143" s="1"/>
  <c r="D1038" i="143"/>
  <c r="B1038" i="143"/>
  <c r="L1077" i="143"/>
  <c r="K1077" i="143"/>
  <c r="L1076" i="143"/>
  <c r="K1076" i="143"/>
  <c r="L1075" i="143"/>
  <c r="K1075" i="143"/>
  <c r="L1069" i="143"/>
  <c r="I1068" i="143"/>
  <c r="K1068" i="143" s="1"/>
  <c r="I1067" i="143"/>
  <c r="L1067" i="143" s="1"/>
  <c r="I1066" i="143"/>
  <c r="G1066" i="143"/>
  <c r="I1060" i="143"/>
  <c r="L1060" i="143" s="1"/>
  <c r="I1059" i="143"/>
  <c r="L1059" i="143" s="1"/>
  <c r="I1058" i="143"/>
  <c r="K1058" i="143" s="1"/>
  <c r="I1057" i="143"/>
  <c r="L1057" i="143" s="1"/>
  <c r="I1051" i="143"/>
  <c r="K1051" i="143" s="1"/>
  <c r="I1050" i="143"/>
  <c r="L1050" i="143" s="1"/>
  <c r="I1049" i="143"/>
  <c r="G1049" i="143"/>
  <c r="I1048" i="143"/>
  <c r="G1048" i="143"/>
  <c r="I1047" i="143"/>
  <c r="G1047" i="143"/>
  <c r="I1046" i="143"/>
  <c r="G1046" i="143"/>
  <c r="I1045" i="143"/>
  <c r="G1045" i="143"/>
  <c r="I1044" i="143"/>
  <c r="G1044" i="143"/>
  <c r="I1043" i="143"/>
  <c r="G1043" i="143"/>
  <c r="I1042" i="143"/>
  <c r="G1042" i="143"/>
  <c r="K982" i="143"/>
  <c r="I982" i="143"/>
  <c r="E991" i="143" s="1"/>
  <c r="D982" i="143"/>
  <c r="B982" i="143"/>
  <c r="L1021" i="143"/>
  <c r="K1021" i="143"/>
  <c r="L1020" i="143"/>
  <c r="K1020" i="143"/>
  <c r="L1019" i="143"/>
  <c r="K1019" i="143"/>
  <c r="L1013" i="143"/>
  <c r="I1012" i="143"/>
  <c r="K1012" i="143" s="1"/>
  <c r="I1011" i="143"/>
  <c r="L1011" i="143" s="1"/>
  <c r="I1010" i="143"/>
  <c r="G1010" i="143"/>
  <c r="I1004" i="143"/>
  <c r="L1004" i="143" s="1"/>
  <c r="I1003" i="143"/>
  <c r="L1003" i="143" s="1"/>
  <c r="I1002" i="143"/>
  <c r="L1002" i="143" s="1"/>
  <c r="I1001" i="143"/>
  <c r="L1001" i="143" s="1"/>
  <c r="I995" i="143"/>
  <c r="L995" i="143" s="1"/>
  <c r="I994" i="143"/>
  <c r="K994" i="143" s="1"/>
  <c r="I993" i="143"/>
  <c r="G993" i="143"/>
  <c r="I992" i="143"/>
  <c r="G992" i="143"/>
  <c r="I991" i="143"/>
  <c r="G991" i="143"/>
  <c r="I990" i="143"/>
  <c r="G990" i="143"/>
  <c r="I989" i="143"/>
  <c r="G989" i="143"/>
  <c r="I988" i="143"/>
  <c r="G988" i="143"/>
  <c r="I987" i="143"/>
  <c r="G987" i="143"/>
  <c r="I986" i="143"/>
  <c r="G986" i="143"/>
  <c r="K926" i="143"/>
  <c r="I926" i="143"/>
  <c r="E931" i="143" s="1"/>
  <c r="D926" i="143"/>
  <c r="B926" i="143"/>
  <c r="L965" i="143"/>
  <c r="K965" i="143"/>
  <c r="L964" i="143"/>
  <c r="K964" i="143"/>
  <c r="L963" i="143"/>
  <c r="K963" i="143"/>
  <c r="L957" i="143"/>
  <c r="I956" i="143"/>
  <c r="K956" i="143" s="1"/>
  <c r="I955" i="143"/>
  <c r="L955" i="143" s="1"/>
  <c r="I954" i="143"/>
  <c r="G954" i="143"/>
  <c r="I948" i="143"/>
  <c r="L948" i="143" s="1"/>
  <c r="I947" i="143"/>
  <c r="L947" i="143" s="1"/>
  <c r="I946" i="143"/>
  <c r="L946" i="143" s="1"/>
  <c r="I945" i="143"/>
  <c r="L945" i="143" s="1"/>
  <c r="I939" i="143"/>
  <c r="L939" i="143" s="1"/>
  <c r="I938" i="143"/>
  <c r="K938" i="143" s="1"/>
  <c r="I937" i="143"/>
  <c r="G937" i="143"/>
  <c r="I936" i="143"/>
  <c r="G936" i="143"/>
  <c r="I935" i="143"/>
  <c r="G935" i="143"/>
  <c r="I934" i="143"/>
  <c r="G934" i="143"/>
  <c r="I933" i="143"/>
  <c r="G933" i="143"/>
  <c r="I932" i="143"/>
  <c r="G932" i="143"/>
  <c r="I931" i="143"/>
  <c r="G931" i="143"/>
  <c r="I930" i="143"/>
  <c r="G930" i="143"/>
  <c r="L2" i="145"/>
  <c r="L3" i="145"/>
  <c r="L10" i="145"/>
  <c r="L13" i="145"/>
  <c r="L14" i="145"/>
  <c r="L23" i="145"/>
  <c r="L26" i="145"/>
  <c r="L27" i="145"/>
  <c r="L28" i="145"/>
  <c r="L32" i="145"/>
  <c r="L33" i="145"/>
  <c r="L34" i="145"/>
  <c r="L35" i="145"/>
  <c r="L38" i="145"/>
  <c r="L40" i="145"/>
  <c r="L43" i="145"/>
  <c r="L45" i="145"/>
  <c r="L47" i="145"/>
  <c r="L48" i="145"/>
  <c r="L50" i="145"/>
  <c r="L51" i="145"/>
  <c r="L52" i="145"/>
  <c r="L60" i="145"/>
  <c r="L61" i="145"/>
  <c r="L63" i="145"/>
  <c r="L65" i="145"/>
  <c r="L67" i="145"/>
  <c r="L75" i="145"/>
  <c r="L77" i="145"/>
  <c r="L80" i="145"/>
  <c r="L81" i="145"/>
  <c r="L82" i="145"/>
  <c r="L86" i="145"/>
  <c r="L87" i="145"/>
  <c r="L90" i="145"/>
  <c r="L98" i="145"/>
  <c r="L103" i="145"/>
  <c r="L107" i="145"/>
  <c r="L108" i="145"/>
  <c r="L109" i="145"/>
  <c r="L114" i="145"/>
  <c r="L116" i="145"/>
  <c r="L119" i="145"/>
  <c r="L120" i="145"/>
  <c r="L122" i="145"/>
  <c r="L125" i="145"/>
  <c r="L126" i="145"/>
  <c r="L131" i="145"/>
  <c r="L133" i="145"/>
  <c r="L136" i="145"/>
  <c r="L129" i="145"/>
  <c r="K647" i="143"/>
  <c r="I647" i="143"/>
  <c r="E653" i="143" s="1"/>
  <c r="D647" i="143"/>
  <c r="B647" i="143"/>
  <c r="K593" i="143"/>
  <c r="I593" i="143"/>
  <c r="E597" i="143" s="1"/>
  <c r="D593" i="143"/>
  <c r="B593" i="143"/>
  <c r="L684" i="143"/>
  <c r="K684" i="143"/>
  <c r="L683" i="143"/>
  <c r="K683" i="143"/>
  <c r="L682" i="143"/>
  <c r="K682" i="143"/>
  <c r="L676" i="143"/>
  <c r="I675" i="143"/>
  <c r="K675" i="143" s="1"/>
  <c r="I674" i="143"/>
  <c r="L674" i="143" s="1"/>
  <c r="I673" i="143"/>
  <c r="G673" i="143"/>
  <c r="I667" i="143"/>
  <c r="L667" i="143" s="1"/>
  <c r="I666" i="143"/>
  <c r="L666" i="143" s="1"/>
  <c r="I665" i="143"/>
  <c r="L665" i="143" s="1"/>
  <c r="I664" i="143"/>
  <c r="L664" i="143" s="1"/>
  <c r="I658" i="143"/>
  <c r="L658" i="143" s="1"/>
  <c r="I657" i="143"/>
  <c r="L657" i="143" s="1"/>
  <c r="I656" i="143"/>
  <c r="L656" i="143" s="1"/>
  <c r="I655" i="143"/>
  <c r="L655" i="143" s="1"/>
  <c r="I654" i="143"/>
  <c r="L654" i="143" s="1"/>
  <c r="I653" i="143"/>
  <c r="G653" i="143"/>
  <c r="I652" i="143"/>
  <c r="G652" i="143"/>
  <c r="I651" i="143"/>
  <c r="G651" i="143"/>
  <c r="L630" i="143"/>
  <c r="K630" i="143"/>
  <c r="L629" i="143"/>
  <c r="K629" i="143"/>
  <c r="L628" i="143"/>
  <c r="K628" i="143"/>
  <c r="L622" i="143"/>
  <c r="I621" i="143"/>
  <c r="L621" i="143" s="1"/>
  <c r="I620" i="143"/>
  <c r="L620" i="143" s="1"/>
  <c r="I619" i="143"/>
  <c r="G619" i="143"/>
  <c r="I613" i="143"/>
  <c r="L613" i="143" s="1"/>
  <c r="I612" i="143"/>
  <c r="L612" i="143" s="1"/>
  <c r="I611" i="143"/>
  <c r="K611" i="143" s="1"/>
  <c r="I610" i="143"/>
  <c r="L610" i="143" s="1"/>
  <c r="I604" i="143"/>
  <c r="L604" i="143" s="1"/>
  <c r="I603" i="143"/>
  <c r="L603" i="143" s="1"/>
  <c r="I602" i="143"/>
  <c r="L602" i="143" s="1"/>
  <c r="I601" i="143"/>
  <c r="L601" i="143" s="1"/>
  <c r="I600" i="143"/>
  <c r="L600" i="143" s="1"/>
  <c r="I599" i="143"/>
  <c r="G599" i="143"/>
  <c r="I598" i="143"/>
  <c r="G598" i="143"/>
  <c r="I597" i="143"/>
  <c r="G597" i="143"/>
  <c r="K539" i="143"/>
  <c r="I539" i="143"/>
  <c r="E543" i="143" s="1"/>
  <c r="D539" i="143"/>
  <c r="B539" i="143"/>
  <c r="L576" i="143"/>
  <c r="K576" i="143"/>
  <c r="L575" i="143"/>
  <c r="K575" i="143"/>
  <c r="L574" i="143"/>
  <c r="K574" i="143"/>
  <c r="L568" i="143"/>
  <c r="I567" i="143"/>
  <c r="K567" i="143" s="1"/>
  <c r="I566" i="143"/>
  <c r="L566" i="143" s="1"/>
  <c r="I565" i="143"/>
  <c r="G565" i="143"/>
  <c r="I559" i="143"/>
  <c r="L559" i="143" s="1"/>
  <c r="I558" i="143"/>
  <c r="L558" i="143" s="1"/>
  <c r="I557" i="143"/>
  <c r="L557" i="143" s="1"/>
  <c r="I556" i="143"/>
  <c r="L556" i="143" s="1"/>
  <c r="I550" i="143"/>
  <c r="L550" i="143" s="1"/>
  <c r="I549" i="143"/>
  <c r="L549" i="143" s="1"/>
  <c r="I548" i="143"/>
  <c r="L548" i="143" s="1"/>
  <c r="I547" i="143"/>
  <c r="L547" i="143" s="1"/>
  <c r="I546" i="143"/>
  <c r="L546" i="143" s="1"/>
  <c r="I545" i="143"/>
  <c r="G545" i="143"/>
  <c r="I544" i="143"/>
  <c r="G544" i="143"/>
  <c r="I543" i="143"/>
  <c r="G543" i="143"/>
  <c r="K429" i="143"/>
  <c r="I429" i="143"/>
  <c r="E435" i="143" s="1"/>
  <c r="D429" i="143"/>
  <c r="B429" i="143"/>
  <c r="G402" i="143"/>
  <c r="I392" i="143"/>
  <c r="S10" i="145"/>
  <c r="T10" i="145" s="1"/>
  <c r="K272" i="143"/>
  <c r="I272" i="143"/>
  <c r="D272" i="143"/>
  <c r="B272" i="143"/>
  <c r="G235" i="143"/>
  <c r="E936" i="143" l="1"/>
  <c r="K3011" i="143"/>
  <c r="L3414" i="143"/>
  <c r="L3524" i="143"/>
  <c r="H94" i="1"/>
  <c r="H148" i="1"/>
  <c r="Q81" i="140" s="1"/>
  <c r="J82" i="140" s="1"/>
  <c r="J81" i="140" s="1"/>
  <c r="H128" i="1"/>
  <c r="Q67" i="140" s="1"/>
  <c r="O68" i="140" s="1"/>
  <c r="O67" i="140" s="1"/>
  <c r="H108" i="1"/>
  <c r="Q53" i="140" s="1"/>
  <c r="K54" i="140" s="1"/>
  <c r="K53" i="140" s="1"/>
  <c r="H160" i="1"/>
  <c r="Q91" i="140" s="1"/>
  <c r="O92" i="140" s="1"/>
  <c r="O91" i="140" s="1"/>
  <c r="H152" i="1"/>
  <c r="Q84" i="140" s="1"/>
  <c r="E85" i="140" s="1"/>
  <c r="E84" i="140" s="1"/>
  <c r="H132" i="1"/>
  <c r="Q69" i="140" s="1"/>
  <c r="O70" i="140" s="1"/>
  <c r="O69" i="140" s="1"/>
  <c r="H113" i="1"/>
  <c r="Q56" i="140" s="1"/>
  <c r="M57" i="140" s="1"/>
  <c r="M56" i="140" s="1"/>
  <c r="H105" i="1"/>
  <c r="Q51" i="140" s="1"/>
  <c r="I52" i="140" s="1"/>
  <c r="I51" i="140" s="1"/>
  <c r="H100" i="1"/>
  <c r="Q47" i="140" s="1"/>
  <c r="I48" i="140" s="1"/>
  <c r="I47" i="140" s="1"/>
  <c r="H123" i="1"/>
  <c r="Q63" i="140" s="1"/>
  <c r="O64" i="140" s="1"/>
  <c r="O63" i="140" s="1"/>
  <c r="H143" i="1"/>
  <c r="Q77" i="140" s="1"/>
  <c r="I78" i="140" s="1"/>
  <c r="I77" i="140" s="1"/>
  <c r="H137" i="1"/>
  <c r="Q72" i="140" s="1"/>
  <c r="H117" i="1"/>
  <c r="Q59" i="140" s="1"/>
  <c r="M60" i="140" s="1"/>
  <c r="M59" i="140" s="1"/>
  <c r="E3434" i="143"/>
  <c r="F3434" i="143" s="1"/>
  <c r="E3433" i="143"/>
  <c r="F3433" i="143" s="1"/>
  <c r="K3433" i="143" s="1"/>
  <c r="K3469" i="143"/>
  <c r="K3314" i="143"/>
  <c r="K3364" i="143"/>
  <c r="K3414" i="143"/>
  <c r="L3469" i="143"/>
  <c r="L3314" i="143"/>
  <c r="L3364" i="143"/>
  <c r="K3524" i="143"/>
  <c r="I108" i="1"/>
  <c r="F3489" i="143"/>
  <c r="K3489" i="143" s="1"/>
  <c r="F3490" i="143"/>
  <c r="F3493" i="143"/>
  <c r="K3493" i="143" s="1"/>
  <c r="F3494" i="143"/>
  <c r="K3494" i="143" s="1"/>
  <c r="F3491" i="143"/>
  <c r="K3491" i="143" s="1"/>
  <c r="F3495" i="143"/>
  <c r="K3495" i="143" s="1"/>
  <c r="F3488" i="143"/>
  <c r="F3492" i="143"/>
  <c r="K3492" i="143" s="1"/>
  <c r="F3496" i="143"/>
  <c r="K3496" i="143" s="1"/>
  <c r="K3502" i="143"/>
  <c r="K3512" i="143"/>
  <c r="K3504" i="143"/>
  <c r="L3513" i="143"/>
  <c r="K3503" i="143"/>
  <c r="L3507" i="143"/>
  <c r="L3489" i="143"/>
  <c r="K3505" i="143"/>
  <c r="E3456" i="143"/>
  <c r="E3435" i="143"/>
  <c r="K3440" i="143"/>
  <c r="K3448" i="143"/>
  <c r="K3457" i="143"/>
  <c r="K3436" i="143"/>
  <c r="K3447" i="143"/>
  <c r="L3458" i="143"/>
  <c r="K3441" i="143"/>
  <c r="L3449" i="143"/>
  <c r="L3452" i="143" s="1"/>
  <c r="L3438" i="143"/>
  <c r="K3438" i="143"/>
  <c r="K3434" i="143"/>
  <c r="K3450" i="143"/>
  <c r="K3385" i="143"/>
  <c r="K3392" i="143"/>
  <c r="K3386" i="143"/>
  <c r="K3394" i="143"/>
  <c r="L3403" i="143"/>
  <c r="K3393" i="143"/>
  <c r="L3397" i="143"/>
  <c r="K3402" i="143"/>
  <c r="L3383" i="143"/>
  <c r="L3388" i="143" s="1"/>
  <c r="F3383" i="143"/>
  <c r="K3383" i="143" s="1"/>
  <c r="K3384" i="143"/>
  <c r="K3395" i="143"/>
  <c r="E3401" i="143"/>
  <c r="L88" i="145" s="1"/>
  <c r="E276" i="145"/>
  <c r="F276" i="145" s="1"/>
  <c r="K3335" i="143"/>
  <c r="L3343" i="143"/>
  <c r="L3347" i="143" s="1"/>
  <c r="K3342" i="143"/>
  <c r="L3353" i="143"/>
  <c r="K3336" i="143"/>
  <c r="L3344" i="143"/>
  <c r="K3352" i="143"/>
  <c r="L3333" i="143"/>
  <c r="L3338" i="143" s="1"/>
  <c r="F3333" i="143"/>
  <c r="K3333" i="143" s="1"/>
  <c r="K3334" i="143"/>
  <c r="K3345" i="143"/>
  <c r="E3351" i="143"/>
  <c r="L3292" i="143"/>
  <c r="L3283" i="143"/>
  <c r="L3302" i="143"/>
  <c r="L3293" i="143"/>
  <c r="L3285" i="143"/>
  <c r="L3303" i="143"/>
  <c r="E3301" i="143"/>
  <c r="L3286" i="143"/>
  <c r="K3286" i="143"/>
  <c r="K3295" i="143"/>
  <c r="F3283" i="143"/>
  <c r="K3283" i="143" s="1"/>
  <c r="K3294" i="143"/>
  <c r="K1748" i="143"/>
  <c r="L2240" i="143"/>
  <c r="L2347" i="143"/>
  <c r="K3214" i="143"/>
  <c r="L2563" i="143"/>
  <c r="K2619" i="143"/>
  <c r="L2675" i="143"/>
  <c r="L2787" i="143"/>
  <c r="K2843" i="143"/>
  <c r="L2899" i="143"/>
  <c r="L2955" i="143"/>
  <c r="K2240" i="143"/>
  <c r="K2296" i="143"/>
  <c r="K2347" i="143"/>
  <c r="K2398" i="143"/>
  <c r="K2451" i="143"/>
  <c r="K2507" i="143"/>
  <c r="L2619" i="143"/>
  <c r="L2843" i="143"/>
  <c r="K2955" i="143"/>
  <c r="L3214" i="143"/>
  <c r="K3192" i="143"/>
  <c r="E3184" i="143"/>
  <c r="E3185" i="143"/>
  <c r="K3194" i="143"/>
  <c r="L3203" i="143"/>
  <c r="K3193" i="143"/>
  <c r="L3197" i="143"/>
  <c r="K3202" i="143"/>
  <c r="L3186" i="143"/>
  <c r="F3186" i="143"/>
  <c r="K3186" i="143" s="1"/>
  <c r="K3195" i="143"/>
  <c r="E3201" i="143"/>
  <c r="E3034" i="143"/>
  <c r="E3033" i="143" s="1"/>
  <c r="E2974" i="143"/>
  <c r="F2974" i="143" s="1"/>
  <c r="K2974" i="143" s="1"/>
  <c r="K1969" i="143"/>
  <c r="L2184" i="143"/>
  <c r="L2296" i="143"/>
  <c r="L2398" i="143"/>
  <c r="L2451" i="143"/>
  <c r="L2507" i="143"/>
  <c r="K2731" i="143"/>
  <c r="L3011" i="143"/>
  <c r="L1692" i="143"/>
  <c r="L1969" i="143"/>
  <c r="K2184" i="143"/>
  <c r="K2563" i="143"/>
  <c r="K2675" i="143"/>
  <c r="L2731" i="143"/>
  <c r="K2787" i="143"/>
  <c r="K2899" i="143"/>
  <c r="L2919" i="143"/>
  <c r="K2978" i="143"/>
  <c r="K2982" i="143"/>
  <c r="L2990" i="143"/>
  <c r="K2999" i="143"/>
  <c r="L2976" i="143"/>
  <c r="L2980" i="143"/>
  <c r="K2989" i="143"/>
  <c r="L3000" i="143"/>
  <c r="K2975" i="143"/>
  <c r="K2979" i="143"/>
  <c r="K2983" i="143"/>
  <c r="L2991" i="143"/>
  <c r="L2998" i="143"/>
  <c r="F2998" i="143"/>
  <c r="K2998" i="143" s="1"/>
  <c r="K2977" i="143"/>
  <c r="K2981" i="143"/>
  <c r="K2992" i="143"/>
  <c r="L92" i="145"/>
  <c r="K2933" i="143"/>
  <c r="K2924" i="143"/>
  <c r="K2926" i="143"/>
  <c r="K2923" i="143"/>
  <c r="L2944" i="143"/>
  <c r="K2927" i="143"/>
  <c r="K2935" i="143"/>
  <c r="K2920" i="143"/>
  <c r="K2922" i="143"/>
  <c r="K2934" i="143"/>
  <c r="E2886" i="143"/>
  <c r="L2886" i="143" s="1"/>
  <c r="E2918" i="143"/>
  <c r="L2918" i="143" s="1"/>
  <c r="L2938" i="143"/>
  <c r="K2943" i="143"/>
  <c r="L2942" i="143"/>
  <c r="F2942" i="143"/>
  <c r="K2942" i="143" s="1"/>
  <c r="K2921" i="143"/>
  <c r="K2925" i="143"/>
  <c r="K2936" i="143"/>
  <c r="K2866" i="143"/>
  <c r="K2870" i="143"/>
  <c r="L2868" i="143"/>
  <c r="K2878" i="143"/>
  <c r="L2864" i="143"/>
  <c r="K2877" i="143"/>
  <c r="L2862" i="143"/>
  <c r="K2863" i="143"/>
  <c r="K2867" i="143"/>
  <c r="K2871" i="143"/>
  <c r="L2879" i="143"/>
  <c r="L2882" i="143" s="1"/>
  <c r="L2888" i="143"/>
  <c r="K2887" i="143"/>
  <c r="F2862" i="143"/>
  <c r="K2862" i="143" s="1"/>
  <c r="K2865" i="143"/>
  <c r="K2869" i="143"/>
  <c r="K2880" i="143"/>
  <c r="L2822" i="143"/>
  <c r="E2830" i="143"/>
  <c r="F2830" i="143" s="1"/>
  <c r="K2824" i="143"/>
  <c r="K2815" i="143"/>
  <c r="K2813" i="143"/>
  <c r="K2831" i="143"/>
  <c r="K2758" i="143"/>
  <c r="K2809" i="143"/>
  <c r="K2811" i="143"/>
  <c r="L2832" i="143"/>
  <c r="K2807" i="143"/>
  <c r="L2814" i="143"/>
  <c r="L2821" i="143"/>
  <c r="L2826" i="143" s="1"/>
  <c r="L2810" i="143"/>
  <c r="L2806" i="143"/>
  <c r="F2806" i="143"/>
  <c r="K2806" i="143" s="1"/>
  <c r="K2808" i="143"/>
  <c r="K2812" i="143"/>
  <c r="K2823" i="143"/>
  <c r="K2826" i="143" s="1"/>
  <c r="L2756" i="143"/>
  <c r="K2766" i="143"/>
  <c r="K2754" i="143"/>
  <c r="L2752" i="143"/>
  <c r="K2765" i="143"/>
  <c r="L2750" i="143"/>
  <c r="K2751" i="143"/>
  <c r="K2755" i="143"/>
  <c r="K2759" i="143"/>
  <c r="L2767" i="143"/>
  <c r="L2770" i="143" s="1"/>
  <c r="L2776" i="143"/>
  <c r="K2775" i="143"/>
  <c r="L2774" i="143"/>
  <c r="K2774" i="143"/>
  <c r="F2750" i="143"/>
  <c r="K2750" i="143" s="1"/>
  <c r="K2753" i="143"/>
  <c r="K2757" i="143"/>
  <c r="K2768" i="143"/>
  <c r="L2699" i="143"/>
  <c r="K2702" i="143"/>
  <c r="L2710" i="143"/>
  <c r="L2714" i="143" s="1"/>
  <c r="L2703" i="143"/>
  <c r="L2719" i="143"/>
  <c r="K2698" i="143"/>
  <c r="K2709" i="143"/>
  <c r="L2720" i="143"/>
  <c r="L2696" i="143"/>
  <c r="K2696" i="143"/>
  <c r="K2697" i="143"/>
  <c r="K2701" i="143"/>
  <c r="K2712" i="143"/>
  <c r="E2718" i="143"/>
  <c r="L94" i="145" s="1"/>
  <c r="M94" i="145" s="1"/>
  <c r="E2694" i="143"/>
  <c r="E106" i="145" s="1"/>
  <c r="F106" i="145" s="1"/>
  <c r="K2700" i="143"/>
  <c r="K2711" i="143"/>
  <c r="K2642" i="143"/>
  <c r="E143" i="145"/>
  <c r="F143" i="145" s="1"/>
  <c r="E2639" i="143"/>
  <c r="F2639" i="143" s="1"/>
  <c r="K2639" i="143" s="1"/>
  <c r="K2663" i="143"/>
  <c r="E2638" i="143"/>
  <c r="F2638" i="143" s="1"/>
  <c r="K2640" i="143"/>
  <c r="K2646" i="143"/>
  <c r="L2654" i="143"/>
  <c r="L2640" i="143"/>
  <c r="L2644" i="143"/>
  <c r="K2653" i="143"/>
  <c r="L2664" i="143"/>
  <c r="K2643" i="143"/>
  <c r="K2647" i="143"/>
  <c r="L2655" i="143"/>
  <c r="K2641" i="143"/>
  <c r="K2645" i="143"/>
  <c r="K2656" i="143"/>
  <c r="E2662" i="143"/>
  <c r="L104" i="145" s="1"/>
  <c r="E2582" i="143"/>
  <c r="F2582" i="143" s="1"/>
  <c r="K2582" i="143" s="1"/>
  <c r="L2583" i="143"/>
  <c r="K2599" i="143"/>
  <c r="K2590" i="143"/>
  <c r="K2597" i="143"/>
  <c r="K2591" i="143"/>
  <c r="K2588" i="143"/>
  <c r="K2598" i="143"/>
  <c r="L2608" i="143"/>
  <c r="K2585" i="143"/>
  <c r="L2602" i="143"/>
  <c r="K2607" i="143"/>
  <c r="K2586" i="143"/>
  <c r="K2589" i="143"/>
  <c r="K2600" i="143"/>
  <c r="E2606" i="143"/>
  <c r="K2583" i="143"/>
  <c r="K2587" i="143"/>
  <c r="K2584" i="143"/>
  <c r="F2530" i="143"/>
  <c r="K2530" i="143" s="1"/>
  <c r="K2551" i="143"/>
  <c r="F2531" i="143"/>
  <c r="K2531" i="143" s="1"/>
  <c r="F2526" i="143"/>
  <c r="K2526" i="143" s="1"/>
  <c r="F2527" i="143"/>
  <c r="F2529" i="143"/>
  <c r="K2529" i="143" s="1"/>
  <c r="K2534" i="143"/>
  <c r="K2542" i="143"/>
  <c r="K2532" i="143"/>
  <c r="F2528" i="143"/>
  <c r="K2528" i="143" s="1"/>
  <c r="L2532" i="143"/>
  <c r="K2541" i="143"/>
  <c r="L2552" i="143"/>
  <c r="L2530" i="143"/>
  <c r="K2535" i="143"/>
  <c r="L2543" i="143"/>
  <c r="L2546" i="143" s="1"/>
  <c r="L2529" i="143"/>
  <c r="K2533" i="143"/>
  <c r="K2544" i="143"/>
  <c r="E2550" i="143"/>
  <c r="L57" i="145" s="1"/>
  <c r="E2470" i="143"/>
  <c r="L2470" i="143" s="1"/>
  <c r="E2474" i="143"/>
  <c r="F2474" i="143" s="1"/>
  <c r="K2474" i="143" s="1"/>
  <c r="E2473" i="143"/>
  <c r="L2473" i="143" s="1"/>
  <c r="L2475" i="143"/>
  <c r="K2478" i="143"/>
  <c r="E2472" i="143"/>
  <c r="F2472" i="143" s="1"/>
  <c r="K2472" i="143" s="1"/>
  <c r="K2485" i="143"/>
  <c r="K2495" i="143"/>
  <c r="L2494" i="143"/>
  <c r="L2479" i="143"/>
  <c r="L2486" i="143"/>
  <c r="L2490" i="143" s="1"/>
  <c r="E2471" i="143"/>
  <c r="L2496" i="143"/>
  <c r="K2477" i="143"/>
  <c r="K2488" i="143"/>
  <c r="K2429" i="143"/>
  <c r="K2476" i="143"/>
  <c r="K2487" i="143"/>
  <c r="F2494" i="143"/>
  <c r="K2494" i="143" s="1"/>
  <c r="E2421" i="143"/>
  <c r="L2421" i="143" s="1"/>
  <c r="E2420" i="143"/>
  <c r="F2420" i="143" s="1"/>
  <c r="K2420" i="143" s="1"/>
  <c r="E2419" i="143"/>
  <c r="L2419" i="143" s="1"/>
  <c r="K2423" i="143"/>
  <c r="F2418" i="143"/>
  <c r="K2422" i="143"/>
  <c r="E2417" i="143"/>
  <c r="F2417" i="143" s="1"/>
  <c r="K2431" i="143"/>
  <c r="L2440" i="143"/>
  <c r="K2430" i="143"/>
  <c r="L2434" i="143"/>
  <c r="K2439" i="143"/>
  <c r="K2432" i="143"/>
  <c r="E2438" i="143"/>
  <c r="K2377" i="143"/>
  <c r="E2367" i="143"/>
  <c r="F2367" i="143" s="1"/>
  <c r="L2370" i="143"/>
  <c r="K2376" i="143"/>
  <c r="E2366" i="143"/>
  <c r="F2366" i="143" s="1"/>
  <c r="L2387" i="143"/>
  <c r="K2386" i="143"/>
  <c r="L2368" i="143"/>
  <c r="K2368" i="143"/>
  <c r="L2381" i="143"/>
  <c r="K2369" i="143"/>
  <c r="K2379" i="143"/>
  <c r="E2385" i="143"/>
  <c r="K2378" i="143"/>
  <c r="E2315" i="143"/>
  <c r="K2325" i="143"/>
  <c r="K2327" i="143"/>
  <c r="L2336" i="143"/>
  <c r="K2319" i="143"/>
  <c r="K2326" i="143"/>
  <c r="L2330" i="143"/>
  <c r="K2335" i="143"/>
  <c r="L2317" i="143"/>
  <c r="F2317" i="143"/>
  <c r="K2317" i="143" s="1"/>
  <c r="E2316" i="143"/>
  <c r="K2318" i="143"/>
  <c r="K2328" i="143"/>
  <c r="E2334" i="143"/>
  <c r="K2263" i="143"/>
  <c r="K2284" i="143"/>
  <c r="E2259" i="143"/>
  <c r="K2267" i="143"/>
  <c r="L2275" i="143"/>
  <c r="E2260" i="143"/>
  <c r="L2265" i="143"/>
  <c r="K2274" i="143"/>
  <c r="L2285" i="143"/>
  <c r="K2264" i="143"/>
  <c r="K2268" i="143"/>
  <c r="L2276" i="143"/>
  <c r="L2261" i="143"/>
  <c r="F2261" i="143"/>
  <c r="K2261" i="143" s="1"/>
  <c r="K2262" i="143"/>
  <c r="K2266" i="143"/>
  <c r="K2277" i="143"/>
  <c r="E2283" i="143"/>
  <c r="L2206" i="143"/>
  <c r="K2208" i="143"/>
  <c r="E2204" i="143"/>
  <c r="E2205" i="143"/>
  <c r="L2205" i="143" s="1"/>
  <c r="L2209" i="143"/>
  <c r="L2207" i="143"/>
  <c r="K2218" i="143"/>
  <c r="K2211" i="143"/>
  <c r="K2228" i="143"/>
  <c r="K2212" i="143"/>
  <c r="K2220" i="143"/>
  <c r="L2229" i="143"/>
  <c r="K2219" i="143"/>
  <c r="L2203" i="143"/>
  <c r="L2223" i="143"/>
  <c r="F2203" i="143"/>
  <c r="K2203" i="143" s="1"/>
  <c r="K2210" i="143"/>
  <c r="K2221" i="143"/>
  <c r="E2227" i="143"/>
  <c r="L2163" i="143"/>
  <c r="L2167" i="143" s="1"/>
  <c r="E2150" i="143"/>
  <c r="K2172" i="143"/>
  <c r="E2152" i="143"/>
  <c r="F2152" i="143" s="1"/>
  <c r="K2152" i="143" s="1"/>
  <c r="K2162" i="143"/>
  <c r="K2164" i="143"/>
  <c r="L2173" i="143"/>
  <c r="E2151" i="143"/>
  <c r="F2151" i="143" s="1"/>
  <c r="L2153" i="143"/>
  <c r="K2153" i="143"/>
  <c r="K2165" i="143"/>
  <c r="E2171" i="143"/>
  <c r="E1936" i="143"/>
  <c r="E1938" i="143"/>
  <c r="F1938" i="143" s="1"/>
  <c r="K1938" i="143" s="1"/>
  <c r="E1933" i="143"/>
  <c r="E1935" i="143"/>
  <c r="K1940" i="143"/>
  <c r="L1948" i="143"/>
  <c r="K1947" i="143"/>
  <c r="K1941" i="143"/>
  <c r="L1949" i="143"/>
  <c r="L1958" i="143"/>
  <c r="K1957" i="143"/>
  <c r="E1937" i="143"/>
  <c r="K1939" i="143"/>
  <c r="K1950" i="143"/>
  <c r="E1956" i="143"/>
  <c r="E1934" i="143"/>
  <c r="L1527" i="143"/>
  <c r="L1748" i="143"/>
  <c r="K1692" i="143"/>
  <c r="K1804" i="143"/>
  <c r="L1804" i="143"/>
  <c r="E1767" i="143"/>
  <c r="L1793" i="143"/>
  <c r="L1772" i="143"/>
  <c r="K1776" i="143"/>
  <c r="L1784" i="143"/>
  <c r="L1787" i="143" s="1"/>
  <c r="K1783" i="143"/>
  <c r="K1792" i="143"/>
  <c r="K1771" i="143"/>
  <c r="K1775" i="143"/>
  <c r="L1773" i="143"/>
  <c r="K1782" i="143"/>
  <c r="L1769" i="143"/>
  <c r="K1769" i="143"/>
  <c r="E1713" i="143"/>
  <c r="L1713" i="143" s="1"/>
  <c r="E1714" i="143"/>
  <c r="E1712" i="143"/>
  <c r="K1774" i="143"/>
  <c r="K1785" i="143"/>
  <c r="E1791" i="143"/>
  <c r="L20" i="145" s="1"/>
  <c r="E1735" i="143"/>
  <c r="F1735" i="143" s="1"/>
  <c r="K1735" i="143" s="1"/>
  <c r="L1717" i="143"/>
  <c r="L1715" i="143"/>
  <c r="L1716" i="143"/>
  <c r="L1727" i="143"/>
  <c r="L1718" i="143"/>
  <c r="L1720" i="143"/>
  <c r="L1728" i="143"/>
  <c r="L1736" i="143"/>
  <c r="L1737" i="143"/>
  <c r="L1711" i="143"/>
  <c r="F1711" i="143"/>
  <c r="K1711" i="143" s="1"/>
  <c r="K1718" i="143"/>
  <c r="K1720" i="143"/>
  <c r="K1726" i="143"/>
  <c r="K1736" i="143"/>
  <c r="K1729" i="143"/>
  <c r="E1679" i="143"/>
  <c r="F1679" i="143" s="1"/>
  <c r="K1679" i="143" s="1"/>
  <c r="E1662" i="143"/>
  <c r="L1662" i="143" s="1"/>
  <c r="E1659" i="143"/>
  <c r="E1664" i="143"/>
  <c r="L1664" i="143" s="1"/>
  <c r="E1660" i="143"/>
  <c r="F1660" i="143" s="1"/>
  <c r="K1660" i="143" s="1"/>
  <c r="L1658" i="143"/>
  <c r="L1672" i="143"/>
  <c r="L1675" i="143" s="1"/>
  <c r="E1680" i="143"/>
  <c r="L1680" i="143" s="1"/>
  <c r="L1681" i="143"/>
  <c r="K1671" i="143"/>
  <c r="F1658" i="143"/>
  <c r="K1658" i="143" s="1"/>
  <c r="K1670" i="143"/>
  <c r="E1661" i="143"/>
  <c r="E1663" i="143"/>
  <c r="K1673" i="143"/>
  <c r="K1617" i="143"/>
  <c r="K1639" i="143"/>
  <c r="L1604" i="143"/>
  <c r="L1639" i="143"/>
  <c r="L1608" i="143"/>
  <c r="K1607" i="143"/>
  <c r="K1611" i="143"/>
  <c r="L1619" i="143"/>
  <c r="L1622" i="143" s="1"/>
  <c r="L1628" i="143"/>
  <c r="K1618" i="143"/>
  <c r="K1627" i="143"/>
  <c r="K1606" i="143"/>
  <c r="K1610" i="143"/>
  <c r="L1603" i="143"/>
  <c r="F1603" i="143"/>
  <c r="K1603" i="143" s="1"/>
  <c r="E1602" i="143"/>
  <c r="K1605" i="143"/>
  <c r="K1609" i="143"/>
  <c r="K1620" i="143"/>
  <c r="E1626" i="143"/>
  <c r="K1552" i="143"/>
  <c r="L1550" i="143"/>
  <c r="L1551" i="143"/>
  <c r="E1494" i="143"/>
  <c r="F1494" i="143" s="1"/>
  <c r="K1494" i="143" s="1"/>
  <c r="E1490" i="143"/>
  <c r="L1490" i="143" s="1"/>
  <c r="E1493" i="143"/>
  <c r="E1491" i="143"/>
  <c r="E1492" i="143"/>
  <c r="F1492" i="143" s="1"/>
  <c r="K1492" i="143" s="1"/>
  <c r="L1495" i="143"/>
  <c r="L1496" i="143"/>
  <c r="K1527" i="143"/>
  <c r="L1079" i="143"/>
  <c r="K1515" i="143"/>
  <c r="E160" i="145"/>
  <c r="F160" i="145" s="1"/>
  <c r="K1505" i="143"/>
  <c r="K1507" i="143"/>
  <c r="L1516" i="143"/>
  <c r="K1506" i="143"/>
  <c r="L1510" i="143"/>
  <c r="L1499" i="143"/>
  <c r="K1499" i="143"/>
  <c r="K1508" i="143"/>
  <c r="E1514" i="143"/>
  <c r="L18" i="145" s="1"/>
  <c r="M18" i="145" s="1"/>
  <c r="L1359" i="143"/>
  <c r="K967" i="143"/>
  <c r="K1135" i="143"/>
  <c r="L1191" i="143"/>
  <c r="L1303" i="143"/>
  <c r="L1330" i="143"/>
  <c r="K578" i="143"/>
  <c r="K686" i="143"/>
  <c r="L578" i="143"/>
  <c r="L632" i="143"/>
  <c r="L686" i="143"/>
  <c r="K1359" i="143"/>
  <c r="E1323" i="143"/>
  <c r="E1328" i="143"/>
  <c r="E1326" i="143"/>
  <c r="E1327" i="143"/>
  <c r="F1327" i="143" s="1"/>
  <c r="K1327" i="143" s="1"/>
  <c r="E1325" i="143"/>
  <c r="E1324" i="143"/>
  <c r="L1324" i="143" s="1"/>
  <c r="K1329" i="143"/>
  <c r="L1338" i="143"/>
  <c r="L1322" i="143"/>
  <c r="K1347" i="143"/>
  <c r="K1337" i="143"/>
  <c r="L1348" i="143"/>
  <c r="L1273" i="143"/>
  <c r="K1331" i="143"/>
  <c r="L1339" i="143"/>
  <c r="K1340" i="143"/>
  <c r="E1346" i="143"/>
  <c r="L6" i="145" s="1"/>
  <c r="M6" i="145" s="1"/>
  <c r="F1322" i="143"/>
  <c r="K1322" i="143" s="1"/>
  <c r="E1267" i="143"/>
  <c r="L1267" i="143" s="1"/>
  <c r="E1268" i="143"/>
  <c r="E1272" i="143"/>
  <c r="L1272" i="143" s="1"/>
  <c r="E1266" i="143"/>
  <c r="F1266" i="143" s="1"/>
  <c r="K1266" i="143" s="1"/>
  <c r="K1281" i="143"/>
  <c r="L967" i="143"/>
  <c r="K1023" i="143"/>
  <c r="L1135" i="143"/>
  <c r="K1191" i="143"/>
  <c r="K1247" i="143"/>
  <c r="K1303" i="143"/>
  <c r="K632" i="143"/>
  <c r="L1023" i="143"/>
  <c r="K1079" i="143"/>
  <c r="L1247" i="143"/>
  <c r="L1266" i="143"/>
  <c r="L1271" i="143"/>
  <c r="K1291" i="143"/>
  <c r="K1275" i="143"/>
  <c r="K1283" i="143"/>
  <c r="L1292" i="143"/>
  <c r="K1282" i="143"/>
  <c r="L1269" i="143"/>
  <c r="L1286" i="143"/>
  <c r="F1269" i="143"/>
  <c r="K1269" i="143" s="1"/>
  <c r="F1271" i="143"/>
  <c r="K1271" i="143" s="1"/>
  <c r="K1273" i="143"/>
  <c r="K1284" i="143"/>
  <c r="E1290" i="143"/>
  <c r="L9" i="145" s="1"/>
  <c r="M9" i="145" s="1"/>
  <c r="E1270" i="143"/>
  <c r="E1210" i="143"/>
  <c r="L1218" i="143"/>
  <c r="F1218" i="143"/>
  <c r="K1218" i="143" s="1"/>
  <c r="K1226" i="143"/>
  <c r="K1225" i="143"/>
  <c r="K1235" i="143"/>
  <c r="K1219" i="143"/>
  <c r="L1236" i="143"/>
  <c r="L1216" i="143"/>
  <c r="F1216" i="143"/>
  <c r="K1216" i="143" s="1"/>
  <c r="L1230" i="143"/>
  <c r="E1211" i="143"/>
  <c r="E1213" i="143"/>
  <c r="E1215" i="143"/>
  <c r="E1217" i="143"/>
  <c r="K1228" i="143"/>
  <c r="E1234" i="143"/>
  <c r="K1227" i="143"/>
  <c r="E1212" i="143"/>
  <c r="E1214" i="143"/>
  <c r="E1155" i="143"/>
  <c r="E1161" i="143"/>
  <c r="E1159" i="143"/>
  <c r="E1160" i="143"/>
  <c r="F1160" i="143" s="1"/>
  <c r="K1160" i="143" s="1"/>
  <c r="E1158" i="143"/>
  <c r="E1157" i="143"/>
  <c r="E1156" i="143"/>
  <c r="K1169" i="143"/>
  <c r="K1162" i="143"/>
  <c r="K1179" i="143"/>
  <c r="K1163" i="143"/>
  <c r="K1171" i="143"/>
  <c r="L1180" i="143"/>
  <c r="K1170" i="143"/>
  <c r="L1174" i="143"/>
  <c r="K1172" i="143"/>
  <c r="E1178" i="143"/>
  <c r="K1106" i="143"/>
  <c r="K1114" i="143"/>
  <c r="K1123" i="143"/>
  <c r="K1113" i="143"/>
  <c r="L1124" i="143"/>
  <c r="K1107" i="143"/>
  <c r="L1115" i="143"/>
  <c r="L1118" i="143" s="1"/>
  <c r="L1104" i="143"/>
  <c r="F1104" i="143"/>
  <c r="K1104" i="143" s="1"/>
  <c r="E1045" i="143"/>
  <c r="E1049" i="143"/>
  <c r="E1046" i="143"/>
  <c r="E1043" i="143"/>
  <c r="E1099" i="143"/>
  <c r="E1101" i="143"/>
  <c r="E1103" i="143"/>
  <c r="E1105" i="143"/>
  <c r="K1116" i="143"/>
  <c r="E1122" i="143"/>
  <c r="E1042" i="143"/>
  <c r="E1047" i="143"/>
  <c r="E1044" i="143"/>
  <c r="E1098" i="143"/>
  <c r="E1100" i="143"/>
  <c r="E1102" i="143"/>
  <c r="K1050" i="143"/>
  <c r="L1058" i="143"/>
  <c r="L1062" i="143" s="1"/>
  <c r="L1051" i="143"/>
  <c r="K1057" i="143"/>
  <c r="L1068" i="143"/>
  <c r="K1067" i="143"/>
  <c r="L1048" i="143"/>
  <c r="F1048" i="143"/>
  <c r="K1048" i="143" s="1"/>
  <c r="E988" i="143"/>
  <c r="E992" i="143"/>
  <c r="L992" i="143" s="1"/>
  <c r="E989" i="143"/>
  <c r="E993" i="143"/>
  <c r="K1060" i="143"/>
  <c r="E1066" i="143"/>
  <c r="E986" i="143"/>
  <c r="E990" i="143"/>
  <c r="K1059" i="143"/>
  <c r="E599" i="143"/>
  <c r="F599" i="143" s="1"/>
  <c r="K599" i="143" s="1"/>
  <c r="E987" i="143"/>
  <c r="K1002" i="143"/>
  <c r="K1001" i="143"/>
  <c r="L994" i="143"/>
  <c r="K995" i="143"/>
  <c r="L1012" i="143"/>
  <c r="K1011" i="143"/>
  <c r="L1006" i="143"/>
  <c r="K1004" i="143"/>
  <c r="E1010" i="143"/>
  <c r="E436" i="143"/>
  <c r="E598" i="143"/>
  <c r="L598" i="143" s="1"/>
  <c r="E651" i="143"/>
  <c r="L651" i="143" s="1"/>
  <c r="K946" i="143"/>
  <c r="K1003" i="143"/>
  <c r="K945" i="143"/>
  <c r="L938" i="143"/>
  <c r="K939" i="143"/>
  <c r="L956" i="143"/>
  <c r="K955" i="143"/>
  <c r="L936" i="143"/>
  <c r="F936" i="143"/>
  <c r="K936" i="143" s="1"/>
  <c r="L950" i="143"/>
  <c r="E652" i="143"/>
  <c r="F652" i="143" s="1"/>
  <c r="K652" i="143" s="1"/>
  <c r="E933" i="143"/>
  <c r="E935" i="143"/>
  <c r="E937" i="143"/>
  <c r="K948" i="143"/>
  <c r="E954" i="143"/>
  <c r="K947" i="143"/>
  <c r="E565" i="143"/>
  <c r="L565" i="143" s="1"/>
  <c r="E544" i="143"/>
  <c r="F544" i="143" s="1"/>
  <c r="K544" i="143" s="1"/>
  <c r="E930" i="143"/>
  <c r="E932" i="143"/>
  <c r="E934" i="143"/>
  <c r="K664" i="143"/>
  <c r="K601" i="143"/>
  <c r="K603" i="143"/>
  <c r="L611" i="143"/>
  <c r="L615" i="143" s="1"/>
  <c r="K674" i="143"/>
  <c r="K655" i="143"/>
  <c r="K657" i="143"/>
  <c r="L597" i="143"/>
  <c r="K620" i="143"/>
  <c r="L653" i="143"/>
  <c r="K654" i="143"/>
  <c r="K600" i="143"/>
  <c r="K610" i="143"/>
  <c r="K658" i="143"/>
  <c r="K666" i="143"/>
  <c r="L675" i="143"/>
  <c r="K604" i="143"/>
  <c r="K612" i="143"/>
  <c r="K621" i="143"/>
  <c r="K665" i="143"/>
  <c r="L669" i="143"/>
  <c r="E545" i="143"/>
  <c r="L545" i="143" s="1"/>
  <c r="F597" i="143"/>
  <c r="K597" i="143" s="1"/>
  <c r="K602" i="143"/>
  <c r="K613" i="143"/>
  <c r="E619" i="143"/>
  <c r="F653" i="143"/>
  <c r="K653" i="143" s="1"/>
  <c r="K656" i="143"/>
  <c r="K667" i="143"/>
  <c r="E673" i="143"/>
  <c r="K550" i="143"/>
  <c r="K546" i="143"/>
  <c r="K556" i="143"/>
  <c r="K549" i="143"/>
  <c r="L567" i="143"/>
  <c r="K557" i="143"/>
  <c r="K566" i="143"/>
  <c r="L543" i="143"/>
  <c r="L561" i="143"/>
  <c r="F543" i="143"/>
  <c r="K543" i="143" s="1"/>
  <c r="K548" i="143"/>
  <c r="K559" i="143"/>
  <c r="E434" i="143"/>
  <c r="K547" i="143"/>
  <c r="K558" i="143"/>
  <c r="E437" i="143"/>
  <c r="E433" i="143"/>
  <c r="L1327" i="143" l="1"/>
  <c r="L2474" i="143"/>
  <c r="F992" i="143"/>
  <c r="K992" i="143" s="1"/>
  <c r="L599" i="143"/>
  <c r="L3434" i="143"/>
  <c r="K3507" i="143"/>
  <c r="L3511" i="143"/>
  <c r="L3516" i="143" s="1"/>
  <c r="F3511" i="143"/>
  <c r="K3511" i="143" s="1"/>
  <c r="K3516" i="143" s="1"/>
  <c r="L3488" i="143"/>
  <c r="K3488" i="143"/>
  <c r="L3490" i="143"/>
  <c r="K3490" i="143"/>
  <c r="L3433" i="143"/>
  <c r="K3452" i="143"/>
  <c r="L3435" i="143"/>
  <c r="F3435" i="143"/>
  <c r="K3435" i="143" s="1"/>
  <c r="L3437" i="143"/>
  <c r="K3437" i="143"/>
  <c r="L3456" i="143"/>
  <c r="L3461" i="143" s="1"/>
  <c r="F3456" i="143"/>
  <c r="K3456" i="143" s="1"/>
  <c r="K3461" i="143" s="1"/>
  <c r="L3439" i="143"/>
  <c r="K3439" i="143"/>
  <c r="K3388" i="143"/>
  <c r="K3397" i="143"/>
  <c r="L97" i="145"/>
  <c r="M97" i="145" s="1"/>
  <c r="K3347" i="143"/>
  <c r="L3401" i="143"/>
  <c r="L3406" i="143" s="1"/>
  <c r="L3417" i="143" s="1"/>
  <c r="F3401" i="143"/>
  <c r="K3401" i="143" s="1"/>
  <c r="K3406" i="143" s="1"/>
  <c r="K3338" i="143"/>
  <c r="L652" i="143"/>
  <c r="L660" i="143" s="1"/>
  <c r="L3297" i="143"/>
  <c r="L3351" i="143"/>
  <c r="L3356" i="143" s="1"/>
  <c r="L3367" i="143" s="1"/>
  <c r="F3351" i="143"/>
  <c r="K3351" i="143" s="1"/>
  <c r="K3356" i="143" s="1"/>
  <c r="L3301" i="143"/>
  <c r="L3306" i="143" s="1"/>
  <c r="L96" i="145"/>
  <c r="F3301" i="143"/>
  <c r="K3301" i="143" s="1"/>
  <c r="K3306" i="143" s="1"/>
  <c r="K3285" i="143"/>
  <c r="K3297" i="143"/>
  <c r="F651" i="143"/>
  <c r="K651" i="143" s="1"/>
  <c r="K660" i="143" s="1"/>
  <c r="L3284" i="143"/>
  <c r="L3288" i="143" s="1"/>
  <c r="K3284" i="143"/>
  <c r="K3288" i="143" s="1"/>
  <c r="K3197" i="143"/>
  <c r="L3185" i="143"/>
  <c r="F3185" i="143"/>
  <c r="K3185" i="143" s="1"/>
  <c r="L3184" i="143"/>
  <c r="F3184" i="143"/>
  <c r="K3184" i="143" s="1"/>
  <c r="L3201" i="143"/>
  <c r="L3206" i="143" s="1"/>
  <c r="F3201" i="143"/>
  <c r="K3201" i="143" s="1"/>
  <c r="K3206" i="143" s="1"/>
  <c r="K2994" i="143"/>
  <c r="L2929" i="143"/>
  <c r="L2974" i="143"/>
  <c r="L2985" i="143" s="1"/>
  <c r="L2994" i="143"/>
  <c r="K3003" i="143"/>
  <c r="L3003" i="143"/>
  <c r="K2985" i="143"/>
  <c r="L2947" i="143"/>
  <c r="L2891" i="143"/>
  <c r="F2918" i="143"/>
  <c r="K2918" i="143" s="1"/>
  <c r="K2929" i="143" s="1"/>
  <c r="K2947" i="143"/>
  <c r="F2886" i="143"/>
  <c r="K2886" i="143" s="1"/>
  <c r="K2891" i="143" s="1"/>
  <c r="K2938" i="143"/>
  <c r="K2882" i="143"/>
  <c r="L2873" i="143"/>
  <c r="K2873" i="143"/>
  <c r="L93" i="145"/>
  <c r="K2830" i="143"/>
  <c r="K2835" i="143" s="1"/>
  <c r="L2830" i="143"/>
  <c r="L2835" i="143" s="1"/>
  <c r="L2817" i="143"/>
  <c r="K2817" i="143"/>
  <c r="K2779" i="143"/>
  <c r="L2761" i="143"/>
  <c r="L2779" i="143"/>
  <c r="K2761" i="143"/>
  <c r="K2770" i="143"/>
  <c r="K2714" i="143"/>
  <c r="L2694" i="143"/>
  <c r="F2694" i="143"/>
  <c r="K2694" i="143" s="1"/>
  <c r="L2718" i="143"/>
  <c r="L2723" i="143" s="1"/>
  <c r="F2718" i="143"/>
  <c r="K2718" i="143" s="1"/>
  <c r="K2723" i="143" s="1"/>
  <c r="L2695" i="143"/>
  <c r="K2695" i="143"/>
  <c r="L2658" i="143"/>
  <c r="L2639" i="143"/>
  <c r="K2658" i="143"/>
  <c r="L2662" i="143"/>
  <c r="L2667" i="143" s="1"/>
  <c r="F2662" i="143"/>
  <c r="K2662" i="143" s="1"/>
  <c r="K2667" i="143" s="1"/>
  <c r="L2638" i="143"/>
  <c r="L2649" i="143" s="1"/>
  <c r="K2638" i="143"/>
  <c r="K2649" i="143" s="1"/>
  <c r="L2582" i="143"/>
  <c r="L2593" i="143" s="1"/>
  <c r="K2602" i="143"/>
  <c r="L2606" i="143"/>
  <c r="L2611" i="143" s="1"/>
  <c r="F2606" i="143"/>
  <c r="K2606" i="143" s="1"/>
  <c r="K2611" i="143" s="1"/>
  <c r="K2593" i="143"/>
  <c r="F2470" i="143"/>
  <c r="K2470" i="143" s="1"/>
  <c r="K2546" i="143"/>
  <c r="K2499" i="143"/>
  <c r="F2473" i="143"/>
  <c r="K2473" i="143" s="1"/>
  <c r="L2550" i="143"/>
  <c r="L2555" i="143" s="1"/>
  <c r="F2550" i="143"/>
  <c r="K2550" i="143" s="1"/>
  <c r="K2555" i="143" s="1"/>
  <c r="L2527" i="143"/>
  <c r="L2537" i="143" s="1"/>
  <c r="K2527" i="143"/>
  <c r="K2537" i="143" s="1"/>
  <c r="L2499" i="143"/>
  <c r="L2472" i="143"/>
  <c r="K2490" i="143"/>
  <c r="L2471" i="143"/>
  <c r="F2471" i="143"/>
  <c r="K2471" i="143" s="1"/>
  <c r="F2421" i="143"/>
  <c r="K2421" i="143" s="1"/>
  <c r="F2419" i="143"/>
  <c r="K2419" i="143" s="1"/>
  <c r="K2434" i="143"/>
  <c r="L2420" i="143"/>
  <c r="L2438" i="143"/>
  <c r="L2443" i="143" s="1"/>
  <c r="F2438" i="143"/>
  <c r="K2438" i="143" s="1"/>
  <c r="K2443" i="143" s="1"/>
  <c r="L2418" i="143"/>
  <c r="K2418" i="143"/>
  <c r="L2417" i="143"/>
  <c r="K2417" i="143"/>
  <c r="K2381" i="143"/>
  <c r="L2366" i="143"/>
  <c r="K2366" i="143"/>
  <c r="L2385" i="143"/>
  <c r="L2390" i="143" s="1"/>
  <c r="F2385" i="143"/>
  <c r="K2385" i="143" s="1"/>
  <c r="K2390" i="143" s="1"/>
  <c r="L2367" i="143"/>
  <c r="K2367" i="143"/>
  <c r="K2330" i="143"/>
  <c r="L2334" i="143"/>
  <c r="L2339" i="143" s="1"/>
  <c r="F2334" i="143"/>
  <c r="K2334" i="143" s="1"/>
  <c r="K2339" i="143" s="1"/>
  <c r="L2316" i="143"/>
  <c r="F2316" i="143"/>
  <c r="K2316" i="143" s="1"/>
  <c r="L117" i="145"/>
  <c r="L2315" i="143"/>
  <c r="F2315" i="143"/>
  <c r="K2315" i="143" s="1"/>
  <c r="K2279" i="143"/>
  <c r="L2279" i="143"/>
  <c r="F2205" i="143"/>
  <c r="K2205" i="143" s="1"/>
  <c r="L2283" i="143"/>
  <c r="L2288" i="143" s="1"/>
  <c r="F2283" i="143"/>
  <c r="K2283" i="143" s="1"/>
  <c r="K2288" i="143" s="1"/>
  <c r="F1713" i="143"/>
  <c r="K1713" i="143" s="1"/>
  <c r="L2260" i="143"/>
  <c r="F2260" i="143"/>
  <c r="K2260" i="143" s="1"/>
  <c r="L2259" i="143"/>
  <c r="F2259" i="143"/>
  <c r="K2259" i="143" s="1"/>
  <c r="K2223" i="143"/>
  <c r="L2204" i="143"/>
  <c r="L2214" i="143" s="1"/>
  <c r="F2204" i="143"/>
  <c r="K2204" i="143" s="1"/>
  <c r="L2152" i="143"/>
  <c r="L2227" i="143"/>
  <c r="L2232" i="143" s="1"/>
  <c r="F2227" i="143"/>
  <c r="K2227" i="143" s="1"/>
  <c r="K2232" i="143" s="1"/>
  <c r="F2150" i="143"/>
  <c r="K2150" i="143" s="1"/>
  <c r="L2150" i="143"/>
  <c r="K2167" i="143"/>
  <c r="L2151" i="143"/>
  <c r="K2151" i="143"/>
  <c r="K2158" i="143" s="1"/>
  <c r="L1735" i="143"/>
  <c r="L1740" i="143" s="1"/>
  <c r="L2171" i="143"/>
  <c r="L2176" i="143" s="1"/>
  <c r="F2171" i="143"/>
  <c r="K2171" i="143" s="1"/>
  <c r="K2176" i="143" s="1"/>
  <c r="L1952" i="143"/>
  <c r="K1952" i="143"/>
  <c r="L1938" i="143"/>
  <c r="L1932" i="143"/>
  <c r="F1932" i="143"/>
  <c r="K1932" i="143" s="1"/>
  <c r="L1937" i="143"/>
  <c r="F1937" i="143"/>
  <c r="K1937" i="143" s="1"/>
  <c r="L1956" i="143"/>
  <c r="L1961" i="143" s="1"/>
  <c r="F1956" i="143"/>
  <c r="K1956" i="143" s="1"/>
  <c r="K1961" i="143" s="1"/>
  <c r="L1935" i="143"/>
  <c r="F1935" i="143"/>
  <c r="K1935" i="143" s="1"/>
  <c r="L1934" i="143"/>
  <c r="F1934" i="143"/>
  <c r="K1934" i="143" s="1"/>
  <c r="L1936" i="143"/>
  <c r="F1936" i="143"/>
  <c r="K1936" i="143" s="1"/>
  <c r="L1933" i="143"/>
  <c r="F1933" i="143"/>
  <c r="K1933" i="143" s="1"/>
  <c r="F1767" i="143"/>
  <c r="K1767" i="143" s="1"/>
  <c r="L1767" i="143"/>
  <c r="K1787" i="143"/>
  <c r="L1770" i="143"/>
  <c r="K1770" i="143"/>
  <c r="L1791" i="143"/>
  <c r="L1796" i="143" s="1"/>
  <c r="F1791" i="143"/>
  <c r="K1791" i="143" s="1"/>
  <c r="K1796" i="143" s="1"/>
  <c r="L1768" i="143"/>
  <c r="F1768" i="143"/>
  <c r="K1768" i="143" s="1"/>
  <c r="L1731" i="143"/>
  <c r="K1740" i="143"/>
  <c r="L1679" i="143"/>
  <c r="L1684" i="143" s="1"/>
  <c r="K1731" i="143"/>
  <c r="L1660" i="143"/>
  <c r="L1714" i="143"/>
  <c r="F1714" i="143"/>
  <c r="K1714" i="143" s="1"/>
  <c r="F1662" i="143"/>
  <c r="K1662" i="143" s="1"/>
  <c r="L1712" i="143"/>
  <c r="F1712" i="143"/>
  <c r="K1712" i="143" s="1"/>
  <c r="L1719" i="143"/>
  <c r="K1719" i="143"/>
  <c r="F1664" i="143"/>
  <c r="K1664" i="143" s="1"/>
  <c r="F1680" i="143"/>
  <c r="K1680" i="143" s="1"/>
  <c r="K1684" i="143" s="1"/>
  <c r="K1675" i="143"/>
  <c r="L1661" i="143"/>
  <c r="F1661" i="143"/>
  <c r="K1661" i="143" s="1"/>
  <c r="E198" i="145"/>
  <c r="F198" i="145" s="1"/>
  <c r="L1659" i="143"/>
  <c r="F1659" i="143"/>
  <c r="K1659" i="143" s="1"/>
  <c r="L1663" i="143"/>
  <c r="F1663" i="143"/>
  <c r="K1663" i="143" s="1"/>
  <c r="K1622" i="143"/>
  <c r="L1492" i="143"/>
  <c r="L1626" i="143"/>
  <c r="L1631" i="143" s="1"/>
  <c r="F1626" i="143"/>
  <c r="K1626" i="143" s="1"/>
  <c r="K1631" i="143" s="1"/>
  <c r="L1602" i="143"/>
  <c r="L1613" i="143" s="1"/>
  <c r="F1602" i="143"/>
  <c r="K1602" i="143" s="1"/>
  <c r="K1613" i="143" s="1"/>
  <c r="F1490" i="143"/>
  <c r="K1490" i="143" s="1"/>
  <c r="E181" i="145"/>
  <c r="F181" i="145" s="1"/>
  <c r="K1510" i="143"/>
  <c r="L1494" i="143"/>
  <c r="L1497" i="143"/>
  <c r="K1497" i="143"/>
  <c r="L1514" i="143"/>
  <c r="L1519" i="143" s="1"/>
  <c r="F1514" i="143"/>
  <c r="K1514" i="143" s="1"/>
  <c r="K1519" i="143" s="1"/>
  <c r="L1498" i="143"/>
  <c r="K1498" i="143"/>
  <c r="F1324" i="143"/>
  <c r="K1324" i="143" s="1"/>
  <c r="L1342" i="143"/>
  <c r="K1342" i="143"/>
  <c r="L1328" i="143"/>
  <c r="F1328" i="143"/>
  <c r="K1328" i="143" s="1"/>
  <c r="L1323" i="143"/>
  <c r="F1323" i="143"/>
  <c r="K1323" i="143" s="1"/>
  <c r="L1326" i="143"/>
  <c r="F1326" i="143"/>
  <c r="K1326" i="143" s="1"/>
  <c r="L1325" i="143"/>
  <c r="F1325" i="143"/>
  <c r="K1325" i="143" s="1"/>
  <c r="L1346" i="143"/>
  <c r="L1351" i="143" s="1"/>
  <c r="F1346" i="143"/>
  <c r="K1346" i="143" s="1"/>
  <c r="K1351" i="143" s="1"/>
  <c r="L12" i="145"/>
  <c r="M12" i="145" s="1"/>
  <c r="F1267" i="143"/>
  <c r="K1267" i="143" s="1"/>
  <c r="F1272" i="143"/>
  <c r="K1272" i="143" s="1"/>
  <c r="L1160" i="143"/>
  <c r="K1286" i="143"/>
  <c r="L1290" i="143"/>
  <c r="L1295" i="143" s="1"/>
  <c r="F1290" i="143"/>
  <c r="K1290" i="143" s="1"/>
  <c r="K1295" i="143" s="1"/>
  <c r="F565" i="143"/>
  <c r="K565" i="143" s="1"/>
  <c r="K570" i="143" s="1"/>
  <c r="L1270" i="143"/>
  <c r="F1270" i="143"/>
  <c r="K1270" i="143" s="1"/>
  <c r="L1268" i="143"/>
  <c r="F1268" i="143"/>
  <c r="K1268" i="143" s="1"/>
  <c r="K1230" i="143"/>
  <c r="L1210" i="143"/>
  <c r="F1210" i="143"/>
  <c r="K1210" i="143" s="1"/>
  <c r="L1217" i="143"/>
  <c r="F1217" i="143"/>
  <c r="K1217" i="143" s="1"/>
  <c r="L1215" i="143"/>
  <c r="F1215" i="143"/>
  <c r="K1215" i="143" s="1"/>
  <c r="L1214" i="143"/>
  <c r="F1214" i="143"/>
  <c r="K1214" i="143" s="1"/>
  <c r="L1234" i="143"/>
  <c r="L1239" i="143" s="1"/>
  <c r="F1234" i="143"/>
  <c r="K1234" i="143" s="1"/>
  <c r="K1239" i="143" s="1"/>
  <c r="L1213" i="143"/>
  <c r="F1213" i="143"/>
  <c r="K1213" i="143" s="1"/>
  <c r="L1212" i="143"/>
  <c r="F1212" i="143"/>
  <c r="K1212" i="143" s="1"/>
  <c r="L1211" i="143"/>
  <c r="F1211" i="143"/>
  <c r="K1211" i="143" s="1"/>
  <c r="K1174" i="143"/>
  <c r="L1161" i="143"/>
  <c r="F1161" i="143"/>
  <c r="K1161" i="143" s="1"/>
  <c r="F598" i="143"/>
  <c r="K598" i="143" s="1"/>
  <c r="K606" i="143" s="1"/>
  <c r="L1154" i="143"/>
  <c r="F1154" i="143"/>
  <c r="K1154" i="143" s="1"/>
  <c r="L1155" i="143"/>
  <c r="F1155" i="143"/>
  <c r="K1155" i="143" s="1"/>
  <c r="K1118" i="143"/>
  <c r="L1158" i="143"/>
  <c r="F1158" i="143"/>
  <c r="K1158" i="143" s="1"/>
  <c r="L1159" i="143"/>
  <c r="F1159" i="143"/>
  <c r="K1159" i="143" s="1"/>
  <c r="F545" i="143"/>
  <c r="K545" i="143" s="1"/>
  <c r="K552" i="143" s="1"/>
  <c r="L1156" i="143"/>
  <c r="F1156" i="143"/>
  <c r="K1156" i="143" s="1"/>
  <c r="L1178" i="143"/>
  <c r="L1183" i="143" s="1"/>
  <c r="F1178" i="143"/>
  <c r="K1178" i="143" s="1"/>
  <c r="K1183" i="143" s="1"/>
  <c r="L1157" i="143"/>
  <c r="F1157" i="143"/>
  <c r="K1157" i="143" s="1"/>
  <c r="L1099" i="143"/>
  <c r="F1099" i="143"/>
  <c r="K1099" i="143" s="1"/>
  <c r="L1100" i="143"/>
  <c r="F1100" i="143"/>
  <c r="K1100" i="143" s="1"/>
  <c r="L1103" i="143"/>
  <c r="F1103" i="143"/>
  <c r="K1103" i="143" s="1"/>
  <c r="L1102" i="143"/>
  <c r="F1102" i="143"/>
  <c r="K1102" i="143" s="1"/>
  <c r="L1105" i="143"/>
  <c r="F1105" i="143"/>
  <c r="K1105" i="143" s="1"/>
  <c r="L1098" i="143"/>
  <c r="F1098" i="143"/>
  <c r="K1098" i="143" s="1"/>
  <c r="L1122" i="143"/>
  <c r="L1127" i="143" s="1"/>
  <c r="F1122" i="143"/>
  <c r="K1122" i="143" s="1"/>
  <c r="K1127" i="143" s="1"/>
  <c r="L1101" i="143"/>
  <c r="F1101" i="143"/>
  <c r="K1101" i="143" s="1"/>
  <c r="K1062" i="143"/>
  <c r="L1042" i="143"/>
  <c r="F1042" i="143"/>
  <c r="K1042" i="143" s="1"/>
  <c r="L1049" i="143"/>
  <c r="F1049" i="143"/>
  <c r="K1049" i="143" s="1"/>
  <c r="L1047" i="143"/>
  <c r="F1047" i="143"/>
  <c r="K1047" i="143" s="1"/>
  <c r="L544" i="143"/>
  <c r="L552" i="143" s="1"/>
  <c r="L1046" i="143"/>
  <c r="F1046" i="143"/>
  <c r="K1046" i="143" s="1"/>
  <c r="L1066" i="143"/>
  <c r="L1071" i="143" s="1"/>
  <c r="F1066" i="143"/>
  <c r="K1066" i="143" s="1"/>
  <c r="K1071" i="143" s="1"/>
  <c r="L1045" i="143"/>
  <c r="F1045" i="143"/>
  <c r="K1045" i="143" s="1"/>
  <c r="L1044" i="143"/>
  <c r="F1044" i="143"/>
  <c r="K1044" i="143" s="1"/>
  <c r="L1043" i="143"/>
  <c r="F1043" i="143"/>
  <c r="K1043" i="143" s="1"/>
  <c r="K1006" i="143"/>
  <c r="L991" i="143"/>
  <c r="F991" i="143"/>
  <c r="K991" i="143" s="1"/>
  <c r="L986" i="143"/>
  <c r="F986" i="143"/>
  <c r="K986" i="143" s="1"/>
  <c r="L993" i="143"/>
  <c r="F993" i="143"/>
  <c r="K993" i="143" s="1"/>
  <c r="L990" i="143"/>
  <c r="F990" i="143"/>
  <c r="K990" i="143" s="1"/>
  <c r="L1010" i="143"/>
  <c r="L1015" i="143" s="1"/>
  <c r="F1010" i="143"/>
  <c r="K1010" i="143" s="1"/>
  <c r="K1015" i="143" s="1"/>
  <c r="L989" i="143"/>
  <c r="F989" i="143"/>
  <c r="K989" i="143" s="1"/>
  <c r="L988" i="143"/>
  <c r="F988" i="143"/>
  <c r="K988" i="143" s="1"/>
  <c r="L987" i="143"/>
  <c r="F987" i="143"/>
  <c r="K987" i="143" s="1"/>
  <c r="K950" i="143"/>
  <c r="L930" i="143"/>
  <c r="F930" i="143"/>
  <c r="K930" i="143" s="1"/>
  <c r="L954" i="143"/>
  <c r="L959" i="143" s="1"/>
  <c r="F954" i="143"/>
  <c r="K954" i="143" s="1"/>
  <c r="K959" i="143" s="1"/>
  <c r="L933" i="143"/>
  <c r="F933" i="143"/>
  <c r="K933" i="143" s="1"/>
  <c r="L932" i="143"/>
  <c r="F932" i="143"/>
  <c r="K932" i="143" s="1"/>
  <c r="L931" i="143"/>
  <c r="F931" i="143"/>
  <c r="K931" i="143" s="1"/>
  <c r="L935" i="143"/>
  <c r="F935" i="143"/>
  <c r="K935" i="143" s="1"/>
  <c r="L934" i="143"/>
  <c r="F934" i="143"/>
  <c r="K934" i="143" s="1"/>
  <c r="L937" i="143"/>
  <c r="F937" i="143"/>
  <c r="K937" i="143" s="1"/>
  <c r="K615" i="143"/>
  <c r="K669" i="143"/>
  <c r="L606" i="143"/>
  <c r="L673" i="143"/>
  <c r="L678" i="143" s="1"/>
  <c r="F673" i="143"/>
  <c r="K673" i="143" s="1"/>
  <c r="K678" i="143" s="1"/>
  <c r="L619" i="143"/>
  <c r="L624" i="143" s="1"/>
  <c r="F619" i="143"/>
  <c r="K619" i="143" s="1"/>
  <c r="K624" i="143" s="1"/>
  <c r="L570" i="143"/>
  <c r="K561" i="143"/>
  <c r="K3498" i="143" l="1"/>
  <c r="K3527" i="143" s="1"/>
  <c r="K3529" i="143" s="1"/>
  <c r="K3531" i="143" s="1"/>
  <c r="F88" i="1" s="1"/>
  <c r="G88" i="1" s="1"/>
  <c r="L3498" i="143"/>
  <c r="L3527" i="143" s="1"/>
  <c r="K3417" i="143"/>
  <c r="K3419" i="143" s="1"/>
  <c r="K3421" i="143" s="1"/>
  <c r="F85" i="1" s="1"/>
  <c r="G85" i="1" s="1"/>
  <c r="K3443" i="143"/>
  <c r="K3472" i="143" s="1"/>
  <c r="K3474" i="143" s="1"/>
  <c r="K3476" i="143" s="1"/>
  <c r="F87" i="1" s="1"/>
  <c r="G87" i="1" s="1"/>
  <c r="L3443" i="143"/>
  <c r="L3472" i="143" s="1"/>
  <c r="K3367" i="143"/>
  <c r="K3369" i="143" s="1"/>
  <c r="K3371" i="143" s="1"/>
  <c r="F84" i="1" s="1"/>
  <c r="G84" i="1" s="1"/>
  <c r="L3317" i="143"/>
  <c r="L3319" i="143" s="1"/>
  <c r="L3321" i="143" s="1"/>
  <c r="L3322" i="143" s="1"/>
  <c r="L3419" i="143"/>
  <c r="L3421" i="143" s="1"/>
  <c r="L3422" i="143" s="1"/>
  <c r="K1778" i="143"/>
  <c r="K1807" i="143" s="1"/>
  <c r="L3369" i="143"/>
  <c r="L3371" i="143" s="1"/>
  <c r="L3372" i="143" s="1"/>
  <c r="K3317" i="143"/>
  <c r="K3319" i="143" s="1"/>
  <c r="K3321" i="143" s="1"/>
  <c r="F83" i="1" s="1"/>
  <c r="G83" i="1" s="1"/>
  <c r="K3188" i="143"/>
  <c r="K3217" i="143" s="1"/>
  <c r="K3219" i="143" s="1"/>
  <c r="K3221" i="143" s="1"/>
  <c r="F80" i="1" s="1"/>
  <c r="G80" i="1" s="1"/>
  <c r="L3188" i="143"/>
  <c r="L3217" i="143" s="1"/>
  <c r="L3219" i="143" s="1"/>
  <c r="L3221" i="143" s="1"/>
  <c r="L3222" i="143" s="1"/>
  <c r="L2958" i="143"/>
  <c r="L2960" i="143" s="1"/>
  <c r="L3014" i="143"/>
  <c r="L3016" i="143" s="1"/>
  <c r="K3014" i="143"/>
  <c r="K3016" i="143" s="1"/>
  <c r="K3018" i="143" s="1"/>
  <c r="F75" i="1" s="1"/>
  <c r="G75" i="1" s="1"/>
  <c r="L2902" i="143"/>
  <c r="L2904" i="143" s="1"/>
  <c r="L2906" i="143" s="1"/>
  <c r="L2907" i="143" s="1"/>
  <c r="K2958" i="143"/>
  <c r="K2960" i="143" s="1"/>
  <c r="K2902" i="143"/>
  <c r="K2904" i="143" s="1"/>
  <c r="K2906" i="143" s="1"/>
  <c r="K2846" i="143"/>
  <c r="K2848" i="143" s="1"/>
  <c r="K2850" i="143" s="1"/>
  <c r="F72" i="1" s="1"/>
  <c r="G72" i="1" s="1"/>
  <c r="L2846" i="143"/>
  <c r="L2848" i="143" s="1"/>
  <c r="K2790" i="143"/>
  <c r="K2792" i="143" s="1"/>
  <c r="K2794" i="143" s="1"/>
  <c r="F71" i="1" s="1"/>
  <c r="G71" i="1" s="1"/>
  <c r="L2790" i="143"/>
  <c r="L2792" i="143" s="1"/>
  <c r="L2794" i="143" s="1"/>
  <c r="L2795" i="143" s="1"/>
  <c r="K2705" i="143"/>
  <c r="K2734" i="143" s="1"/>
  <c r="L2705" i="143"/>
  <c r="L2734" i="143" s="1"/>
  <c r="L2622" i="143"/>
  <c r="L2624" i="143" s="1"/>
  <c r="L2626" i="143" s="1"/>
  <c r="L2627" i="143" s="1"/>
  <c r="L2678" i="143"/>
  <c r="L2680" i="143" s="1"/>
  <c r="L2682" i="143" s="1"/>
  <c r="L2683" i="143" s="1"/>
  <c r="K2678" i="143"/>
  <c r="K2622" i="143"/>
  <c r="K2624" i="143" s="1"/>
  <c r="K2626" i="143" s="1"/>
  <c r="F68" i="1" s="1"/>
  <c r="G68" i="1" s="1"/>
  <c r="L2566" i="143"/>
  <c r="L2568" i="143" s="1"/>
  <c r="L2570" i="143" s="1"/>
  <c r="L2571" i="143" s="1"/>
  <c r="K2566" i="143"/>
  <c r="K2568" i="143" s="1"/>
  <c r="K2481" i="143"/>
  <c r="K2510" i="143" s="1"/>
  <c r="K2512" i="143" s="1"/>
  <c r="K2514" i="143" s="1"/>
  <c r="F65" i="1" s="1"/>
  <c r="G65" i="1" s="1"/>
  <c r="L2481" i="143"/>
  <c r="L2510" i="143" s="1"/>
  <c r="L2512" i="143" s="1"/>
  <c r="L2514" i="143" s="1"/>
  <c r="L2515" i="143" s="1"/>
  <c r="K2425" i="143"/>
  <c r="K2454" i="143" s="1"/>
  <c r="L2425" i="143"/>
  <c r="L2454" i="143" s="1"/>
  <c r="K2372" i="143"/>
  <c r="K2401" i="143" s="1"/>
  <c r="L2372" i="143"/>
  <c r="L2401" i="143" s="1"/>
  <c r="L2321" i="143"/>
  <c r="L2350" i="143" s="1"/>
  <c r="L2352" i="143" s="1"/>
  <c r="L2354" i="143" s="1"/>
  <c r="L2355" i="143" s="1"/>
  <c r="K2321" i="143"/>
  <c r="K2350" i="143" s="1"/>
  <c r="K2214" i="143"/>
  <c r="K2243" i="143" s="1"/>
  <c r="K2245" i="143" s="1"/>
  <c r="K2247" i="143" s="1"/>
  <c r="F60" i="1" s="1"/>
  <c r="G60" i="1" s="1"/>
  <c r="K2270" i="143"/>
  <c r="K2299" i="143" s="1"/>
  <c r="K2301" i="143" s="1"/>
  <c r="K2303" i="143" s="1"/>
  <c r="F61" i="1" s="1"/>
  <c r="G61" i="1" s="1"/>
  <c r="L2270" i="143"/>
  <c r="L2299" i="143" s="1"/>
  <c r="L2158" i="143"/>
  <c r="L2187" i="143" s="1"/>
  <c r="L2243" i="143"/>
  <c r="K2187" i="143"/>
  <c r="K2189" i="143" s="1"/>
  <c r="K2191" i="143" s="1"/>
  <c r="F59" i="1" s="1"/>
  <c r="G59" i="1" s="1"/>
  <c r="K1943" i="143"/>
  <c r="K1972" i="143" s="1"/>
  <c r="L1943" i="143"/>
  <c r="L1972" i="143" s="1"/>
  <c r="L1778" i="143"/>
  <c r="L1807" i="143" s="1"/>
  <c r="K1722" i="143"/>
  <c r="K1751" i="143" s="1"/>
  <c r="K1753" i="143" s="1"/>
  <c r="K1755" i="143" s="1"/>
  <c r="F48" i="1" s="1"/>
  <c r="G48" i="1" s="1"/>
  <c r="L1722" i="143"/>
  <c r="L1751" i="143" s="1"/>
  <c r="K1666" i="143"/>
  <c r="K1695" i="143" s="1"/>
  <c r="K1697" i="143" s="1"/>
  <c r="L1666" i="143"/>
  <c r="L1695" i="143" s="1"/>
  <c r="L1697" i="143" s="1"/>
  <c r="L1699" i="143" s="1"/>
  <c r="L1700" i="143" s="1"/>
  <c r="K1642" i="143"/>
  <c r="K1644" i="143" s="1"/>
  <c r="K1646" i="143" s="1"/>
  <c r="F46" i="1" s="1"/>
  <c r="G46" i="1" s="1"/>
  <c r="L1642" i="143"/>
  <c r="L1644" i="143" s="1"/>
  <c r="L1646" i="143" s="1"/>
  <c r="L1647" i="143" s="1"/>
  <c r="F1493" i="143"/>
  <c r="K1493" i="143" s="1"/>
  <c r="E273" i="145"/>
  <c r="F273" i="145" s="1"/>
  <c r="F1491" i="143"/>
  <c r="K1491" i="143" s="1"/>
  <c r="E256" i="145"/>
  <c r="F256" i="145" s="1"/>
  <c r="L1493" i="143"/>
  <c r="L1491" i="143"/>
  <c r="K1333" i="143"/>
  <c r="K1362" i="143" s="1"/>
  <c r="K1364" i="143" s="1"/>
  <c r="K1366" i="143" s="1"/>
  <c r="F39" i="1" s="1"/>
  <c r="L1333" i="143"/>
  <c r="L1362" i="143" s="1"/>
  <c r="K1277" i="143"/>
  <c r="K1306" i="143" s="1"/>
  <c r="K1308" i="143" s="1"/>
  <c r="K1310" i="143" s="1"/>
  <c r="F38" i="1" s="1"/>
  <c r="L1277" i="143"/>
  <c r="L1306" i="143" s="1"/>
  <c r="K1221" i="143"/>
  <c r="K1250" i="143" s="1"/>
  <c r="L1221" i="143"/>
  <c r="L1250" i="143" s="1"/>
  <c r="K1165" i="143"/>
  <c r="K1194" i="143" s="1"/>
  <c r="L1165" i="143"/>
  <c r="L1194" i="143" s="1"/>
  <c r="K1109" i="143"/>
  <c r="K1138" i="143" s="1"/>
  <c r="L1109" i="143"/>
  <c r="L1138" i="143" s="1"/>
  <c r="K1053" i="143"/>
  <c r="K1082" i="143" s="1"/>
  <c r="L1053" i="143"/>
  <c r="L1082" i="143" s="1"/>
  <c r="L997" i="143"/>
  <c r="L1026" i="143" s="1"/>
  <c r="K997" i="143"/>
  <c r="K1026" i="143" s="1"/>
  <c r="K635" i="143"/>
  <c r="K637" i="143" s="1"/>
  <c r="K639" i="143" s="1"/>
  <c r="L941" i="143"/>
  <c r="L970" i="143" s="1"/>
  <c r="K941" i="143"/>
  <c r="K970" i="143" s="1"/>
  <c r="L581" i="143"/>
  <c r="L583" i="143" s="1"/>
  <c r="L585" i="143" s="1"/>
  <c r="L586" i="143" s="1"/>
  <c r="L635" i="143"/>
  <c r="L637" i="143" s="1"/>
  <c r="L639" i="143" s="1"/>
  <c r="L640" i="143" s="1"/>
  <c r="L689" i="143"/>
  <c r="L691" i="143" s="1"/>
  <c r="L693" i="143" s="1"/>
  <c r="L694" i="143" s="1"/>
  <c r="K689" i="143"/>
  <c r="K691" i="143" s="1"/>
  <c r="K693" i="143" s="1"/>
  <c r="F26" i="1" s="1"/>
  <c r="K581" i="143"/>
  <c r="K583" i="143" s="1"/>
  <c r="K585" i="143" s="1"/>
  <c r="F23" i="1" s="1"/>
  <c r="H88" i="1" l="1"/>
  <c r="Q38" i="140" s="1"/>
  <c r="M39" i="140" s="1"/>
  <c r="M38" i="140" s="1"/>
  <c r="H85" i="1"/>
  <c r="Q36" i="140" s="1"/>
  <c r="K37" i="140" s="1"/>
  <c r="K36" i="140" s="1"/>
  <c r="L3529" i="143"/>
  <c r="L3531" i="143" s="1"/>
  <c r="L3532" i="143" s="1"/>
  <c r="M3532" i="143" s="1"/>
  <c r="L3474" i="143"/>
  <c r="L3476" i="143" s="1"/>
  <c r="L3477" i="143" s="1"/>
  <c r="M3477" i="143" s="1"/>
  <c r="M3422" i="143"/>
  <c r="M3372" i="143"/>
  <c r="M3322" i="143"/>
  <c r="M3222" i="143"/>
  <c r="L2962" i="143"/>
  <c r="L2963" i="143" s="1"/>
  <c r="L3018" i="143"/>
  <c r="L3019" i="143" s="1"/>
  <c r="M3019" i="143" s="1"/>
  <c r="K2962" i="143"/>
  <c r="M2907" i="143"/>
  <c r="F73" i="1"/>
  <c r="G73" i="1" s="1"/>
  <c r="L2850" i="143"/>
  <c r="L2851" i="143" s="1"/>
  <c r="M2851" i="143" s="1"/>
  <c r="M2795" i="143"/>
  <c r="L2736" i="143"/>
  <c r="L2738" i="143" s="1"/>
  <c r="L2739" i="143" s="1"/>
  <c r="K2736" i="143"/>
  <c r="K2738" i="143" s="1"/>
  <c r="F70" i="1" s="1"/>
  <c r="G70" i="1" s="1"/>
  <c r="K2680" i="143"/>
  <c r="K2682" i="143" s="1"/>
  <c r="M2627" i="143"/>
  <c r="L1501" i="143"/>
  <c r="L1530" i="143" s="1"/>
  <c r="L1532" i="143" s="1"/>
  <c r="L1534" i="143" s="1"/>
  <c r="L1535" i="143" s="1"/>
  <c r="K2570" i="143"/>
  <c r="M2515" i="143"/>
  <c r="L2456" i="143"/>
  <c r="L2458" i="143" s="1"/>
  <c r="L2459" i="143" s="1"/>
  <c r="K2456" i="143"/>
  <c r="K2458" i="143" s="1"/>
  <c r="F64" i="1" s="1"/>
  <c r="G64" i="1" s="1"/>
  <c r="K2403" i="143"/>
  <c r="K2405" i="143" s="1"/>
  <c r="F63" i="1" s="1"/>
  <c r="G63" i="1" s="1"/>
  <c r="L2403" i="143"/>
  <c r="L2405" i="143" s="1"/>
  <c r="L2406" i="143" s="1"/>
  <c r="K2352" i="143"/>
  <c r="K2354" i="143" s="1"/>
  <c r="L2301" i="143"/>
  <c r="L2303" i="143" s="1"/>
  <c r="L2304" i="143" s="1"/>
  <c r="M2304" i="143" s="1"/>
  <c r="L2245" i="143"/>
  <c r="L2247" i="143" s="1"/>
  <c r="L2248" i="143" s="1"/>
  <c r="M2248" i="143" s="1"/>
  <c r="L2189" i="143"/>
  <c r="L2191" i="143" s="1"/>
  <c r="L2192" i="143" s="1"/>
  <c r="M2192" i="143" s="1"/>
  <c r="L1974" i="143"/>
  <c r="L1976" i="143" s="1"/>
  <c r="L1977" i="143" s="1"/>
  <c r="K1974" i="143"/>
  <c r="K1976" i="143" s="1"/>
  <c r="F52" i="1" s="1"/>
  <c r="G52" i="1" s="1"/>
  <c r="L1809" i="143"/>
  <c r="L1811" i="143" s="1"/>
  <c r="L1812" i="143" s="1"/>
  <c r="K1809" i="143"/>
  <c r="K1811" i="143" s="1"/>
  <c r="F49" i="1" s="1"/>
  <c r="G49" i="1" s="1"/>
  <c r="K1699" i="143"/>
  <c r="L1753" i="143"/>
  <c r="L1755" i="143" s="1"/>
  <c r="L1756" i="143" s="1"/>
  <c r="M1756" i="143" s="1"/>
  <c r="M1647" i="143"/>
  <c r="K1501" i="143"/>
  <c r="K1530" i="143" s="1"/>
  <c r="K1532" i="143" s="1"/>
  <c r="L1364" i="143"/>
  <c r="L1366" i="143" s="1"/>
  <c r="L1367" i="143" s="1"/>
  <c r="M1367" i="143" s="1"/>
  <c r="L1308" i="143"/>
  <c r="L1310" i="143" s="1"/>
  <c r="L1311" i="143" s="1"/>
  <c r="M1311" i="143" s="1"/>
  <c r="L1252" i="143"/>
  <c r="L1254" i="143" s="1"/>
  <c r="L1255" i="143" s="1"/>
  <c r="K1252" i="143"/>
  <c r="K1254" i="143" s="1"/>
  <c r="F37" i="1" s="1"/>
  <c r="L1196" i="143"/>
  <c r="L1198" i="143" s="1"/>
  <c r="L1199" i="143" s="1"/>
  <c r="K1196" i="143"/>
  <c r="K1198" i="143" s="1"/>
  <c r="F36" i="1" s="1"/>
  <c r="L1140" i="143"/>
  <c r="L1142" i="143" s="1"/>
  <c r="L1143" i="143" s="1"/>
  <c r="K1140" i="143"/>
  <c r="K1142" i="143" s="1"/>
  <c r="F35" i="1" s="1"/>
  <c r="L1084" i="143"/>
  <c r="L1086" i="143" s="1"/>
  <c r="L1087" i="143" s="1"/>
  <c r="K1084" i="143"/>
  <c r="K1086" i="143" s="1"/>
  <c r="F34" i="1" s="1"/>
  <c r="K1028" i="143"/>
  <c r="K1030" i="143" s="1"/>
  <c r="F33" i="1" s="1"/>
  <c r="L1028" i="143"/>
  <c r="L1030" i="143" s="1"/>
  <c r="L1031" i="143" s="1"/>
  <c r="K972" i="143"/>
  <c r="K974" i="143" s="1"/>
  <c r="F32" i="1" s="1"/>
  <c r="L972" i="143"/>
  <c r="L974" i="143" s="1"/>
  <c r="L975" i="143" s="1"/>
  <c r="M640" i="143"/>
  <c r="F25" i="1"/>
  <c r="M694" i="143"/>
  <c r="M586" i="143"/>
  <c r="M2963" i="143" l="1"/>
  <c r="F74" i="1"/>
  <c r="G74" i="1" s="1"/>
  <c r="M2739" i="143"/>
  <c r="M2683" i="143"/>
  <c r="F69" i="1"/>
  <c r="G69" i="1" s="1"/>
  <c r="M2571" i="143"/>
  <c r="F66" i="1"/>
  <c r="G66" i="1" s="1"/>
  <c r="M2459" i="143"/>
  <c r="M2406" i="143"/>
  <c r="M2355" i="143"/>
  <c r="F62" i="1"/>
  <c r="G62" i="1" s="1"/>
  <c r="M1977" i="143"/>
  <c r="M1812" i="143"/>
  <c r="M1700" i="143"/>
  <c r="F47" i="1"/>
  <c r="G47" i="1" s="1"/>
  <c r="K1534" i="143"/>
  <c r="M1255" i="143"/>
  <c r="M1199" i="143"/>
  <c r="M1143" i="143"/>
  <c r="M1087" i="143"/>
  <c r="M1031" i="143"/>
  <c r="M975" i="143"/>
  <c r="H75" i="1" l="1"/>
  <c r="Q32" i="140" s="1"/>
  <c r="J33" i="140" s="1"/>
  <c r="J32" i="140" s="1"/>
  <c r="M1535" i="143"/>
  <c r="F43" i="1"/>
  <c r="G43" i="1" s="1"/>
  <c r="G90" i="143" l="1"/>
  <c r="G67" i="143"/>
  <c r="G68" i="143"/>
  <c r="G66" i="143"/>
  <c r="K62" i="143"/>
  <c r="I62" i="143"/>
  <c r="D62" i="143"/>
  <c r="B62" i="143"/>
  <c r="L101" i="143"/>
  <c r="K101" i="143"/>
  <c r="L100" i="143"/>
  <c r="K100" i="143"/>
  <c r="L99" i="143"/>
  <c r="K99" i="143"/>
  <c r="L93" i="143"/>
  <c r="I92" i="143"/>
  <c r="K92" i="143" s="1"/>
  <c r="I91" i="143"/>
  <c r="L91" i="143" s="1"/>
  <c r="I90" i="143"/>
  <c r="I84" i="143"/>
  <c r="L84" i="143" s="1"/>
  <c r="I83" i="143"/>
  <c r="K83" i="143" s="1"/>
  <c r="I82" i="143"/>
  <c r="L82" i="143" s="1"/>
  <c r="I81" i="143"/>
  <c r="L81" i="143" s="1"/>
  <c r="I75" i="143"/>
  <c r="K75" i="143" s="1"/>
  <c r="I74" i="143"/>
  <c r="L74" i="143" s="1"/>
  <c r="I73" i="143"/>
  <c r="L73" i="143" s="1"/>
  <c r="I72" i="143"/>
  <c r="K72" i="143" s="1"/>
  <c r="I71" i="143"/>
  <c r="K71" i="143" s="1"/>
  <c r="I70" i="143"/>
  <c r="L70" i="143" s="1"/>
  <c r="I69" i="143"/>
  <c r="L69" i="143" s="1"/>
  <c r="I68" i="143"/>
  <c r="I67" i="143"/>
  <c r="I66" i="143"/>
  <c r="E66" i="143" l="1"/>
  <c r="F66" i="143" s="1"/>
  <c r="K66" i="143" s="1"/>
  <c r="E67" i="143"/>
  <c r="L103" i="143"/>
  <c r="K103" i="143"/>
  <c r="E90" i="143"/>
  <c r="L90" i="143" s="1"/>
  <c r="E68" i="143"/>
  <c r="F68" i="143" s="1"/>
  <c r="K68" i="143" s="1"/>
  <c r="K82" i="143"/>
  <c r="L71" i="143"/>
  <c r="L75" i="143"/>
  <c r="L92" i="143"/>
  <c r="K91" i="143"/>
  <c r="K74" i="143"/>
  <c r="K70" i="143"/>
  <c r="L72" i="143"/>
  <c r="K81" i="143"/>
  <c r="L83" i="143"/>
  <c r="L86" i="143" s="1"/>
  <c r="K69" i="143"/>
  <c r="K73" i="143"/>
  <c r="K84" i="143"/>
  <c r="L66" i="143" l="1"/>
  <c r="F90" i="143"/>
  <c r="K90" i="143" s="1"/>
  <c r="K95" i="143" s="1"/>
  <c r="L68" i="143"/>
  <c r="L137" i="145"/>
  <c r="M137" i="145" s="1"/>
  <c r="F67" i="143"/>
  <c r="K67" i="143" s="1"/>
  <c r="K77" i="143" s="1"/>
  <c r="E107" i="145"/>
  <c r="F107" i="145" s="1"/>
  <c r="L67" i="143"/>
  <c r="L95" i="143"/>
  <c r="K86" i="143"/>
  <c r="L77" i="143" l="1"/>
  <c r="L106" i="143" s="1"/>
  <c r="L108" i="143" s="1"/>
  <c r="L110" i="143" s="1"/>
  <c r="L111" i="143" s="1"/>
  <c r="K106" i="143"/>
  <c r="K108" i="143" s="1"/>
  <c r="K110" i="143" s="1"/>
  <c r="M111" i="143" l="1"/>
  <c r="F13" i="1"/>
  <c r="G39" i="1" l="1"/>
  <c r="G38" i="1"/>
  <c r="G37" i="1"/>
  <c r="G36" i="1"/>
  <c r="G35" i="1"/>
  <c r="G34" i="1"/>
  <c r="G33" i="1"/>
  <c r="G32" i="1"/>
  <c r="G27" i="1"/>
  <c r="G26" i="1"/>
  <c r="G23" i="1"/>
  <c r="M129" i="145" l="1"/>
  <c r="G1458" i="143" l="1"/>
  <c r="L73" i="145" l="1"/>
  <c r="E221" i="145"/>
  <c r="F221" i="145" s="1"/>
  <c r="L71" i="145"/>
  <c r="L70" i="145"/>
  <c r="L44" i="145"/>
  <c r="L46" i="145"/>
  <c r="L42" i="145"/>
  <c r="L39" i="145" l="1"/>
  <c r="M39" i="145" s="1"/>
  <c r="L29" i="145"/>
  <c r="L16" i="145"/>
  <c r="L21" i="145"/>
  <c r="L72" i="145"/>
  <c r="L30" i="145"/>
  <c r="E239" i="145"/>
  <c r="F239" i="145" s="1"/>
  <c r="E161" i="145"/>
  <c r="F161" i="145" s="1"/>
  <c r="E194" i="145"/>
  <c r="F194" i="145" s="1"/>
  <c r="L31" i="145"/>
  <c r="L25" i="145"/>
  <c r="E224" i="145"/>
  <c r="F224" i="145" s="1"/>
  <c r="L111" i="145"/>
  <c r="L58" i="145"/>
  <c r="L56" i="145"/>
  <c r="L118" i="145"/>
  <c r="E2" i="145" l="1"/>
  <c r="L11" i="145"/>
  <c r="L62" i="145"/>
  <c r="L22" i="145"/>
  <c r="L66" i="145"/>
  <c r="M71" i="145"/>
  <c r="L64" i="145"/>
  <c r="L115" i="145"/>
  <c r="L124" i="145"/>
  <c r="L99" i="145"/>
  <c r="M31" i="145"/>
  <c r="M29" i="145"/>
  <c r="M25" i="145"/>
  <c r="E156" i="145"/>
  <c r="F156" i="145" s="1"/>
  <c r="M58" i="145"/>
  <c r="G3549" i="143" l="1"/>
  <c r="E3566" i="143"/>
  <c r="L24" i="145" s="1"/>
  <c r="L3577" i="143"/>
  <c r="K3577" i="143"/>
  <c r="L3576" i="143"/>
  <c r="K3576" i="143"/>
  <c r="L3575" i="143"/>
  <c r="K3575" i="143"/>
  <c r="L3569" i="143"/>
  <c r="I3568" i="143"/>
  <c r="K3568" i="143" s="1"/>
  <c r="I3567" i="143"/>
  <c r="L3567" i="143" s="1"/>
  <c r="I3566" i="143"/>
  <c r="G3566" i="143"/>
  <c r="I3560" i="143"/>
  <c r="L3560" i="143" s="1"/>
  <c r="I3559" i="143"/>
  <c r="L3559" i="143" s="1"/>
  <c r="I3558" i="143"/>
  <c r="L3558" i="143" s="1"/>
  <c r="I3557" i="143"/>
  <c r="L3557" i="143" s="1"/>
  <c r="I3551" i="143"/>
  <c r="L3551" i="143" s="1"/>
  <c r="I3550" i="143"/>
  <c r="L3550" i="143" s="1"/>
  <c r="I3549" i="143"/>
  <c r="I3548" i="143"/>
  <c r="G3548" i="143"/>
  <c r="I3547" i="143"/>
  <c r="G3547" i="143"/>
  <c r="I3546" i="143"/>
  <c r="G3546" i="143"/>
  <c r="I3545" i="143"/>
  <c r="G3545" i="143"/>
  <c r="I3544" i="143"/>
  <c r="G3544" i="143"/>
  <c r="I3543" i="143"/>
  <c r="L3543" i="143" s="1"/>
  <c r="G3543" i="143"/>
  <c r="E3088" i="143"/>
  <c r="E3030" i="143"/>
  <c r="E3031" i="143" s="1"/>
  <c r="L3062" i="143"/>
  <c r="K3062" i="143"/>
  <c r="L3061" i="143"/>
  <c r="K3061" i="143"/>
  <c r="L3060" i="143"/>
  <c r="K3060" i="143"/>
  <c r="L3054" i="143"/>
  <c r="I3053" i="143"/>
  <c r="K3053" i="143" s="1"/>
  <c r="I3052" i="143"/>
  <c r="L3052" i="143" s="1"/>
  <c r="I3051" i="143"/>
  <c r="G3051" i="143"/>
  <c r="I3045" i="143"/>
  <c r="L3045" i="143" s="1"/>
  <c r="I3044" i="143"/>
  <c r="K3044" i="143" s="1"/>
  <c r="I3043" i="143"/>
  <c r="L3043" i="143" s="1"/>
  <c r="I3042" i="143"/>
  <c r="L3042" i="143" s="1"/>
  <c r="I3036" i="143"/>
  <c r="G3036" i="143"/>
  <c r="I3035" i="143"/>
  <c r="G3035" i="143"/>
  <c r="I3034" i="143"/>
  <c r="G3034" i="143"/>
  <c r="I3033" i="143"/>
  <c r="G3033" i="143"/>
  <c r="I3032" i="143"/>
  <c r="G3032" i="143"/>
  <c r="I3031" i="143"/>
  <c r="G3031" i="143"/>
  <c r="I3030" i="143"/>
  <c r="G3030" i="143"/>
  <c r="G2097" i="143"/>
  <c r="K2093" i="143"/>
  <c r="I2093" i="143"/>
  <c r="D2093" i="143"/>
  <c r="B2093" i="143"/>
  <c r="L2129" i="143"/>
  <c r="K2129" i="143"/>
  <c r="L2128" i="143"/>
  <c r="K2128" i="143"/>
  <c r="L2127" i="143"/>
  <c r="K2127" i="143"/>
  <c r="L2121" i="143"/>
  <c r="I2120" i="143"/>
  <c r="K2120" i="143" s="1"/>
  <c r="I2119" i="143"/>
  <c r="L2119" i="143" s="1"/>
  <c r="I2118" i="143"/>
  <c r="G2118" i="143"/>
  <c r="I2112" i="143"/>
  <c r="L2112" i="143" s="1"/>
  <c r="I2111" i="143"/>
  <c r="K2111" i="143" s="1"/>
  <c r="I2110" i="143"/>
  <c r="K2110" i="143" s="1"/>
  <c r="I2109" i="143"/>
  <c r="L2109" i="143" s="1"/>
  <c r="I2100" i="143"/>
  <c r="I2099" i="143"/>
  <c r="I2098" i="143"/>
  <c r="I2097" i="143"/>
  <c r="E2099" i="143" l="1"/>
  <c r="E2098" i="143"/>
  <c r="E2097" i="143"/>
  <c r="F2097" i="143" s="1"/>
  <c r="K2097" i="143" s="1"/>
  <c r="E2100" i="143"/>
  <c r="F2100" i="143" s="1"/>
  <c r="K2100" i="143" s="1"/>
  <c r="L3579" i="143"/>
  <c r="L3031" i="143"/>
  <c r="E211" i="145"/>
  <c r="F211" i="145" s="1"/>
  <c r="K3064" i="143"/>
  <c r="K3579" i="143"/>
  <c r="K3567" i="143"/>
  <c r="K3558" i="143"/>
  <c r="K3551" i="143"/>
  <c r="F3543" i="143"/>
  <c r="K3543" i="143" s="1"/>
  <c r="E3548" i="143"/>
  <c r="F3548" i="143" s="1"/>
  <c r="K3548" i="143" s="1"/>
  <c r="K3557" i="143"/>
  <c r="F3546" i="143"/>
  <c r="F3544" i="143"/>
  <c r="E3547" i="143"/>
  <c r="F3547" i="143" s="1"/>
  <c r="K3547" i="143" s="1"/>
  <c r="E3549" i="143"/>
  <c r="F3549" i="143" s="1"/>
  <c r="K3549" i="143" s="1"/>
  <c r="L3566" i="143"/>
  <c r="E3545" i="143"/>
  <c r="F3545" i="143" s="1"/>
  <c r="K3545" i="143" s="1"/>
  <c r="K3550" i="143"/>
  <c r="L3568" i="143"/>
  <c r="L3562" i="143"/>
  <c r="K3560" i="143"/>
  <c r="K3559" i="143"/>
  <c r="F3566" i="143"/>
  <c r="K3566" i="143" s="1"/>
  <c r="L78" i="145"/>
  <c r="E2118" i="143"/>
  <c r="L85" i="145" s="1"/>
  <c r="M85" i="145" s="1"/>
  <c r="E3086" i="143"/>
  <c r="E3083" i="143"/>
  <c r="E3084" i="143" s="1"/>
  <c r="E3087" i="143"/>
  <c r="K2131" i="143"/>
  <c r="L3064" i="143"/>
  <c r="L2131" i="143"/>
  <c r="E210" i="145"/>
  <c r="F210" i="145" s="1"/>
  <c r="F3030" i="143"/>
  <c r="K3030" i="143" s="1"/>
  <c r="E3036" i="143"/>
  <c r="L3036" i="143" s="1"/>
  <c r="L3053" i="143"/>
  <c r="L3044" i="143"/>
  <c r="L3047" i="143" s="1"/>
  <c r="L3030" i="143"/>
  <c r="K3043" i="143"/>
  <c r="K3052" i="143"/>
  <c r="K3042" i="143"/>
  <c r="E3035" i="143"/>
  <c r="K3045" i="143"/>
  <c r="E3051" i="143"/>
  <c r="L2098" i="143"/>
  <c r="K2119" i="143"/>
  <c r="L2110" i="143"/>
  <c r="L2111" i="143"/>
  <c r="L2120" i="143"/>
  <c r="K2109" i="143"/>
  <c r="K2112" i="143"/>
  <c r="L2100" i="143" l="1"/>
  <c r="F2099" i="143"/>
  <c r="K2099" i="143" s="1"/>
  <c r="E251" i="145"/>
  <c r="F251" i="145" s="1"/>
  <c r="F2098" i="143"/>
  <c r="K2098" i="143" s="1"/>
  <c r="E80" i="145"/>
  <c r="F80" i="145" s="1"/>
  <c r="L2099" i="143"/>
  <c r="L2118" i="143"/>
  <c r="L2123" i="143" s="1"/>
  <c r="L106" i="145"/>
  <c r="L2097" i="143"/>
  <c r="F3031" i="143"/>
  <c r="K3031" i="143" s="1"/>
  <c r="L3549" i="143"/>
  <c r="K3571" i="143"/>
  <c r="L3548" i="143"/>
  <c r="K3562" i="143"/>
  <c r="L3547" i="143"/>
  <c r="L3571" i="143"/>
  <c r="L3545" i="143"/>
  <c r="L3546" i="143"/>
  <c r="K3546" i="143"/>
  <c r="L3544" i="143"/>
  <c r="K3544" i="143"/>
  <c r="F2118" i="143"/>
  <c r="K2118" i="143" s="1"/>
  <c r="K2123" i="143" s="1"/>
  <c r="F3036" i="143"/>
  <c r="K3036" i="143" s="1"/>
  <c r="K3047" i="143"/>
  <c r="K2114" i="143"/>
  <c r="L3035" i="143"/>
  <c r="F3035" i="143"/>
  <c r="K3035" i="143" s="1"/>
  <c r="L3051" i="143"/>
  <c r="L3056" i="143" s="1"/>
  <c r="F3051" i="143"/>
  <c r="K3051" i="143" s="1"/>
  <c r="K3056" i="143" s="1"/>
  <c r="L3032" i="143"/>
  <c r="F3032" i="143"/>
  <c r="K3032" i="143" s="1"/>
  <c r="L3033" i="143"/>
  <c r="F3033" i="143"/>
  <c r="K3033" i="143" s="1"/>
  <c r="L2114" i="143"/>
  <c r="L2105" i="143" l="1"/>
  <c r="L2134" i="143" s="1"/>
  <c r="L2136" i="143" s="1"/>
  <c r="K2105" i="143"/>
  <c r="K2134" i="143" s="1"/>
  <c r="K2136" i="143" s="1"/>
  <c r="K2138" i="143" s="1"/>
  <c r="F58" i="1" s="1"/>
  <c r="G58" i="1" s="1"/>
  <c r="H66" i="1" s="1"/>
  <c r="Q30" i="140" s="1"/>
  <c r="J31" i="140" s="1"/>
  <c r="J30" i="140" s="1"/>
  <c r="L3553" i="143"/>
  <c r="L3582" i="143" s="1"/>
  <c r="L3584" i="143" s="1"/>
  <c r="K3553" i="143"/>
  <c r="K3582" i="143" s="1"/>
  <c r="K3584" i="143" s="1"/>
  <c r="K3586" i="143" s="1"/>
  <c r="F90" i="1" s="1"/>
  <c r="G90" i="1" s="1"/>
  <c r="H90" i="1" s="1"/>
  <c r="Q40" i="140" s="1"/>
  <c r="N41" i="140" s="1"/>
  <c r="N40" i="140" s="1"/>
  <c r="L3034" i="143"/>
  <c r="L3038" i="143" s="1"/>
  <c r="L3067" i="143" s="1"/>
  <c r="F3034" i="143"/>
  <c r="K3034" i="143" s="1"/>
  <c r="K3038" i="143" s="1"/>
  <c r="K3067" i="143" s="1"/>
  <c r="K3069" i="143" s="1"/>
  <c r="K3071" i="143" s="1"/>
  <c r="F77" i="1" s="1"/>
  <c r="G77" i="1" s="1"/>
  <c r="L3586" i="143" l="1"/>
  <c r="L3587" i="143" s="1"/>
  <c r="M3587" i="143" s="1"/>
  <c r="L2138" i="143"/>
  <c r="L2139" i="143" s="1"/>
  <c r="M2139" i="143" s="1"/>
  <c r="L3069" i="143"/>
  <c r="L3071" i="143" s="1"/>
  <c r="L3072" i="143" s="1"/>
  <c r="M3072" i="143" s="1"/>
  <c r="K2037" i="143" l="1"/>
  <c r="I2037" i="143"/>
  <c r="E2065" i="143" s="1"/>
  <c r="L74" i="145" s="1"/>
  <c r="L2076" i="143"/>
  <c r="K2076" i="143"/>
  <c r="L2075" i="143"/>
  <c r="K2075" i="143"/>
  <c r="L2074" i="143"/>
  <c r="K2074" i="143"/>
  <c r="L2068" i="143"/>
  <c r="I2067" i="143"/>
  <c r="K2067" i="143" s="1"/>
  <c r="I2066" i="143"/>
  <c r="L2066" i="143" s="1"/>
  <c r="I2065" i="143"/>
  <c r="G2065" i="143"/>
  <c r="I2059" i="143"/>
  <c r="L2059" i="143" s="1"/>
  <c r="I2058" i="143"/>
  <c r="L2058" i="143" s="1"/>
  <c r="I2057" i="143"/>
  <c r="K2057" i="143" s="1"/>
  <c r="I2056" i="143"/>
  <c r="L2056" i="143" s="1"/>
  <c r="I2050" i="143"/>
  <c r="K2050" i="143" s="1"/>
  <c r="I2049" i="143"/>
  <c r="K2049" i="143" s="1"/>
  <c r="I2048" i="143"/>
  <c r="L2048" i="143" s="1"/>
  <c r="I2044" i="143"/>
  <c r="L2044" i="143" s="1"/>
  <c r="I2043" i="143"/>
  <c r="K2043" i="143" s="1"/>
  <c r="I2042" i="143"/>
  <c r="L2042" i="143" s="1"/>
  <c r="I2041" i="143"/>
  <c r="L2041" i="143" s="1"/>
  <c r="K1984" i="143"/>
  <c r="I1984" i="143"/>
  <c r="D1984" i="143"/>
  <c r="B1984" i="143"/>
  <c r="E1825" i="143"/>
  <c r="L1855" i="143"/>
  <c r="K1855" i="143"/>
  <c r="L1854" i="143"/>
  <c r="K1854" i="143"/>
  <c r="L1853" i="143"/>
  <c r="K1853" i="143"/>
  <c r="L1847" i="143"/>
  <c r="I1846" i="143"/>
  <c r="K1846" i="143" s="1"/>
  <c r="I1845" i="143"/>
  <c r="L1845" i="143" s="1"/>
  <c r="I1844" i="143"/>
  <c r="G1844" i="143"/>
  <c r="I1838" i="143"/>
  <c r="L1838" i="143" s="1"/>
  <c r="I1837" i="143"/>
  <c r="L1837" i="143" s="1"/>
  <c r="I1836" i="143"/>
  <c r="L1836" i="143" s="1"/>
  <c r="I1835" i="143"/>
  <c r="L1835" i="143" s="1"/>
  <c r="I1829" i="143"/>
  <c r="L1829" i="143" s="1"/>
  <c r="I1828" i="143"/>
  <c r="L1828" i="143" s="1"/>
  <c r="I1827" i="143"/>
  <c r="L1827" i="143" s="1"/>
  <c r="I1826" i="143"/>
  <c r="K1826" i="143" s="1"/>
  <c r="I1825" i="143"/>
  <c r="G1825" i="143"/>
  <c r="I1824" i="143"/>
  <c r="G1824" i="143"/>
  <c r="I1823" i="143"/>
  <c r="G1823" i="143"/>
  <c r="E1823" i="143"/>
  <c r="K1542" i="143"/>
  <c r="I1542" i="143"/>
  <c r="D1542" i="143"/>
  <c r="B1542" i="143"/>
  <c r="I1459" i="143"/>
  <c r="K1459" i="143" s="1"/>
  <c r="I1460" i="143"/>
  <c r="K1460" i="143" s="1"/>
  <c r="I1458" i="143"/>
  <c r="E1546" i="143" l="1"/>
  <c r="E1547" i="143"/>
  <c r="L1857" i="143"/>
  <c r="K2078" i="143"/>
  <c r="L2078" i="143"/>
  <c r="K1857" i="143"/>
  <c r="E1824" i="143"/>
  <c r="L2049" i="143"/>
  <c r="K2042" i="143"/>
  <c r="L2057" i="143"/>
  <c r="L2061" i="143" s="1"/>
  <c r="L2043" i="143"/>
  <c r="K2056" i="143"/>
  <c r="L2067" i="143"/>
  <c r="L2050" i="143"/>
  <c r="L2065" i="143"/>
  <c r="K2066" i="143"/>
  <c r="K2041" i="143"/>
  <c r="K2048" i="143"/>
  <c r="K2059" i="143"/>
  <c r="K2044" i="143"/>
  <c r="K2058" i="143"/>
  <c r="F2065" i="143"/>
  <c r="K2065" i="143" s="1"/>
  <c r="L1826" i="143"/>
  <c r="K1829" i="143"/>
  <c r="L1846" i="143"/>
  <c r="K1837" i="143"/>
  <c r="K1828" i="143"/>
  <c r="K1835" i="143"/>
  <c r="K1845" i="143"/>
  <c r="K1836" i="143"/>
  <c r="L1823" i="143"/>
  <c r="L1840" i="143"/>
  <c r="L1825" i="143"/>
  <c r="F1825" i="143"/>
  <c r="K1825" i="143" s="1"/>
  <c r="K1827" i="143"/>
  <c r="K1838" i="143"/>
  <c r="E1844" i="143"/>
  <c r="L84" i="145" s="1"/>
  <c r="M84" i="145" s="1"/>
  <c r="F1823" i="143"/>
  <c r="K1823" i="143" s="1"/>
  <c r="L1459" i="143"/>
  <c r="L1460" i="143"/>
  <c r="I1450" i="143"/>
  <c r="L1450" i="143" s="1"/>
  <c r="I1451" i="143"/>
  <c r="K1451" i="143" s="1"/>
  <c r="I1452" i="143"/>
  <c r="K1452" i="143" s="1"/>
  <c r="I1449" i="143"/>
  <c r="L1449" i="143" s="1"/>
  <c r="I1393" i="143"/>
  <c r="K1393" i="143" s="1"/>
  <c r="G1435" i="143"/>
  <c r="I1435" i="143"/>
  <c r="G1436" i="143"/>
  <c r="I1436" i="143"/>
  <c r="G1437" i="143"/>
  <c r="I1437" i="143"/>
  <c r="G1438" i="143"/>
  <c r="I1438" i="143"/>
  <c r="G1439" i="143"/>
  <c r="I1439" i="143"/>
  <c r="G1440" i="143"/>
  <c r="I1440" i="143"/>
  <c r="G1441" i="143"/>
  <c r="I1441" i="143"/>
  <c r="G1442" i="143"/>
  <c r="I1442" i="143"/>
  <c r="G1443" i="143"/>
  <c r="I1443" i="143"/>
  <c r="I1434" i="143"/>
  <c r="G1434" i="143"/>
  <c r="K1430" i="143"/>
  <c r="I1430" i="143"/>
  <c r="D1430" i="143"/>
  <c r="B1430" i="143"/>
  <c r="K1374" i="143"/>
  <c r="I1374" i="143"/>
  <c r="E1382" i="143" s="1"/>
  <c r="D1374" i="143"/>
  <c r="B1374" i="143"/>
  <c r="L1413" i="143"/>
  <c r="K1413" i="143"/>
  <c r="L1412" i="143"/>
  <c r="K1412" i="143"/>
  <c r="L1411" i="143"/>
  <c r="K1411" i="143"/>
  <c r="L1405" i="143"/>
  <c r="I1404" i="143"/>
  <c r="K1404" i="143" s="1"/>
  <c r="I1403" i="143"/>
  <c r="L1403" i="143" s="1"/>
  <c r="I1402" i="143"/>
  <c r="G1402" i="143"/>
  <c r="I1396" i="143"/>
  <c r="L1396" i="143" s="1"/>
  <c r="I1395" i="143"/>
  <c r="L1395" i="143" s="1"/>
  <c r="I1394" i="143"/>
  <c r="L1394" i="143" s="1"/>
  <c r="I1387" i="143"/>
  <c r="I1386" i="143"/>
  <c r="I1385" i="143"/>
  <c r="I1384" i="143"/>
  <c r="I1383" i="143"/>
  <c r="G1383" i="143"/>
  <c r="I1382" i="143"/>
  <c r="G1382" i="143"/>
  <c r="I1381" i="143"/>
  <c r="G1381" i="143"/>
  <c r="I1380" i="143"/>
  <c r="G1380" i="143"/>
  <c r="I1379" i="143"/>
  <c r="G1379" i="143"/>
  <c r="I1378" i="143"/>
  <c r="G1378" i="143"/>
  <c r="L1469" i="143"/>
  <c r="K1469" i="143"/>
  <c r="L1468" i="143"/>
  <c r="K1468" i="143"/>
  <c r="L1467" i="143"/>
  <c r="K1467" i="143"/>
  <c r="L1461" i="143"/>
  <c r="K870" i="143"/>
  <c r="I870" i="143"/>
  <c r="D870" i="143"/>
  <c r="B870" i="143"/>
  <c r="L909" i="143"/>
  <c r="K909" i="143"/>
  <c r="L908" i="143"/>
  <c r="K908" i="143"/>
  <c r="L907" i="143"/>
  <c r="K907" i="143"/>
  <c r="L901" i="143"/>
  <c r="I900" i="143"/>
  <c r="K900" i="143" s="1"/>
  <c r="I899" i="143"/>
  <c r="L899" i="143" s="1"/>
  <c r="I898" i="143"/>
  <c r="G898" i="143"/>
  <c r="I892" i="143"/>
  <c r="L892" i="143" s="1"/>
  <c r="I891" i="143"/>
  <c r="K891" i="143" s="1"/>
  <c r="I890" i="143"/>
  <c r="K890" i="143" s="1"/>
  <c r="I889" i="143"/>
  <c r="L889" i="143" s="1"/>
  <c r="I883" i="143"/>
  <c r="L883" i="143" s="1"/>
  <c r="I882" i="143"/>
  <c r="L882" i="143" s="1"/>
  <c r="I881" i="143"/>
  <c r="G881" i="143"/>
  <c r="I880" i="143"/>
  <c r="G880" i="143"/>
  <c r="I879" i="143"/>
  <c r="G879" i="143"/>
  <c r="I878" i="143"/>
  <c r="G878" i="143"/>
  <c r="I877" i="143"/>
  <c r="G877" i="143"/>
  <c r="I876" i="143"/>
  <c r="G876" i="143"/>
  <c r="I875" i="143"/>
  <c r="G875" i="143"/>
  <c r="I874" i="143"/>
  <c r="G874" i="143"/>
  <c r="K814" i="143"/>
  <c r="I814" i="143"/>
  <c r="D814" i="143"/>
  <c r="B814" i="143"/>
  <c r="L853" i="143"/>
  <c r="K853" i="143"/>
  <c r="L852" i="143"/>
  <c r="K852" i="143"/>
  <c r="L851" i="143"/>
  <c r="K851" i="143"/>
  <c r="L845" i="143"/>
  <c r="I844" i="143"/>
  <c r="K844" i="143" s="1"/>
  <c r="I843" i="143"/>
  <c r="L843" i="143" s="1"/>
  <c r="I842" i="143"/>
  <c r="G842" i="143"/>
  <c r="I836" i="143"/>
  <c r="L836" i="143" s="1"/>
  <c r="I835" i="143"/>
  <c r="L835" i="143" s="1"/>
  <c r="I834" i="143"/>
  <c r="K834" i="143" s="1"/>
  <c r="I833" i="143"/>
  <c r="L833" i="143" s="1"/>
  <c r="I827" i="143"/>
  <c r="K827" i="143" s="1"/>
  <c r="I826" i="143"/>
  <c r="L826" i="143" s="1"/>
  <c r="I825" i="143"/>
  <c r="G825" i="143"/>
  <c r="I824" i="143"/>
  <c r="G824" i="143"/>
  <c r="I823" i="143"/>
  <c r="G823" i="143"/>
  <c r="I822" i="143"/>
  <c r="G822" i="143"/>
  <c r="I821" i="143"/>
  <c r="G821" i="143"/>
  <c r="I820" i="143"/>
  <c r="G820" i="143"/>
  <c r="I819" i="143"/>
  <c r="G819" i="143"/>
  <c r="I818" i="143"/>
  <c r="G818" i="143"/>
  <c r="G769" i="143"/>
  <c r="G768" i="143"/>
  <c r="G767" i="143"/>
  <c r="I777" i="143"/>
  <c r="K777" i="143" s="1"/>
  <c r="K758" i="143"/>
  <c r="I758" i="143"/>
  <c r="D758" i="143"/>
  <c r="B758" i="143"/>
  <c r="L797" i="143"/>
  <c r="K797" i="143"/>
  <c r="L796" i="143"/>
  <c r="K796" i="143"/>
  <c r="L795" i="143"/>
  <c r="K795" i="143"/>
  <c r="L789" i="143"/>
  <c r="I788" i="143"/>
  <c r="L788" i="143" s="1"/>
  <c r="I787" i="143"/>
  <c r="L787" i="143" s="1"/>
  <c r="I786" i="143"/>
  <c r="G786" i="143"/>
  <c r="I780" i="143"/>
  <c r="L780" i="143" s="1"/>
  <c r="I779" i="143"/>
  <c r="L779" i="143" s="1"/>
  <c r="I778" i="143"/>
  <c r="L778" i="143" s="1"/>
  <c r="I771" i="143"/>
  <c r="L771" i="143" s="1"/>
  <c r="I770" i="143"/>
  <c r="L770" i="143" s="1"/>
  <c r="I769" i="143"/>
  <c r="I768" i="143"/>
  <c r="I767" i="143"/>
  <c r="I766" i="143"/>
  <c r="G766" i="143"/>
  <c r="I765" i="143"/>
  <c r="G765" i="143"/>
  <c r="I764" i="143"/>
  <c r="G764" i="143"/>
  <c r="I763" i="143"/>
  <c r="G763" i="143"/>
  <c r="I762" i="143"/>
  <c r="G762" i="143"/>
  <c r="I502" i="143"/>
  <c r="L502" i="143" s="1"/>
  <c r="K485" i="143"/>
  <c r="I485" i="143"/>
  <c r="E489" i="143" s="1"/>
  <c r="E44" i="145" s="1"/>
  <c r="F44" i="145" s="1"/>
  <c r="D485" i="143"/>
  <c r="B485" i="143"/>
  <c r="L522" i="143"/>
  <c r="K522" i="143"/>
  <c r="L521" i="143"/>
  <c r="K521" i="143"/>
  <c r="L520" i="143"/>
  <c r="K520" i="143"/>
  <c r="L514" i="143"/>
  <c r="I513" i="143"/>
  <c r="K513" i="143" s="1"/>
  <c r="I512" i="143"/>
  <c r="L512" i="143" s="1"/>
  <c r="I511" i="143"/>
  <c r="G511" i="143"/>
  <c r="I505" i="143"/>
  <c r="L505" i="143" s="1"/>
  <c r="I504" i="143"/>
  <c r="L504" i="143" s="1"/>
  <c r="I503" i="143"/>
  <c r="L503" i="143" s="1"/>
  <c r="I496" i="143"/>
  <c r="L496" i="143" s="1"/>
  <c r="I495" i="143"/>
  <c r="L495" i="143" s="1"/>
  <c r="I494" i="143"/>
  <c r="L494" i="143" s="1"/>
  <c r="I493" i="143"/>
  <c r="L493" i="143" s="1"/>
  <c r="I492" i="143"/>
  <c r="L492" i="143" s="1"/>
  <c r="I491" i="143"/>
  <c r="G491" i="143"/>
  <c r="I490" i="143"/>
  <c r="G490" i="143"/>
  <c r="I489" i="143"/>
  <c r="G489" i="143"/>
  <c r="E1436" i="143" l="1"/>
  <c r="F1436" i="143" s="1"/>
  <c r="K1436" i="143" s="1"/>
  <c r="E1442" i="143"/>
  <c r="L1442" i="143" s="1"/>
  <c r="E1378" i="143"/>
  <c r="E1383" i="143"/>
  <c r="E1381" i="143"/>
  <c r="E1379" i="143"/>
  <c r="E1380" i="143"/>
  <c r="E874" i="143"/>
  <c r="E878" i="143"/>
  <c r="E881" i="143"/>
  <c r="E877" i="143"/>
  <c r="E875" i="143"/>
  <c r="E880" i="143"/>
  <c r="L880" i="143" s="1"/>
  <c r="E876" i="143"/>
  <c r="E879" i="143"/>
  <c r="E767" i="143"/>
  <c r="F767" i="143" s="1"/>
  <c r="K767" i="143" s="1"/>
  <c r="E763" i="143"/>
  <c r="E762" i="143"/>
  <c r="E769" i="143"/>
  <c r="F769" i="143" s="1"/>
  <c r="K769" i="143" s="1"/>
  <c r="E765" i="143"/>
  <c r="E768" i="143"/>
  <c r="F768" i="143" s="1"/>
  <c r="K768" i="143" s="1"/>
  <c r="E764" i="143"/>
  <c r="E766" i="143"/>
  <c r="F766" i="143" s="1"/>
  <c r="K766" i="143" s="1"/>
  <c r="E825" i="143"/>
  <c r="E820" i="143"/>
  <c r="E818" i="143"/>
  <c r="E824" i="143"/>
  <c r="L824" i="143" s="1"/>
  <c r="L83" i="145"/>
  <c r="M83" i="145" s="1"/>
  <c r="K911" i="143"/>
  <c r="L855" i="143"/>
  <c r="L2052" i="143"/>
  <c r="K2070" i="143"/>
  <c r="K2061" i="143"/>
  <c r="L2070" i="143"/>
  <c r="K2052" i="143"/>
  <c r="K1840" i="143"/>
  <c r="L1844" i="143"/>
  <c r="L1849" i="143" s="1"/>
  <c r="F1844" i="143"/>
  <c r="K1844" i="143" s="1"/>
  <c r="K1849" i="143" s="1"/>
  <c r="L1824" i="143"/>
  <c r="L1831" i="143" s="1"/>
  <c r="F1824" i="143"/>
  <c r="K1824" i="143" s="1"/>
  <c r="K1831" i="143" s="1"/>
  <c r="K799" i="143"/>
  <c r="L911" i="143"/>
  <c r="E1441" i="143"/>
  <c r="L1441" i="143" s="1"/>
  <c r="L1451" i="143"/>
  <c r="E1443" i="143"/>
  <c r="F1443" i="143" s="1"/>
  <c r="K1443" i="143" s="1"/>
  <c r="L1471" i="143"/>
  <c r="L1452" i="143"/>
  <c r="L1393" i="143"/>
  <c r="L1398" i="143" s="1"/>
  <c r="K1450" i="143"/>
  <c r="K1449" i="143"/>
  <c r="K1403" i="143"/>
  <c r="K1415" i="143"/>
  <c r="L524" i="143"/>
  <c r="L799" i="143"/>
  <c r="L1415" i="143"/>
  <c r="K855" i="143"/>
  <c r="K1471" i="143"/>
  <c r="L1404" i="143"/>
  <c r="K1394" i="143"/>
  <c r="K882" i="143"/>
  <c r="K1396" i="143"/>
  <c r="E1402" i="143"/>
  <c r="K1395" i="143"/>
  <c r="E823" i="143"/>
  <c r="E1440" i="143"/>
  <c r="F1440" i="143" s="1"/>
  <c r="K1440" i="143" s="1"/>
  <c r="E1434" i="143"/>
  <c r="F1434" i="143" s="1"/>
  <c r="K1434" i="143" s="1"/>
  <c r="E1438" i="143"/>
  <c r="F1438" i="143" s="1"/>
  <c r="K1438" i="143" s="1"/>
  <c r="L890" i="143"/>
  <c r="E1458" i="143"/>
  <c r="K889" i="143"/>
  <c r="E1435" i="143"/>
  <c r="L1435" i="143" s="1"/>
  <c r="E1437" i="143"/>
  <c r="L1437" i="143" s="1"/>
  <c r="E1439" i="143"/>
  <c r="L1439" i="143" s="1"/>
  <c r="K883" i="143"/>
  <c r="L891" i="143"/>
  <c r="L900" i="143"/>
  <c r="K899" i="143"/>
  <c r="K892" i="143"/>
  <c r="E898" i="143"/>
  <c r="E819" i="143"/>
  <c r="K826" i="143"/>
  <c r="K833" i="143"/>
  <c r="K835" i="143"/>
  <c r="L844" i="143"/>
  <c r="L827" i="143"/>
  <c r="L834" i="143"/>
  <c r="L838" i="143" s="1"/>
  <c r="K843" i="143"/>
  <c r="E821" i="143"/>
  <c r="K836" i="143"/>
  <c r="E842" i="143"/>
  <c r="E822" i="143"/>
  <c r="L777" i="143"/>
  <c r="L782" i="143" s="1"/>
  <c r="K778" i="143"/>
  <c r="K788" i="143"/>
  <c r="K787" i="143"/>
  <c r="K771" i="143"/>
  <c r="K780" i="143"/>
  <c r="E786" i="143"/>
  <c r="K770" i="143"/>
  <c r="K779" i="143"/>
  <c r="E490" i="143"/>
  <c r="E491" i="143"/>
  <c r="F491" i="143" s="1"/>
  <c r="K491" i="143" s="1"/>
  <c r="K502" i="143"/>
  <c r="K524" i="143"/>
  <c r="K493" i="143"/>
  <c r="L507" i="143"/>
  <c r="K495" i="143"/>
  <c r="K504" i="143"/>
  <c r="L513" i="143"/>
  <c r="K494" i="143"/>
  <c r="K503" i="143"/>
  <c r="K512" i="143"/>
  <c r="K492" i="143"/>
  <c r="K496" i="143"/>
  <c r="K505" i="143"/>
  <c r="E511" i="143"/>
  <c r="L121" i="145" s="1"/>
  <c r="F880" i="143" l="1"/>
  <c r="K880" i="143" s="1"/>
  <c r="L134" i="145"/>
  <c r="L95" i="145"/>
  <c r="M95" i="145" s="1"/>
  <c r="F824" i="143"/>
  <c r="K824" i="143" s="1"/>
  <c r="L1458" i="143"/>
  <c r="L1463" i="143" s="1"/>
  <c r="L101" i="145"/>
  <c r="L8" i="145"/>
  <c r="M121" i="145"/>
  <c r="K2081" i="143"/>
  <c r="K2083" i="143" s="1"/>
  <c r="K2085" i="143" s="1"/>
  <c r="F56" i="1" s="1"/>
  <c r="G56" i="1" s="1"/>
  <c r="H56" i="1" s="1"/>
  <c r="Q28" i="140" s="1"/>
  <c r="I29" i="140" s="1"/>
  <c r="I28" i="140" s="1"/>
  <c r="L2081" i="143"/>
  <c r="L2083" i="143" s="1"/>
  <c r="L2085" i="143" s="1"/>
  <c r="L2086" i="143" s="1"/>
  <c r="L1436" i="143"/>
  <c r="K1860" i="143"/>
  <c r="K1862" i="143" s="1"/>
  <c r="K1864" i="143" s="1"/>
  <c r="F50" i="1" s="1"/>
  <c r="G50" i="1" s="1"/>
  <c r="L1454" i="143"/>
  <c r="L1860" i="143"/>
  <c r="L1862" i="143" s="1"/>
  <c r="L1864" i="143" s="1"/>
  <c r="L1865" i="143" s="1"/>
  <c r="L1438" i="143"/>
  <c r="L1443" i="143"/>
  <c r="L1440" i="143"/>
  <c r="L1434" i="143"/>
  <c r="L894" i="143"/>
  <c r="K1398" i="143"/>
  <c r="L1382" i="143"/>
  <c r="F1382" i="143"/>
  <c r="K1382" i="143" s="1"/>
  <c r="L1381" i="143"/>
  <c r="F1381" i="143"/>
  <c r="K1381" i="143" s="1"/>
  <c r="L1380" i="143"/>
  <c r="F1380" i="143"/>
  <c r="K1380" i="143" s="1"/>
  <c r="L1387" i="143"/>
  <c r="K1387" i="143"/>
  <c r="L1379" i="143"/>
  <c r="F1379" i="143"/>
  <c r="K1379" i="143" s="1"/>
  <c r="L1386" i="143"/>
  <c r="K1386" i="143"/>
  <c r="L1378" i="143"/>
  <c r="F1378" i="143"/>
  <c r="K1378" i="143" s="1"/>
  <c r="L1402" i="143"/>
  <c r="L1407" i="143" s="1"/>
  <c r="F1402" i="143"/>
  <c r="K1402" i="143" s="1"/>
  <c r="K1407" i="143" s="1"/>
  <c r="L1385" i="143"/>
  <c r="K1385" i="143"/>
  <c r="L1384" i="143"/>
  <c r="K1384" i="143"/>
  <c r="L1383" i="143"/>
  <c r="F1383" i="143"/>
  <c r="K1383" i="143" s="1"/>
  <c r="K1454" i="143"/>
  <c r="F1441" i="143"/>
  <c r="K1441" i="143" s="1"/>
  <c r="F1442" i="143"/>
  <c r="K1442" i="143" s="1"/>
  <c r="F1437" i="143"/>
  <c r="K1437" i="143" s="1"/>
  <c r="F1458" i="143"/>
  <c r="F1435" i="143"/>
  <c r="K1435" i="143" s="1"/>
  <c r="K894" i="143"/>
  <c r="F1439" i="143"/>
  <c r="K1439" i="143" s="1"/>
  <c r="L898" i="143"/>
  <c r="L903" i="143" s="1"/>
  <c r="F898" i="143"/>
  <c r="K898" i="143" s="1"/>
  <c r="K903" i="143" s="1"/>
  <c r="L877" i="143"/>
  <c r="F877" i="143"/>
  <c r="K877" i="143" s="1"/>
  <c r="L876" i="143"/>
  <c r="F876" i="143"/>
  <c r="K876" i="143" s="1"/>
  <c r="L881" i="143"/>
  <c r="F881" i="143"/>
  <c r="K881" i="143" s="1"/>
  <c r="F874" i="143"/>
  <c r="K874" i="143" s="1"/>
  <c r="L874" i="143"/>
  <c r="L879" i="143"/>
  <c r="F879" i="143"/>
  <c r="K879" i="143" s="1"/>
  <c r="L878" i="143"/>
  <c r="F878" i="143"/>
  <c r="K878" i="143" s="1"/>
  <c r="L875" i="143"/>
  <c r="F875" i="143"/>
  <c r="K875" i="143" s="1"/>
  <c r="K838" i="143"/>
  <c r="L842" i="143"/>
  <c r="L847" i="143" s="1"/>
  <c r="F842" i="143"/>
  <c r="K842" i="143" s="1"/>
  <c r="K847" i="143" s="1"/>
  <c r="L821" i="143"/>
  <c r="F821" i="143"/>
  <c r="K821" i="143" s="1"/>
  <c r="L820" i="143"/>
  <c r="F820" i="143"/>
  <c r="K820" i="143" s="1"/>
  <c r="L825" i="143"/>
  <c r="F825" i="143"/>
  <c r="K825" i="143" s="1"/>
  <c r="L818" i="143"/>
  <c r="F818" i="143"/>
  <c r="K818" i="143" s="1"/>
  <c r="L823" i="143"/>
  <c r="F823" i="143"/>
  <c r="K823" i="143" s="1"/>
  <c r="L822" i="143"/>
  <c r="F822" i="143"/>
  <c r="K822" i="143" s="1"/>
  <c r="L819" i="143"/>
  <c r="F819" i="143"/>
  <c r="K819" i="143" s="1"/>
  <c r="L769" i="143"/>
  <c r="L768" i="143"/>
  <c r="L767" i="143"/>
  <c r="K782" i="143"/>
  <c r="L766" i="143"/>
  <c r="L764" i="143"/>
  <c r="F764" i="143"/>
  <c r="K764" i="143" s="1"/>
  <c r="L762" i="143"/>
  <c r="F762" i="143"/>
  <c r="K762" i="143" s="1"/>
  <c r="L491" i="143"/>
  <c r="L786" i="143"/>
  <c r="L791" i="143" s="1"/>
  <c r="F786" i="143"/>
  <c r="K786" i="143" s="1"/>
  <c r="K791" i="143" s="1"/>
  <c r="L765" i="143"/>
  <c r="F765" i="143"/>
  <c r="K765" i="143" s="1"/>
  <c r="L763" i="143"/>
  <c r="F763" i="143"/>
  <c r="K763" i="143" s="1"/>
  <c r="K507" i="143"/>
  <c r="L511" i="143"/>
  <c r="L516" i="143" s="1"/>
  <c r="F511" i="143"/>
  <c r="K511" i="143" s="1"/>
  <c r="K516" i="143" s="1"/>
  <c r="L490" i="143"/>
  <c r="F490" i="143"/>
  <c r="K490" i="143" s="1"/>
  <c r="L489" i="143"/>
  <c r="F489" i="143"/>
  <c r="K489" i="143" s="1"/>
  <c r="M2086" i="143" l="1"/>
  <c r="M1865" i="143"/>
  <c r="K1458" i="143"/>
  <c r="K1463" i="143" s="1"/>
  <c r="K1445" i="143"/>
  <c r="L1389" i="143"/>
  <c r="L1418" i="143" s="1"/>
  <c r="K1389" i="143"/>
  <c r="K1418" i="143" s="1"/>
  <c r="K1420" i="143" s="1"/>
  <c r="L1445" i="143"/>
  <c r="L1474" i="143" s="1"/>
  <c r="L885" i="143"/>
  <c r="L914" i="143" s="1"/>
  <c r="K885" i="143"/>
  <c r="K914" i="143" s="1"/>
  <c r="K829" i="143"/>
  <c r="K858" i="143" s="1"/>
  <c r="L829" i="143"/>
  <c r="L858" i="143" s="1"/>
  <c r="K773" i="143"/>
  <c r="K802" i="143" s="1"/>
  <c r="K804" i="143" s="1"/>
  <c r="K806" i="143" s="1"/>
  <c r="F29" i="1" s="1"/>
  <c r="L773" i="143"/>
  <c r="L802" i="143" s="1"/>
  <c r="K498" i="143"/>
  <c r="K527" i="143" s="1"/>
  <c r="K529" i="143" s="1"/>
  <c r="K531" i="143" s="1"/>
  <c r="F22" i="1" s="1"/>
  <c r="L498" i="143"/>
  <c r="L527" i="143" s="1"/>
  <c r="K1474" i="143" l="1"/>
  <c r="K1476" i="143" s="1"/>
  <c r="K1478" i="143" s="1"/>
  <c r="F42" i="1" s="1"/>
  <c r="K1422" i="143"/>
  <c r="F41" i="1" s="1"/>
  <c r="L1420" i="143"/>
  <c r="L1422" i="143" s="1"/>
  <c r="L1423" i="143" s="1"/>
  <c r="L1476" i="143"/>
  <c r="L1478" i="143" s="1"/>
  <c r="L1479" i="143" s="1"/>
  <c r="K916" i="143"/>
  <c r="K918" i="143" s="1"/>
  <c r="F31" i="1" s="1"/>
  <c r="L916" i="143"/>
  <c r="L918" i="143" s="1"/>
  <c r="L919" i="143" s="1"/>
  <c r="L860" i="143"/>
  <c r="L862" i="143" s="1"/>
  <c r="L863" i="143" s="1"/>
  <c r="K860" i="143"/>
  <c r="K862" i="143" s="1"/>
  <c r="F30" i="1" s="1"/>
  <c r="L804" i="143"/>
  <c r="L806" i="143" s="1"/>
  <c r="L807" i="143" s="1"/>
  <c r="M807" i="143" s="1"/>
  <c r="L529" i="143"/>
  <c r="L531" i="143" s="1"/>
  <c r="L532" i="143" s="1"/>
  <c r="M532" i="143" s="1"/>
  <c r="M1479" i="143" l="1"/>
  <c r="M1423" i="143"/>
  <c r="M919" i="143"/>
  <c r="M863" i="143"/>
  <c r="I434" i="143" l="1"/>
  <c r="G434" i="143"/>
  <c r="L468" i="143"/>
  <c r="K468" i="143"/>
  <c r="L467" i="143"/>
  <c r="K467" i="143"/>
  <c r="L466" i="143"/>
  <c r="K466" i="143"/>
  <c r="L460" i="143"/>
  <c r="I459" i="143"/>
  <c r="K459" i="143" s="1"/>
  <c r="I458" i="143"/>
  <c r="L458" i="143" s="1"/>
  <c r="I457" i="143"/>
  <c r="G457" i="143"/>
  <c r="I451" i="143"/>
  <c r="L451" i="143" s="1"/>
  <c r="I450" i="143"/>
  <c r="L450" i="143" s="1"/>
  <c r="I449" i="143"/>
  <c r="L449" i="143" s="1"/>
  <c r="L448" i="143"/>
  <c r="I442" i="143"/>
  <c r="L442" i="143" s="1"/>
  <c r="I441" i="143"/>
  <c r="L441" i="143" s="1"/>
  <c r="I440" i="143"/>
  <c r="K440" i="143" s="1"/>
  <c r="I439" i="143"/>
  <c r="L439" i="143" s="1"/>
  <c r="I438" i="143"/>
  <c r="L438" i="143" s="1"/>
  <c r="I437" i="143"/>
  <c r="G437" i="143"/>
  <c r="I436" i="143"/>
  <c r="G436" i="143"/>
  <c r="I435" i="143"/>
  <c r="G435" i="143"/>
  <c r="I433" i="143"/>
  <c r="G433" i="143"/>
  <c r="I235" i="143"/>
  <c r="I236" i="143"/>
  <c r="I287" i="143"/>
  <c r="K287" i="143" s="1"/>
  <c r="L470" i="143" l="1"/>
  <c r="K470" i="143"/>
  <c r="F434" i="143"/>
  <c r="K434" i="143" s="1"/>
  <c r="L437" i="143"/>
  <c r="L433" i="143"/>
  <c r="L440" i="143"/>
  <c r="L436" i="143"/>
  <c r="E457" i="143"/>
  <c r="K439" i="143"/>
  <c r="L459" i="143"/>
  <c r="K449" i="143"/>
  <c r="K458" i="143"/>
  <c r="L453" i="143"/>
  <c r="K442" i="143"/>
  <c r="K451" i="143"/>
  <c r="K438" i="143"/>
  <c r="K441" i="143"/>
  <c r="K450" i="143"/>
  <c r="L457" i="143" l="1"/>
  <c r="L462" i="143" s="1"/>
  <c r="L7" i="145"/>
  <c r="F437" i="143"/>
  <c r="K437" i="143" s="1"/>
  <c r="L434" i="143"/>
  <c r="F433" i="143"/>
  <c r="K433" i="143" s="1"/>
  <c r="F457" i="143"/>
  <c r="K457" i="143" s="1"/>
  <c r="K462" i="143" s="1"/>
  <c r="K453" i="143"/>
  <c r="F436" i="143"/>
  <c r="K436" i="143" s="1"/>
  <c r="L435" i="143"/>
  <c r="F435" i="143"/>
  <c r="K435" i="143" s="1"/>
  <c r="L444" i="143" l="1"/>
  <c r="L473" i="143" s="1"/>
  <c r="L475" i="143" s="1"/>
  <c r="L477" i="143" s="1"/>
  <c r="L478" i="143" s="1"/>
  <c r="K444" i="143"/>
  <c r="K473" i="143" s="1"/>
  <c r="K475" i="143" s="1"/>
  <c r="K477" i="143" s="1"/>
  <c r="F21" i="1" s="1"/>
  <c r="M478" i="143" l="1"/>
  <c r="K378" i="143" l="1"/>
  <c r="I378" i="143"/>
  <c r="E392" i="143" s="1"/>
  <c r="F392" i="143" s="1"/>
  <c r="K392" i="143" s="1"/>
  <c r="D378" i="143"/>
  <c r="B378" i="143"/>
  <c r="L412" i="143"/>
  <c r="K412" i="143"/>
  <c r="L411" i="143"/>
  <c r="K411" i="143"/>
  <c r="L410" i="143"/>
  <c r="K410" i="143"/>
  <c r="L404" i="143"/>
  <c r="I403" i="143"/>
  <c r="K403" i="143" s="1"/>
  <c r="I402" i="143"/>
  <c r="I401" i="143"/>
  <c r="G401" i="143"/>
  <c r="I395" i="143"/>
  <c r="L395" i="143" s="1"/>
  <c r="I394" i="143"/>
  <c r="L394" i="143" s="1"/>
  <c r="I393" i="143"/>
  <c r="K393" i="143" s="1"/>
  <c r="L392" i="143"/>
  <c r="I386" i="143"/>
  <c r="L386" i="143" s="1"/>
  <c r="I385" i="143"/>
  <c r="K385" i="143" s="1"/>
  <c r="I384" i="143"/>
  <c r="I383" i="143"/>
  <c r="I382" i="143"/>
  <c r="G330" i="143"/>
  <c r="G329" i="143"/>
  <c r="G328" i="143"/>
  <c r="K324" i="143"/>
  <c r="I324" i="143"/>
  <c r="E350" i="143" s="1"/>
  <c r="L55" i="145" s="1"/>
  <c r="D324" i="143"/>
  <c r="B324" i="143"/>
  <c r="L361" i="143"/>
  <c r="K361" i="143"/>
  <c r="L360" i="143"/>
  <c r="K360" i="143"/>
  <c r="L359" i="143"/>
  <c r="K359" i="143"/>
  <c r="L353" i="143"/>
  <c r="I352" i="143"/>
  <c r="K352" i="143" s="1"/>
  <c r="I351" i="143"/>
  <c r="L351" i="143" s="1"/>
  <c r="I350" i="143"/>
  <c r="G350" i="143"/>
  <c r="I344" i="143"/>
  <c r="L344" i="143" s="1"/>
  <c r="I343" i="143"/>
  <c r="K343" i="143" s="1"/>
  <c r="I342" i="143"/>
  <c r="L342" i="143" s="1"/>
  <c r="L341" i="143"/>
  <c r="I335" i="143"/>
  <c r="L335" i="143" s="1"/>
  <c r="I334" i="143"/>
  <c r="L334" i="143" s="1"/>
  <c r="I333" i="143"/>
  <c r="L333" i="143" s="1"/>
  <c r="I332" i="143"/>
  <c r="L332" i="143" s="1"/>
  <c r="I331" i="143"/>
  <c r="K331" i="143" s="1"/>
  <c r="I330" i="143"/>
  <c r="I329" i="143"/>
  <c r="I328" i="143"/>
  <c r="E401" i="143" l="1"/>
  <c r="L401" i="143" s="1"/>
  <c r="E402" i="143"/>
  <c r="L19" i="145" s="1"/>
  <c r="E328" i="143"/>
  <c r="F328" i="143" s="1"/>
  <c r="K328" i="143" s="1"/>
  <c r="E329" i="143"/>
  <c r="F329" i="143" s="1"/>
  <c r="K329" i="143" s="1"/>
  <c r="E330" i="143"/>
  <c r="F330" i="143" s="1"/>
  <c r="K330" i="143" s="1"/>
  <c r="K363" i="143"/>
  <c r="K383" i="143"/>
  <c r="L382" i="143"/>
  <c r="L384" i="143"/>
  <c r="L414" i="143"/>
  <c r="L363" i="143"/>
  <c r="K414" i="143"/>
  <c r="L393" i="143"/>
  <c r="L397" i="143" s="1"/>
  <c r="L385" i="143"/>
  <c r="L403" i="143"/>
  <c r="E124" i="145"/>
  <c r="F124" i="145" s="1"/>
  <c r="K386" i="143"/>
  <c r="K395" i="143"/>
  <c r="K394" i="143"/>
  <c r="K332" i="143"/>
  <c r="K334" i="143"/>
  <c r="L352" i="143"/>
  <c r="L331" i="143"/>
  <c r="K342" i="143"/>
  <c r="L343" i="143"/>
  <c r="L346" i="143" s="1"/>
  <c r="K351" i="143"/>
  <c r="L350" i="143"/>
  <c r="F350" i="143"/>
  <c r="K350" i="143" s="1"/>
  <c r="K333" i="143"/>
  <c r="K335" i="143"/>
  <c r="K344" i="143"/>
  <c r="L402" i="143" l="1"/>
  <c r="L406" i="143" s="1"/>
  <c r="L328" i="143"/>
  <c r="F401" i="143"/>
  <c r="K401" i="143" s="1"/>
  <c r="L127" i="145"/>
  <c r="M127" i="145" s="1"/>
  <c r="F402" i="143"/>
  <c r="K402" i="143" s="1"/>
  <c r="M19" i="145"/>
  <c r="L383" i="143"/>
  <c r="L388" i="143" s="1"/>
  <c r="K346" i="143"/>
  <c r="K382" i="143"/>
  <c r="K384" i="143"/>
  <c r="L330" i="143"/>
  <c r="L329" i="143"/>
  <c r="K397" i="143"/>
  <c r="K355" i="143"/>
  <c r="L355" i="143"/>
  <c r="K337" i="143"/>
  <c r="K406" i="143" l="1"/>
  <c r="L337" i="143"/>
  <c r="L366" i="143" s="1"/>
  <c r="L368" i="143" s="1"/>
  <c r="L370" i="143" s="1"/>
  <c r="L371" i="143" s="1"/>
  <c r="K388" i="143"/>
  <c r="L417" i="143"/>
  <c r="L419" i="143" s="1"/>
  <c r="L421" i="143" s="1"/>
  <c r="L422" i="143" s="1"/>
  <c r="K366" i="143"/>
  <c r="K368" i="143" s="1"/>
  <c r="K370" i="143" s="1"/>
  <c r="F19" i="1" s="1"/>
  <c r="K417" i="143" l="1"/>
  <c r="M371" i="143"/>
  <c r="K419" i="143" l="1"/>
  <c r="K421" i="143" s="1"/>
  <c r="M422" i="143" s="1"/>
  <c r="K220" i="143"/>
  <c r="I220" i="143"/>
  <c r="E235" i="143" s="1"/>
  <c r="F235" i="143" s="1"/>
  <c r="K235" i="143" s="1"/>
  <c r="D220" i="143"/>
  <c r="B220" i="143"/>
  <c r="L255" i="143"/>
  <c r="K255" i="143"/>
  <c r="L254" i="143"/>
  <c r="K254" i="143"/>
  <c r="L253" i="143"/>
  <c r="K253" i="143"/>
  <c r="L247" i="143"/>
  <c r="I246" i="143"/>
  <c r="K246" i="143" s="1"/>
  <c r="I245" i="143"/>
  <c r="L245" i="143" s="1"/>
  <c r="I244" i="143"/>
  <c r="G244" i="143"/>
  <c r="I238" i="143"/>
  <c r="L238" i="143" s="1"/>
  <c r="I237" i="143"/>
  <c r="K237" i="143" s="1"/>
  <c r="L236" i="143"/>
  <c r="I229" i="143"/>
  <c r="L229" i="143" s="1"/>
  <c r="I228" i="143"/>
  <c r="K228" i="143" s="1"/>
  <c r="I227" i="143"/>
  <c r="L227" i="143" s="1"/>
  <c r="I226" i="143"/>
  <c r="K226" i="143" s="1"/>
  <c r="I225" i="143"/>
  <c r="L225" i="143" s="1"/>
  <c r="I224" i="143"/>
  <c r="K224" i="143" s="1"/>
  <c r="G19" i="1"/>
  <c r="G21" i="1"/>
  <c r="G22" i="1"/>
  <c r="G25" i="1"/>
  <c r="H27" i="1" s="1"/>
  <c r="Q18" i="140" s="1"/>
  <c r="F19" i="140" s="1"/>
  <c r="F18" i="140" s="1"/>
  <c r="G29" i="1"/>
  <c r="G30" i="1"/>
  <c r="G31" i="1"/>
  <c r="G41" i="1"/>
  <c r="G42" i="1"/>
  <c r="F20" i="1" l="1"/>
  <c r="G20" i="1" s="1"/>
  <c r="H23" i="1" s="1"/>
  <c r="Q16" i="140" s="1"/>
  <c r="E17" i="140" s="1"/>
  <c r="E16" i="140" s="1"/>
  <c r="H39" i="1"/>
  <c r="Q20" i="140" s="1"/>
  <c r="F21" i="140" s="1"/>
  <c r="F20" i="140" s="1"/>
  <c r="H43" i="1"/>
  <c r="Q22" i="140" s="1"/>
  <c r="G23" i="140" s="1"/>
  <c r="G22" i="140" s="1"/>
  <c r="E244" i="143"/>
  <c r="L37" i="145" s="1"/>
  <c r="L235" i="143"/>
  <c r="K257" i="143"/>
  <c r="L257" i="143"/>
  <c r="K236" i="143"/>
  <c r="L228" i="143"/>
  <c r="K227" i="143"/>
  <c r="L237" i="143"/>
  <c r="L246" i="143"/>
  <c r="L224" i="143"/>
  <c r="K245" i="143"/>
  <c r="K225" i="143"/>
  <c r="L226" i="143"/>
  <c r="K229" i="143"/>
  <c r="K238" i="143"/>
  <c r="F244" i="143" l="1"/>
  <c r="K244" i="143" s="1"/>
  <c r="K249" i="143" s="1"/>
  <c r="L244" i="143"/>
  <c r="L249" i="143" s="1"/>
  <c r="L240" i="143"/>
  <c r="K240" i="143"/>
  <c r="K231" i="143"/>
  <c r="L231" i="143"/>
  <c r="K260" i="143" l="1"/>
  <c r="K262" i="143" s="1"/>
  <c r="K264" i="143" s="1"/>
  <c r="F16" i="1" s="1"/>
  <c r="L260" i="143"/>
  <c r="L262" i="143" s="1"/>
  <c r="L264" i="143" s="1"/>
  <c r="L265" i="143" s="1"/>
  <c r="G16" i="1" l="1"/>
  <c r="M265" i="143"/>
  <c r="K169" i="143"/>
  <c r="I169" i="143"/>
  <c r="D169" i="143"/>
  <c r="B169" i="143"/>
  <c r="L203" i="143"/>
  <c r="K203" i="143"/>
  <c r="L202" i="143"/>
  <c r="K202" i="143"/>
  <c r="L201" i="143"/>
  <c r="K201" i="143"/>
  <c r="L195" i="143"/>
  <c r="I194" i="143"/>
  <c r="K194" i="143" s="1"/>
  <c r="I193" i="143"/>
  <c r="L193" i="143" s="1"/>
  <c r="I192" i="143"/>
  <c r="G192" i="143"/>
  <c r="I186" i="143"/>
  <c r="L186" i="143" s="1"/>
  <c r="I185" i="143"/>
  <c r="L185" i="143" s="1"/>
  <c r="I184" i="143"/>
  <c r="L184" i="143" s="1"/>
  <c r="I177" i="143"/>
  <c r="K177" i="143" s="1"/>
  <c r="I176" i="143"/>
  <c r="L176" i="143" s="1"/>
  <c r="I175" i="143"/>
  <c r="K175" i="143" s="1"/>
  <c r="I174" i="143"/>
  <c r="L174" i="143" s="1"/>
  <c r="I173" i="143"/>
  <c r="K173" i="143" s="1"/>
  <c r="G141" i="143"/>
  <c r="D5" i="143"/>
  <c r="D4" i="143"/>
  <c r="E192" i="143" l="1"/>
  <c r="L41" i="145" s="1"/>
  <c r="E183" i="143"/>
  <c r="K205" i="143"/>
  <c r="L205" i="143"/>
  <c r="K176" i="143"/>
  <c r="K193" i="143"/>
  <c r="L194" i="143"/>
  <c r="K185" i="143"/>
  <c r="L177" i="143"/>
  <c r="K184" i="143"/>
  <c r="L173" i="143"/>
  <c r="K174" i="143"/>
  <c r="L175" i="143"/>
  <c r="K186" i="143"/>
  <c r="F192" i="143" l="1"/>
  <c r="K192" i="143" s="1"/>
  <c r="L192" i="143"/>
  <c r="L197" i="143" s="1"/>
  <c r="F183" i="143"/>
  <c r="K183" i="143" s="1"/>
  <c r="K188" i="143" s="1"/>
  <c r="L183" i="143"/>
  <c r="L188" i="143" s="1"/>
  <c r="K197" i="143"/>
  <c r="L179" i="143"/>
  <c r="K179" i="143"/>
  <c r="L208" i="143" l="1"/>
  <c r="L210" i="143" s="1"/>
  <c r="K208" i="143"/>
  <c r="K210" i="143" s="1"/>
  <c r="K212" i="143" s="1"/>
  <c r="F15" i="1" s="1"/>
  <c r="L212" i="143" l="1"/>
  <c r="L213" i="143" s="1"/>
  <c r="M213" i="143" s="1"/>
  <c r="G15" i="1" l="1"/>
  <c r="E3" i="145" l="1"/>
  <c r="E5" i="145"/>
  <c r="E6" i="145"/>
  <c r="E11" i="145"/>
  <c r="E12" i="145"/>
  <c r="E13" i="145"/>
  <c r="E14" i="145"/>
  <c r="E16" i="145"/>
  <c r="E17" i="145"/>
  <c r="E18" i="145"/>
  <c r="E19" i="145"/>
  <c r="E20" i="145"/>
  <c r="E22" i="145"/>
  <c r="E23" i="145"/>
  <c r="E24" i="145"/>
  <c r="E25" i="145"/>
  <c r="E26" i="145"/>
  <c r="E27" i="145"/>
  <c r="E28" i="145"/>
  <c r="E29" i="145"/>
  <c r="E30" i="145"/>
  <c r="E31" i="145"/>
  <c r="E33" i="145"/>
  <c r="E35" i="145"/>
  <c r="E38" i="145"/>
  <c r="E39" i="145"/>
  <c r="E41" i="145"/>
  <c r="E42" i="145"/>
  <c r="E43" i="145"/>
  <c r="E47" i="145"/>
  <c r="E49" i="145"/>
  <c r="E50" i="145"/>
  <c r="E56" i="145"/>
  <c r="E57" i="145"/>
  <c r="E58" i="145"/>
  <c r="E60" i="145"/>
  <c r="E61" i="145"/>
  <c r="E62" i="145"/>
  <c r="E63" i="145"/>
  <c r="E66" i="145"/>
  <c r="E69" i="145"/>
  <c r="E71" i="145"/>
  <c r="E73" i="145"/>
  <c r="E74" i="145"/>
  <c r="E78" i="145"/>
  <c r="E81" i="145"/>
  <c r="E84" i="145"/>
  <c r="E85" i="145"/>
  <c r="E86" i="145"/>
  <c r="E87" i="145"/>
  <c r="E88" i="145"/>
  <c r="E89" i="145"/>
  <c r="E90" i="145"/>
  <c r="E91" i="145"/>
  <c r="E92" i="145"/>
  <c r="E95" i="145"/>
  <c r="E96" i="145"/>
  <c r="E102" i="145"/>
  <c r="E103" i="145"/>
  <c r="E104" i="145"/>
  <c r="E105" i="145"/>
  <c r="E110" i="145"/>
  <c r="E112" i="145"/>
  <c r="E113" i="145"/>
  <c r="E114" i="145"/>
  <c r="E115" i="145"/>
  <c r="E116" i="145"/>
  <c r="E117" i="145"/>
  <c r="E118" i="145"/>
  <c r="E119" i="145"/>
  <c r="E120" i="145"/>
  <c r="E122" i="145"/>
  <c r="E123" i="145"/>
  <c r="E126" i="145"/>
  <c r="E128" i="145"/>
  <c r="E129" i="145"/>
  <c r="E130" i="145"/>
  <c r="E131" i="145"/>
  <c r="E132" i="145"/>
  <c r="E137" i="145"/>
  <c r="E139" i="145"/>
  <c r="E141" i="145"/>
  <c r="E142" i="145"/>
  <c r="E147" i="145"/>
  <c r="E148" i="145"/>
  <c r="E150" i="145"/>
  <c r="E153" i="145"/>
  <c r="E154" i="145"/>
  <c r="E155" i="145"/>
  <c r="E158" i="145"/>
  <c r="E159" i="145"/>
  <c r="E162" i="145"/>
  <c r="E164" i="145"/>
  <c r="E165" i="145"/>
  <c r="E168" i="145"/>
  <c r="E173" i="145"/>
  <c r="E184" i="145"/>
  <c r="E185" i="145"/>
  <c r="E186" i="145"/>
  <c r="E187" i="145"/>
  <c r="E188" i="145"/>
  <c r="E189" i="145"/>
  <c r="E190" i="145"/>
  <c r="E191" i="145"/>
  <c r="E192" i="145"/>
  <c r="E196" i="145"/>
  <c r="E199" i="145"/>
  <c r="E201" i="145"/>
  <c r="E203" i="145"/>
  <c r="E204" i="145"/>
  <c r="E205" i="145"/>
  <c r="E206" i="145"/>
  <c r="E208" i="145"/>
  <c r="E212" i="145"/>
  <c r="E213" i="145"/>
  <c r="E214" i="145"/>
  <c r="E215" i="145"/>
  <c r="E217" i="145"/>
  <c r="E218" i="145"/>
  <c r="E219" i="145"/>
  <c r="E220" i="145"/>
  <c r="E222" i="145"/>
  <c r="E226" i="145"/>
  <c r="E231" i="145"/>
  <c r="E232" i="145"/>
  <c r="E233" i="145"/>
  <c r="E234" i="145"/>
  <c r="E235" i="145"/>
  <c r="E236" i="145"/>
  <c r="E237" i="145"/>
  <c r="E238" i="145"/>
  <c r="E240" i="145"/>
  <c r="E242" i="145"/>
  <c r="E244" i="145"/>
  <c r="E245" i="145"/>
  <c r="E246" i="145"/>
  <c r="E247" i="145"/>
  <c r="E248" i="145"/>
  <c r="E249" i="145"/>
  <c r="E250" i="145"/>
  <c r="E253" i="145"/>
  <c r="E254" i="145"/>
  <c r="E255" i="145"/>
  <c r="E258" i="145"/>
  <c r="E259" i="145"/>
  <c r="E260" i="145"/>
  <c r="E261" i="145"/>
  <c r="E262" i="145"/>
  <c r="E263" i="145"/>
  <c r="E264" i="145"/>
  <c r="E265" i="145"/>
  <c r="E266" i="145"/>
  <c r="E268" i="145"/>
  <c r="E270" i="145"/>
  <c r="E271" i="145"/>
  <c r="E275" i="145"/>
  <c r="E216" i="145"/>
  <c r="E145" i="145"/>
  <c r="M120" i="145" l="1"/>
  <c r="F38" i="145"/>
  <c r="F57" i="145"/>
  <c r="M122" i="145" l="1"/>
  <c r="F216" i="145"/>
  <c r="M7" i="145"/>
  <c r="M61" i="145"/>
  <c r="F233" i="145"/>
  <c r="M125" i="145"/>
  <c r="M114" i="145"/>
  <c r="F271" i="145"/>
  <c r="F242" i="145"/>
  <c r="F213" i="145"/>
  <c r="F6" i="145"/>
  <c r="M82" i="145"/>
  <c r="M136" i="145"/>
  <c r="M126" i="145" l="1"/>
  <c r="M62" i="145"/>
  <c r="F145" i="145"/>
  <c r="F2" i="145"/>
  <c r="F61" i="145"/>
  <c r="F5" i="145"/>
  <c r="F117" i="145"/>
  <c r="F234" i="145"/>
  <c r="F58" i="145"/>
  <c r="E2" i="146" l="1"/>
  <c r="E82" i="145"/>
  <c r="L59" i="145"/>
  <c r="E225" i="145"/>
  <c r="E209" i="145" l="1"/>
  <c r="F209" i="145" s="1"/>
  <c r="F225" i="145"/>
  <c r="E15" i="145"/>
  <c r="E152" i="145"/>
  <c r="E75" i="145"/>
  <c r="E202" i="145"/>
  <c r="E257" i="145"/>
  <c r="E195" i="145"/>
  <c r="E40" i="145" l="1"/>
  <c r="M32" i="145"/>
  <c r="E178" i="145"/>
  <c r="E135" i="145" l="1"/>
  <c r="F135" i="145" l="1"/>
  <c r="M103" i="145"/>
  <c r="M45" i="145" l="1"/>
  <c r="F187" i="145" l="1"/>
  <c r="M107" i="145"/>
  <c r="M21" i="145"/>
  <c r="M106" i="145"/>
  <c r="M90" i="145"/>
  <c r="F235" i="145"/>
  <c r="M10" i="145"/>
  <c r="M55" i="145"/>
  <c r="F168" i="145" l="1"/>
  <c r="M2" i="145"/>
  <c r="M20" i="145"/>
  <c r="M51" i="145"/>
  <c r="M35" i="145"/>
  <c r="M28" i="145"/>
  <c r="M27" i="145"/>
  <c r="M59" i="145"/>
  <c r="M109" i="145"/>
  <c r="M52" i="145"/>
  <c r="M11" i="145"/>
  <c r="M40" i="145"/>
  <c r="M50" i="145"/>
  <c r="M67" i="145"/>
  <c r="F162" i="145" l="1"/>
  <c r="F137" i="145" l="1"/>
  <c r="L26" i="146" l="1"/>
  <c r="K5" i="146" l="1"/>
  <c r="E179" i="145" l="1"/>
  <c r="F150" i="145"/>
  <c r="E98" i="145"/>
  <c r="E51" i="145"/>
  <c r="E109" i="145"/>
  <c r="E167" i="145" l="1"/>
  <c r="E72" i="145"/>
  <c r="E10" i="145"/>
  <c r="E9" i="145"/>
  <c r="E8" i="145"/>
  <c r="M46" i="145"/>
  <c r="E79" i="145"/>
  <c r="M73" i="145"/>
  <c r="E149" i="145"/>
  <c r="M14" i="145"/>
  <c r="M33" i="145"/>
  <c r="F226" i="145"/>
  <c r="E170" i="145"/>
  <c r="F50" i="145"/>
  <c r="E172" i="145"/>
  <c r="E99" i="145"/>
  <c r="E138" i="145"/>
  <c r="E125" i="145"/>
  <c r="M104" i="145"/>
  <c r="E100" i="145"/>
  <c r="L37" i="143"/>
  <c r="L43" i="143"/>
  <c r="L44" i="143"/>
  <c r="L45" i="143"/>
  <c r="L132" i="143"/>
  <c r="L144" i="143"/>
  <c r="L150" i="143"/>
  <c r="L151" i="143"/>
  <c r="L152" i="143"/>
  <c r="L287" i="143"/>
  <c r="L299" i="143"/>
  <c r="L305" i="143"/>
  <c r="L306" i="143"/>
  <c r="L307" i="143"/>
  <c r="L1573" i="143"/>
  <c r="L1579" i="143"/>
  <c r="L1580" i="143"/>
  <c r="L1581" i="143"/>
  <c r="L1903" i="143"/>
  <c r="L1909" i="143"/>
  <c r="L1910" i="143"/>
  <c r="L1911" i="143"/>
  <c r="L2012" i="143"/>
  <c r="L2018" i="143"/>
  <c r="L2019" i="143"/>
  <c r="L2020" i="143"/>
  <c r="L3106" i="143"/>
  <c r="L3112" i="143"/>
  <c r="L3113" i="143"/>
  <c r="L3114" i="143"/>
  <c r="L3155" i="143"/>
  <c r="L3161" i="143"/>
  <c r="L3162" i="143"/>
  <c r="L3163" i="143"/>
  <c r="L3254" i="143"/>
  <c r="L3260" i="143"/>
  <c r="L3261" i="143"/>
  <c r="L3262" i="143"/>
  <c r="E21" i="145" l="1"/>
  <c r="M65" i="145"/>
  <c r="M8" i="145"/>
  <c r="M13" i="145"/>
  <c r="F72" i="145"/>
  <c r="F149" i="145"/>
  <c r="F9" i="145"/>
  <c r="M64" i="145"/>
  <c r="M63" i="145"/>
  <c r="M72" i="145"/>
  <c r="M30" i="145"/>
  <c r="M111" i="145"/>
  <c r="F120" i="145"/>
  <c r="F123" i="145"/>
  <c r="M78" i="145"/>
  <c r="M16" i="145"/>
  <c r="M124" i="145"/>
  <c r="M22" i="145"/>
  <c r="L3264" i="143"/>
  <c r="L1583" i="143"/>
  <c r="L3165" i="143"/>
  <c r="L3116" i="143"/>
  <c r="L2022" i="143"/>
  <c r="L1913" i="143"/>
  <c r="L309" i="143"/>
  <c r="L47" i="143"/>
  <c r="M23" i="145"/>
  <c r="L154" i="143"/>
  <c r="F257" i="145"/>
  <c r="M93" i="145" l="1"/>
  <c r="F126" i="145"/>
  <c r="F147" i="145"/>
  <c r="M87" i="145"/>
  <c r="M3" i="145"/>
  <c r="M98" i="145"/>
  <c r="F51" i="145"/>
  <c r="M92" i="145"/>
  <c r="F99" i="145"/>
  <c r="M99" i="145"/>
  <c r="M56" i="145" l="1"/>
  <c r="M77" i="145"/>
  <c r="M26" i="145"/>
  <c r="M118" i="145" l="1"/>
  <c r="F258" i="145"/>
  <c r="M80" i="145"/>
  <c r="F275" i="145"/>
  <c r="M116" i="145" l="1"/>
  <c r="F219" i="145" l="1"/>
  <c r="M117" i="145"/>
  <c r="F81" i="145"/>
  <c r="M115" i="145" l="1"/>
  <c r="M44" i="145"/>
  <c r="M70" i="145"/>
  <c r="E267" i="145" l="1"/>
  <c r="E59" i="145"/>
  <c r="E151" i="145"/>
  <c r="E207" i="145"/>
  <c r="F95" i="145" l="1"/>
  <c r="M131" i="145"/>
  <c r="E111" i="145"/>
  <c r="S3" i="145"/>
  <c r="S5" i="145"/>
  <c r="S6" i="145"/>
  <c r="S7" i="145"/>
  <c r="S8" i="145"/>
  <c r="S9" i="145"/>
  <c r="E34" i="145" l="1"/>
  <c r="E157" i="145"/>
  <c r="E183" i="145"/>
  <c r="L53" i="145"/>
  <c r="F42" i="145"/>
  <c r="L49" i="145" l="1"/>
  <c r="M49" i="145" s="1"/>
  <c r="L89" i="145"/>
  <c r="M89" i="145" s="1"/>
  <c r="E166" i="145"/>
  <c r="E144" i="145"/>
  <c r="E182" i="145"/>
  <c r="E140" i="145"/>
  <c r="E7" i="145"/>
  <c r="E163" i="145"/>
  <c r="E101" i="145"/>
  <c r="L135" i="145"/>
  <c r="E94" i="145"/>
  <c r="E121" i="145"/>
  <c r="E169" i="145"/>
  <c r="E93" i="145"/>
  <c r="E223" i="145"/>
  <c r="E230" i="145"/>
  <c r="E48" i="145"/>
  <c r="E180" i="145"/>
  <c r="L79" i="145"/>
  <c r="M41" i="145"/>
  <c r="M53" i="145"/>
  <c r="E252" i="145"/>
  <c r="E54" i="145"/>
  <c r="E83" i="145"/>
  <c r="E133" i="145"/>
  <c r="E136" i="145"/>
  <c r="L110" i="145"/>
  <c r="M43" i="145"/>
  <c r="L76" i="145"/>
  <c r="I159" i="1" l="1"/>
  <c r="E200" i="145"/>
  <c r="M76" i="145"/>
  <c r="M135" i="145"/>
  <c r="E45" i="145"/>
  <c r="E46" i="145"/>
  <c r="F46" i="145" s="1"/>
  <c r="E228" i="145"/>
  <c r="E229" i="145"/>
  <c r="F229" i="145" s="1"/>
  <c r="E67" i="145"/>
  <c r="E68" i="145"/>
  <c r="F68" i="145" s="1"/>
  <c r="M79" i="145"/>
  <c r="M24" i="145"/>
  <c r="M96" i="145" l="1"/>
  <c r="E108" i="145"/>
  <c r="I3235" i="143"/>
  <c r="G3235" i="143"/>
  <c r="K3262" i="143"/>
  <c r="K3261" i="143"/>
  <c r="K3260" i="143"/>
  <c r="I3253" i="143"/>
  <c r="I3252" i="143"/>
  <c r="L3252" i="143" s="1"/>
  <c r="I3251" i="143"/>
  <c r="G3251" i="143"/>
  <c r="I3245" i="143"/>
  <c r="L3245" i="143" s="1"/>
  <c r="I3244" i="143"/>
  <c r="L3244" i="143" s="1"/>
  <c r="I3243" i="143"/>
  <c r="L3243" i="143" s="1"/>
  <c r="I3242" i="143"/>
  <c r="L3242" i="143" s="1"/>
  <c r="I3236" i="143"/>
  <c r="G3236" i="143"/>
  <c r="I3234" i="143"/>
  <c r="G3234" i="143"/>
  <c r="I3233" i="143"/>
  <c r="G3233" i="143"/>
  <c r="E3236" i="143"/>
  <c r="E227" i="145" s="1"/>
  <c r="K3163" i="143"/>
  <c r="K3162" i="143"/>
  <c r="K3161" i="143"/>
  <c r="I3154" i="143"/>
  <c r="I3153" i="143"/>
  <c r="L3153" i="143" s="1"/>
  <c r="I3152" i="143"/>
  <c r="G3152" i="143"/>
  <c r="I3146" i="143"/>
  <c r="L3146" i="143" s="1"/>
  <c r="I3145" i="143"/>
  <c r="L3145" i="143" s="1"/>
  <c r="I3144" i="143"/>
  <c r="L3144" i="143" s="1"/>
  <c r="I3143" i="143"/>
  <c r="L3143" i="143" s="1"/>
  <c r="I3137" i="143"/>
  <c r="G3137" i="143"/>
  <c r="I3136" i="143"/>
  <c r="G3136" i="143"/>
  <c r="I3135" i="143"/>
  <c r="G3135" i="143"/>
  <c r="E3137" i="143" l="1"/>
  <c r="L3137" i="143" s="1"/>
  <c r="E3136" i="143"/>
  <c r="E3135" i="143"/>
  <c r="E176" i="145" s="1"/>
  <c r="F176" i="145" s="1"/>
  <c r="K3154" i="143"/>
  <c r="L3154" i="143"/>
  <c r="L3236" i="143"/>
  <c r="K3253" i="143"/>
  <c r="L3253" i="143"/>
  <c r="L3247" i="143"/>
  <c r="L3148" i="143"/>
  <c r="E269" i="145"/>
  <c r="E3235" i="143"/>
  <c r="L3235" i="143" s="1"/>
  <c r="F227" i="145"/>
  <c r="K3264" i="143"/>
  <c r="L105" i="145"/>
  <c r="K3242" i="143"/>
  <c r="K3244" i="143"/>
  <c r="K3243" i="143"/>
  <c r="K3252" i="143"/>
  <c r="F3236" i="143"/>
  <c r="K3236" i="143" s="1"/>
  <c r="E3234" i="143"/>
  <c r="L3234" i="143" s="1"/>
  <c r="K3245" i="143"/>
  <c r="E3251" i="143"/>
  <c r="E3233" i="143"/>
  <c r="L3233" i="143" s="1"/>
  <c r="K3165" i="143"/>
  <c r="K3143" i="143"/>
  <c r="K3145" i="143"/>
  <c r="K3144" i="143"/>
  <c r="K3153" i="143"/>
  <c r="K3146" i="143"/>
  <c r="E3152" i="143"/>
  <c r="L100" i="145" s="1"/>
  <c r="L112" i="145" l="1"/>
  <c r="L113" i="145"/>
  <c r="M113" i="145" s="1"/>
  <c r="F3137" i="143"/>
  <c r="K3137" i="143" s="1"/>
  <c r="E177" i="145"/>
  <c r="F178" i="145"/>
  <c r="L3136" i="143"/>
  <c r="L3135" i="143"/>
  <c r="L3251" i="143"/>
  <c r="L3256" i="143" s="1"/>
  <c r="L3152" i="143"/>
  <c r="L3157" i="143" s="1"/>
  <c r="L3238" i="143"/>
  <c r="F3235" i="143"/>
  <c r="K3235" i="143" s="1"/>
  <c r="E64" i="145"/>
  <c r="E127" i="145"/>
  <c r="F3136" i="143"/>
  <c r="K3136" i="143" s="1"/>
  <c r="F3135" i="143"/>
  <c r="K3135" i="143" s="1"/>
  <c r="K3247" i="143"/>
  <c r="F3234" i="143"/>
  <c r="K3234" i="143" s="1"/>
  <c r="F3233" i="143"/>
  <c r="K3233" i="143" s="1"/>
  <c r="F3251" i="143"/>
  <c r="K3251" i="143" s="1"/>
  <c r="K3256" i="143" s="1"/>
  <c r="K3148" i="143"/>
  <c r="F3152" i="143"/>
  <c r="K3152" i="143" s="1"/>
  <c r="K3157" i="143" s="1"/>
  <c r="L3139" i="143" l="1"/>
  <c r="L3168" i="143" s="1"/>
  <c r="L3170" i="143" s="1"/>
  <c r="L3172" i="143" s="1"/>
  <c r="L3173" i="143" s="1"/>
  <c r="L3267" i="143"/>
  <c r="F127" i="145"/>
  <c r="K3238" i="143"/>
  <c r="K3267" i="143" s="1"/>
  <c r="K3269" i="143" s="1"/>
  <c r="K3271" i="143" s="1"/>
  <c r="F81" i="1" s="1"/>
  <c r="G81" i="1" s="1"/>
  <c r="K3139" i="143"/>
  <c r="K3168" i="143" s="1"/>
  <c r="L3269" i="143" l="1"/>
  <c r="L3271" i="143" s="1"/>
  <c r="L3272" i="143" s="1"/>
  <c r="M3272" i="143" s="1"/>
  <c r="K3170" i="143"/>
  <c r="K3172" i="143" s="1"/>
  <c r="F79" i="1" s="1"/>
  <c r="G79" i="1" s="1"/>
  <c r="M3173" i="143" l="1"/>
  <c r="K3114" i="143"/>
  <c r="K3113" i="143"/>
  <c r="K3112" i="143"/>
  <c r="I3105" i="143"/>
  <c r="I3104" i="143"/>
  <c r="L3104" i="143" s="1"/>
  <c r="I3103" i="143"/>
  <c r="G3103" i="143"/>
  <c r="I3097" i="143"/>
  <c r="L3097" i="143" s="1"/>
  <c r="I3096" i="143"/>
  <c r="I3095" i="143"/>
  <c r="I3094" i="143"/>
  <c r="L3094" i="143" s="1"/>
  <c r="I3088" i="143"/>
  <c r="G3088" i="143"/>
  <c r="I3087" i="143"/>
  <c r="G3087" i="143"/>
  <c r="I3086" i="143"/>
  <c r="G3086" i="143"/>
  <c r="I3085" i="143"/>
  <c r="G3085" i="143"/>
  <c r="I3084" i="143"/>
  <c r="G3084" i="143"/>
  <c r="I3083" i="143"/>
  <c r="G3083" i="143"/>
  <c r="E77" i="145" l="1"/>
  <c r="K3096" i="143"/>
  <c r="L3096" i="143"/>
  <c r="K3105" i="143"/>
  <c r="L3105" i="143"/>
  <c r="F59" i="145"/>
  <c r="K3095" i="143"/>
  <c r="L3095" i="143"/>
  <c r="L3087" i="143"/>
  <c r="E134" i="145"/>
  <c r="E37" i="145"/>
  <c r="K3116" i="143"/>
  <c r="K3104" i="143"/>
  <c r="K3094" i="143"/>
  <c r="K3097" i="143"/>
  <c r="E3103" i="143"/>
  <c r="L102" i="145" s="1"/>
  <c r="E272" i="145" l="1"/>
  <c r="F272" i="145" s="1"/>
  <c r="E55" i="145"/>
  <c r="E243" i="145"/>
  <c r="L3103" i="143"/>
  <c r="L3108" i="143" s="1"/>
  <c r="L3099" i="143"/>
  <c r="F151" i="145"/>
  <c r="F136" i="145"/>
  <c r="F267" i="145"/>
  <c r="M108" i="145"/>
  <c r="L3083" i="143"/>
  <c r="F3086" i="143"/>
  <c r="K3086" i="143" s="1"/>
  <c r="L3086" i="143"/>
  <c r="F208" i="145"/>
  <c r="F3085" i="143"/>
  <c r="K3085" i="143" s="1"/>
  <c r="L3085" i="143"/>
  <c r="E241" i="145"/>
  <c r="F3083" i="143"/>
  <c r="K3083" i="143" s="1"/>
  <c r="F3087" i="143"/>
  <c r="K3087" i="143" s="1"/>
  <c r="E193" i="145"/>
  <c r="F3" i="145"/>
  <c r="K3099" i="143"/>
  <c r="F3103" i="143"/>
  <c r="K3103" i="143" s="1"/>
  <c r="K3108" i="143" s="1"/>
  <c r="F115" i="145"/>
  <c r="E4" i="145" l="1"/>
  <c r="F4" i="145" s="1"/>
  <c r="L3084" i="143"/>
  <c r="F241" i="145"/>
  <c r="F243" i="145"/>
  <c r="F3088" i="143"/>
  <c r="K3088" i="143" s="1"/>
  <c r="L3088" i="143"/>
  <c r="F116" i="145"/>
  <c r="F3084" i="143"/>
  <c r="K3084" i="143" s="1"/>
  <c r="L3090" i="143" l="1"/>
  <c r="L3119" i="143" s="1"/>
  <c r="L3121" i="143" s="1"/>
  <c r="L3123" i="143" s="1"/>
  <c r="L3124" i="143" s="1"/>
  <c r="K3090" i="143"/>
  <c r="K3119" i="143" s="1"/>
  <c r="K3121" i="143" s="1"/>
  <c r="K3123" i="143" s="1"/>
  <c r="F78" i="1" s="1"/>
  <c r="G78" i="1" s="1"/>
  <c r="H81" i="1" s="1"/>
  <c r="Q34" i="140" s="1"/>
  <c r="K35" i="140" s="1"/>
  <c r="K34" i="140" s="1"/>
  <c r="M3124" i="143" l="1"/>
  <c r="E97" i="145" l="1"/>
  <c r="F129" i="145"/>
  <c r="F103" i="145"/>
  <c r="F167" i="145"/>
  <c r="E2009" i="143"/>
  <c r="K2020" i="143"/>
  <c r="K2019" i="143"/>
  <c r="K2018" i="143"/>
  <c r="I2011" i="143"/>
  <c r="I2010" i="143"/>
  <c r="I2009" i="143"/>
  <c r="G2009" i="143"/>
  <c r="I2003" i="143"/>
  <c r="L2003" i="143" s="1"/>
  <c r="I2002" i="143"/>
  <c r="I2001" i="143"/>
  <c r="L2001" i="143" s="1"/>
  <c r="I2000" i="143"/>
  <c r="L2000" i="143" s="1"/>
  <c r="I1994" i="143"/>
  <c r="L1994" i="143" s="1"/>
  <c r="I1993" i="143"/>
  <c r="L1993" i="143" s="1"/>
  <c r="I1992" i="143"/>
  <c r="L1992" i="143" s="1"/>
  <c r="I1991" i="143"/>
  <c r="I1990" i="143"/>
  <c r="L1990" i="143" s="1"/>
  <c r="I1989" i="143"/>
  <c r="L1989" i="143" s="1"/>
  <c r="I1988" i="143"/>
  <c r="L1988" i="143" s="1"/>
  <c r="I1891" i="143"/>
  <c r="L68" i="145" l="1"/>
  <c r="M68" i="145" s="1"/>
  <c r="L69" i="145"/>
  <c r="M69" i="145" s="1"/>
  <c r="M75" i="145"/>
  <c r="M74" i="145"/>
  <c r="L2009" i="143"/>
  <c r="K1991" i="143"/>
  <c r="L1991" i="143"/>
  <c r="L1996" i="143" s="1"/>
  <c r="K2011" i="143"/>
  <c r="L2011" i="143"/>
  <c r="M66" i="145"/>
  <c r="K2002" i="143"/>
  <c r="L2002" i="143"/>
  <c r="L2005" i="143" s="1"/>
  <c r="K2022" i="143"/>
  <c r="K2001" i="143"/>
  <c r="K2003" i="143"/>
  <c r="K1988" i="143"/>
  <c r="K1990" i="143"/>
  <c r="K1992" i="143"/>
  <c r="K1994" i="143"/>
  <c r="F2009" i="143"/>
  <c r="K2009" i="143" s="1"/>
  <c r="K1989" i="143"/>
  <c r="K1993" i="143"/>
  <c r="K2000" i="143"/>
  <c r="G1882" i="143"/>
  <c r="G1881" i="143"/>
  <c r="I1880" i="143"/>
  <c r="I1881" i="143"/>
  <c r="I1882" i="143"/>
  <c r="I1883" i="143"/>
  <c r="I1884" i="143"/>
  <c r="G1880" i="143"/>
  <c r="I1879" i="143"/>
  <c r="G1879" i="143"/>
  <c r="G1878" i="143"/>
  <c r="K1911" i="143"/>
  <c r="K1910" i="143"/>
  <c r="K1909" i="143"/>
  <c r="I1902" i="143"/>
  <c r="I1901" i="143"/>
  <c r="L1901" i="143" s="1"/>
  <c r="I1900" i="143"/>
  <c r="G1900" i="143"/>
  <c r="I1894" i="143"/>
  <c r="L1894" i="143" s="1"/>
  <c r="I1893" i="143"/>
  <c r="L1893" i="143" s="1"/>
  <c r="I1892" i="143"/>
  <c r="L1892" i="143" s="1"/>
  <c r="I1885" i="143"/>
  <c r="L1885" i="143" s="1"/>
  <c r="I1878" i="143"/>
  <c r="I1877" i="143"/>
  <c r="G1877" i="143"/>
  <c r="I1876" i="143"/>
  <c r="G1876" i="143"/>
  <c r="M48" i="145" l="1"/>
  <c r="E274" i="145"/>
  <c r="E1882" i="143"/>
  <c r="E146" i="145" s="1"/>
  <c r="E1881" i="143"/>
  <c r="E197" i="145" s="1"/>
  <c r="E1876" i="143"/>
  <c r="E52" i="145" s="1"/>
  <c r="L1891" i="143"/>
  <c r="L1896" i="143" s="1"/>
  <c r="E1877" i="143"/>
  <c r="E53" i="145" s="1"/>
  <c r="E1879" i="143"/>
  <c r="E36" i="145" s="1"/>
  <c r="E1878" i="143"/>
  <c r="E171" i="145" s="1"/>
  <c r="M57" i="145"/>
  <c r="L1880" i="143"/>
  <c r="K1883" i="143"/>
  <c r="L1883" i="143"/>
  <c r="M133" i="145"/>
  <c r="L2010" i="143"/>
  <c r="L2014" i="143" s="1"/>
  <c r="L2025" i="143" s="1"/>
  <c r="K1902" i="143"/>
  <c r="L1902" i="143"/>
  <c r="K1884" i="143"/>
  <c r="L1884" i="143"/>
  <c r="E1900" i="143"/>
  <c r="L5" i="145" s="1"/>
  <c r="K2010" i="143"/>
  <c r="K2014" i="143" s="1"/>
  <c r="K1996" i="143"/>
  <c r="K2005" i="143"/>
  <c r="K1913" i="143"/>
  <c r="K1893" i="143"/>
  <c r="K1892" i="143"/>
  <c r="K1901" i="143"/>
  <c r="K1885" i="143"/>
  <c r="K1894" i="143"/>
  <c r="K1891" i="143" l="1"/>
  <c r="K1896" i="143" s="1"/>
  <c r="L1876" i="143"/>
  <c r="F1880" i="143"/>
  <c r="K1880" i="143" s="1"/>
  <c r="L1900" i="143"/>
  <c r="L1905" i="143" s="1"/>
  <c r="L2027" i="143"/>
  <c r="L2029" i="143" s="1"/>
  <c r="L2030" i="143" s="1"/>
  <c r="L1877" i="143"/>
  <c r="F1879" i="143"/>
  <c r="K1879" i="143" s="1"/>
  <c r="L1879" i="143"/>
  <c r="F1878" i="143"/>
  <c r="K1878" i="143" s="1"/>
  <c r="L1878" i="143"/>
  <c r="F1900" i="143"/>
  <c r="K1900" i="143" s="1"/>
  <c r="K1905" i="143" s="1"/>
  <c r="K2025" i="143"/>
  <c r="F1876" i="143"/>
  <c r="K1876" i="143" s="1"/>
  <c r="L1882" i="143" l="1"/>
  <c r="L1881" i="143"/>
  <c r="F1881" i="143"/>
  <c r="K1881" i="143" s="1"/>
  <c r="K2027" i="143"/>
  <c r="K2029" i="143" s="1"/>
  <c r="F54" i="1" s="1"/>
  <c r="G54" i="1" s="1"/>
  <c r="H54" i="1" s="1"/>
  <c r="Q26" i="140" s="1"/>
  <c r="I27" i="140" s="1"/>
  <c r="I26" i="140" s="1"/>
  <c r="F1877" i="143"/>
  <c r="K1877" i="143" s="1"/>
  <c r="M2030" i="143" l="1"/>
  <c r="L1887" i="143"/>
  <c r="L1916" i="143" s="1"/>
  <c r="L1918" i="143" s="1"/>
  <c r="L1920" i="143" s="1"/>
  <c r="L1921" i="143" s="1"/>
  <c r="F1882" i="143"/>
  <c r="K1882" i="143" s="1"/>
  <c r="K1887" i="143" s="1"/>
  <c r="K1916" i="143" s="1"/>
  <c r="K1918" i="143" l="1"/>
  <c r="K1920" i="143" s="1"/>
  <c r="F51" i="1" s="1"/>
  <c r="G51" i="1" s="1"/>
  <c r="M1921" i="143" l="1"/>
  <c r="E175" i="145" l="1"/>
  <c r="E76" i="145"/>
  <c r="F78" i="145"/>
  <c r="E65" i="145" l="1"/>
  <c r="K1581" i="143"/>
  <c r="K1580" i="143"/>
  <c r="K1579" i="143"/>
  <c r="I1572" i="143"/>
  <c r="I1571" i="143"/>
  <c r="L1571" i="143" s="1"/>
  <c r="I1570" i="143"/>
  <c r="G1570" i="143"/>
  <c r="I1564" i="143"/>
  <c r="L1564" i="143" s="1"/>
  <c r="I1563" i="143"/>
  <c r="L1563" i="143" s="1"/>
  <c r="I1562" i="143"/>
  <c r="L1562" i="143" s="1"/>
  <c r="I1561" i="143"/>
  <c r="L1561" i="143" s="1"/>
  <c r="I1555" i="143"/>
  <c r="L1555" i="143" s="1"/>
  <c r="I1554" i="143"/>
  <c r="L1554" i="143" s="1"/>
  <c r="I1553" i="143"/>
  <c r="L1553" i="143" s="1"/>
  <c r="I1549" i="143"/>
  <c r="I1548" i="143"/>
  <c r="I1547" i="143"/>
  <c r="G1547" i="143"/>
  <c r="I1546" i="143"/>
  <c r="G1546" i="143"/>
  <c r="E32" i="145" l="1"/>
  <c r="E70" i="145"/>
  <c r="E174" i="145"/>
  <c r="L1566" i="143"/>
  <c r="K1572" i="143"/>
  <c r="L1572" i="143"/>
  <c r="K1583" i="143"/>
  <c r="K1563" i="143"/>
  <c r="K1562" i="143"/>
  <c r="K1571" i="143"/>
  <c r="K1554" i="143"/>
  <c r="K1561" i="143"/>
  <c r="K1564" i="143"/>
  <c r="E1570" i="143"/>
  <c r="L17" i="145" l="1"/>
  <c r="M17" i="145" s="1"/>
  <c r="L4" i="145"/>
  <c r="M4" i="145" s="1"/>
  <c r="L1546" i="143"/>
  <c r="L1570" i="143"/>
  <c r="L1575" i="143" s="1"/>
  <c r="L1547" i="143"/>
  <c r="L1548" i="143"/>
  <c r="L1549" i="143"/>
  <c r="K1549" i="143"/>
  <c r="K1566" i="143"/>
  <c r="K1553" i="143"/>
  <c r="F1570" i="143"/>
  <c r="K1570" i="143" s="1"/>
  <c r="K1575" i="143" s="1"/>
  <c r="K1548" i="143"/>
  <c r="F1546" i="143"/>
  <c r="K1546" i="143" s="1"/>
  <c r="K1555" i="143"/>
  <c r="M101" i="145" l="1"/>
  <c r="F45" i="145"/>
  <c r="L1557" i="143"/>
  <c r="L1586" i="143" s="1"/>
  <c r="L1588" i="143" s="1"/>
  <c r="L1590" i="143" s="1"/>
  <c r="L1591" i="143" s="1"/>
  <c r="F252" i="145"/>
  <c r="S2" i="145"/>
  <c r="T2" i="145" s="1"/>
  <c r="F230" i="145"/>
  <c r="F1547" i="143"/>
  <c r="K1547" i="143" s="1"/>
  <c r="K1557" i="143" s="1"/>
  <c r="K1586" i="143" s="1"/>
  <c r="F201" i="145"/>
  <c r="F228" i="145" l="1"/>
  <c r="K1588" i="143"/>
  <c r="K1590" i="143" s="1"/>
  <c r="F45" i="1" s="1"/>
  <c r="G45" i="1" s="1"/>
  <c r="H52" i="1" s="1"/>
  <c r="Q24" i="140" s="1"/>
  <c r="I25" i="140" s="1"/>
  <c r="I24" i="140" s="1"/>
  <c r="M1591" i="143" l="1"/>
  <c r="M134" i="145" l="1"/>
  <c r="E296" i="143" l="1"/>
  <c r="L54" i="145" s="1"/>
  <c r="K307" i="143"/>
  <c r="K306" i="143"/>
  <c r="K305" i="143"/>
  <c r="I298" i="143"/>
  <c r="I297" i="143"/>
  <c r="L297" i="143" s="1"/>
  <c r="I296" i="143"/>
  <c r="G296" i="143"/>
  <c r="I290" i="143"/>
  <c r="L290" i="143" s="1"/>
  <c r="I289" i="143"/>
  <c r="L289" i="143" s="1"/>
  <c r="I288" i="143"/>
  <c r="I281" i="143"/>
  <c r="L281" i="143" s="1"/>
  <c r="I280" i="143"/>
  <c r="L280" i="143" s="1"/>
  <c r="I279" i="143"/>
  <c r="L279" i="143" s="1"/>
  <c r="I278" i="143"/>
  <c r="L278" i="143" s="1"/>
  <c r="I277" i="143"/>
  <c r="L277" i="143" s="1"/>
  <c r="I276" i="143"/>
  <c r="K118" i="143"/>
  <c r="I118" i="143"/>
  <c r="D118" i="143"/>
  <c r="B118" i="143"/>
  <c r="K152" i="143"/>
  <c r="K151" i="143"/>
  <c r="K150" i="143"/>
  <c r="I143" i="143"/>
  <c r="I142" i="143"/>
  <c r="L142" i="143" s="1"/>
  <c r="I141" i="143"/>
  <c r="I135" i="143"/>
  <c r="L135" i="143" s="1"/>
  <c r="I134" i="143"/>
  <c r="I133" i="143"/>
  <c r="I126" i="143"/>
  <c r="I125" i="143"/>
  <c r="I124" i="143"/>
  <c r="L124" i="143" s="1"/>
  <c r="I123" i="143"/>
  <c r="L123" i="143" s="1"/>
  <c r="I122" i="143"/>
  <c r="L288" i="143" l="1"/>
  <c r="L292" i="143" s="1"/>
  <c r="K288" i="143"/>
  <c r="M42" i="145"/>
  <c r="E141" i="143"/>
  <c r="K133" i="143"/>
  <c r="L133" i="143"/>
  <c r="K125" i="143"/>
  <c r="L125" i="143"/>
  <c r="K134" i="143"/>
  <c r="L134" i="143"/>
  <c r="K122" i="143"/>
  <c r="L122" i="143"/>
  <c r="K126" i="143"/>
  <c r="L126" i="143"/>
  <c r="K143" i="143"/>
  <c r="L143" i="143"/>
  <c r="K276" i="143"/>
  <c r="L276" i="143"/>
  <c r="L283" i="143" s="1"/>
  <c r="K298" i="143"/>
  <c r="L298" i="143"/>
  <c r="M38" i="145"/>
  <c r="L296" i="143"/>
  <c r="K309" i="143"/>
  <c r="K154" i="143"/>
  <c r="K280" i="143"/>
  <c r="K279" i="143"/>
  <c r="K289" i="143"/>
  <c r="K278" i="143"/>
  <c r="K297" i="143"/>
  <c r="F296" i="143"/>
  <c r="K296" i="143" s="1"/>
  <c r="K277" i="143"/>
  <c r="K281" i="143"/>
  <c r="K290" i="143"/>
  <c r="K124" i="143"/>
  <c r="K142" i="143"/>
  <c r="K123" i="143"/>
  <c r="K135" i="143"/>
  <c r="M34" i="145"/>
  <c r="F141" i="143" l="1"/>
  <c r="K141" i="143" s="1"/>
  <c r="K146" i="143" s="1"/>
  <c r="L36" i="145"/>
  <c r="L141" i="143"/>
  <c r="L146" i="143" s="1"/>
  <c r="K137" i="143"/>
  <c r="L301" i="143"/>
  <c r="L312" i="143" s="1"/>
  <c r="L128" i="143"/>
  <c r="L137" i="143"/>
  <c r="S4" i="145"/>
  <c r="K301" i="143"/>
  <c r="K292" i="143"/>
  <c r="K283" i="143"/>
  <c r="K128" i="143"/>
  <c r="N4" i="143"/>
  <c r="M36" i="145" l="1"/>
  <c r="L157" i="143"/>
  <c r="L159" i="143" s="1"/>
  <c r="L161" i="143" s="1"/>
  <c r="L162" i="143" s="1"/>
  <c r="L314" i="143"/>
  <c r="L316" i="143" s="1"/>
  <c r="L317" i="143" s="1"/>
  <c r="K157" i="143"/>
  <c r="K159" i="143" s="1"/>
  <c r="K161" i="143" s="1"/>
  <c r="F14" i="1" s="1"/>
  <c r="K312" i="143"/>
  <c r="K314" i="143" s="1"/>
  <c r="K316" i="143" s="1"/>
  <c r="F17" i="1" s="1"/>
  <c r="G34" i="143"/>
  <c r="I17" i="143"/>
  <c r="L17" i="143" s="1"/>
  <c r="I18" i="143"/>
  <c r="L18" i="143" s="1"/>
  <c r="I19" i="143"/>
  <c r="L19" i="143" s="1"/>
  <c r="I16" i="143"/>
  <c r="L16" i="143" s="1"/>
  <c r="I26" i="143"/>
  <c r="L26" i="143" s="1"/>
  <c r="I27" i="143"/>
  <c r="L27" i="143" s="1"/>
  <c r="I28" i="143"/>
  <c r="L28" i="143" s="1"/>
  <c r="I25" i="143"/>
  <c r="L25" i="143" s="1"/>
  <c r="I35" i="143"/>
  <c r="L35" i="143" s="1"/>
  <c r="I36" i="143"/>
  <c r="L36" i="143" s="1"/>
  <c r="I34" i="143"/>
  <c r="G17" i="1" l="1"/>
  <c r="G14" i="1"/>
  <c r="M317" i="143"/>
  <c r="L30" i="143"/>
  <c r="L21" i="143"/>
  <c r="M162" i="143"/>
  <c r="K26" i="143"/>
  <c r="K27" i="143"/>
  <c r="K35" i="143"/>
  <c r="G13" i="1" l="1"/>
  <c r="M37" i="145"/>
  <c r="M47" i="145"/>
  <c r="M54" i="145"/>
  <c r="M86" i="145"/>
  <c r="M88" i="145"/>
  <c r="M91" i="145"/>
  <c r="M100" i="145"/>
  <c r="M102" i="145"/>
  <c r="M105" i="145"/>
  <c r="M110" i="145"/>
  <c r="M112" i="145"/>
  <c r="M119" i="145"/>
  <c r="M81" i="145"/>
  <c r="M5" i="145"/>
  <c r="M60" i="145"/>
  <c r="F41" i="145"/>
  <c r="K12" i="143" l="1"/>
  <c r="I12" i="143"/>
  <c r="D12" i="143"/>
  <c r="B12" i="143"/>
  <c r="E34" i="143" l="1"/>
  <c r="L123" i="145" s="1"/>
  <c r="F10" i="145"/>
  <c r="F7" i="145"/>
  <c r="F8" i="145"/>
  <c r="F11" i="145"/>
  <c r="F12" i="145"/>
  <c r="F13" i="145"/>
  <c r="F14" i="145"/>
  <c r="F15" i="145"/>
  <c r="F16" i="145"/>
  <c r="F17" i="145"/>
  <c r="F18" i="145"/>
  <c r="F19" i="145"/>
  <c r="F20" i="145"/>
  <c r="F21" i="145"/>
  <c r="F22" i="145"/>
  <c r="F55" i="145"/>
  <c r="F56" i="145"/>
  <c r="F23" i="145"/>
  <c r="F24" i="145"/>
  <c r="F25" i="145"/>
  <c r="F26" i="145"/>
  <c r="F27" i="145"/>
  <c r="F169" i="145"/>
  <c r="F28" i="145"/>
  <c r="F29" i="145"/>
  <c r="F30" i="145"/>
  <c r="F31" i="145"/>
  <c r="F32" i="145"/>
  <c r="F33" i="145"/>
  <c r="F34" i="145"/>
  <c r="F35" i="145"/>
  <c r="F36" i="145"/>
  <c r="F37" i="145"/>
  <c r="F39" i="145"/>
  <c r="F40" i="145"/>
  <c r="F43" i="145"/>
  <c r="F47" i="145"/>
  <c r="F48" i="145"/>
  <c r="F49" i="145"/>
  <c r="F52" i="145"/>
  <c r="F53" i="145"/>
  <c r="F54" i="145"/>
  <c r="F60" i="145"/>
  <c r="F62" i="145"/>
  <c r="F63" i="145"/>
  <c r="F64" i="145"/>
  <c r="F65" i="145"/>
  <c r="F66" i="145"/>
  <c r="F67" i="145"/>
  <c r="F69" i="145"/>
  <c r="F70" i="145"/>
  <c r="F71" i="145"/>
  <c r="F73" i="145"/>
  <c r="F74" i="145"/>
  <c r="F75" i="145"/>
  <c r="F76" i="145"/>
  <c r="F77" i="145"/>
  <c r="F79" i="145"/>
  <c r="F82" i="145"/>
  <c r="F84" i="145"/>
  <c r="F85" i="145"/>
  <c r="F86" i="145"/>
  <c r="F87" i="145"/>
  <c r="F88" i="145"/>
  <c r="F89" i="145"/>
  <c r="F83" i="145"/>
  <c r="F90" i="145"/>
  <c r="F91" i="145"/>
  <c r="F92" i="145"/>
  <c r="F93" i="145"/>
  <c r="F94" i="145"/>
  <c r="F96" i="145"/>
  <c r="F97" i="145"/>
  <c r="F98" i="145"/>
  <c r="F100" i="145"/>
  <c r="F101" i="145"/>
  <c r="F104" i="145"/>
  <c r="F102" i="145"/>
  <c r="F105" i="145"/>
  <c r="F108" i="145"/>
  <c r="F109" i="145"/>
  <c r="F110" i="145"/>
  <c r="F111" i="145"/>
  <c r="F112" i="145"/>
  <c r="F113" i="145"/>
  <c r="F114" i="145"/>
  <c r="F118" i="145"/>
  <c r="F119" i="145"/>
  <c r="F121" i="145"/>
  <c r="F122" i="145"/>
  <c r="F202" i="145"/>
  <c r="F125" i="145"/>
  <c r="F128" i="145"/>
  <c r="F130" i="145"/>
  <c r="F131" i="145"/>
  <c r="F132" i="145"/>
  <c r="F133" i="145"/>
  <c r="F134" i="145"/>
  <c r="F138" i="145"/>
  <c r="F139" i="145"/>
  <c r="F140" i="145"/>
  <c r="F141" i="145"/>
  <c r="F142" i="145"/>
  <c r="F144" i="145"/>
  <c r="F146" i="145"/>
  <c r="F148" i="145"/>
  <c r="F152" i="145"/>
  <c r="F153" i="145"/>
  <c r="F154" i="145"/>
  <c r="F155" i="145"/>
  <c r="F157" i="145"/>
  <c r="F158" i="145"/>
  <c r="F159" i="145"/>
  <c r="F164" i="145"/>
  <c r="F165" i="145"/>
  <c r="F166" i="145"/>
  <c r="F170" i="145"/>
  <c r="F171" i="145"/>
  <c r="F172" i="145"/>
  <c r="F173" i="145"/>
  <c r="F174" i="145"/>
  <c r="F175" i="145"/>
  <c r="F177" i="145"/>
  <c r="F179" i="145"/>
  <c r="F180" i="145"/>
  <c r="F182" i="145"/>
  <c r="F183" i="145"/>
  <c r="F184" i="145"/>
  <c r="F185" i="145"/>
  <c r="F186" i="145"/>
  <c r="F188" i="145"/>
  <c r="F189" i="145"/>
  <c r="F192" i="145"/>
  <c r="F190" i="145"/>
  <c r="F191" i="145"/>
  <c r="F193" i="145"/>
  <c r="F195" i="145"/>
  <c r="F196" i="145"/>
  <c r="F197" i="145"/>
  <c r="F199" i="145"/>
  <c r="F200" i="145"/>
  <c r="F203" i="145"/>
  <c r="F204" i="145"/>
  <c r="F205" i="145"/>
  <c r="F206" i="145"/>
  <c r="F207" i="145"/>
  <c r="F212" i="145"/>
  <c r="F214" i="145"/>
  <c r="F215" i="145"/>
  <c r="F163" i="145"/>
  <c r="F217" i="145"/>
  <c r="F218" i="145"/>
  <c r="F220" i="145"/>
  <c r="F222" i="145"/>
  <c r="F223" i="145"/>
  <c r="F232" i="145"/>
  <c r="F231" i="145"/>
  <c r="F236" i="145"/>
  <c r="F237" i="145"/>
  <c r="F238" i="145"/>
  <c r="F240" i="145"/>
  <c r="F244" i="145"/>
  <c r="F245" i="145"/>
  <c r="F246" i="145"/>
  <c r="F247" i="145"/>
  <c r="F248" i="145"/>
  <c r="F249" i="145"/>
  <c r="F250" i="145"/>
  <c r="F253" i="145"/>
  <c r="F254" i="145"/>
  <c r="F255" i="145"/>
  <c r="F259" i="145"/>
  <c r="F260" i="145"/>
  <c r="F261" i="145"/>
  <c r="F262" i="145"/>
  <c r="F263" i="145"/>
  <c r="F264" i="145"/>
  <c r="F265" i="145"/>
  <c r="F266" i="145"/>
  <c r="F268" i="145"/>
  <c r="F269" i="145"/>
  <c r="F270" i="145"/>
  <c r="F274" i="145"/>
  <c r="L34" i="143" l="1"/>
  <c r="L39" i="143" s="1"/>
  <c r="L50" i="143" s="1"/>
  <c r="L52" i="143" s="1"/>
  <c r="L54" i="143" s="1"/>
  <c r="L55" i="143" s="1"/>
  <c r="M123" i="145"/>
  <c r="F34" i="143"/>
  <c r="K34" i="143" s="1"/>
  <c r="K45" i="143"/>
  <c r="K44" i="143"/>
  <c r="K43" i="143"/>
  <c r="K36" i="143"/>
  <c r="K28" i="143"/>
  <c r="K25" i="143"/>
  <c r="K19" i="143"/>
  <c r="K18" i="143"/>
  <c r="K17" i="143"/>
  <c r="K16" i="143"/>
  <c r="K30" i="143" l="1"/>
  <c r="K39" i="143"/>
  <c r="K21" i="143"/>
  <c r="K47" i="143"/>
  <c r="K50" i="143" l="1"/>
  <c r="K52" i="143" s="1"/>
  <c r="T3" i="145" l="1"/>
  <c r="T8" i="145" l="1"/>
  <c r="T7" i="145"/>
  <c r="T9" i="145"/>
  <c r="T6" i="145"/>
  <c r="T5" i="145"/>
  <c r="T4" i="145"/>
  <c r="K54" i="143" l="1"/>
  <c r="F12" i="1" s="1"/>
  <c r="M55" i="143" l="1"/>
  <c r="G12" i="1"/>
  <c r="I90" i="1" l="1"/>
  <c r="H17" i="1"/>
  <c r="Q14" i="140" s="1"/>
  <c r="G161" i="1"/>
  <c r="Q94" i="140" l="1"/>
  <c r="E15" i="140"/>
  <c r="E14" i="140" s="1"/>
  <c r="J108" i="1"/>
  <c r="I12" i="146"/>
  <c r="I162" i="1"/>
  <c r="J159" i="1" l="1"/>
  <c r="J90" i="1"/>
  <c r="I20" i="146" l="1"/>
  <c r="I18" i="146"/>
  <c r="I24" i="146"/>
  <c r="I16" i="146"/>
  <c r="I22" i="146"/>
  <c r="I14" i="146"/>
  <c r="F34" i="146"/>
  <c r="I26" i="146" l="1"/>
  <c r="I28" i="146" s="1"/>
  <c r="F33" i="146" s="1"/>
  <c r="I33" i="146" s="1"/>
</calcChain>
</file>

<file path=xl/sharedStrings.xml><?xml version="1.0" encoding="utf-8"?>
<sst xmlns="http://schemas.openxmlformats.org/spreadsheetml/2006/main" count="7378" uniqueCount="643">
  <si>
    <t>FECHA</t>
  </si>
  <si>
    <t>DESCRIPCION</t>
  </si>
  <si>
    <t>CANTIDAD</t>
  </si>
  <si>
    <t>UNIDAD</t>
  </si>
  <si>
    <t>A.)</t>
  </si>
  <si>
    <t>MATERIALES</t>
  </si>
  <si>
    <t>No.</t>
  </si>
  <si>
    <t>COSTO UNITARIO</t>
  </si>
  <si>
    <t>TOTAL</t>
  </si>
  <si>
    <t>TOTAL A.) MATERIALES</t>
  </si>
  <si>
    <t>B.)</t>
  </si>
  <si>
    <t>HERRAMIENTAS, EQUIPO Y MAQUINARIA</t>
  </si>
  <si>
    <t>TOTAL B.) HERRAMIENTA, EQUIPO Y MAQUINARIA</t>
  </si>
  <si>
    <t>C.)</t>
  </si>
  <si>
    <t>MANO DE OBRA</t>
  </si>
  <si>
    <t>PRESTACIONES LABORALES</t>
  </si>
  <si>
    <t>TOTAL C.) MANO DE OBRA</t>
  </si>
  <si>
    <t>*D.)</t>
  </si>
  <si>
    <t>UNICAMENTE: PARA TRASLADOS ACCIDENTADOS (DEBIDAMENTE JUSTIFICADOS)</t>
  </si>
  <si>
    <t>TOTAL D.) TRASLADOS ACCIDENTADOS</t>
  </si>
  <si>
    <t>TOTAL COSTO DIRECTO: A+B+C+(*D):</t>
  </si>
  <si>
    <t>VALOR DE COSTO INDIRECTOS:</t>
  </si>
  <si>
    <t>TOTAL PRECIO UNITARIO:</t>
  </si>
  <si>
    <t>FIRMA DEL PROFESIONAL</t>
  </si>
  <si>
    <t>m²</t>
  </si>
  <si>
    <t>Unidad</t>
  </si>
  <si>
    <t>DESCRIPCIÓN</t>
  </si>
  <si>
    <t>TIEMPO EN MESES</t>
  </si>
  <si>
    <t>INVERSIÓN POR RENGLON</t>
  </si>
  <si>
    <t>INTEGRACIÓN DE PRECIO TOTAL DEL PAQUETE</t>
  </si>
  <si>
    <t>COSTO DIRECTO TOTAL: (SUBTOTAL NUMERAL 1.)</t>
  </si>
  <si>
    <t>ADMINISTRACIÓN: (*)</t>
  </si>
  <si>
    <t>IMPREVISTOS: (***)</t>
  </si>
  <si>
    <t>GASTOS LEGALES: (**)</t>
  </si>
  <si>
    <t>UTILIDAD:</t>
  </si>
  <si>
    <t>IMPUESTOS:</t>
  </si>
  <si>
    <t>SUMA SUBTOTALES A Y B</t>
  </si>
  <si>
    <t>OFERENTE:</t>
  </si>
  <si>
    <t xml:space="preserve">PROYECTO: </t>
  </si>
  <si>
    <t>A</t>
  </si>
  <si>
    <t>B</t>
  </si>
  <si>
    <t>PRECIO TOTAL:</t>
  </si>
  <si>
    <t>FACTOR =</t>
  </si>
  <si>
    <t>NO. RENGLON</t>
  </si>
  <si>
    <t>RENGLÓN</t>
  </si>
  <si>
    <t>PRECIO UNITARIO</t>
  </si>
  <si>
    <t>0100   PRELIMINARES</t>
  </si>
  <si>
    <t>LIMPIEZA GENERAL</t>
  </si>
  <si>
    <t>DESMONTAJE DE CUBIERTA Y ESTRUCTURA DE TECHO</t>
  </si>
  <si>
    <t>DESMONTAJE DE BALCONES</t>
  </si>
  <si>
    <t>0500   CUBIERTA Y ESTRUCTURA DE TECHO</t>
  </si>
  <si>
    <t>0600   ACABADOS</t>
  </si>
  <si>
    <t>PISO DE GRANITO ANTIDESLIZANTE</t>
  </si>
  <si>
    <t>PINTURA DE MUROS</t>
  </si>
  <si>
    <t>0700   PUERTAS</t>
  </si>
  <si>
    <t>0800   VENTANERIA</t>
  </si>
  <si>
    <t>1100   INSTALACIONES ELECTRICAS</t>
  </si>
  <si>
    <t>CAMPANA DE LÁMINA NEGRA 3/64" PARA ESTUFA</t>
  </si>
  <si>
    <t>1400   OBRA EXTERIOR</t>
  </si>
  <si>
    <t>ESTUFA RURAL</t>
  </si>
  <si>
    <t/>
  </si>
  <si>
    <t>m³</t>
  </si>
  <si>
    <t>Varilla</t>
  </si>
  <si>
    <t>Galón</t>
  </si>
  <si>
    <t>PINTURA ESMALTE BASE BRILLANTE</t>
  </si>
  <si>
    <t>Bolsa</t>
  </si>
  <si>
    <t>LIJA DE AGUA 100 P/HIERRO</t>
  </si>
  <si>
    <t>Libra</t>
  </si>
  <si>
    <t>ACIDO MURIATICO</t>
  </si>
  <si>
    <t>PLATINAS DE ACERO 4"×4"×1/4"</t>
  </si>
  <si>
    <t xml:space="preserve">EQUIPO NEUMATICO, COMPRESOR 185 cfm </t>
  </si>
  <si>
    <t xml:space="preserve">TUBO PVC Ø 3" 125 PSI </t>
  </si>
  <si>
    <t>ml</t>
  </si>
  <si>
    <t>ARENA DE RIO</t>
  </si>
  <si>
    <t xml:space="preserve">PIEDRIN ¾" </t>
  </si>
  <si>
    <t xml:space="preserve">ARENA AMARILLA ¼" </t>
  </si>
  <si>
    <t>ANGULAR PARA AJUSTE EN PARED DE CIELO FALSO</t>
  </si>
  <si>
    <t>ANGULAR TIPO "T" PARA COLOCACION CIELO FALSO</t>
  </si>
  <si>
    <t xml:space="preserve">BROCHA DE 2"  </t>
  </si>
  <si>
    <t xml:space="preserve">BROCHA DE 4" </t>
  </si>
  <si>
    <t>RODILLO DE FELPA PARA SUPERFICIE RUSTICA</t>
  </si>
  <si>
    <t xml:space="preserve">PUERTA METAL 1.20*2.10 m. lám.3/64" + INSTAL. </t>
  </si>
  <si>
    <t>PERFILERÍA DE PVC STANDARD</t>
  </si>
  <si>
    <t>VIDRIO CLARO 5 MM</t>
  </si>
  <si>
    <t>TABLERO TRIFASICO 12 CIRCUITOS 125A.</t>
  </si>
  <si>
    <t>CAJA OCTOGONAL 4" LIVIANA</t>
  </si>
  <si>
    <t>INSTALACION DE LÁMPARA</t>
  </si>
  <si>
    <t xml:space="preserve">CAJA RECTANGULAR 4"×2" LIVIANA </t>
  </si>
  <si>
    <t>SWITCH C/PLACA BTICINO 5001/A INTERR. DOBLE</t>
  </si>
  <si>
    <t xml:space="preserve">CAJA CUADRADA 4"*4"*½*1 1/4" </t>
  </si>
  <si>
    <t>INSTALACIÓN DE VENTILADOR DE TECHO</t>
  </si>
  <si>
    <t>EXTINTOR DE POLVO QUIMICO SECO ABC DE 10 LBS.</t>
  </si>
  <si>
    <t>DISPENSADOR DE ALCOHOL EN GEL (400 ML)</t>
  </si>
  <si>
    <t>INSTALACIÓN DE DISPENSADOR</t>
  </si>
  <si>
    <t>LAVATRASTOS 2 FOSAS + 1 ALA ACERO INOXIDABLE (INCLUYE ACCESORIOS)</t>
  </si>
  <si>
    <t>PINTURA TIPO LATEX SATINADA</t>
  </si>
  <si>
    <t xml:space="preserve">PORCELANA </t>
  </si>
  <si>
    <t xml:space="preserve">CORTA AZULEJO ROTER 400 mm </t>
  </si>
  <si>
    <t>TUBO DE CONCRETO Ø 6" S/REFUERZO</t>
  </si>
  <si>
    <t>ALMAGANA 4 LBS</t>
  </si>
  <si>
    <t xml:space="preserve">ALMAGANA 8 LBS  </t>
  </si>
  <si>
    <t>CHIMENEA</t>
  </si>
  <si>
    <t xml:space="preserve">SELECTO </t>
  </si>
  <si>
    <t>HERRERIA ESTUFA  (PUERTA, PLANCHA Y CHIMENEA)</t>
  </si>
  <si>
    <t>ALAMBRE GALVANIZADO CAL.16</t>
  </si>
  <si>
    <t>TABLERO MONOFASICO 12 CIRCUITOS 125A.</t>
  </si>
  <si>
    <t>SWITCH C/PLACA BTICINO 5025/A INTERRUP.</t>
  </si>
  <si>
    <t>ADAPTADOR HEMBRA PVC 1120 Ø 1"</t>
  </si>
  <si>
    <t>ADAPTADOR MACHO PVC 1120 Ø ¾"</t>
  </si>
  <si>
    <t>TUBO PVC Ø ¾" 250 PSI</t>
  </si>
  <si>
    <t>ADAPTADOR HEMBRA PVC 1120 Ø 3/4"</t>
  </si>
  <si>
    <t xml:space="preserve">TUBO PVC Ø ½" 315 PSI </t>
  </si>
  <si>
    <t xml:space="preserve">TUBO PVC Ø 4" 100 PSI </t>
  </si>
  <si>
    <t xml:space="preserve">CONTRALLAVE A LA PARED Ø ½" </t>
  </si>
  <si>
    <t xml:space="preserve">EMPAQUE DE CERA P/SANITARIO, HAVERSY </t>
  </si>
  <si>
    <t xml:space="preserve">FLANGE P/SANITARIO Ø 4" </t>
  </si>
  <si>
    <t>TUBO DE ABASTO DE 12", TIPO "A" METAL</t>
  </si>
  <si>
    <t xml:space="preserve">ADAPTADOR HEMBRA CPVC 100 PSI Ø ½" </t>
  </si>
  <si>
    <t>TUBO HG Ø 2", 1.5 MM</t>
  </si>
  <si>
    <t xml:space="preserve">PERNO EXPANSIVO HKB II ½"*4 ½" </t>
  </si>
  <si>
    <t xml:space="preserve">BOQUILLEX CEMIX 10 kg </t>
  </si>
  <si>
    <t>CRUCETA DE 3 mm</t>
  </si>
  <si>
    <t>PLAFONERA SENCILLA BTICINO</t>
  </si>
  <si>
    <t>TABLERO MONOFASICO 8 CIRCUITOS 125A.</t>
  </si>
  <si>
    <t xml:space="preserve">ARENA BLANCA  </t>
  </si>
  <si>
    <t>VENTANERIA ALUMINIO ANODIZ.+VIDRIO 5 mm. (FIJA)</t>
  </si>
  <si>
    <t>PUERTA DE METAL  1.00*2.10 m lám. 3/64", + INSTAL.</t>
  </si>
  <si>
    <t>GASOLINA CORRIENTE</t>
  </si>
  <si>
    <t xml:space="preserve">VIBRADOR DE CONCRETO A GASOLINA </t>
  </si>
  <si>
    <t>ADAPTADOR MACHO PVC 1120 Ø 1 ¼"</t>
  </si>
  <si>
    <t>PEGAMENTO PVC</t>
  </si>
  <si>
    <t xml:space="preserve">TUBO PVC Ø 1 ½" 250 PSI </t>
  </si>
  <si>
    <t>VALVULA ESFERA 2"PVC</t>
  </si>
  <si>
    <t>AQUA PRO SWITCH DE PRESION 30-50 PSI</t>
  </si>
  <si>
    <t>CONTACTOR 2x30A, 120-220 VOLTIOS</t>
  </si>
  <si>
    <t>ADAPTADOR MACHO PVC 1120 Ø 1"</t>
  </si>
  <si>
    <t>VÁLVULA FLOTE  Ø 1" AMERICANA</t>
  </si>
  <si>
    <t>SWITCH FLOTE SJE LH  PUMPMASTER (GUARDANIVEL)</t>
  </si>
  <si>
    <t xml:space="preserve">CHORRO Ø ½", AMERICANO </t>
  </si>
  <si>
    <t>ADAPTADOR MACHO HG Ø ½"</t>
  </si>
  <si>
    <t xml:space="preserve">PUERTA METAL 0.75*1.80 m. lám.3/64" + INSTAL. </t>
  </si>
  <si>
    <t xml:space="preserve">TUBO PVC Ø 2" 125 PSI </t>
  </si>
  <si>
    <t>TUBO PVC NORMA 3034 Ø 8"</t>
  </si>
  <si>
    <t xml:space="preserve">BOMBA DE AGUA A GASOLINA 2" </t>
  </si>
  <si>
    <t>BIODIGESTOR AUTOLIMPIABLE DE 7,000 LITROS</t>
  </si>
  <si>
    <t>TUBO PVC Ø 6" 100 PSI</t>
  </si>
  <si>
    <t>ADAPTADOR MACHO PVC 1120 Ø ½"</t>
  </si>
  <si>
    <t>CAJA PREFABRICADA DE CONCRETO</t>
  </si>
  <si>
    <t xml:space="preserve">TUBO PVC Ø 2" 160 PSI </t>
  </si>
  <si>
    <t xml:space="preserve">TUBO PVC Ø 4" 160 PSI </t>
  </si>
  <si>
    <t>ROTULO IDENTIFICACIÓN PROYECTO 1.37*1.98 MANTA VINILICA</t>
  </si>
  <si>
    <t>CEPILLO DE ALAMBRE 6"</t>
  </si>
  <si>
    <t>RED PARA MARCO PAPIFUTBOL C/CABLE</t>
  </si>
  <si>
    <t>RED PARA VOLEIBOL C/CABLE</t>
  </si>
  <si>
    <t>ARO METALICO + RED DE BASKETBOL</t>
  </si>
  <si>
    <t xml:space="preserve">CHAPA YALE ENGRAPE 693.60 </t>
  </si>
  <si>
    <t>CANDADO YALE ORDINARIO 50 MM</t>
  </si>
  <si>
    <t>GRIFO METÁLICO + MEZCLADORA</t>
  </si>
  <si>
    <t>JALADOR DE PUERTA</t>
  </si>
  <si>
    <t>PAPELERO MAXI 12 LITROS</t>
  </si>
  <si>
    <t>PIEDRA BOLA 15 CMS.</t>
  </si>
  <si>
    <t>PINTURA PARA TRÁFICO</t>
  </si>
  <si>
    <t>Saco</t>
  </si>
  <si>
    <t>pt</t>
  </si>
  <si>
    <t>Cubeta</t>
  </si>
  <si>
    <t>TEFLON ¾"</t>
  </si>
  <si>
    <t>Rollo</t>
  </si>
  <si>
    <t>ADHESIVO PSP PORCELANATO BLANCO</t>
  </si>
  <si>
    <t>PRECIO</t>
  </si>
  <si>
    <t xml:space="preserve">ACERO G 40 No. 3 DE 20' </t>
  </si>
  <si>
    <t xml:space="preserve">ACERO G 40 No. 4 DE 20' </t>
  </si>
  <si>
    <t>Día</t>
  </si>
  <si>
    <t>RETROEXCAVADORA</t>
  </si>
  <si>
    <t>COMPACTADORA TIPO BAILARINA</t>
  </si>
  <si>
    <t>EQUIPO</t>
  </si>
  <si>
    <t>CLAVO DE 3"</t>
  </si>
  <si>
    <t>LÁMINA GALVANIZADA LISA CAL.28 (3'x8')</t>
  </si>
  <si>
    <t>Pliego</t>
  </si>
  <si>
    <t>LLAVE DE GLOBO Ø ¾"</t>
  </si>
  <si>
    <t>LLAVE DE PASO Ø ¾"</t>
  </si>
  <si>
    <t>MADERA DE PINO RUSTICA</t>
  </si>
  <si>
    <t>SELLADOR ELÁSTICO ADHESIVO A BASE DE POLIURETANO</t>
  </si>
  <si>
    <t>THINNER</t>
  </si>
  <si>
    <t>VALVULA DE CHEQUE 506B SIMMONS 2"BR</t>
  </si>
  <si>
    <t>WYPE BLANCO</t>
  </si>
  <si>
    <t>MEZCLADORA DE CONCRETO</t>
  </si>
  <si>
    <t>INSTALACIÓN DE CAMPANA</t>
  </si>
  <si>
    <t>APLICACIÓN PINTURA</t>
  </si>
  <si>
    <t>LIMPIEZA DEL TERRENO</t>
  </si>
  <si>
    <t>CI</t>
  </si>
  <si>
    <t>CAMIÓN DE VOLTEO</t>
  </si>
  <si>
    <t>Viaje</t>
  </si>
  <si>
    <t>FACTOR CI</t>
  </si>
  <si>
    <t>CR</t>
  </si>
  <si>
    <t>TOTAL REAL</t>
  </si>
  <si>
    <t>DEMOLICIÓN Y EXTRACCIÓN DE RIPIO</t>
  </si>
  <si>
    <t>PINTURA ANTICORROSIVA INDUSTRIAL</t>
  </si>
  <si>
    <t xml:space="preserve">COSTANERA DE 2"x 6"x 20' </t>
  </si>
  <si>
    <t xml:space="preserve">COSTANERA DE 2"x 4"x 20' </t>
  </si>
  <si>
    <t>HEMBRA 1/8" x ½" x 20'</t>
  </si>
  <si>
    <t>ELECTRODO 1/8" PUNTO VERDE</t>
  </si>
  <si>
    <t>ARANDELA A PRESIÓN Ø ⅜"</t>
  </si>
  <si>
    <t>PERNO EXPANSIVO  Ø 3/8"× 4" HILTI T20 M10×100/20 MM</t>
  </si>
  <si>
    <t>TORNILLO TIPO POLSER DE 1/4" X 1" C/EMPAQUE</t>
  </si>
  <si>
    <t>TORNILLO TIPO POLSER DE 1/4" X 2 1/2" C/EMPAQUE</t>
  </si>
  <si>
    <t>LÁMINA TERMOACÚSTICA TRICAPA UPVC DE 2.5 MM</t>
  </si>
  <si>
    <t>CABALLETE LISO DE 8', CAL. 26 BLANCO</t>
  </si>
  <si>
    <t>Cartucho</t>
  </si>
  <si>
    <t>INSTALACIÓN DE LÁMINA TERMOACÚSTICA</t>
  </si>
  <si>
    <t>ALQUILER DE ANDAMIOS (4 CAMAS)</t>
  </si>
  <si>
    <t>mes</t>
  </si>
  <si>
    <t>BLOCK 35 KG/CM², 0.14 x 0.19 x 0.39 (tipo C)</t>
  </si>
  <si>
    <t>BLOCK 35 KG/CM², 0.09 x 0.19 x 0.39 (tipo C)</t>
  </si>
  <si>
    <t>BLOCK 50 KG/CM², 0.14 x 0.19 x 0.39  (tipo B)</t>
  </si>
  <si>
    <t>CEMENTO UGC 4000 PSI</t>
  </si>
  <si>
    <t>CAL HIDRATADA</t>
  </si>
  <si>
    <t>COLOCACIÓN DE PISO</t>
  </si>
  <si>
    <t>CIELO FALSO TIPO PLYCEM + PERFILERÍA + FIJACIONES</t>
  </si>
  <si>
    <t>CLAVO ACERADO 2"</t>
  </si>
  <si>
    <t>INSTALACIÓN CIELO FALSO</t>
  </si>
  <si>
    <t>PINTURA LÁTEX VINÍLICO (5 AÑOS)</t>
  </si>
  <si>
    <t xml:space="preserve">BANDEJA PLASTICA PARA PINTURA + RODILLO </t>
  </si>
  <si>
    <t>REPUESTO RODILLO FELPA</t>
  </si>
  <si>
    <t>MANERAL, EXTENSIÓN P/RODILLO L=2.00m</t>
  </si>
  <si>
    <t>FABRICACIÓN E INSTALACIÓN DE PUERTA DE METAL</t>
  </si>
  <si>
    <t>DESMONTAJE DE PUERTA METÁLICA</t>
  </si>
  <si>
    <t>FABRICACIÓN E INSTALACIÓN DE VENTANA CORREDIZA DE PVC</t>
  </si>
  <si>
    <t>TORNILLO TIPO POLSER #14 X 3" C/EMPAQUE</t>
  </si>
  <si>
    <t>REMOZAMIENTO E INSTALACIÓN DE ESTRUCTURA METÁLICA</t>
  </si>
  <si>
    <t>REMOZAMIENTO E INSTALACIÓN DE BALCÓN</t>
  </si>
  <si>
    <t>PIEDRIN 1/2"</t>
  </si>
  <si>
    <t>ELECTROMALLA 6" x 6", 4.5/4.5, 2.35 x 6.00 m</t>
  </si>
  <si>
    <t>ELECTROMALLA 6" x 6", 4.0/4.0, 2.35 x 6.00 m</t>
  </si>
  <si>
    <t>ELECTROMALLA 6" x 6", 4.5/4.5, 1.00 x 3.00 m</t>
  </si>
  <si>
    <t>LADRILLO TUBULAR 0.065 x 0.11 x 0.23 m</t>
  </si>
  <si>
    <t>LADRILLO 0.065 x 0.11 x 0.23 m</t>
  </si>
  <si>
    <t>FABRICACIÓN DE CAJA TRAMPA GRASA</t>
  </si>
  <si>
    <t>CANAL DE ALUZINC ESMALTADO (3 m) + PESCANTES</t>
  </si>
  <si>
    <t>BOCATUBO PARA CANAL DE ALUZINC</t>
  </si>
  <si>
    <t>TOPE PARA CANAL DE ALUZINC</t>
  </si>
  <si>
    <t xml:space="preserve">TUBO PVC Ø 3" 80 PSI </t>
  </si>
  <si>
    <t>ABRAZADERA PARA BAJANTE PVC Ø 3"</t>
  </si>
  <si>
    <t>CODO 90° PVC D2665 Ø 3"</t>
  </si>
  <si>
    <t>FLIP-ON 1x15 A</t>
  </si>
  <si>
    <t>FLIP-ON 1x20 A</t>
  </si>
  <si>
    <t>FLIP-ON 1x30 A</t>
  </si>
  <si>
    <t>FLIP-ON 1x40 A</t>
  </si>
  <si>
    <t>FLIP-ON 1x50 A</t>
  </si>
  <si>
    <t>FLIP-ON 2x50 A</t>
  </si>
  <si>
    <t>CINTA DE AISLAR 3M</t>
  </si>
  <si>
    <t>CABLE THHN No. 12</t>
  </si>
  <si>
    <t>CABLE THHN No. 14</t>
  </si>
  <si>
    <t>CABLE THHN No. 8</t>
  </si>
  <si>
    <t>INSTALACION DE TABLERO ELÉCTRICO</t>
  </si>
  <si>
    <t>TUBO PVC ELÉCTRICO Ø 3/4"</t>
  </si>
  <si>
    <t>VUELTA ELÉCTRICA Ø 3/4"</t>
  </si>
  <si>
    <t>MORDAZA DE BRONCE 5/8 PULG</t>
  </si>
  <si>
    <t>VARILLA DE COBRE PARA TIERRA 5/8 PULG X 8'</t>
  </si>
  <si>
    <t>LÁMPARA LISTON PARA 2 TUBOS LED 48 PULG</t>
  </si>
  <si>
    <t>TUBO LED 48 PULG, 18 W, CLARO DE VIDRIO</t>
  </si>
  <si>
    <t>ABRAZADERA PARA CIELO TIPO HANGER Ø 3/4"</t>
  </si>
  <si>
    <t>BASE PARA REFLECTOR DE INTEMPERIE CON 2 SOCKETS</t>
  </si>
  <si>
    <t>FLIP-ON 2x70 A</t>
  </si>
  <si>
    <t>LÁMPARA 2X4 EMPOTRAR C/DIF. PRISMÁTICO</t>
  </si>
  <si>
    <t>REFLECTOR DE INTEMPERIE 75W 120 V</t>
  </si>
  <si>
    <t>INSTALACION DE REFLECTOR</t>
  </si>
  <si>
    <t>PLACA BTICINO DOBLE DE ALUMINIO</t>
  </si>
  <si>
    <t>INSTALACION DE INTERRUPTOR</t>
  </si>
  <si>
    <t>INSTALACION DE TOMACORRIENTE</t>
  </si>
  <si>
    <t>INTERRUPTOR TIPO DADO POLARIZADO SIMPLE</t>
  </si>
  <si>
    <t>TOMACORRIENTE TIPO DADO POLARIZADO</t>
  </si>
  <si>
    <t>VENTILADOR DE TECHO PARA INTERIOR BLANCO 52 PULG</t>
  </si>
  <si>
    <t>INSTALACIÓN DE EXTINTOR</t>
  </si>
  <si>
    <t xml:space="preserve">INSTALACION DE MUEBLE FIJO + LAVATRASTOS </t>
  </si>
  <si>
    <t>MELAMINA DE 5/8" 1.22 x 2.44 m</t>
  </si>
  <si>
    <t>BLOCK 35 KG/CM², 0.19 x 0.19 x 0.39 (tipo C)</t>
  </si>
  <si>
    <t>CONSTRUCCIÓN DE ESTUFA RURAL</t>
  </si>
  <si>
    <t>DESMONTAJE DE CUBIERTA DE TECHO</t>
  </si>
  <si>
    <t>DESMONTAJE DE ESTRUCTURA DE MADERA EN TECHO</t>
  </si>
  <si>
    <t>TABLERO MONOFASICO 16 CIRCUITOS 125A.</t>
  </si>
  <si>
    <t>INTERRUPTOR SENCILLO</t>
  </si>
  <si>
    <t>PLACA BTICINO DE ALUMINIO</t>
  </si>
  <si>
    <t>DESMONTAJE DE LETRINA</t>
  </si>
  <si>
    <t>INODORO</t>
  </si>
  <si>
    <t>DESMONTAJE DE PUERTA DE MADERA</t>
  </si>
  <si>
    <t>PEGAMIX, 20 KG</t>
  </si>
  <si>
    <t>AZULEJO PORCELANATO BLANCO DE 0.20 X 0.30 M</t>
  </si>
  <si>
    <t>FABRICACIÓN E INSTALACIÓN DE PUERTA DE METAL PARA BAÑO</t>
  </si>
  <si>
    <t>INSTALACIÓN DE TUBERÍA PVC PARA AGUA (&lt; Ø 1")</t>
  </si>
  <si>
    <t>INSTALACIÓN DE TUBERÍA PVC PARA AGUA (&gt; Ø 1")</t>
  </si>
  <si>
    <t>CODO 90° PVC Ø ½"</t>
  </si>
  <si>
    <t xml:space="preserve">CODO 90° PVC Ø ½" C/ROSCA </t>
  </si>
  <si>
    <t>CODO 90° PVC Ø ¾"</t>
  </si>
  <si>
    <t xml:space="preserve">CODO 90° PVC Ø ¾" ROSCA </t>
  </si>
  <si>
    <t>CODO 90° PVC Ø 1 ½"</t>
  </si>
  <si>
    <t>CODO 90° PVC Ø 2"</t>
  </si>
  <si>
    <t xml:space="preserve">TEE LISA PVC Ø ¾" </t>
  </si>
  <si>
    <t xml:space="preserve">TEE LISA PVC Ø 1 ½ </t>
  </si>
  <si>
    <t xml:space="preserve">TEE LISA PVC Ø 8" </t>
  </si>
  <si>
    <t xml:space="preserve">TEE LISA PVC Ø 1/2" </t>
  </si>
  <si>
    <t>INSTALACIÓN DE TUBERÍA PVC PARA DRENAJE (&lt; Ø 2")</t>
  </si>
  <si>
    <t>REDUCIDOR PVC DE 3/4" A 1/2"</t>
  </si>
  <si>
    <t>REDUCIDOR PVC DE 1 ½" A 1 ¼"</t>
  </si>
  <si>
    <t>REDUCIDOR PVC DE 1" A ¾"</t>
  </si>
  <si>
    <t>CODO 45° PVC Ø 2"</t>
  </si>
  <si>
    <t>INSTALACIÓN DE TUBERÍA PVC PARA DRENAJE (&lt; Ø 6")</t>
  </si>
  <si>
    <t>YEE PVC SANITARIA Ø 4"</t>
  </si>
  <si>
    <t>VALVULA DE CHEQUE HORIZONTAL Ø ¾"</t>
  </si>
  <si>
    <t>VALVULA DE CHEQUE HORIZONTAL Ø 1"</t>
  </si>
  <si>
    <t>VALVULA DE COMPUERTA DE Ø ½"</t>
  </si>
  <si>
    <t>VALVULA DE COMPUERTA DE Ø ¾"</t>
  </si>
  <si>
    <t>VÁLVULA DE BOLA DE 3/4" BRONCE ALUMINIO</t>
  </si>
  <si>
    <t>INSTALACIÓN ACOMETIDA DE AGUA</t>
  </si>
  <si>
    <t xml:space="preserve">ACERO No. 2 DE 20' </t>
  </si>
  <si>
    <t>FABRICACIÓN DE CAJA DE REGISTRO</t>
  </si>
  <si>
    <t>INSTALACIÓN DE BIODIGESTOR</t>
  </si>
  <si>
    <t>FABRICACIÓN POZO DE ABSORCIÓN</t>
  </si>
  <si>
    <t>INODORO HYDRA BLANCO</t>
  </si>
  <si>
    <t>INSTALACIÓN DE INODORO</t>
  </si>
  <si>
    <t>BOTE DE BASURA PLÁSTICO DE 20 LITROS</t>
  </si>
  <si>
    <t>DISPENSADOR DE PAPEL DE ACERO INOXIDABLE</t>
  </si>
  <si>
    <t>INSTALACIÓN DE DISPENSADOR DE PAPEL</t>
  </si>
  <si>
    <t>DISPENSADOR DE TOALLA DE MANO</t>
  </si>
  <si>
    <t>DISPENSADOR JABON ACERO INOXIDABLE</t>
  </si>
  <si>
    <t>INSTALACIÓN DE DISPENSADOR DE JABÓN LÍQUIDO</t>
  </si>
  <si>
    <t>REPOSADERA DE ACERO INOXIDABLE</t>
  </si>
  <si>
    <t>VÁLVULA DE BOLA DE 1/2" BRONCE ALUMINIO</t>
  </si>
  <si>
    <t>CONSTRUCCIÓN DE LAVAMANOS COLECTIVO</t>
  </si>
  <si>
    <t>BOMBILLA LED 20W</t>
  </si>
  <si>
    <t>DESMONTAJE DE ARTEFACTOS SANITARIOS</t>
  </si>
  <si>
    <t>SIKAGUARD 70, 3 KG</t>
  </si>
  <si>
    <t>APLICACIÓN DE IMPERMEABILIZANTE</t>
  </si>
  <si>
    <t>CODO 90° HG Ø ½"</t>
  </si>
  <si>
    <t>INSTALACIÓN DE GRIFO</t>
  </si>
  <si>
    <t>BOMBA CENTRÍFUGA 2 HP</t>
  </si>
  <si>
    <t>INTERRUPTOR DE PRESIÓN 30-50 PSI</t>
  </si>
  <si>
    <t>MANÓMETRO SECO 0-200 PSI</t>
  </si>
  <si>
    <t xml:space="preserve">VALVULA DE PIE BRONCE Ø 1" </t>
  </si>
  <si>
    <t>TANQUE HIDRONEUMÁTICO 80 GALONES</t>
  </si>
  <si>
    <t>INSTALACIÓN DE BOMBA + TANQUE</t>
  </si>
  <si>
    <t>CONSTRUCCIÓN DE CISTERNA</t>
  </si>
  <si>
    <t>TINACO (6000 L, CON ACCESORIOS)</t>
  </si>
  <si>
    <t>INSTALACIÓN DE TINACO</t>
  </si>
  <si>
    <t>LAVAMANOS UNA LLAVE, CONFORT BLANCO, PEDESTAL</t>
  </si>
  <si>
    <t>INSTALACIÓN DE LAVAMANOS</t>
  </si>
  <si>
    <t>FABRICACIÓN E INSTALACIÓN DE BARANDA</t>
  </si>
  <si>
    <t>MONOCAPA GRIS</t>
  </si>
  <si>
    <t>MONOCAPA BLANCA</t>
  </si>
  <si>
    <t>CONSTRUCCIÓN DE BODEGA</t>
  </si>
  <si>
    <t>LOGO INSTITUCIONAL</t>
  </si>
  <si>
    <t>CHAPEO DEL TERRENO</t>
  </si>
  <si>
    <t>DEMOLICIÓN</t>
  </si>
  <si>
    <t>DESMONTAJE DE PORTÓN</t>
  </si>
  <si>
    <t>FABRICACIÓN E INSTALACIÓN DE PORTÓN METÁLICO</t>
  </si>
  <si>
    <t>BOTE DE BASURA PLÁSTICO DE 20 GALONES</t>
  </si>
  <si>
    <t>PLACA DE BRONCE, 0.40 x 0.50 M</t>
  </si>
  <si>
    <t>CONSTRUCCIÓN DE PLACA</t>
  </si>
  <si>
    <t>FABRICACIÓN E INSTALACIÓN DE RÓTULO TIPO 1</t>
  </si>
  <si>
    <t>FABRICACIÓN E INSTALACIÓN DE RÓTULO TIPO 2</t>
  </si>
  <si>
    <t>COLOCACIÓN DE PABELLÓN</t>
  </si>
  <si>
    <t>FABRICACIÓN E INSTALACIÓN DE MARCOS PARA CANCHA POLIDEPORTIVA</t>
  </si>
  <si>
    <t xml:space="preserve">TRANSPORTES: </t>
  </si>
  <si>
    <t>MINISTERIO DE COMUNICACIONES, INFRAESTRUCTURA Y VIVIENDA</t>
  </si>
  <si>
    <t>FECHA:</t>
  </si>
  <si>
    <t>UNIDAD DE CONSTRUCCION DE EDIFICIOS DEL ESTADO</t>
  </si>
  <si>
    <t>DIAGRAMA DE BARRAS</t>
  </si>
  <si>
    <t>LICITACIÓN PÚBLICA No.:</t>
  </si>
  <si>
    <t>CATÁLOGO DE RENGLONES DE TRABAJO</t>
  </si>
  <si>
    <t>FUNDICIÓN DE CONCRETO</t>
  </si>
  <si>
    <t>ALAMBRE DE AMARRE</t>
  </si>
  <si>
    <t>HEMBRA 1" x 1/4" x 20'</t>
  </si>
  <si>
    <t>HIERRO LISO DE 5/8"</t>
  </si>
  <si>
    <t>LÁMINA NEGRA LISA 4'X8'X1/8"</t>
  </si>
  <si>
    <t>TUBO HG 3" Ch 14</t>
  </si>
  <si>
    <t>PERNO A-325 DE 1/2" X 2" (CON TUERCA + ARANDELA)</t>
  </si>
  <si>
    <t>SUBTOTAL: NUMERALES 2 AL 7 (INCLUYE IVA):</t>
  </si>
  <si>
    <t>PABELLON NACIONAL</t>
  </si>
  <si>
    <t xml:space="preserve">NIPLE HG Ø ½" X 2" </t>
  </si>
  <si>
    <t>DESMONTAJE DE CIELO FALSO RETICULAR</t>
  </si>
  <si>
    <t>DESMONTAJE DE VENTANA DE MADERA</t>
  </si>
  <si>
    <t>DESMONTAJE DE VENTANA DE METAL</t>
  </si>
  <si>
    <t>DESMONTAJE DE PUERTA DE METAL (UNA HOJA)</t>
  </si>
  <si>
    <t>DESMONTAJE DE VENTANA DE ALUMINIO</t>
  </si>
  <si>
    <t>DEMOLICIÓN DE PISO DE GRANITO</t>
  </si>
  <si>
    <t>0200   CIMENTACIÓN</t>
  </si>
  <si>
    <t>0400   COLUMNAS, LOSAS, VIGAS Y SOLERAS</t>
  </si>
  <si>
    <t>DESMONTAJE DE PILA</t>
  </si>
  <si>
    <t>ASTA PARA BANDERA</t>
  </si>
  <si>
    <t>RAZOR RIBBON</t>
  </si>
  <si>
    <t>DESMONTAJE DE TABIQUES DE MADERA</t>
  </si>
  <si>
    <t>INSTALACIÓN DE TABIQUE DE TABLAYESO</t>
  </si>
  <si>
    <t>CONSTRUCCIÓN DE MINGITORIO COLECTIVO</t>
  </si>
  <si>
    <t>LAVAMANOS DE EMPOTRAR BLANCO</t>
  </si>
  <si>
    <t>CONSTRUCCIÓN DE MUEBLE FIJO + LAVAMANOS EMPOTRADO</t>
  </si>
  <si>
    <t>DESMONTAJE DE PUERTA METÁLICA (UNA HOJA)</t>
  </si>
  <si>
    <t>SIKA ACRIL TECHO POWER (8 AÑOS)</t>
  </si>
  <si>
    <t>CONFORMACIÓN DE PAÑUELOS + IMPERMEABILIZANTE</t>
  </si>
  <si>
    <t>APLICACIÓN DE CERNIDO VERTICAL</t>
  </si>
  <si>
    <t>ARMADO + FUNDICIÓN DE ZAPATA</t>
  </si>
  <si>
    <t>EXCAVACIÓN</t>
  </si>
  <si>
    <t>ARMADO + FUNDICIÓN DE PEDESTAL</t>
  </si>
  <si>
    <t xml:space="preserve">ACERO G 40 No. 5 DE 20' </t>
  </si>
  <si>
    <t>TUBO CUADRADO ESTRUCTURAL 4"X4" CH 14</t>
  </si>
  <si>
    <t>PERNO DE ANCLAJE TIPO L, DE 5/8"</t>
  </si>
  <si>
    <t>INSTALACIÓN DE COLUMNA METÁLICA</t>
  </si>
  <si>
    <t>PILA DE CONCRETO (2 LAVADEROS)</t>
  </si>
  <si>
    <t>INSTALACIÓN DE PILA</t>
  </si>
  <si>
    <t>CONSTRUCCIÓN DE ASTA</t>
  </si>
  <si>
    <t>INSTALACIÓN DE RAZOR RIBBON</t>
  </si>
  <si>
    <t>ANGULAR 1" x 3/16"</t>
  </si>
  <si>
    <t>PROGRAMA DE EJECUCIÓN E INVERSIÓN</t>
  </si>
  <si>
    <t>LÁMPARA LED TIPO CAMPANA DE ALUMINIO 150 W</t>
  </si>
  <si>
    <t>INSTALACION DE LÁMPARA TIPO CAMPANA</t>
  </si>
  <si>
    <t>PLACA BTICINO TRIPLE DE ALUMINIO</t>
  </si>
  <si>
    <t>FABRICACIÓN E INSTALACIÓN DE VENTANA DE PVC MADERA</t>
  </si>
  <si>
    <t>FUNDICIÓN DE PISO DE CONCRETO</t>
  </si>
  <si>
    <t>TINACO (2800 L, CON ACCESORIOS)</t>
  </si>
  <si>
    <t>CONSTRUCCIÓN DE URINAL COLECTIVO</t>
  </si>
  <si>
    <t>REMOZAMIENTO DE PUERTA DE METAL + CHAPA</t>
  </si>
  <si>
    <t>TABLERO MONOFASICO 24 CIRCUITOS 125A.</t>
  </si>
  <si>
    <t>CERRADURA ANTIPÁNICO</t>
  </si>
  <si>
    <t>ARMADO + FUNDICIÓN DE COLUMNA</t>
  </si>
  <si>
    <t>LIMPIEZA DE FOSA SÉPTICA</t>
  </si>
  <si>
    <t>INTEGRACIÓN DE PRECIO O COSTO UNITARIO</t>
  </si>
  <si>
    <t>ARMADO + FUNDICIÓN DE SOLERA</t>
  </si>
  <si>
    <t xml:space="preserve">COSTANERA DE 2"x 8"x 20' </t>
  </si>
  <si>
    <t>FABRICACIÓN E INSTALACIÓN DE BALCÓN DE BARROTES</t>
  </si>
  <si>
    <t>TALLADO DE COLUMNAS</t>
  </si>
  <si>
    <t>CAJA DE POLICARBONATO PARA CONTADOR TIPO SOCKET</t>
  </si>
  <si>
    <t>TABLERO MONOFÁSICO DE INTEMPERIE 2 CIRCUITOS</t>
  </si>
  <si>
    <t>TUBO PVC ELÉCTRICO Ø 1/2"</t>
  </si>
  <si>
    <t>VUELTA ELÉCTRICA Ø 1/2"</t>
  </si>
  <si>
    <t>ACCESORIO DE ENTRADA Ø 1 1/4"</t>
  </si>
  <si>
    <t>TUBO CONDUIT GALVANIZADO 1 1/4" X 3 M</t>
  </si>
  <si>
    <t>ABRAZADERA PARA HANGER Ø 1 1/4"</t>
  </si>
  <si>
    <t>GANCHO PARA ACOMETIDA 1 1/4"</t>
  </si>
  <si>
    <t>INSTALACIÓN DE ACOMETIDA ELÉCTRICA</t>
  </si>
  <si>
    <t>CABLE THHN No. 4</t>
  </si>
  <si>
    <t>INSTALACIÓN DE TUBERÍA PVC ELÉCTRICO (&lt; Ø 1")</t>
  </si>
  <si>
    <t>BENTONITA (50 LB)</t>
  </si>
  <si>
    <t>INSTALACIÓN PUESTA A TIERRA</t>
  </si>
  <si>
    <t xml:space="preserve">PERFORACIÓN DE POZO </t>
  </si>
  <si>
    <t>TRATAMIENTO PARA TIERRAS FISICAS QUIBACSOL (25LB)</t>
  </si>
  <si>
    <t>CABLE THHN No. 6</t>
  </si>
  <si>
    <t>PRUEBA DE RESISTIVIDAD</t>
  </si>
  <si>
    <t>DEMOLICIÓN DE MURO DE MAMPOSTERÍA</t>
  </si>
  <si>
    <t>FABRICACIÓN E INSTALACIÓN DE PUERTA DE METAL (0.90 m)</t>
  </si>
  <si>
    <t>FABRICACIÓN E INSTALACIÓN DE JUEGOS INFANTILES (COLUMPIO, TORRE, RESBALADERO)</t>
  </si>
  <si>
    <t>ABRAZADERA METÁLICA Ø 2 1/2"</t>
  </si>
  <si>
    <t>TEE HG Ø 2 1/2"</t>
  </si>
  <si>
    <t>MALLA GALVANIZADA RETICULADO 2"X2" CAL 10, 2M</t>
  </si>
  <si>
    <t>ARMADO + FUNDICIÓN DE CIMIENTO CORRIDO</t>
  </si>
  <si>
    <t>FABRICACIÓN E INSTALACIÓN DE MALLA (ALTURA = 2M)</t>
  </si>
  <si>
    <t>FABRICACIÓN E INSTALACIÓN DE PORTÓN METÁLICO DOBLE HOJA</t>
  </si>
  <si>
    <t>18 CALLE "A" 9-02 ZONA 13, COLONIA AURORA 2, CIUDAD DE GUATEMALA</t>
  </si>
  <si>
    <t>CONSTRUVIAS, 18 CALLE "A" 9-02 ZONA 13, COLONIA AURORA 2, CIUDAD DE GUATEMALA. TEL.: 22922288</t>
  </si>
  <si>
    <t>COCINA</t>
  </si>
  <si>
    <t>EXCAVACIÓN ESTRUCTURAL A MANO</t>
  </si>
  <si>
    <t>0300   MUROS</t>
  </si>
  <si>
    <t>TABLERO ELÉCTRICO (04 POLOS)</t>
  </si>
  <si>
    <t>MUEBLE FIJO + LAVATRASTOS DE ACERO INOXIDABLE</t>
  </si>
  <si>
    <t>PREPARACIÓN DE ÁREA DE TRABAJO EN REMOZAMIENTO</t>
  </si>
  <si>
    <t>PISO GRANITO (BASE SELECTO-CEMENTO T = 0.20m)</t>
  </si>
  <si>
    <t>DESMONTAJE DE CERCO DE MALLA</t>
  </si>
  <si>
    <t>DESMONTAR ACCESORIOS ELÉCTRICOS C/CABLE</t>
  </si>
  <si>
    <t>HILO NYLON</t>
  </si>
  <si>
    <t>LEVANTADO DE MURO</t>
  </si>
  <si>
    <t>PISO DE GRANITO DE 0.25 x 0.25 M</t>
  </si>
  <si>
    <t>PISO MONOSTRATO DE GRANITO DE 0.30 x 0.30 M</t>
  </si>
  <si>
    <t>INSTALACIÓN DE AZULEJO</t>
  </si>
  <si>
    <t>AZULEJO 0.20 x 0.30 COLOR BLANCO</t>
  </si>
  <si>
    <t>FABRICACIÓN E INSTALACIÓN DE PUERTA DE METAL CON PIVOTE + CHAPA</t>
  </si>
  <si>
    <t>FABRICACIÓN E INSTALACIÓN DE VENTANA METÁLICA + COLOCACIÓN DE VIDRIO</t>
  </si>
  <si>
    <t>TABLERO MONOFASICO 4 CIRCUITOS 125A.</t>
  </si>
  <si>
    <t>INSTALACIÓN DE CANAL</t>
  </si>
  <si>
    <t>CANAL DE PVC + PESCANTES</t>
  </si>
  <si>
    <t>TOPE PARA CANAL DE PVC</t>
  </si>
  <si>
    <t>BOCATUBO PARA CANAL DE PVC</t>
  </si>
  <si>
    <t>REMOZAMIENTO ESTRUCTURA METÁLICA</t>
  </si>
  <si>
    <t>TABLERO MONOFASICO 6 CIRCUITOS 125A.</t>
  </si>
  <si>
    <t>FABRICACIÓN E INSTALACIÓN DE PUERTA DE TUBO + MALLA</t>
  </si>
  <si>
    <t>FABRICACIÓN DE CAJA UNIFICADORA</t>
  </si>
  <si>
    <t>TINACO (2500 L, CON ACCESORIOS)</t>
  </si>
  <si>
    <t xml:space="preserve">TEE SANITARIA PVC Ø 4" </t>
  </si>
  <si>
    <t>PEGAMENTO PVC (1/4 GALON)</t>
  </si>
  <si>
    <t>CONSTRUCCIÓN DE FOSA SÉPTICA</t>
  </si>
  <si>
    <t>REFLECTOR DE INTEMPERIE PARA POSTE</t>
  </si>
  <si>
    <t>PERNO DE ANCLAJE TIPO L, DE 1/2"</t>
  </si>
  <si>
    <t>TUBO HG 5" Ch 14</t>
  </si>
  <si>
    <t>CONSTRUCCIÓN DE POSTE ELÉCTRICO</t>
  </si>
  <si>
    <t>CONSTRUCCIÓN DE MURO PERIMETRAL</t>
  </si>
  <si>
    <t>REMOZAMIENTO DE ESTRUCTURA EXISTENTE</t>
  </si>
  <si>
    <t>TRAZO Y ESTAQUEADO</t>
  </si>
  <si>
    <t>DEMOLICIÓN DE PISO CERÁMICO/PORCELANATO</t>
  </si>
  <si>
    <t>RELLENO Y COMPACTACIÓN DE CIMIENTO CON MATERIAL DE EXCAVACIÓN</t>
  </si>
  <si>
    <t>LEVANTADO DE MURO 0.19m, BLOCK TIPO A (70 Kg/Cm²)</t>
  </si>
  <si>
    <t xml:space="preserve">PIN EN BLOCK DE 0.20m </t>
  </si>
  <si>
    <t>COLUMNA (0.20m X 0.40m + 6 NO. 3 + ESL+ EST NO. 3 @ 0.20m)</t>
  </si>
  <si>
    <t>COLUMNA (0.20m X 0.20m + 4 NO. 3 + EST NO. 3 @ 0.20m)</t>
  </si>
  <si>
    <t>COLUMNA (0.20m X 0.40m + 6 NO. 4 + ESL+ EST NO. 3 @ 0.10m)</t>
  </si>
  <si>
    <t xml:space="preserve">COSTANERA DE 2" X 4" X 1/16" </t>
  </si>
  <si>
    <t>CUBIERTA DE LÁMINA TERMOACÚSTICA (INCLUYE CANAL Y BAP Ѳ=3")</t>
  </si>
  <si>
    <t>PAÑUELOS E IMPERMEABILIZACIÓN</t>
  </si>
  <si>
    <t>AZULEJO DE PORCELANATO</t>
  </si>
  <si>
    <t>PINTURA DE CIELO</t>
  </si>
  <si>
    <t>PUERTA DE METAL CON PIVOTE + SOBRELUZ + CHAPA</t>
  </si>
  <si>
    <t>BAJADA DE AGUA PVC Ø3" (INCLUYE ACCESORIOS)</t>
  </si>
  <si>
    <t xml:space="preserve">CAJA DE REGISTRO DE 0.47m X 0.47m </t>
  </si>
  <si>
    <t>CAJA TRAMPA GRASA DE 1.30m X 0.82m</t>
  </si>
  <si>
    <t>LAVAMANOS EMPOTRADO</t>
  </si>
  <si>
    <t>ESPEJO SIN MARCO</t>
  </si>
  <si>
    <t>DISPENSADOR PARA PAPEL HIGIÉNICO</t>
  </si>
  <si>
    <t>INTERRUPTOR DOBLE</t>
  </si>
  <si>
    <t>GABINETE METÁLICO PARA EXTINTOR EMPOTRADO</t>
  </si>
  <si>
    <t>TOP DE CONCRETO (SOLO LOSA)</t>
  </si>
  <si>
    <t>MODULO ADMINISTRATIVO</t>
  </si>
  <si>
    <t>REMOZAMIENTO DE VENTANA DE METAL + VIDRIOS</t>
  </si>
  <si>
    <t>REMOZAMIENTO DE BALCONES</t>
  </si>
  <si>
    <t>01100   INSTALACIONES ELECTRICAS</t>
  </si>
  <si>
    <t>MODULO DE AULAS</t>
  </si>
  <si>
    <t>DESMONTAJE DE ACCESORIOS ELÉCTRICOS</t>
  </si>
  <si>
    <t>MODULO DE SERVICIOS SANITARIOS</t>
  </si>
  <si>
    <t xml:space="preserve">AZULEJO  </t>
  </si>
  <si>
    <t>CIMIENTO CORRIDO DE 0.20m X 0.60m, CONCRETO 3000 PSI, REFUERZO 3NO3 + ESL NO3 @ 0.20m</t>
  </si>
  <si>
    <t xml:space="preserve">LEVANTADO DE MURO 0.19m, BLOCK TIPO A (70 Kg/Cm²) HASTA SOLERA DE HUMEDAD </t>
  </si>
  <si>
    <t>LEVANTADO DE MURO DOBLE 0.19m, BLOCK TIPO A (70 Kg/Cm²) HASTA SOLERA DE HUMEDAD</t>
  </si>
  <si>
    <t xml:space="preserve">LEVANTADO DE MURO DOBLE 0.19m, BLOCK TIPO A (70 Kg/Cm²) </t>
  </si>
  <si>
    <t>PEDESTAL (0.30m X 0.30m + 4 NO. 5 + EST NO.2 @ 0.15m)</t>
  </si>
  <si>
    <t>VIGA (0.20m X 0.40m + 6 NO. 5 + 3 BAST NO 5 + EST NO. 3 @ 0.10-0.15m)</t>
  </si>
  <si>
    <t>VIGA (0.15m X 0.40m + 4 NO. 4 + EST NO. 3 @ 0.20m)</t>
  </si>
  <si>
    <t>VIGA (0.40m X 0.40m + 4 NO. 5 + 2 NO.4 + EST NO. 3 @ 0.15m)</t>
  </si>
  <si>
    <t>SOLERA (0.20m X 0.20m + 4 NO. 3 + EST NO. 3 @ 0.20m)</t>
  </si>
  <si>
    <t>SOLERA (0.20m X 0.40m + 6 NO. 3 + EST NO. 3 @ 0.20m)</t>
  </si>
  <si>
    <t>LOSA TRADICIONAL (E = 0.10m + REFUERZO NO. 3 - S = 0.18m X 0.18m + BASTONES NO 3 - S = 0.18m X 0.18m)</t>
  </si>
  <si>
    <t>CENEFA (0.40m X 0.10m, NO.3 EN AMBOS SENTIDOS @ 0.20m - FORMA L)</t>
  </si>
  <si>
    <t>COLUMNA METÁLICA DE TUBO 4" X 4", CH 14</t>
  </si>
  <si>
    <t>REPELLO + CERNIDO EN CIELOS</t>
  </si>
  <si>
    <t>REPELLO + BLANQUEADO</t>
  </si>
  <si>
    <t>VENTANA CORREDIZA DE PVC + VIDRIO CLARO DE 5mm + BALCÓN</t>
  </si>
  <si>
    <t>TUBERÍA AGUA POTABLE PVC Ø 1/2", 315 PSI (INCLUYE ACCESORIOS)</t>
  </si>
  <si>
    <t>TUBERÍA AGUA POTABLE PVC Ø 3/4", 250 PSI (INCLUYE ACCESORIOS)</t>
  </si>
  <si>
    <t>TUBERÍA PVC Ø 2", 160 PSI (INLCUYE ACCESORIOS)</t>
  </si>
  <si>
    <t>TUBERÍA PVC Ø 3", 160 PSI (INLCUYE ACCESORIOS)</t>
  </si>
  <si>
    <t>TUBERÍA PVC Ø 4", 160 PSI (INLCUYE ACCESORIOS)</t>
  </si>
  <si>
    <t>CAJA DE REGISTRO DE 0.59m X 0.59m</t>
  </si>
  <si>
    <t>BOTE DE BASURA PLÁSTICO 20 LITROS</t>
  </si>
  <si>
    <t>DISPENSADOR DE PAPEL PARA MANOS</t>
  </si>
  <si>
    <t>DISPENSADOR PARA JABÓN LÍQUIDO ACERO INOXIDABLE</t>
  </si>
  <si>
    <t>DISPENSADOR DE ALCOHOL EN GEL (400ml)</t>
  </si>
  <si>
    <t>0900   INSTALACIONES HIDRAULICAS Y SANITARIAS</t>
  </si>
  <si>
    <t>1000   ARTEFACTOS SANITARIOS</t>
  </si>
  <si>
    <t>1200   INTALACIONES ESPECIALES</t>
  </si>
  <si>
    <t>1300   VARIOS</t>
  </si>
  <si>
    <t>TABLERO ELÉCTRICO (08 POLOS)</t>
  </si>
  <si>
    <t>LÁMPARA LED TIPO LISTON 2 TUBOS (18 WATS)</t>
  </si>
  <si>
    <t>TOMACORRIENTE DOBLE 120V, 15A. (ALAMBRADO)</t>
  </si>
  <si>
    <t>EXTINTOR DE FUEGO DE 20 Lb</t>
  </si>
  <si>
    <t>CUBIERTA TIPO PANEL SÁDWICH (T=1.5", LÁMINA CAL 26)</t>
  </si>
  <si>
    <t>PISO CERÁMICO</t>
  </si>
  <si>
    <t>PISO CERÁMICO ANTIDESLIZANTE</t>
  </si>
  <si>
    <t>PUERTA METAL + CHAPA (1 hoja)</t>
  </si>
  <si>
    <t>TOMACORRIENTE DOBLE 120V</t>
  </si>
  <si>
    <t>MÓDULO ADMINSITRATIVO</t>
  </si>
  <si>
    <t>MÓDULO DE AULAS</t>
  </si>
  <si>
    <t xml:space="preserve">0600   ACABADOS </t>
  </si>
  <si>
    <t>MÓDULO DE SERVICIOS SANITARIOS</t>
  </si>
  <si>
    <t>OBRA EXTERIOR</t>
  </si>
  <si>
    <t>REMOZAMIENTO DE PORTÓN DE METAL + CHAPA</t>
  </si>
  <si>
    <t>MURO PERIMETRAL DE 0.15m, H=2.0m</t>
  </si>
  <si>
    <t>TINACO (2500 LTS)</t>
  </si>
  <si>
    <t>ESTACAS</t>
  </si>
  <si>
    <t>DESMONTAJE DE ACCESORIOS ELECTRICOS</t>
  </si>
  <si>
    <t>AZADÓN CON MANGO</t>
  </si>
  <si>
    <t>RELLENO DE MATERIAL EXCAVADO</t>
  </si>
  <si>
    <t>COMPACTACIÓN DE MATERIAL EXCAVADO</t>
  </si>
  <si>
    <t>BLOCK 70 KG/CM², 0.19 x 0.19 x 0.39  (tipo A)</t>
  </si>
  <si>
    <t>ARMADO + FUNDICIÓN DE VIGA</t>
  </si>
  <si>
    <t>ARMADO + FUNDICIÓN DE LOSA</t>
  </si>
  <si>
    <t>ARMADO + FUNDICIÓN DE CENEFA</t>
  </si>
  <si>
    <t>INSTALACIÓN DE ESTRUCTURA</t>
  </si>
  <si>
    <t>PLATINA 0.45 x 0.45 m x 3/4"</t>
  </si>
  <si>
    <t>PERNO DE ANCLAJE TIPO J, DE 3/4"x1 m</t>
  </si>
  <si>
    <t>TUERCA HEXAGONAL DE 3/4"</t>
  </si>
  <si>
    <t>ROLDANA GALVANIZADA DE ANILLO DE 3/4"</t>
  </si>
  <si>
    <t>WASHA DE PRESIÓN DE 3/4"</t>
  </si>
  <si>
    <t>COLOCACIÓN DE TUBO + ANCLAJE</t>
  </si>
  <si>
    <t>APLICACIÓN DE REPELLO + CERNIDO</t>
  </si>
  <si>
    <t>FABRICACIÓN E INSTALACIÓN DE PUERTA DE METAL CON PIVOTE + SOBRELUZ + CHAPA</t>
  </si>
  <si>
    <t>CODO 45° PVC D2665 Ø 3"</t>
  </si>
  <si>
    <t xml:space="preserve">TUBO PVC Ø 3" 160 PSI </t>
  </si>
  <si>
    <t>INSTALACIÓN DE BAJADAS DE AGUA</t>
  </si>
  <si>
    <t>LLAVE PARA LAVAMANOS</t>
  </si>
  <si>
    <t>ESPEJO</t>
  </si>
  <si>
    <t>INSTALACIÓN DE ESPEJO</t>
  </si>
  <si>
    <t>GABINETE METÁLICO PARA EXTINTOR DE 10 LBS</t>
  </si>
  <si>
    <t>INSTALACIÓN DE GABINETE</t>
  </si>
  <si>
    <t>LÁMINA TIPO PANEL DE 4"</t>
  </si>
  <si>
    <t>CABALLETE DE FIBRA  DE VIDRIO</t>
  </si>
  <si>
    <t>PERNOS 3/8" X 5" + ROLDANA Y TUERCA</t>
  </si>
  <si>
    <t xml:space="preserve">COLOCACIÓN DE LAMINA TIPO PANEL </t>
  </si>
  <si>
    <t>PISO CERAMICO 0.35m X 0.35m</t>
  </si>
  <si>
    <t>PISO CERAMICO ANTIDESLIZANTE 0.35m X 0.35m</t>
  </si>
  <si>
    <t>REMOZAMIENTO DE VENTANAS DE METAL + VIDRIOS</t>
  </si>
  <si>
    <t>INSTALACION DE TOMACORRIENTE DOBLE</t>
  </si>
  <si>
    <t>INSTALACIÓN DE AZULEJO PORCELANATO</t>
  </si>
  <si>
    <t>GERARDO GUSTAVO GALDÁMEZ ORANTES</t>
  </si>
  <si>
    <t>0100</t>
  </si>
  <si>
    <t>PRELIMINARES</t>
  </si>
  <si>
    <t>P</t>
  </si>
  <si>
    <t>Q</t>
  </si>
  <si>
    <t>0200</t>
  </si>
  <si>
    <t>CIMENTACIÓN</t>
  </si>
  <si>
    <t>0300</t>
  </si>
  <si>
    <t>MUROS</t>
  </si>
  <si>
    <t>0400</t>
  </si>
  <si>
    <t>COLUMNAS, LOSAS, VIGAS Y SOLERAS</t>
  </si>
  <si>
    <t>0500</t>
  </si>
  <si>
    <t>CUBIERTA Y ESTRUCTURA DE TECHO</t>
  </si>
  <si>
    <t>0600</t>
  </si>
  <si>
    <t>ACABADOS</t>
  </si>
  <si>
    <t>0700</t>
  </si>
  <si>
    <t>PUERTAS</t>
  </si>
  <si>
    <t>0800</t>
  </si>
  <si>
    <t>VENTANERIA</t>
  </si>
  <si>
    <t>0900</t>
  </si>
  <si>
    <t>INSTALACIONES HIDRAULICAS Y SANITARIAS</t>
  </si>
  <si>
    <t>1000</t>
  </si>
  <si>
    <t>ARTEFACTOS SANITARIOS</t>
  </si>
  <si>
    <t>1100</t>
  </si>
  <si>
    <t>INSTALACIONES ELECTRICAS</t>
  </si>
  <si>
    <t>1200</t>
  </si>
  <si>
    <t>INSTALACIONES ESPECIALES</t>
  </si>
  <si>
    <t>1300</t>
  </si>
  <si>
    <t>VARIOS</t>
  </si>
  <si>
    <t>1400</t>
  </si>
  <si>
    <t>MÓDULO ADMINISTRATIVO</t>
  </si>
  <si>
    <t xml:space="preserve">TIEMPO EN DIAS CALENDARIO : </t>
  </si>
  <si>
    <t>GRUPO 14 QUE COMPRENDE:</t>
  </si>
  <si>
    <t>REMOZAMIENTO DE EDIFICACIONES ESCOLARES AFECTADAS POR EL CICLÓN TROPICAL BLAS Y CELIA DEL DEPARTAMENTO DE PETEN</t>
  </si>
  <si>
    <t>- EODP ANEXA A ESCUELA RURAL MIXTA, EL CRUZADERO, MELCHOR DE MENCOS, PETEN -</t>
  </si>
  <si>
    <t>EVENTO No. UCEE-14-2022</t>
  </si>
  <si>
    <t>GRUPO 12 QUE COMPRENDE: REMOZAMIENTO DE EDIFICACIONES ESCOLARES AFECTADAS POR EL CICLÓN TROPICAL BLAS Y CELIA DEL DEPARTAMENTO DE PETEN 
- EODP ANEXA A ESCUELA RURAL MIXTA, EL CRUZADERO, MELCHOR DE MENCOS, PETEN -</t>
  </si>
  <si>
    <t>90 DÍAS CALENDARIO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</si>
</sst>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Q&quot;* #,##0.00_-;\-&quot;Q&quot;* #,##0.00_-;_-&quot;Q&quot;* &quot;-&quot;??_-;_-@_-"/>
    <numFmt numFmtId="164" formatCode="_(* #,##0.00_);_(* \(#,##0.00\);_(* &quot;-&quot;??_);_(@_)"/>
    <numFmt numFmtId="165" formatCode="_(* #,##0.000_);_(* \(#,##0.000\);_(* &quot;-&quot;??_);_(@_)"/>
    <numFmt numFmtId="166" formatCode="_(&quot;Q&quot;* #,##0.0000_);_(&quot;Q&quot;* \(#,##0.0000\);_(&quot;Q&quot;* &quot;-&quot;??_);_(@_)"/>
    <numFmt numFmtId="167" formatCode="_ [$$-2C0A]\ * #,##0.00_ ;_ [$$-2C0A]\ * \-#,##0.00_ ;_ [$$-2C0A]\ * &quot;-&quot;??_ ;_ @_ "/>
    <numFmt numFmtId="168" formatCode="0.0"/>
    <numFmt numFmtId="169" formatCode="_-&quot;Q&quot;* #,##0.0000_-;\-&quot;Q&quot;* #,##0.0000_-;_-&quot;Q&quot;* &quot;-&quot;??_-;_-@_-"/>
    <numFmt numFmtId="170" formatCode="_-&quot;Q&quot;* #,##0.0000_-;\-&quot;Q&quot;* #,##0.0000_-;_-&quot;Q&quot;* &quot;-&quot;????_-;_-@_-"/>
    <numFmt numFmtId="171" formatCode="#,##0.00_ ;\-#,##0.00\ "/>
    <numFmt numFmtId="172" formatCode="_-&quot;Q&quot;* #,##0.00_-;\-&quot;Q&quot;* #,##0.00_-;_-&quot;Q&quot;* &quot;-&quot;_-;_-@_-"/>
    <numFmt numFmtId="173" formatCode="0.000"/>
    <numFmt numFmtId="174" formatCode="0.000000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1"/>
      <name val="Ebrima"/>
    </font>
    <font>
      <sz val="11"/>
      <name val="Ebrima"/>
    </font>
    <font>
      <b/>
      <sz val="11"/>
      <name val="Ebrima"/>
    </font>
    <font>
      <sz val="11"/>
      <color rgb="FFFFFF00"/>
      <name val="Ebrima"/>
    </font>
    <font>
      <b/>
      <sz val="11"/>
      <color rgb="FFC00000"/>
      <name val="Ebrima"/>
    </font>
    <font>
      <b/>
      <sz val="11"/>
      <color rgb="FF3F3F3F"/>
      <name val="Ebrima"/>
    </font>
    <font>
      <b/>
      <sz val="11"/>
      <color rgb="FF0070C0"/>
      <name val="Ebrima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5" tint="0.399975585192419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gradientFill>
        <stop position="0">
          <color theme="0"/>
        </stop>
        <stop position="1">
          <color theme="5" tint="0.59999389629810485"/>
        </stop>
      </gradient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theme="2" tint="-0.499984740745262"/>
      </left>
      <right style="dashed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164" fontId="1" fillId="0" borderId="0" applyFont="0" applyFill="0" applyBorder="0" applyAlignment="0" applyProtection="0"/>
    <xf numFmtId="167" fontId="1" fillId="0" borderId="0"/>
    <xf numFmtId="9" fontId="1" fillId="0" borderId="0" applyFont="0" applyFill="0" applyBorder="0" applyAlignment="0" applyProtection="0"/>
    <xf numFmtId="0" fontId="11" fillId="9" borderId="39" applyNumberFormat="0" applyAlignment="0" applyProtection="0"/>
    <xf numFmtId="0" fontId="12" fillId="10" borderId="40" applyNumberFormat="0" applyAlignment="0" applyProtection="0"/>
    <xf numFmtId="0" fontId="13" fillId="11" borderId="41" applyNumberFormat="0" applyAlignment="0" applyProtection="0"/>
    <xf numFmtId="44" fontId="16" fillId="14" borderId="47">
      <alignment horizontal="center" vertical="center" wrapText="1"/>
    </xf>
  </cellStyleXfs>
  <cellXfs count="440">
    <xf numFmtId="0" fontId="0" fillId="0" borderId="0" xfId="0"/>
    <xf numFmtId="165" fontId="3" fillId="0" borderId="0" xfId="5" applyNumberFormat="1" applyFont="1" applyFill="1" applyAlignment="1">
      <alignment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center"/>
    </xf>
    <xf numFmtId="44" fontId="0" fillId="0" borderId="0" xfId="0" applyNumberFormat="1"/>
    <xf numFmtId="0" fontId="4" fillId="0" borderId="0" xfId="0" applyFont="1" applyAlignment="1">
      <alignment horizontal="justify" vertical="justify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6" fillId="0" borderId="0" xfId="0" applyNumberFormat="1" applyFont="1" applyAlignment="1">
      <alignment horizontal="center" vertical="center"/>
    </xf>
    <xf numFmtId="44" fontId="8" fillId="0" borderId="0" xfId="0" applyNumberFormat="1" applyFont="1"/>
    <xf numFmtId="0" fontId="8" fillId="0" borderId="0" xfId="0" applyFont="1"/>
    <xf numFmtId="44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4" fontId="8" fillId="0" borderId="0" xfId="0" applyNumberFormat="1" applyFont="1" applyAlignment="1">
      <alignment horizontal="center" vertical="center"/>
    </xf>
    <xf numFmtId="0" fontId="9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44" fontId="10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justify" vertical="justify"/>
    </xf>
    <xf numFmtId="0" fontId="14" fillId="0" borderId="0" xfId="0" applyFont="1" applyAlignment="1">
      <alignment horizontal="center" vertical="center"/>
    </xf>
    <xf numFmtId="44" fontId="15" fillId="0" borderId="0" xfId="0" applyNumberFormat="1" applyFont="1" applyAlignment="1">
      <alignment vertical="center"/>
    </xf>
    <xf numFmtId="2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justify" vertical="center"/>
    </xf>
    <xf numFmtId="0" fontId="14" fillId="0" borderId="0" xfId="0" applyFont="1" applyAlignment="1">
      <alignment horizontal="center"/>
    </xf>
    <xf numFmtId="44" fontId="15" fillId="0" borderId="0" xfId="0" applyNumberFormat="1" applyFont="1"/>
    <xf numFmtId="2" fontId="15" fillId="0" borderId="0" xfId="0" applyNumberFormat="1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69" fontId="20" fillId="0" borderId="0" xfId="9" applyNumberFormat="1" applyFont="1" applyFill="1" applyBorder="1"/>
    <xf numFmtId="10" fontId="21" fillId="10" borderId="0" xfId="9" applyNumberFormat="1" applyFont="1" applyBorder="1"/>
    <xf numFmtId="169" fontId="22" fillId="0" borderId="0" xfId="9" applyNumberFormat="1" applyFont="1" applyFill="1" applyBorder="1"/>
    <xf numFmtId="0" fontId="18" fillId="6" borderId="0" xfId="0" applyFont="1" applyFill="1" applyAlignment="1">
      <alignment horizontal="right" vertical="center"/>
    </xf>
    <xf numFmtId="0" fontId="20" fillId="13" borderId="0" xfId="0" applyFont="1" applyFill="1" applyAlignment="1">
      <alignment horizontal="center"/>
    </xf>
    <xf numFmtId="0" fontId="17" fillId="7" borderId="0" xfId="0" applyFont="1" applyFill="1" applyAlignment="1">
      <alignment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right" vertical="center"/>
    </xf>
    <xf numFmtId="1" fontId="20" fillId="13" borderId="0" xfId="0" applyNumberFormat="1" applyFont="1" applyFill="1" applyAlignment="1">
      <alignment horizontal="center"/>
    </xf>
    <xf numFmtId="44" fontId="15" fillId="0" borderId="0" xfId="0" applyNumberFormat="1" applyFont="1" applyAlignment="1">
      <alignment horizontal="center" vertical="center"/>
    </xf>
    <xf numFmtId="2" fontId="17" fillId="7" borderId="0" xfId="0" applyNumberFormat="1" applyFont="1" applyFill="1" applyAlignment="1">
      <alignment horizontal="center" vertical="center"/>
    </xf>
    <xf numFmtId="2" fontId="20" fillId="1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8" fillId="0" borderId="0" xfId="5" applyNumberFormat="1" applyFont="1" applyFill="1" applyAlignment="1">
      <alignment horizontal="center" vertical="center"/>
    </xf>
    <xf numFmtId="171" fontId="0" fillId="0" borderId="16" xfId="0" applyNumberFormat="1" applyBorder="1"/>
    <xf numFmtId="2" fontId="0" fillId="0" borderId="0" xfId="0" applyNumberFormat="1" applyAlignment="1">
      <alignment horizontal="center" vertical="center"/>
    </xf>
    <xf numFmtId="2" fontId="16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171" fontId="0" fillId="0" borderId="0" xfId="0" applyNumberFormat="1"/>
    <xf numFmtId="2" fontId="0" fillId="0" borderId="0" xfId="0" applyNumberFormat="1"/>
    <xf numFmtId="0" fontId="23" fillId="0" borderId="0" xfId="0" applyFont="1" applyAlignment="1">
      <alignment horizontal="justify" vertical="justify"/>
    </xf>
    <xf numFmtId="0" fontId="23" fillId="0" borderId="0" xfId="0" applyFont="1" applyAlignment="1">
      <alignment horizontal="center" vertical="center"/>
    </xf>
    <xf numFmtId="44" fontId="24" fillId="0" borderId="0" xfId="0" applyNumberFormat="1" applyFont="1" applyAlignment="1">
      <alignment vertical="center"/>
    </xf>
    <xf numFmtId="2" fontId="24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justify" vertical="center"/>
    </xf>
    <xf numFmtId="44" fontId="24" fillId="0" borderId="0" xfId="0" applyNumberFormat="1" applyFont="1" applyAlignment="1">
      <alignment horizontal="center" vertical="center"/>
    </xf>
    <xf numFmtId="169" fontId="0" fillId="0" borderId="16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9" fillId="0" borderId="0" xfId="0" applyFont="1" applyAlignment="1">
      <alignment vertical="center"/>
    </xf>
    <xf numFmtId="2" fontId="9" fillId="0" borderId="16" xfId="0" applyNumberFormat="1" applyFont="1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2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4" fontId="9" fillId="0" borderId="0" xfId="0" applyNumberFormat="1" applyFont="1"/>
    <xf numFmtId="2" fontId="9" fillId="0" borderId="29" xfId="0" applyNumberFormat="1" applyFont="1" applyBorder="1" applyAlignment="1">
      <alignment horizontal="center" vertical="top"/>
    </xf>
    <xf numFmtId="2" fontId="9" fillId="0" borderId="22" xfId="0" applyNumberFormat="1" applyFont="1" applyBorder="1" applyAlignment="1">
      <alignment horizontal="center" vertical="center"/>
    </xf>
    <xf numFmtId="44" fontId="9" fillId="0" borderId="22" xfId="0" applyNumberFormat="1" applyFont="1" applyBorder="1" applyAlignment="1">
      <alignment vertical="center"/>
    </xf>
    <xf numFmtId="2" fontId="25" fillId="0" borderId="29" xfId="0" applyNumberFormat="1" applyFont="1" applyBorder="1" applyAlignment="1">
      <alignment horizontal="center" vertical="top"/>
    </xf>
    <xf numFmtId="2" fontId="9" fillId="0" borderId="16" xfId="5" applyNumberFormat="1" applyFont="1" applyFill="1" applyBorder="1" applyAlignment="1">
      <alignment horizontal="center" vertical="center"/>
    </xf>
    <xf numFmtId="44" fontId="9" fillId="0" borderId="16" xfId="0" applyNumberFormat="1" applyFont="1" applyBorder="1" applyAlignment="1">
      <alignment vertical="center"/>
    </xf>
    <xf numFmtId="0" fontId="9" fillId="0" borderId="29" xfId="0" applyFont="1" applyBorder="1" applyAlignment="1">
      <alignment horizontal="center" vertical="top"/>
    </xf>
    <xf numFmtId="169" fontId="9" fillId="0" borderId="16" xfId="0" applyNumberFormat="1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25" fillId="0" borderId="16" xfId="0" applyFont="1" applyBorder="1" applyAlignment="1">
      <alignment horizontal="left" vertical="top"/>
    </xf>
    <xf numFmtId="0" fontId="26" fillId="17" borderId="19" xfId="0" applyFont="1" applyFill="1" applyBorder="1" applyAlignment="1">
      <alignment horizontal="center" vertical="center"/>
    </xf>
    <xf numFmtId="0" fontId="26" fillId="17" borderId="20" xfId="0" applyFont="1" applyFill="1" applyBorder="1" applyAlignment="1">
      <alignment horizontal="center" vertical="center"/>
    </xf>
    <xf numFmtId="2" fontId="26" fillId="17" borderId="20" xfId="0" applyNumberFormat="1" applyFont="1" applyFill="1" applyBorder="1" applyAlignment="1">
      <alignment horizontal="center" vertical="center"/>
    </xf>
    <xf numFmtId="44" fontId="26" fillId="17" borderId="20" xfId="0" applyNumberFormat="1" applyFont="1" applyFill="1" applyBorder="1" applyAlignment="1">
      <alignment horizontal="center" vertical="center"/>
    </xf>
    <xf numFmtId="2" fontId="9" fillId="15" borderId="29" xfId="0" applyNumberFormat="1" applyFont="1" applyFill="1" applyBorder="1" applyAlignment="1">
      <alignment horizontal="center" vertical="top"/>
    </xf>
    <xf numFmtId="2" fontId="9" fillId="15" borderId="22" xfId="5" applyNumberFormat="1" applyFont="1" applyFill="1" applyBorder="1" applyAlignment="1">
      <alignment horizontal="center" vertical="center"/>
    </xf>
    <xf numFmtId="0" fontId="9" fillId="15" borderId="22" xfId="0" applyFont="1" applyFill="1" applyBorder="1" applyAlignment="1">
      <alignment horizontal="center" vertical="center"/>
    </xf>
    <xf numFmtId="44" fontId="9" fillId="15" borderId="22" xfId="0" applyNumberFormat="1" applyFont="1" applyFill="1" applyBorder="1" applyAlignment="1">
      <alignment vertical="center"/>
    </xf>
    <xf numFmtId="169" fontId="9" fillId="0" borderId="0" xfId="0" applyNumberFormat="1" applyFont="1"/>
    <xf numFmtId="10" fontId="9" fillId="0" borderId="0" xfId="0" applyNumberFormat="1" applyFont="1"/>
    <xf numFmtId="0" fontId="27" fillId="11" borderId="41" xfId="10" applyFont="1" applyAlignment="1">
      <alignment horizontal="center"/>
    </xf>
    <xf numFmtId="9" fontId="27" fillId="11" borderId="41" xfId="7" applyFont="1" applyFill="1" applyBorder="1" applyAlignment="1">
      <alignment horizontal="center"/>
    </xf>
    <xf numFmtId="165" fontId="25" fillId="0" borderId="0" xfId="5" applyNumberFormat="1" applyFont="1" applyFill="1" applyAlignment="1">
      <alignment vertical="center"/>
    </xf>
    <xf numFmtId="169" fontId="25" fillId="0" borderId="0" xfId="5" applyNumberFormat="1" applyFont="1" applyFill="1" applyBorder="1" applyAlignment="1">
      <alignment vertical="center" wrapText="1"/>
    </xf>
    <xf numFmtId="2" fontId="27" fillId="11" borderId="41" xfId="7" applyNumberFormat="1" applyFont="1" applyFill="1" applyBorder="1" applyAlignment="1">
      <alignment horizontal="center"/>
    </xf>
    <xf numFmtId="10" fontId="9" fillId="0" borderId="0" xfId="0" applyNumberFormat="1" applyFont="1" applyAlignment="1">
      <alignment vertical="center"/>
    </xf>
    <xf numFmtId="0" fontId="25" fillId="0" borderId="16" xfId="0" applyFont="1" applyBorder="1" applyAlignment="1">
      <alignment horizontal="center" vertical="center"/>
    </xf>
    <xf numFmtId="0" fontId="25" fillId="0" borderId="0" xfId="0" applyFont="1"/>
    <xf numFmtId="44" fontId="25" fillId="0" borderId="16" xfId="0" applyNumberFormat="1" applyFont="1" applyBorder="1" applyAlignment="1">
      <alignment horizontal="center"/>
    </xf>
    <xf numFmtId="44" fontId="25" fillId="0" borderId="0" xfId="0" applyNumberFormat="1" applyFont="1" applyAlignment="1">
      <alignment horizontal="center"/>
    </xf>
    <xf numFmtId="169" fontId="9" fillId="0" borderId="0" xfId="0" applyNumberFormat="1" applyFont="1" applyAlignment="1">
      <alignment horizontal="center" vertical="center"/>
    </xf>
    <xf numFmtId="0" fontId="25" fillId="8" borderId="1" xfId="3" applyFon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2" fontId="26" fillId="12" borderId="30" xfId="0" applyNumberFormat="1" applyFont="1" applyFill="1" applyBorder="1" applyAlignment="1">
      <alignment horizontal="center" vertical="center"/>
    </xf>
    <xf numFmtId="2" fontId="25" fillId="0" borderId="17" xfId="0" applyNumberFormat="1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166" fontId="25" fillId="0" borderId="16" xfId="0" applyNumberFormat="1" applyFont="1" applyBorder="1" applyAlignment="1">
      <alignment horizontal="center"/>
    </xf>
    <xf numFmtId="2" fontId="28" fillId="12" borderId="16" xfId="0" applyNumberFormat="1" applyFont="1" applyFill="1" applyBorder="1" applyAlignment="1">
      <alignment horizontal="center" vertical="center"/>
    </xf>
    <xf numFmtId="44" fontId="9" fillId="0" borderId="16" xfId="0" applyNumberFormat="1" applyFont="1" applyBorder="1" applyAlignment="1">
      <alignment horizontal="center" vertical="center"/>
    </xf>
    <xf numFmtId="166" fontId="9" fillId="0" borderId="16" xfId="0" applyNumberFormat="1" applyFont="1" applyBorder="1" applyAlignment="1">
      <alignment vertical="center"/>
    </xf>
    <xf numFmtId="166" fontId="9" fillId="0" borderId="8" xfId="0" applyNumberFormat="1" applyFont="1" applyBorder="1" applyAlignment="1">
      <alignment vertical="center"/>
    </xf>
    <xf numFmtId="2" fontId="25" fillId="0" borderId="22" xfId="0" applyNumberFormat="1" applyFont="1" applyBorder="1" applyAlignment="1">
      <alignment horizontal="center" vertical="center"/>
    </xf>
    <xf numFmtId="2" fontId="28" fillId="12" borderId="26" xfId="0" applyNumberFormat="1" applyFont="1" applyFill="1" applyBorder="1" applyAlignment="1">
      <alignment horizontal="center" vertical="center"/>
    </xf>
    <xf numFmtId="168" fontId="9" fillId="0" borderId="16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2" fontId="28" fillId="12" borderId="43" xfId="0" applyNumberFormat="1" applyFont="1" applyFill="1" applyBorder="1" applyAlignment="1">
      <alignment horizontal="center" vertical="center"/>
    </xf>
    <xf numFmtId="2" fontId="9" fillId="0" borderId="18" xfId="0" applyNumberFormat="1" applyFont="1" applyBorder="1" applyAlignment="1">
      <alignment horizontal="center" vertical="center"/>
    </xf>
    <xf numFmtId="2" fontId="25" fillId="0" borderId="42" xfId="0" applyNumberFormat="1" applyFon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169" fontId="29" fillId="0" borderId="0" xfId="8" applyNumberFormat="1" applyFont="1" applyFill="1" applyBorder="1"/>
    <xf numFmtId="170" fontId="9" fillId="0" borderId="8" xfId="0" applyNumberFormat="1" applyFont="1" applyBorder="1"/>
    <xf numFmtId="44" fontId="9" fillId="0" borderId="44" xfId="0" applyNumberFormat="1" applyFont="1" applyBorder="1"/>
    <xf numFmtId="169" fontId="31" fillId="0" borderId="0" xfId="9" applyNumberFormat="1" applyFont="1" applyFill="1" applyBorder="1"/>
    <xf numFmtId="10" fontId="32" fillId="10" borderId="0" xfId="9" applyNumberFormat="1" applyFont="1" applyBorder="1"/>
    <xf numFmtId="169" fontId="25" fillId="0" borderId="0" xfId="0" applyNumberFormat="1" applyFont="1" applyAlignment="1">
      <alignment horizontal="center"/>
    </xf>
    <xf numFmtId="2" fontId="9" fillId="0" borderId="0" xfId="0" applyNumberFormat="1" applyFont="1" applyAlignment="1">
      <alignment vertical="center"/>
    </xf>
    <xf numFmtId="2" fontId="9" fillId="0" borderId="29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top"/>
    </xf>
    <xf numFmtId="0" fontId="33" fillId="0" borderId="0" xfId="0" applyFont="1" applyAlignment="1">
      <alignment horizontal="justify" vertical="center"/>
    </xf>
    <xf numFmtId="0" fontId="33" fillId="0" borderId="0" xfId="0" applyFont="1" applyAlignment="1">
      <alignment horizontal="center" vertical="center"/>
    </xf>
    <xf numFmtId="44" fontId="34" fillId="0" borderId="0" xfId="0" applyNumberFormat="1" applyFont="1" applyAlignment="1">
      <alignment vertical="center"/>
    </xf>
    <xf numFmtId="2" fontId="34" fillId="0" borderId="0" xfId="0" applyNumberFormat="1" applyFont="1" applyAlignment="1">
      <alignment horizontal="center" vertical="center"/>
    </xf>
    <xf numFmtId="44" fontId="34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justify" vertical="justify"/>
    </xf>
    <xf numFmtId="10" fontId="10" fillId="0" borderId="0" xfId="0" applyNumberFormat="1" applyFont="1"/>
    <xf numFmtId="0" fontId="10" fillId="0" borderId="0" xfId="0" applyFont="1" applyAlignment="1">
      <alignment vertical="center"/>
    </xf>
    <xf numFmtId="173" fontId="9" fillId="0" borderId="16" xfId="5" applyNumberFormat="1" applyFont="1" applyFill="1" applyBorder="1" applyAlignment="1">
      <alignment horizontal="center" vertical="center"/>
    </xf>
    <xf numFmtId="169" fontId="35" fillId="0" borderId="0" xfId="8" applyNumberFormat="1" applyFont="1" applyFill="1" applyBorder="1"/>
    <xf numFmtId="10" fontId="36" fillId="10" borderId="0" xfId="9" applyNumberFormat="1" applyFont="1" applyBorder="1"/>
    <xf numFmtId="168" fontId="37" fillId="0" borderId="16" xfId="0" applyNumberFormat="1" applyFont="1" applyBorder="1" applyAlignment="1">
      <alignment horizontal="center" vertical="center"/>
    </xf>
    <xf numFmtId="2" fontId="28" fillId="18" borderId="16" xfId="0" applyNumberFormat="1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/>
    </xf>
    <xf numFmtId="0" fontId="9" fillId="5" borderId="0" xfId="0" applyFont="1" applyFill="1"/>
    <xf numFmtId="0" fontId="9" fillId="5" borderId="8" xfId="0" applyFont="1" applyFill="1" applyBorder="1" applyAlignment="1">
      <alignment horizontal="center"/>
    </xf>
    <xf numFmtId="0" fontId="25" fillId="5" borderId="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72" fontId="9" fillId="0" borderId="0" xfId="0" applyNumberFormat="1" applyFont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164" fontId="28" fillId="0" borderId="0" xfId="5" applyFont="1" applyFill="1" applyAlignment="1">
      <alignment horizontal="center" vertical="center" wrapText="1"/>
    </xf>
    <xf numFmtId="164" fontId="28" fillId="0" borderId="0" xfId="5" applyFont="1" applyFill="1" applyAlignment="1">
      <alignment vertical="center" wrapText="1"/>
    </xf>
    <xf numFmtId="44" fontId="28" fillId="0" borderId="0" xfId="1" applyFont="1" applyFill="1" applyAlignment="1">
      <alignment horizontal="center" vertical="center" wrapText="1"/>
    </xf>
    <xf numFmtId="164" fontId="39" fillId="0" borderId="0" xfId="5" applyFont="1" applyFill="1" applyAlignment="1">
      <alignment horizontal="center" vertical="center" wrapText="1"/>
    </xf>
    <xf numFmtId="44" fontId="40" fillId="0" borderId="0" xfId="1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38" fillId="0" borderId="0" xfId="0" applyFont="1" applyAlignment="1">
      <alignment wrapText="1"/>
    </xf>
    <xf numFmtId="44" fontId="38" fillId="0" borderId="0" xfId="1" applyFont="1" applyAlignment="1">
      <alignment horizontal="left" wrapText="1"/>
    </xf>
    <xf numFmtId="0" fontId="41" fillId="0" borderId="0" xfId="0" applyFont="1" applyAlignment="1">
      <alignment horizontal="left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44" fontId="9" fillId="0" borderId="0" xfId="1" applyFont="1" applyAlignment="1">
      <alignment vertical="center" wrapText="1"/>
    </xf>
    <xf numFmtId="0" fontId="25" fillId="0" borderId="0" xfId="0" applyFont="1" applyAlignment="1">
      <alignment horizontal="left" vertical="center" wrapText="1"/>
    </xf>
    <xf numFmtId="44" fontId="9" fillId="0" borderId="0" xfId="1" applyFont="1" applyAlignment="1">
      <alignment horizontal="left" vertical="center" wrapText="1"/>
    </xf>
    <xf numFmtId="44" fontId="40" fillId="0" borderId="0" xfId="1" applyFont="1" applyBorder="1" applyAlignment="1">
      <alignment horizontal="center" vertical="center"/>
    </xf>
    <xf numFmtId="44" fontId="40" fillId="0" borderId="0" xfId="1" applyFont="1" applyBorder="1" applyAlignment="1">
      <alignment horizontal="center" vertical="center" wrapText="1"/>
    </xf>
    <xf numFmtId="44" fontId="40" fillId="0" borderId="0" xfId="1" applyFont="1" applyBorder="1" applyAlignment="1">
      <alignment horizontal="right" vertical="center" wrapText="1"/>
    </xf>
    <xf numFmtId="0" fontId="25" fillId="0" borderId="0" xfId="0" applyFont="1" applyAlignment="1">
      <alignment vertical="center" wrapText="1"/>
    </xf>
    <xf numFmtId="0" fontId="40" fillId="0" borderId="0" xfId="0" applyFont="1" applyAlignment="1">
      <alignment horizontal="center" vertical="center" wrapText="1"/>
    </xf>
    <xf numFmtId="44" fontId="40" fillId="0" borderId="16" xfId="1" applyFont="1" applyFill="1" applyBorder="1" applyAlignment="1">
      <alignment horizontal="center" vertical="center" wrapText="1"/>
    </xf>
    <xf numFmtId="44" fontId="40" fillId="0" borderId="32" xfId="1" applyFont="1" applyFill="1" applyBorder="1" applyAlignment="1">
      <alignment horizontal="center" vertical="center" wrapText="1"/>
    </xf>
    <xf numFmtId="44" fontId="40" fillId="0" borderId="29" xfId="1" applyFont="1" applyFill="1" applyBorder="1" applyAlignment="1">
      <alignment horizontal="center" vertical="center" wrapText="1"/>
    </xf>
    <xf numFmtId="44" fontId="9" fillId="0" borderId="0" xfId="1" applyFont="1" applyBorder="1" applyAlignment="1">
      <alignment horizontal="center" vertical="center" wrapText="1"/>
    </xf>
    <xf numFmtId="44" fontId="40" fillId="0" borderId="25" xfId="1" applyFont="1" applyFill="1" applyBorder="1" applyAlignment="1">
      <alignment horizontal="center" vertical="center" wrapText="1"/>
    </xf>
    <xf numFmtId="44" fontId="40" fillId="0" borderId="46" xfId="1" applyFont="1" applyFill="1" applyBorder="1" applyAlignment="1">
      <alignment horizontal="center" vertical="center" wrapText="1"/>
    </xf>
    <xf numFmtId="44" fontId="40" fillId="0" borderId="37" xfId="1" applyFont="1" applyFill="1" applyBorder="1" applyAlignment="1">
      <alignment horizontal="center" vertical="center" wrapText="1"/>
    </xf>
    <xf numFmtId="44" fontId="40" fillId="0" borderId="53" xfId="1" applyFont="1" applyFill="1" applyBorder="1" applyAlignment="1">
      <alignment horizontal="center" vertical="center" wrapText="1"/>
    </xf>
    <xf numFmtId="2" fontId="9" fillId="0" borderId="22" xfId="5" applyNumberFormat="1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15" borderId="0" xfId="0" applyFill="1"/>
    <xf numFmtId="2" fontId="9" fillId="15" borderId="22" xfId="0" applyNumberFormat="1" applyFont="1" applyFill="1" applyBorder="1" applyAlignment="1">
      <alignment horizontal="center" vertical="center"/>
    </xf>
    <xf numFmtId="169" fontId="0" fillId="15" borderId="0" xfId="0" applyNumberFormat="1" applyFill="1" applyAlignment="1">
      <alignment horizontal="center" vertical="center"/>
    </xf>
    <xf numFmtId="44" fontId="0" fillId="15" borderId="0" xfId="0" applyNumberFormat="1" applyFill="1"/>
    <xf numFmtId="2" fontId="0" fillId="15" borderId="0" xfId="0" applyNumberFormat="1" applyFill="1"/>
    <xf numFmtId="2" fontId="25" fillId="15" borderId="29" xfId="0" applyNumberFormat="1" applyFont="1" applyFill="1" applyBorder="1" applyAlignment="1">
      <alignment horizontal="center" vertical="top"/>
    </xf>
    <xf numFmtId="2" fontId="9" fillId="15" borderId="16" xfId="0" applyNumberFormat="1" applyFont="1" applyFill="1" applyBorder="1" applyAlignment="1">
      <alignment horizontal="center" vertical="center"/>
    </xf>
    <xf numFmtId="2" fontId="25" fillId="15" borderId="16" xfId="0" applyNumberFormat="1" applyFont="1" applyFill="1" applyBorder="1" applyAlignment="1">
      <alignment horizontal="center" vertical="center"/>
    </xf>
    <xf numFmtId="44" fontId="9" fillId="15" borderId="16" xfId="0" applyNumberFormat="1" applyFont="1" applyFill="1" applyBorder="1" applyAlignment="1">
      <alignment vertical="center"/>
    </xf>
    <xf numFmtId="0" fontId="0" fillId="15" borderId="0" xfId="0" applyFill="1" applyAlignment="1">
      <alignment horizontal="center" vertical="center"/>
    </xf>
    <xf numFmtId="0" fontId="9" fillId="15" borderId="29" xfId="0" applyFont="1" applyFill="1" applyBorder="1" applyAlignment="1">
      <alignment horizontal="center" vertical="top"/>
    </xf>
    <xf numFmtId="169" fontId="9" fillId="15" borderId="16" xfId="0" applyNumberFormat="1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45" xfId="0" applyFont="1" applyBorder="1" applyAlignment="1">
      <alignment horizontal="left" vertical="center"/>
    </xf>
    <xf numFmtId="0" fontId="9" fillId="0" borderId="45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2" fontId="25" fillId="8" borderId="16" xfId="3" applyNumberFormat="1" applyFont="1" applyFill="1" applyBorder="1" applyAlignment="1">
      <alignment horizontal="center" vertical="center"/>
    </xf>
    <xf numFmtId="44" fontId="41" fillId="0" borderId="0" xfId="1" applyFont="1" applyAlignment="1">
      <alignment horizontal="right" vertical="center" wrapText="1"/>
    </xf>
    <xf numFmtId="44" fontId="9" fillId="0" borderId="32" xfId="1" applyFont="1" applyFill="1" applyBorder="1" applyAlignment="1">
      <alignment horizontal="center" vertical="center" wrapText="1"/>
    </xf>
    <xf numFmtId="44" fontId="9" fillId="0" borderId="53" xfId="1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justify" indent="1"/>
    </xf>
    <xf numFmtId="0" fontId="9" fillId="0" borderId="16" xfId="0" applyFont="1" applyBorder="1" applyAlignment="1">
      <alignment horizontal="left" vertical="top" indent="1"/>
    </xf>
    <xf numFmtId="0" fontId="25" fillId="0" borderId="16" xfId="0" applyFont="1" applyBorder="1" applyAlignment="1">
      <alignment horizontal="left" vertical="justify"/>
    </xf>
    <xf numFmtId="0" fontId="25" fillId="15" borderId="16" xfId="0" applyFont="1" applyFill="1" applyBorder="1" applyAlignment="1">
      <alignment horizontal="left" vertical="justify" indent="1"/>
    </xf>
    <xf numFmtId="169" fontId="26" fillId="17" borderId="21" xfId="0" applyNumberFormat="1" applyFont="1" applyFill="1" applyBorder="1" applyAlignment="1">
      <alignment horizontal="center" vertical="center"/>
    </xf>
    <xf numFmtId="169" fontId="9" fillId="15" borderId="34" xfId="0" applyNumberFormat="1" applyFont="1" applyFill="1" applyBorder="1" applyAlignment="1">
      <alignment vertical="center"/>
    </xf>
    <xf numFmtId="169" fontId="9" fillId="0" borderId="32" xfId="0" applyNumberFormat="1" applyFont="1" applyBorder="1" applyAlignment="1">
      <alignment vertical="center"/>
    </xf>
    <xf numFmtId="169" fontId="9" fillId="15" borderId="32" xfId="0" applyNumberFormat="1" applyFont="1" applyFill="1" applyBorder="1" applyAlignment="1">
      <alignment vertical="center"/>
    </xf>
    <xf numFmtId="169" fontId="25" fillId="0" borderId="21" xfId="0" applyNumberFormat="1" applyFont="1" applyBorder="1"/>
    <xf numFmtId="174" fontId="0" fillId="0" borderId="0" xfId="0" applyNumberFormat="1" applyAlignment="1">
      <alignment horizontal="center" vertical="center"/>
    </xf>
    <xf numFmtId="44" fontId="25" fillId="8" borderId="16" xfId="3" applyNumberFormat="1" applyFont="1" applyFill="1" applyBorder="1" applyAlignment="1">
      <alignment horizontal="center" vertical="center"/>
    </xf>
    <xf numFmtId="44" fontId="25" fillId="0" borderId="18" xfId="0" applyNumberFormat="1" applyFont="1" applyBorder="1" applyAlignment="1">
      <alignment horizontal="center"/>
    </xf>
    <xf numFmtId="44" fontId="9" fillId="0" borderId="8" xfId="0" applyNumberFormat="1" applyFont="1" applyBorder="1" applyAlignment="1">
      <alignment vertical="center"/>
    </xf>
    <xf numFmtId="44" fontId="25" fillId="0" borderId="0" xfId="0" applyNumberFormat="1" applyFont="1"/>
    <xf numFmtId="44" fontId="30" fillId="0" borderId="0" xfId="0" applyNumberFormat="1" applyFont="1" applyAlignment="1">
      <alignment vertical="center"/>
    </xf>
    <xf numFmtId="44" fontId="9" fillId="0" borderId="0" xfId="0" applyNumberFormat="1" applyFont="1" applyAlignment="1">
      <alignment vertical="center"/>
    </xf>
    <xf numFmtId="0" fontId="44" fillId="0" borderId="0" xfId="0" applyFont="1" applyAlignment="1">
      <alignment horizontal="justify" vertical="center"/>
    </xf>
    <xf numFmtId="0" fontId="44" fillId="0" borderId="0" xfId="0" applyFont="1" applyAlignment="1">
      <alignment horizontal="center" vertical="center"/>
    </xf>
    <xf numFmtId="44" fontId="45" fillId="0" borderId="0" xfId="0" applyNumberFormat="1" applyFont="1" applyAlignment="1">
      <alignment vertical="center"/>
    </xf>
    <xf numFmtId="2" fontId="45" fillId="0" borderId="0" xfId="0" applyNumberFormat="1" applyFont="1" applyAlignment="1">
      <alignment horizontal="center" vertical="center"/>
    </xf>
    <xf numFmtId="44" fontId="45" fillId="0" borderId="0" xfId="0" applyNumberFormat="1" applyFont="1" applyAlignment="1">
      <alignment horizontal="center" vertical="center"/>
    </xf>
    <xf numFmtId="0" fontId="44" fillId="0" borderId="0" xfId="0" applyFont="1" applyAlignment="1">
      <alignment horizontal="justify" vertical="justify"/>
    </xf>
    <xf numFmtId="172" fontId="9" fillId="0" borderId="0" xfId="1" applyNumberFormat="1" applyFont="1" applyFill="1"/>
    <xf numFmtId="44" fontId="25" fillId="0" borderId="8" xfId="0" applyNumberFormat="1" applyFont="1" applyBorder="1" applyAlignment="1">
      <alignment horizontal="center"/>
    </xf>
    <xf numFmtId="169" fontId="0" fillId="0" borderId="0" xfId="0" applyNumberFormat="1"/>
    <xf numFmtId="44" fontId="0" fillId="0" borderId="0" xfId="1" applyFont="1"/>
    <xf numFmtId="44" fontId="40" fillId="0" borderId="56" xfId="1" applyFont="1" applyFill="1" applyBorder="1" applyAlignment="1">
      <alignment horizontal="center" vertical="center" wrapText="1"/>
    </xf>
    <xf numFmtId="44" fontId="40" fillId="0" borderId="27" xfId="1" applyFont="1" applyFill="1" applyBorder="1" applyAlignment="1">
      <alignment horizontal="center" vertical="center" wrapText="1"/>
    </xf>
    <xf numFmtId="0" fontId="9" fillId="19" borderId="33" xfId="0" applyFont="1" applyFill="1" applyBorder="1" applyAlignment="1">
      <alignment horizontal="center" vertical="center" wrapText="1"/>
    </xf>
    <xf numFmtId="0" fontId="25" fillId="19" borderId="22" xfId="0" applyFont="1" applyFill="1" applyBorder="1" applyAlignment="1">
      <alignment vertical="center"/>
    </xf>
    <xf numFmtId="44" fontId="25" fillId="19" borderId="34" xfId="1" applyFont="1" applyFill="1" applyBorder="1" applyAlignment="1">
      <alignment horizontal="left" vertical="justify" indent="1"/>
    </xf>
    <xf numFmtId="44" fontId="40" fillId="19" borderId="42" xfId="1" applyFont="1" applyFill="1" applyBorder="1" applyAlignment="1">
      <alignment horizontal="center" vertical="center" wrapText="1"/>
    </xf>
    <xf numFmtId="44" fontId="40" fillId="19" borderId="22" xfId="1" applyFont="1" applyFill="1" applyBorder="1" applyAlignment="1">
      <alignment horizontal="center" vertical="center" wrapText="1"/>
    </xf>
    <xf numFmtId="44" fontId="40" fillId="19" borderId="34" xfId="1" applyFont="1" applyFill="1" applyBorder="1" applyAlignment="1">
      <alignment horizontal="center" vertical="center" wrapText="1"/>
    </xf>
    <xf numFmtId="44" fontId="40" fillId="19" borderId="33" xfId="1" applyFont="1" applyFill="1" applyBorder="1" applyAlignment="1">
      <alignment horizontal="center" vertical="center" wrapText="1"/>
    </xf>
    <xf numFmtId="44" fontId="40" fillId="19" borderId="55" xfId="1" applyFont="1" applyFill="1" applyBorder="1" applyAlignment="1">
      <alignment horizontal="center" vertical="center" wrapText="1"/>
    </xf>
    <xf numFmtId="44" fontId="40" fillId="19" borderId="48" xfId="1" applyFont="1" applyFill="1" applyBorder="1" applyAlignment="1">
      <alignment horizontal="center" vertical="center" wrapText="1"/>
    </xf>
    <xf numFmtId="44" fontId="40" fillId="19" borderId="36" xfId="1" applyFont="1" applyFill="1" applyBorder="1" applyAlignment="1">
      <alignment horizontal="center" vertical="center" wrapText="1"/>
    </xf>
    <xf numFmtId="44" fontId="40" fillId="19" borderId="23" xfId="1" applyFont="1" applyFill="1" applyBorder="1" applyAlignment="1">
      <alignment horizontal="center" vertical="center" wrapText="1"/>
    </xf>
    <xf numFmtId="44" fontId="40" fillId="19" borderId="54" xfId="1" applyFont="1" applyFill="1" applyBorder="1" applyAlignment="1">
      <alignment horizontal="center" vertical="center" wrapText="1"/>
    </xf>
    <xf numFmtId="44" fontId="9" fillId="19" borderId="50" xfId="1" applyFont="1" applyFill="1" applyBorder="1" applyAlignment="1">
      <alignment vertical="center" wrapText="1"/>
    </xf>
    <xf numFmtId="2" fontId="9" fillId="19" borderId="29" xfId="0" applyNumberFormat="1" applyFont="1" applyFill="1" applyBorder="1" applyAlignment="1">
      <alignment horizontal="center" vertical="center" wrapText="1"/>
    </xf>
    <xf numFmtId="0" fontId="25" fillId="19" borderId="16" xfId="0" applyFont="1" applyFill="1" applyBorder="1" applyAlignment="1">
      <alignment vertical="center"/>
    </xf>
    <xf numFmtId="44" fontId="9" fillId="19" borderId="32" xfId="1" applyFont="1" applyFill="1" applyBorder="1" applyAlignment="1">
      <alignment vertical="center" wrapText="1"/>
    </xf>
    <xf numFmtId="44" fontId="40" fillId="19" borderId="26" xfId="1" applyFont="1" applyFill="1" applyBorder="1" applyAlignment="1">
      <alignment horizontal="center" vertical="center" wrapText="1"/>
    </xf>
    <xf numFmtId="44" fontId="43" fillId="19" borderId="16" xfId="1" applyFont="1" applyFill="1" applyBorder="1" applyAlignment="1">
      <alignment horizontal="center" vertical="center" wrapText="1"/>
    </xf>
    <xf numFmtId="44" fontId="40" fillId="19" borderId="16" xfId="1" applyFont="1" applyFill="1" applyBorder="1" applyAlignment="1">
      <alignment horizontal="center" vertical="center" wrapText="1"/>
    </xf>
    <xf numFmtId="44" fontId="40" fillId="19" borderId="32" xfId="1" applyFont="1" applyFill="1" applyBorder="1" applyAlignment="1">
      <alignment horizontal="center" vertical="center" wrapText="1"/>
    </xf>
    <xf numFmtId="44" fontId="40" fillId="19" borderId="29" xfId="1" applyFont="1" applyFill="1" applyBorder="1" applyAlignment="1">
      <alignment horizontal="center" vertical="center" wrapText="1"/>
    </xf>
    <xf numFmtId="44" fontId="40" fillId="19" borderId="25" xfId="1" applyFont="1" applyFill="1" applyBorder="1" applyAlignment="1">
      <alignment horizontal="center" vertical="center" wrapText="1"/>
    </xf>
    <xf numFmtId="44" fontId="9" fillId="19" borderId="51" xfId="1" applyFont="1" applyFill="1" applyBorder="1" applyAlignment="1">
      <alignment vertical="center" wrapText="1"/>
    </xf>
    <xf numFmtId="44" fontId="0" fillId="19" borderId="0" xfId="1" applyFont="1" applyFill="1"/>
    <xf numFmtId="0" fontId="0" fillId="19" borderId="0" xfId="0" applyFill="1" applyAlignment="1">
      <alignment wrapText="1"/>
    </xf>
    <xf numFmtId="44" fontId="9" fillId="0" borderId="0" xfId="0" applyNumberFormat="1" applyFont="1" applyAlignment="1">
      <alignment vertical="center" wrapText="1"/>
    </xf>
    <xf numFmtId="0" fontId="9" fillId="19" borderId="48" xfId="0" applyFont="1" applyFill="1" applyBorder="1" applyAlignment="1">
      <alignment horizontal="center" vertical="center" wrapText="1"/>
    </xf>
    <xf numFmtId="0" fontId="25" fillId="19" borderId="36" xfId="0" applyFont="1" applyFill="1" applyBorder="1" applyAlignment="1">
      <alignment vertical="center"/>
    </xf>
    <xf numFmtId="44" fontId="25" fillId="19" borderId="54" xfId="1" applyFont="1" applyFill="1" applyBorder="1" applyAlignment="1">
      <alignment horizontal="left" vertical="justify" indent="1"/>
    </xf>
    <xf numFmtId="44" fontId="40" fillId="19" borderId="24" xfId="1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wrapText="1"/>
    </xf>
    <xf numFmtId="0" fontId="38" fillId="0" borderId="0" xfId="0" applyFont="1" applyAlignment="1">
      <alignment horizontal="left" wrapText="1"/>
    </xf>
    <xf numFmtId="0" fontId="0" fillId="0" borderId="0" xfId="0" applyAlignment="1">
      <alignment horizontal="center" vertical="center" wrapText="1"/>
    </xf>
    <xf numFmtId="44" fontId="1" fillId="0" borderId="0" xfId="1" applyFont="1" applyBorder="1" applyAlignment="1">
      <alignment horizontal="center" wrapText="1"/>
    </xf>
    <xf numFmtId="44" fontId="9" fillId="0" borderId="0" xfId="1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vertical="center" wrapText="1"/>
    </xf>
    <xf numFmtId="44" fontId="41" fillId="0" borderId="0" xfId="1" applyFont="1" applyBorder="1" applyAlignment="1">
      <alignment horizontal="right" vertical="center" wrapText="1"/>
    </xf>
    <xf numFmtId="14" fontId="9" fillId="0" borderId="0" xfId="0" applyNumberFormat="1" applyFont="1" applyAlignment="1">
      <alignment horizontal="center" vertical="center" wrapText="1"/>
    </xf>
    <xf numFmtId="165" fontId="25" fillId="0" borderId="0" xfId="5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5" fillId="17" borderId="19" xfId="0" applyFont="1" applyFill="1" applyBorder="1" applyAlignment="1">
      <alignment horizontal="center" vertical="center"/>
    </xf>
    <xf numFmtId="0" fontId="25" fillId="17" borderId="20" xfId="0" applyFont="1" applyFill="1" applyBorder="1" applyAlignment="1">
      <alignment horizontal="center" vertical="center"/>
    </xf>
    <xf numFmtId="0" fontId="25" fillId="16" borderId="1" xfId="4" applyFont="1" applyFill="1" applyBorder="1" applyAlignment="1">
      <alignment horizontal="center" vertical="center"/>
    </xf>
    <xf numFmtId="0" fontId="25" fillId="16" borderId="2" xfId="4" applyFont="1" applyFill="1" applyBorder="1" applyAlignment="1">
      <alignment horizontal="center" vertical="center"/>
    </xf>
    <xf numFmtId="0" fontId="25" fillId="16" borderId="3" xfId="4" applyFont="1" applyFill="1" applyBorder="1" applyAlignment="1">
      <alignment horizontal="center" vertical="center"/>
    </xf>
    <xf numFmtId="165" fontId="25" fillId="0" borderId="0" xfId="5" quotePrefix="1" applyNumberFormat="1" applyFont="1" applyFill="1" applyBorder="1" applyAlignment="1">
      <alignment horizontal="center" vertical="center" wrapText="1"/>
    </xf>
    <xf numFmtId="0" fontId="25" fillId="0" borderId="19" xfId="0" applyFont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6" fillId="8" borderId="1" xfId="2" applyFont="1" applyFill="1" applyBorder="1" applyAlignment="1">
      <alignment horizontal="center"/>
    </xf>
    <xf numFmtId="0" fontId="26" fillId="8" borderId="2" xfId="2" applyFont="1" applyFill="1" applyBorder="1" applyAlignment="1">
      <alignment horizontal="center"/>
    </xf>
    <xf numFmtId="0" fontId="26" fillId="8" borderId="3" xfId="2" applyFont="1" applyFill="1" applyBorder="1" applyAlignment="1">
      <alignment horizontal="center"/>
    </xf>
    <xf numFmtId="0" fontId="25" fillId="8" borderId="2" xfId="3" applyFont="1" applyFill="1" applyBorder="1" applyAlignment="1">
      <alignment horizontal="center"/>
    </xf>
    <xf numFmtId="0" fontId="25" fillId="8" borderId="3" xfId="3" applyFont="1" applyFill="1" applyBorder="1" applyAlignment="1">
      <alignment horizontal="center"/>
    </xf>
    <xf numFmtId="0" fontId="25" fillId="0" borderId="23" xfId="0" applyFont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16" xfId="0" applyFont="1" applyBorder="1" applyAlignment="1">
      <alignment horizontal="left" vertic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5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25" fillId="0" borderId="16" xfId="0" applyFont="1" applyBorder="1" applyAlignment="1">
      <alignment horizontal="center"/>
    </xf>
    <xf numFmtId="0" fontId="25" fillId="8" borderId="16" xfId="3" applyFont="1" applyFill="1" applyBorder="1" applyAlignment="1">
      <alignment horizontal="center" vertical="center"/>
    </xf>
    <xf numFmtId="0" fontId="25" fillId="0" borderId="31" xfId="0" applyFont="1" applyBorder="1" applyAlignment="1">
      <alignment horizontal="center"/>
    </xf>
    <xf numFmtId="0" fontId="25" fillId="0" borderId="30" xfId="0" applyFont="1" applyBorder="1" applyAlignment="1">
      <alignment horizontal="center"/>
    </xf>
    <xf numFmtId="0" fontId="9" fillId="0" borderId="45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0" fontId="9" fillId="0" borderId="4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16" xfId="0" applyFont="1" applyBorder="1" applyAlignment="1">
      <alignment horizontal="left"/>
    </xf>
    <xf numFmtId="0" fontId="9" fillId="0" borderId="16" xfId="0" applyFont="1" applyBorder="1" applyAlignment="1">
      <alignment horizontal="center"/>
    </xf>
    <xf numFmtId="2" fontId="25" fillId="8" borderId="16" xfId="3" applyNumberFormat="1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5" fillId="8" borderId="16" xfId="3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center" wrapText="1"/>
    </xf>
    <xf numFmtId="0" fontId="25" fillId="8" borderId="16" xfId="3" applyNumberFormat="1" applyFont="1" applyFill="1" applyBorder="1" applyAlignment="1">
      <alignment horizontal="center" vertical="center" wrapText="1"/>
    </xf>
    <xf numFmtId="0" fontId="37" fillId="0" borderId="45" xfId="0" applyFont="1" applyBorder="1" applyAlignment="1">
      <alignment horizontal="left" vertical="center" wrapText="1"/>
    </xf>
    <xf numFmtId="0" fontId="37" fillId="0" borderId="26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65" fontId="25" fillId="0" borderId="5" xfId="5" applyNumberFormat="1" applyFont="1" applyFill="1" applyBorder="1" applyAlignment="1">
      <alignment horizontal="center" vertical="center" wrapText="1"/>
    </xf>
    <xf numFmtId="165" fontId="25" fillId="0" borderId="6" xfId="5" applyNumberFormat="1" applyFont="1" applyFill="1" applyBorder="1" applyAlignment="1">
      <alignment horizontal="center" vertical="center" wrapText="1"/>
    </xf>
    <xf numFmtId="165" fontId="25" fillId="0" borderId="7" xfId="5" applyNumberFormat="1" applyFont="1" applyFill="1" applyBorder="1" applyAlignment="1">
      <alignment horizontal="center" vertical="center" wrapText="1"/>
    </xf>
    <xf numFmtId="165" fontId="25" fillId="0" borderId="10" xfId="5" applyNumberFormat="1" applyFont="1" applyFill="1" applyBorder="1" applyAlignment="1">
      <alignment horizontal="center" vertical="center" wrapText="1"/>
    </xf>
    <xf numFmtId="165" fontId="25" fillId="0" borderId="11" xfId="5" applyNumberFormat="1" applyFont="1" applyFill="1" applyBorder="1" applyAlignment="1">
      <alignment horizontal="center" vertical="center" wrapText="1"/>
    </xf>
    <xf numFmtId="14" fontId="25" fillId="0" borderId="4" xfId="0" applyNumberFormat="1" applyFont="1" applyBorder="1" applyAlignment="1">
      <alignment horizontal="center" vertical="center" wrapText="1"/>
    </xf>
    <xf numFmtId="14" fontId="25" fillId="0" borderId="9" xfId="0" applyNumberFormat="1" applyFont="1" applyBorder="1" applyAlignment="1">
      <alignment horizontal="center" vertical="center" wrapText="1"/>
    </xf>
    <xf numFmtId="14" fontId="25" fillId="0" borderId="12" xfId="0" applyNumberFormat="1" applyFont="1" applyBorder="1" applyAlignment="1">
      <alignment horizontal="center" vertical="center" wrapText="1"/>
    </xf>
    <xf numFmtId="165" fontId="25" fillId="0" borderId="13" xfId="5" applyNumberFormat="1" applyFont="1" applyFill="1" applyBorder="1" applyAlignment="1">
      <alignment horizontal="center" vertical="center" wrapText="1"/>
    </xf>
    <xf numFmtId="165" fontId="25" fillId="0" borderId="14" xfId="5" applyNumberFormat="1" applyFont="1" applyFill="1" applyBorder="1" applyAlignment="1">
      <alignment horizontal="center" vertical="center" wrapText="1"/>
    </xf>
    <xf numFmtId="165" fontId="25" fillId="0" borderId="15" xfId="5" applyNumberFormat="1" applyFont="1" applyFill="1" applyBorder="1" applyAlignment="1">
      <alignment horizontal="center" vertical="center" wrapText="1"/>
    </xf>
    <xf numFmtId="0" fontId="25" fillId="8" borderId="1" xfId="4" applyFont="1" applyFill="1" applyBorder="1" applyAlignment="1">
      <alignment horizontal="center" vertical="center"/>
    </xf>
    <xf numFmtId="0" fontId="25" fillId="8" borderId="2" xfId="4" applyFont="1" applyFill="1" applyBorder="1" applyAlignment="1">
      <alignment horizontal="center" vertical="center"/>
    </xf>
    <xf numFmtId="0" fontId="25" fillId="8" borderId="3" xfId="4" applyFont="1" applyFill="1" applyBorder="1" applyAlignment="1">
      <alignment horizontal="center" vertical="center"/>
    </xf>
    <xf numFmtId="0" fontId="28" fillId="5" borderId="25" xfId="0" applyFont="1" applyFill="1" applyBorder="1" applyAlignment="1">
      <alignment horizontal="left"/>
    </xf>
    <xf numFmtId="0" fontId="28" fillId="5" borderId="26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172" fontId="9" fillId="5" borderId="1" xfId="1" applyNumberFormat="1" applyFont="1" applyFill="1" applyBorder="1" applyAlignment="1">
      <alignment horizontal="center"/>
    </xf>
    <xf numFmtId="172" fontId="9" fillId="5" borderId="3" xfId="1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25" fillId="0" borderId="5" xfId="5" applyNumberFormat="1" applyFont="1" applyFill="1" applyBorder="1" applyAlignment="1">
      <alignment horizontal="center" vertical="center" wrapText="1"/>
    </xf>
    <xf numFmtId="0" fontId="25" fillId="0" borderId="6" xfId="5" applyNumberFormat="1" applyFont="1" applyFill="1" applyBorder="1" applyAlignment="1">
      <alignment horizontal="center" vertical="center" wrapText="1"/>
    </xf>
    <xf numFmtId="0" fontId="25" fillId="0" borderId="7" xfId="5" applyNumberFormat="1" applyFont="1" applyFill="1" applyBorder="1" applyAlignment="1">
      <alignment horizontal="center" vertical="center" wrapText="1"/>
    </xf>
    <xf numFmtId="0" fontId="25" fillId="0" borderId="10" xfId="5" applyNumberFormat="1" applyFont="1" applyFill="1" applyBorder="1" applyAlignment="1">
      <alignment horizontal="center" vertical="center" wrapText="1"/>
    </xf>
    <xf numFmtId="0" fontId="25" fillId="0" borderId="0" xfId="5" applyNumberFormat="1" applyFont="1" applyFill="1" applyBorder="1" applyAlignment="1">
      <alignment horizontal="center" vertical="center" wrapText="1"/>
    </xf>
    <xf numFmtId="0" fontId="25" fillId="0" borderId="11" xfId="5" applyNumberFormat="1" applyFont="1" applyFill="1" applyBorder="1" applyAlignment="1">
      <alignment horizontal="center" vertical="center" wrapText="1"/>
    </xf>
    <xf numFmtId="14" fontId="25" fillId="5" borderId="7" xfId="0" applyNumberFormat="1" applyFont="1" applyFill="1" applyBorder="1" applyAlignment="1">
      <alignment horizontal="center" vertical="center" wrapText="1"/>
    </xf>
    <xf numFmtId="14" fontId="25" fillId="5" borderId="11" xfId="0" applyNumberFormat="1" applyFont="1" applyFill="1" applyBorder="1" applyAlignment="1">
      <alignment horizontal="center" vertical="center" wrapText="1"/>
    </xf>
    <xf numFmtId="0" fontId="25" fillId="5" borderId="15" xfId="0" applyFont="1" applyFill="1" applyBorder="1" applyAlignment="1">
      <alignment horizontal="center" vertical="center" wrapText="1"/>
    </xf>
    <xf numFmtId="0" fontId="25" fillId="0" borderId="13" xfId="5" applyNumberFormat="1" applyFont="1" applyFill="1" applyBorder="1" applyAlignment="1">
      <alignment horizontal="center" vertical="center" wrapText="1"/>
    </xf>
    <xf numFmtId="0" fontId="25" fillId="0" borderId="14" xfId="5" applyNumberFormat="1" applyFont="1" applyFill="1" applyBorder="1" applyAlignment="1">
      <alignment horizontal="center" vertical="center" wrapText="1"/>
    </xf>
    <xf numFmtId="0" fontId="25" fillId="0" borderId="15" xfId="5" applyNumberFormat="1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/>
    </xf>
    <xf numFmtId="0" fontId="25" fillId="8" borderId="6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8" borderId="13" xfId="0" applyFont="1" applyFill="1" applyBorder="1" applyAlignment="1">
      <alignment horizontal="center" vertical="center"/>
    </xf>
    <xf numFmtId="0" fontId="25" fillId="8" borderId="14" xfId="0" applyFont="1" applyFill="1" applyBorder="1" applyAlignment="1">
      <alignment horizontal="center" vertical="center"/>
    </xf>
    <xf numFmtId="0" fontId="25" fillId="8" borderId="15" xfId="0" applyFont="1" applyFill="1" applyBorder="1" applyAlignment="1">
      <alignment horizontal="center" vertical="center"/>
    </xf>
    <xf numFmtId="172" fontId="9" fillId="8" borderId="1" xfId="1" applyNumberFormat="1" applyFont="1" applyFill="1" applyBorder="1" applyAlignment="1">
      <alignment horizontal="center"/>
    </xf>
    <xf numFmtId="172" fontId="9" fillId="8" borderId="3" xfId="1" applyNumberFormat="1" applyFont="1" applyFill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44" fontId="9" fillId="0" borderId="38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2" fontId="9" fillId="0" borderId="14" xfId="0" applyNumberFormat="1" applyFont="1" applyBorder="1" applyAlignment="1">
      <alignment horizontal="center" vertical="center"/>
    </xf>
    <xf numFmtId="44" fontId="9" fillId="0" borderId="14" xfId="0" applyNumberFormat="1" applyFont="1" applyBorder="1" applyAlignment="1">
      <alignment horizontal="center" vertical="center"/>
    </xf>
    <xf numFmtId="0" fontId="25" fillId="8" borderId="5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8" borderId="7" xfId="0" applyFont="1" applyFill="1" applyBorder="1" applyAlignment="1">
      <alignment horizontal="center"/>
    </xf>
    <xf numFmtId="172" fontId="9" fillId="8" borderId="5" xfId="0" applyNumberFormat="1" applyFont="1" applyFill="1" applyBorder="1" applyAlignment="1">
      <alignment horizontal="center" vertical="center"/>
    </xf>
    <xf numFmtId="172" fontId="9" fillId="8" borderId="7" xfId="0" applyNumberFormat="1" applyFont="1" applyFill="1" applyBorder="1" applyAlignment="1">
      <alignment horizontal="center" vertical="center"/>
    </xf>
    <xf numFmtId="172" fontId="9" fillId="8" borderId="13" xfId="0" applyNumberFormat="1" applyFont="1" applyFill="1" applyBorder="1" applyAlignment="1">
      <alignment horizontal="center" vertical="center"/>
    </xf>
    <xf numFmtId="172" fontId="9" fillId="8" borderId="15" xfId="0" applyNumberFormat="1" applyFont="1" applyFill="1" applyBorder="1" applyAlignment="1">
      <alignment horizontal="center" vertical="center"/>
    </xf>
    <xf numFmtId="0" fontId="25" fillId="8" borderId="13" xfId="0" applyFont="1" applyFill="1" applyBorder="1" applyAlignment="1">
      <alignment horizontal="center"/>
    </xf>
    <xf numFmtId="0" fontId="25" fillId="8" borderId="14" xfId="0" applyFont="1" applyFill="1" applyBorder="1" applyAlignment="1">
      <alignment horizontal="center"/>
    </xf>
    <xf numFmtId="0" fontId="25" fillId="8" borderId="15" xfId="0" applyFont="1" applyFill="1" applyBorder="1" applyAlignment="1">
      <alignment horizontal="center"/>
    </xf>
    <xf numFmtId="44" fontId="1" fillId="0" borderId="35" xfId="1" applyFont="1" applyBorder="1" applyAlignment="1">
      <alignment horizontal="center" wrapText="1"/>
    </xf>
    <xf numFmtId="44" fontId="25" fillId="0" borderId="0" xfId="1" applyFont="1" applyAlignment="1">
      <alignment horizontal="center" wrapText="1"/>
    </xf>
    <xf numFmtId="0" fontId="0" fillId="0" borderId="35" xfId="0" applyBorder="1" applyAlignment="1">
      <alignment horizontal="center" vertical="center" wrapText="1"/>
    </xf>
    <xf numFmtId="10" fontId="40" fillId="16" borderId="25" xfId="7" applyNumberFormat="1" applyFont="1" applyFill="1" applyBorder="1" applyAlignment="1">
      <alignment horizontal="center" vertical="center" wrapText="1"/>
    </xf>
    <xf numFmtId="10" fontId="40" fillId="16" borderId="51" xfId="7" applyNumberFormat="1" applyFont="1" applyFill="1" applyBorder="1" applyAlignment="1">
      <alignment horizontal="center" vertical="center" wrapText="1"/>
    </xf>
    <xf numFmtId="44" fontId="40" fillId="0" borderId="25" xfId="11" applyFont="1" applyFill="1" applyBorder="1">
      <alignment horizontal="center" vertical="center" wrapText="1"/>
    </xf>
    <xf numFmtId="44" fontId="40" fillId="0" borderId="51" xfId="11" applyFont="1" applyFill="1" applyBorder="1">
      <alignment horizontal="center" vertical="center" wrapText="1"/>
    </xf>
    <xf numFmtId="10" fontId="40" fillId="16" borderId="56" xfId="7" applyNumberFormat="1" applyFont="1" applyFill="1" applyBorder="1" applyAlignment="1">
      <alignment horizontal="center" vertical="center" wrapText="1"/>
    </xf>
    <xf numFmtId="10" fontId="40" fillId="16" borderId="26" xfId="7" applyNumberFormat="1" applyFont="1" applyFill="1" applyBorder="1" applyAlignment="1">
      <alignment horizontal="center" vertical="center" wrapText="1"/>
    </xf>
    <xf numFmtId="44" fontId="40" fillId="0" borderId="56" xfId="11" applyFont="1" applyFill="1" applyBorder="1">
      <alignment horizontal="center" vertical="center" wrapText="1"/>
    </xf>
    <xf numFmtId="44" fontId="40" fillId="0" borderId="26" xfId="11" applyFont="1" applyFill="1" applyBorder="1">
      <alignment horizontal="center" vertical="center" wrapText="1"/>
    </xf>
    <xf numFmtId="44" fontId="42" fillId="8" borderId="1" xfId="1" applyFont="1" applyFill="1" applyBorder="1" applyAlignment="1">
      <alignment horizontal="center" vertical="center"/>
    </xf>
    <xf numFmtId="44" fontId="42" fillId="8" borderId="2" xfId="1" applyFont="1" applyFill="1" applyBorder="1" applyAlignment="1">
      <alignment horizontal="center" vertical="center"/>
    </xf>
    <xf numFmtId="1" fontId="41" fillId="8" borderId="1" xfId="1" applyNumberFormat="1" applyFont="1" applyFill="1" applyBorder="1" applyAlignment="1">
      <alignment horizontal="center" vertical="center" wrapText="1"/>
    </xf>
    <xf numFmtId="1" fontId="41" fillId="8" borderId="2" xfId="1" applyNumberFormat="1" applyFont="1" applyFill="1" applyBorder="1" applyAlignment="1">
      <alignment horizontal="center" vertical="center" wrapText="1"/>
    </xf>
    <xf numFmtId="1" fontId="41" fillId="8" borderId="3" xfId="1" applyNumberFormat="1" applyFont="1" applyFill="1" applyBorder="1" applyAlignment="1">
      <alignment horizontal="center" vertical="center" wrapText="1"/>
    </xf>
    <xf numFmtId="49" fontId="9" fillId="0" borderId="59" xfId="0" applyNumberFormat="1" applyFont="1" applyBorder="1" applyAlignment="1">
      <alignment horizontal="center" vertical="center" wrapText="1"/>
    </xf>
    <xf numFmtId="49" fontId="9" fillId="0" borderId="60" xfId="0" applyNumberFormat="1" applyFont="1" applyBorder="1" applyAlignment="1">
      <alignment horizontal="center" vertical="center" wrapText="1"/>
    </xf>
    <xf numFmtId="2" fontId="9" fillId="0" borderId="18" xfId="0" applyNumberFormat="1" applyFont="1" applyBorder="1" applyAlignment="1">
      <alignment vertical="center" wrapText="1"/>
    </xf>
    <xf numFmtId="2" fontId="9" fillId="0" borderId="58" xfId="0" applyNumberFormat="1" applyFont="1" applyBorder="1" applyAlignment="1">
      <alignment vertical="center" wrapText="1"/>
    </xf>
    <xf numFmtId="44" fontId="9" fillId="0" borderId="57" xfId="1" applyFont="1" applyFill="1" applyBorder="1" applyAlignment="1">
      <alignment horizontal="center" vertical="center" wrapText="1"/>
    </xf>
    <xf numFmtId="44" fontId="9" fillId="0" borderId="12" xfId="1" applyFont="1" applyFill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2" fontId="9" fillId="0" borderId="22" xfId="0" applyNumberFormat="1" applyFont="1" applyBorder="1" applyAlignment="1">
      <alignment vertical="center" wrapText="1"/>
    </xf>
    <xf numFmtId="44" fontId="9" fillId="0" borderId="61" xfId="1" applyFont="1" applyFill="1" applyBorder="1" applyAlignment="1">
      <alignment horizontal="center" vertical="center" wrapText="1"/>
    </xf>
    <xf numFmtId="10" fontId="40" fillId="0" borderId="25" xfId="7" applyNumberFormat="1" applyFont="1" applyFill="1" applyBorder="1" applyAlignment="1">
      <alignment horizontal="center" vertical="center" wrapText="1"/>
    </xf>
    <xf numFmtId="10" fontId="40" fillId="0" borderId="51" xfId="7" applyNumberFormat="1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 wrapText="1"/>
    </xf>
    <xf numFmtId="14" fontId="0" fillId="0" borderId="35" xfId="0" applyNumberFormat="1" applyBorder="1" applyAlignment="1">
      <alignment horizontal="center" vertical="center" wrapText="1"/>
    </xf>
    <xf numFmtId="0" fontId="26" fillId="8" borderId="63" xfId="0" applyFont="1" applyFill="1" applyBorder="1" applyAlignment="1">
      <alignment horizontal="center" vertical="center"/>
    </xf>
    <xf numFmtId="0" fontId="26" fillId="8" borderId="60" xfId="0" applyFont="1" applyFill="1" applyBorder="1" applyAlignment="1">
      <alignment horizontal="center" vertical="center"/>
    </xf>
    <xf numFmtId="0" fontId="25" fillId="8" borderId="4" xfId="0" applyFont="1" applyFill="1" applyBorder="1" applyAlignment="1">
      <alignment horizontal="center" vertical="center" wrapText="1"/>
    </xf>
    <xf numFmtId="0" fontId="25" fillId="8" borderId="12" xfId="0" applyFont="1" applyFill="1" applyBorder="1" applyAlignment="1">
      <alignment horizontal="center" vertical="center" wrapText="1"/>
    </xf>
    <xf numFmtId="44" fontId="26" fillId="8" borderId="52" xfId="1" applyFont="1" applyFill="1" applyBorder="1" applyAlignment="1">
      <alignment horizontal="center" vertical="center" wrapText="1"/>
    </xf>
    <xf numFmtId="44" fontId="26" fillId="8" borderId="62" xfId="1" applyFont="1" applyFill="1" applyBorder="1" applyAlignment="1">
      <alignment horizontal="center" vertical="center" wrapText="1"/>
    </xf>
    <xf numFmtId="0" fontId="26" fillId="8" borderId="49" xfId="0" applyFont="1" applyFill="1" applyBorder="1" applyAlignment="1">
      <alignment vertical="center"/>
    </xf>
    <xf numFmtId="0" fontId="26" fillId="8" borderId="58" xfId="0" applyFont="1" applyFill="1" applyBorder="1" applyAlignment="1">
      <alignment vertical="center"/>
    </xf>
    <xf numFmtId="44" fontId="40" fillId="0" borderId="0" xfId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38" fillId="0" borderId="0" xfId="0" applyFont="1" applyAlignment="1">
      <alignment horizontal="left" wrapText="1"/>
    </xf>
    <xf numFmtId="44" fontId="25" fillId="0" borderId="0" xfId="1" applyFont="1" applyAlignment="1">
      <alignment horizontal="left" wrapText="1"/>
    </xf>
    <xf numFmtId="44" fontId="25" fillId="0" borderId="0" xfId="1" applyFont="1" applyAlignment="1">
      <alignment horizontal="left" vertical="center" wrapText="1"/>
    </xf>
  </cellXfs>
  <cellStyles count="12">
    <cellStyle name="20% - Énfasis5" xfId="3" builtinId="46"/>
    <cellStyle name="40% - Énfasis5" xfId="4" builtinId="47"/>
    <cellStyle name="60% - Énfasis1" xfId="2" builtinId="32"/>
    <cellStyle name="Celda de comprobación" xfId="10" builtinId="23"/>
    <cellStyle name="Degradación" xfId="11" xr:uid="{00000000-0005-0000-0000-000004000000}"/>
    <cellStyle name="Entrada" xfId="8" builtinId="20"/>
    <cellStyle name="Millares 2" xfId="5" xr:uid="{00000000-0005-0000-0000-000006000000}"/>
    <cellStyle name="Moneda" xfId="1" builtinId="4"/>
    <cellStyle name="Normal" xfId="0" builtinId="0"/>
    <cellStyle name="Normal 2" xfId="6" xr:uid="{00000000-0005-0000-0000-000009000000}"/>
    <cellStyle name="Porcentaje" xfId="7" builtinId="5"/>
    <cellStyle name="Salida" xfId="9" builtinId="21"/>
  </cellStyles>
  <dxfs count="19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-&quot;Q&quot;* #,##0.00_-;\-&quot;Q&quot;* #,##0.00_-;_-&quot;Q&quot;* &quot;-&quot;??_-;_-@_-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2" formatCode="0.00"/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34" formatCode="_-&quot;Q&quot;* #,##0.00_-;\-&quot;Q&quot;* #,##0.00_-;_-&quot;Q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justify" vertical="justify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34" formatCode="_-&quot;Q&quot;* #,##0.00_-;\-&quot;Q&quot;* #,##0.00_-;_-&quot;Q&quot;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numFmt numFmtId="34" formatCode="_-&quot;Q&quot;* #,##0.00_-;\-&quot;Q&quot;* #,##0.00_-;_-&quot;Q&quot;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justify" vertical="justify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34" formatCode="_-&quot;Q&quot;* #,##0.00_-;\-&quot;Q&quot;* #,##0.00_-;_-&quot;Q&quot;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34" formatCode="_-&quot;Q&quot;* #,##0.00_-;\-&quot;Q&quot;* #,##0.00_-;_-&quot;Q&quot;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justify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2257425</xdr:colOff>
      <xdr:row>170</xdr:row>
      <xdr:rowOff>57150</xdr:rowOff>
    </xdr:from>
    <xdr:to>
      <xdr:col>4</xdr:col>
      <xdr:colOff>599515</xdr:colOff>
      <xdr:row>174</xdr:row>
      <xdr:rowOff>187139</xdr:rowOff>
    </xdr:to>
    <xdr:sp macro="" textlink="">
      <xdr:nvSpPr>
        <xdr:cNvPr id="3" name="4 CuadroText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52850" y="30527625"/>
          <a:ext cx="3095065" cy="9300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GT" sz="1400" b="1">
              <a:solidFill>
                <a:schemeClr val="dk1"/>
              </a:solidFill>
              <a:effectLst/>
              <a:latin typeface="+mn-lt"/>
              <a:ea typeface="Ebrima" panose="02000000000000000000" pitchFamily="2" charset="0"/>
              <a:cs typeface="Ebrima" panose="02000000000000000000" pitchFamily="2" charset="0"/>
            </a:rPr>
            <a:t>GERARDO GALDAMEZ</a:t>
          </a:r>
        </a:p>
        <a:p>
          <a:pPr algn="ctr"/>
          <a:r>
            <a:rPr lang="es-GT" sz="1400" b="1">
              <a:solidFill>
                <a:schemeClr val="dk1"/>
              </a:solidFill>
              <a:effectLst/>
              <a:latin typeface="+mn-lt"/>
              <a:ea typeface="Ebrima" panose="02000000000000000000" pitchFamily="2" charset="0"/>
              <a:cs typeface="Ebrima" panose="02000000000000000000" pitchFamily="2" charset="0"/>
            </a:rPr>
            <a:t>REPRESENTANTE</a:t>
          </a:r>
          <a:r>
            <a:rPr lang="es-GT" sz="1400" b="1" baseline="0">
              <a:solidFill>
                <a:schemeClr val="dk1"/>
              </a:solidFill>
              <a:effectLst/>
              <a:latin typeface="+mn-lt"/>
              <a:ea typeface="Ebrima" panose="02000000000000000000" pitchFamily="2" charset="0"/>
              <a:cs typeface="Ebrima" panose="02000000000000000000" pitchFamily="2" charset="0"/>
            </a:rPr>
            <a:t> LEGAL</a:t>
          </a:r>
          <a:endParaRPr lang="es-GT" sz="1400" b="1">
            <a:solidFill>
              <a:schemeClr val="dk1"/>
            </a:solidFill>
            <a:effectLst/>
            <a:latin typeface="+mn-lt"/>
            <a:ea typeface="Ebrima" panose="02000000000000000000" pitchFamily="2" charset="0"/>
            <a:cs typeface="Ebrima" panose="02000000000000000000" pitchFamily="2" charset="0"/>
          </a:endParaRPr>
        </a:p>
        <a:p>
          <a:pPr algn="ctr"/>
          <a:r>
            <a:rPr lang="es-GT" sz="1400" b="1">
              <a:solidFill>
                <a:schemeClr val="dk1"/>
              </a:solidFill>
              <a:effectLst/>
              <a:latin typeface="+mn-lt"/>
              <a:ea typeface="Ebrima" panose="02000000000000000000" pitchFamily="2" charset="0"/>
              <a:cs typeface="Ebrima" panose="02000000000000000000" pitchFamily="2" charset="0"/>
            </a:rPr>
            <a:t>CONSTRUVIAS</a:t>
          </a:r>
        </a:p>
        <a:p>
          <a:endParaRPr lang="es-G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40821</xdr:colOff>
      <xdr:row>1</xdr:row>
      <xdr:rowOff>176893</xdr:rowOff>
    </xdr:from>
    <xdr:to>
      <xdr:col>1</xdr:col>
      <xdr:colOff>1488202</xdr:colOff>
      <xdr:row>6</xdr:row>
      <xdr:rowOff>10274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821" y="394607"/>
          <a:ext cx="1447381" cy="10444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41243</xdr:colOff>
      <xdr:row>32</xdr:row>
      <xdr:rowOff>108426</xdr:rowOff>
    </xdr:from>
    <xdr:ext cx="1372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7080218" y="6833076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GT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xmlns:a14="http://schemas.microsoft.com/office/drawing/2010/main" xmlns="" id="{00000000-0008-0000-0100-000002000000}"/>
                </a:ext>
              </a:extLst>
            </xdr:cNvPr>
            <xdr:cNvSpPr txBox="1"/>
          </xdr:nvSpPr>
          <xdr:spPr>
            <a:xfrm>
              <a:off x="7080218" y="6833076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i="0">
                  <a:latin typeface="Cambria Math" panose="02040503050406030204" pitchFamily="18" charset="0"/>
                </a:rPr>
                <a:t>=</a:t>
              </a:r>
              <a:endParaRPr lang="es-GT" sz="1100"/>
            </a:p>
          </xdr:txBody>
        </xdr:sp>
      </mc:Fallback>
    </mc:AlternateContent>
    <xdr:clientData/>
  </xdr:oneCellAnchor>
  <xdr:twoCellAnchor editAs="oneCell">
    <xdr:from>
      <xdr:col>1</xdr:col>
      <xdr:colOff>123947</xdr:colOff>
      <xdr:row>1</xdr:row>
      <xdr:rowOff>132871</xdr:rowOff>
    </xdr:from>
    <xdr:to>
      <xdr:col>2</xdr:col>
      <xdr:colOff>1397757</xdr:colOff>
      <xdr:row>6</xdr:row>
      <xdr:rowOff>71108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947" y="345783"/>
          <a:ext cx="1654810" cy="12269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162296</xdr:colOff>
      <xdr:row>2</xdr:row>
      <xdr:rowOff>104714</xdr:rowOff>
    </xdr:from>
    <xdr:to>
      <xdr:col>16</xdr:col>
      <xdr:colOff>1806234</xdr:colOff>
      <xdr:row>6</xdr:row>
      <xdr:rowOff>360558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22878" y="534205"/>
          <a:ext cx="1643938" cy="11979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" displayName="Tabla1" ref="B1:F281" totalsRowShown="0" headerRowDxfId="18" dataDxfId="17">
  <autoFilter ref="B1:F281" xr:uid="{00000000-0009-0000-0100-000002000000}"/>
  <sortState xmlns:xlrd2="http://schemas.microsoft.com/office/spreadsheetml/2017/richdata2" ref="B2:F275">
    <sortCondition ref="B1:B275"/>
  </sortState>
  <tableColumns count="5">
    <tableColumn id="1" xr3:uid="{00000000-0010-0000-0000-000001000000}" name="MATERIALES" dataDxfId="16"/>
    <tableColumn id="2" xr3:uid="{00000000-0010-0000-0000-000002000000}" name="UNIDAD" dataDxfId="15"/>
    <tableColumn id="3" xr3:uid="{00000000-0010-0000-0000-000003000000}" name="PRECIO" dataDxfId="14"/>
    <tableColumn id="4" xr3:uid="{00000000-0010-0000-0000-000004000000}" name="CANTIDAD" dataDxfId="13">
      <calculatedColumnFormula>ROUNDUP((+SUMIF(UNITARIOS!C:C,Tabla1[[#This Row],[MATERIALES]],UNITARIOS!E:E)),0)</calculatedColumnFormula>
    </tableColumn>
    <tableColumn id="5" xr3:uid="{00000000-0010-0000-0000-000005000000}" name="TOTAL" dataDxfId="12">
      <calculatedColumnFormula>Tabla1[[#This Row],[PRECIO]]*Tabla1[[#This Row],[CANTIDAD]]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2" displayName="Tabla2" ref="I1:M137" totalsRowShown="0" headerRowDxfId="11">
  <autoFilter ref="I1:M137" xr:uid="{00000000-0009-0000-0100-000003000000}"/>
  <sortState xmlns:xlrd2="http://schemas.microsoft.com/office/spreadsheetml/2017/richdata2" ref="I2:M137">
    <sortCondition ref="I1:I137"/>
  </sortState>
  <tableColumns count="5">
    <tableColumn id="1" xr3:uid="{00000000-0010-0000-0100-000001000000}" name="MANO DE OBRA" dataDxfId="10"/>
    <tableColumn id="2" xr3:uid="{00000000-0010-0000-0100-000002000000}" name="UNIDAD" dataDxfId="9"/>
    <tableColumn id="3" xr3:uid="{00000000-0010-0000-0100-000003000000}" name="PRECIO" dataDxfId="8"/>
    <tableColumn id="4" xr3:uid="{00000000-0010-0000-0100-000004000000}" name="CANTIDAD" dataDxfId="7">
      <calculatedColumnFormula>ROUNDUP((+SUMIF(UNITARIOS!C:C,Tabla2[[#This Row],[MANO DE OBRA]],UNITARIOS!E:E)),0)</calculatedColumnFormula>
    </tableColumn>
    <tableColumn id="5" xr3:uid="{00000000-0010-0000-0100-000005000000}" name="TOTAL" dataDxfId="6">
      <calculatedColumnFormula>Tabla2[[#This Row],[PRECIO]]*Tabla2[[#This Row],[CANTIDAD]]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3" displayName="Tabla3" ref="P1:T10" totalsRowShown="0" headerRowDxfId="5">
  <autoFilter ref="P1:T10" xr:uid="{00000000-0009-0000-0100-000004000000}"/>
  <sortState xmlns:xlrd2="http://schemas.microsoft.com/office/spreadsheetml/2017/richdata2" ref="P2:T9">
    <sortCondition ref="P6"/>
  </sortState>
  <tableColumns count="5">
    <tableColumn id="1" xr3:uid="{00000000-0010-0000-0200-000001000000}" name="EQUIPO" dataDxfId="4"/>
    <tableColumn id="2" xr3:uid="{00000000-0010-0000-0200-000002000000}" name="UNIDAD" dataDxfId="3"/>
    <tableColumn id="3" xr3:uid="{00000000-0010-0000-0200-000003000000}" name="PRECIO" dataDxfId="2"/>
    <tableColumn id="4" xr3:uid="{00000000-0010-0000-0200-000004000000}" name="CANTIDAD" dataDxfId="1">
      <calculatedColumnFormula>ROUNDUP((+SUMIF(UNITARIOS!C:C,Tabla3[[#This Row],[EQUIPO]],UNITARIOS!E:E)),0)</calculatedColumnFormula>
    </tableColumn>
    <tableColumn id="5" xr3:uid="{00000000-0010-0000-0200-000005000000}" name="TOTAL" dataDxfId="0">
      <calculatedColumnFormula>Tabla3[[#This Row],[PRECIO]]*Tabla3[[#This Row],[CANTIDAD]]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3"/>
  <sheetViews>
    <sheetView showGridLines="0" tabSelected="1" view="pageBreakPreview" topLeftCell="B85" zoomScale="70" zoomScaleNormal="60" zoomScaleSheetLayoutView="70" zoomScalePageLayoutView="55" workbookViewId="0">
      <selection activeCell="B5" sqref="B5:G5"/>
    </sheetView>
  </sheetViews>
  <sheetFormatPr baseColWidth="10" defaultRowHeight="15.6" x14ac:dyDescent="0.3"/>
  <cols>
    <col min="1" max="1" width="9" customWidth="1"/>
    <col min="2" max="2" width="12.44140625" style="75" customWidth="1"/>
    <col min="3" max="3" width="56.5546875" style="87" customWidth="1"/>
    <col min="4" max="4" width="15.5546875" style="76" customWidth="1"/>
    <col min="5" max="5" width="13.33203125" style="77" customWidth="1"/>
    <col min="6" max="6" width="22" style="78" bestFit="1" customWidth="1"/>
    <col min="7" max="7" width="22.88671875" style="97" customWidth="1"/>
    <col min="8" max="8" width="20.88671875" customWidth="1"/>
    <col min="9" max="9" width="21.88671875" style="31" customWidth="1"/>
    <col min="10" max="10" width="24.6640625" style="31" customWidth="1"/>
    <col min="12" max="12" width="26.6640625" customWidth="1"/>
    <col min="15" max="15" width="11.44140625" style="60"/>
  </cols>
  <sheetData>
    <row r="1" spans="1:15" ht="18" customHeight="1" x14ac:dyDescent="0.3">
      <c r="B1" s="285" t="s">
        <v>454</v>
      </c>
      <c r="C1" s="285"/>
      <c r="D1" s="285"/>
      <c r="E1" s="285"/>
      <c r="F1" s="285"/>
      <c r="G1" s="285"/>
    </row>
    <row r="2" spans="1:15" ht="17.25" customHeight="1" x14ac:dyDescent="0.3">
      <c r="A2" s="1"/>
      <c r="B2" s="284" t="s">
        <v>640</v>
      </c>
      <c r="C2" s="284"/>
      <c r="D2" s="284"/>
      <c r="E2" s="284"/>
      <c r="F2" s="284"/>
      <c r="G2" s="284"/>
    </row>
    <row r="3" spans="1:15" ht="17.25" customHeight="1" x14ac:dyDescent="0.3">
      <c r="A3" s="1"/>
      <c r="B3" s="284" t="s">
        <v>637</v>
      </c>
      <c r="C3" s="284"/>
      <c r="D3" s="284"/>
      <c r="E3" s="284"/>
      <c r="F3" s="284"/>
      <c r="G3" s="284"/>
    </row>
    <row r="4" spans="1:15" ht="15" customHeight="1" x14ac:dyDescent="0.3">
      <c r="A4" s="1"/>
      <c r="B4" s="284" t="s">
        <v>638</v>
      </c>
      <c r="C4" s="284"/>
      <c r="D4" s="284"/>
      <c r="E4" s="284"/>
      <c r="F4" s="284"/>
      <c r="G4" s="284"/>
    </row>
    <row r="5" spans="1:15" ht="15" customHeight="1" x14ac:dyDescent="0.3">
      <c r="A5" s="1"/>
      <c r="B5" s="291" t="s">
        <v>639</v>
      </c>
      <c r="C5" s="284"/>
      <c r="D5" s="284"/>
      <c r="E5" s="284"/>
      <c r="F5" s="284"/>
      <c r="G5" s="284"/>
    </row>
    <row r="6" spans="1:15" ht="16.2" thickBot="1" x14ac:dyDescent="0.35"/>
    <row r="7" spans="1:15" s="4" customFormat="1" ht="24" customHeight="1" thickBot="1" x14ac:dyDescent="0.35">
      <c r="B7" s="288" t="s">
        <v>367</v>
      </c>
      <c r="C7" s="289"/>
      <c r="D7" s="289"/>
      <c r="E7" s="289"/>
      <c r="F7" s="289"/>
      <c r="G7" s="290"/>
      <c r="I7" s="31"/>
      <c r="J7" s="31"/>
      <c r="O7" s="58"/>
    </row>
    <row r="8" spans="1:15" ht="16.2" thickBot="1" x14ac:dyDescent="0.35">
      <c r="J8" s="284"/>
      <c r="K8" s="284"/>
      <c r="L8" s="284"/>
      <c r="M8" s="284"/>
      <c r="N8" s="284"/>
      <c r="O8" s="284"/>
    </row>
    <row r="9" spans="1:15" ht="36.75" customHeight="1" thickBot="1" x14ac:dyDescent="0.35">
      <c r="B9" s="89" t="s">
        <v>44</v>
      </c>
      <c r="C9" s="90" t="s">
        <v>26</v>
      </c>
      <c r="D9" s="91" t="s">
        <v>2</v>
      </c>
      <c r="E9" s="90" t="s">
        <v>3</v>
      </c>
      <c r="F9" s="92" t="s">
        <v>45</v>
      </c>
      <c r="G9" s="221" t="s">
        <v>8</v>
      </c>
      <c r="J9" s="68"/>
    </row>
    <row r="10" spans="1:15" x14ac:dyDescent="0.3">
      <c r="B10" s="93"/>
      <c r="C10" s="220" t="s">
        <v>456</v>
      </c>
      <c r="D10" s="94"/>
      <c r="E10" s="95" t="s">
        <v>60</v>
      </c>
      <c r="F10" s="96"/>
      <c r="G10" s="222"/>
    </row>
    <row r="11" spans="1:15" x14ac:dyDescent="0.3">
      <c r="B11" s="82"/>
      <c r="C11" s="219" t="s">
        <v>46</v>
      </c>
      <c r="D11" s="83"/>
      <c r="E11" s="74" t="s">
        <v>60</v>
      </c>
      <c r="F11" s="84"/>
      <c r="G11" s="223"/>
      <c r="J11" s="68"/>
    </row>
    <row r="12" spans="1:15" x14ac:dyDescent="0.3">
      <c r="B12" s="79">
        <v>101.01</v>
      </c>
      <c r="C12" s="217" t="s">
        <v>47</v>
      </c>
      <c r="D12" s="72">
        <v>47.26</v>
      </c>
      <c r="E12" s="72" t="s">
        <v>24</v>
      </c>
      <c r="F12" s="84">
        <f>UNITARIOS!K54</f>
        <v>28</v>
      </c>
      <c r="G12" s="223">
        <f t="shared" ref="G12:G99" si="0">+D12*F12</f>
        <v>1323.28</v>
      </c>
      <c r="I12" s="70"/>
      <c r="L12" s="5"/>
    </row>
    <row r="13" spans="1:15" x14ac:dyDescent="0.3">
      <c r="B13" s="79">
        <v>108.03</v>
      </c>
      <c r="C13" s="217" t="s">
        <v>492</v>
      </c>
      <c r="D13" s="72">
        <v>38.590000000000003</v>
      </c>
      <c r="E13" s="72" t="s">
        <v>72</v>
      </c>
      <c r="F13" s="84">
        <f>UNITARIOS!K110</f>
        <v>49</v>
      </c>
      <c r="G13" s="223">
        <f t="shared" si="0"/>
        <v>1890.91</v>
      </c>
      <c r="L13" s="5"/>
    </row>
    <row r="14" spans="1:15" x14ac:dyDescent="0.3">
      <c r="B14" s="79">
        <v>111.03</v>
      </c>
      <c r="C14" s="217" t="s">
        <v>493</v>
      </c>
      <c r="D14" s="72">
        <v>66.52</v>
      </c>
      <c r="E14" s="72" t="s">
        <v>24</v>
      </c>
      <c r="F14" s="84">
        <f>UNITARIOS!K161</f>
        <v>126</v>
      </c>
      <c r="G14" s="223">
        <f t="shared" si="0"/>
        <v>8381.5199999999986</v>
      </c>
      <c r="L14" s="5"/>
    </row>
    <row r="15" spans="1:15" x14ac:dyDescent="0.3">
      <c r="B15" s="79">
        <v>114.03</v>
      </c>
      <c r="C15" s="217" t="s">
        <v>277</v>
      </c>
      <c r="D15" s="72">
        <v>6</v>
      </c>
      <c r="E15" s="72" t="s">
        <v>24</v>
      </c>
      <c r="F15" s="84">
        <f>UNITARIOS!K212</f>
        <v>364</v>
      </c>
      <c r="G15" s="223">
        <f t="shared" si="0"/>
        <v>2184</v>
      </c>
      <c r="L15" s="5"/>
    </row>
    <row r="16" spans="1:15" x14ac:dyDescent="0.3">
      <c r="B16" s="79">
        <v>117.01</v>
      </c>
      <c r="C16" s="217" t="s">
        <v>329</v>
      </c>
      <c r="D16" s="72">
        <v>3</v>
      </c>
      <c r="E16" s="72" t="s">
        <v>25</v>
      </c>
      <c r="F16" s="84">
        <f>UNITARIOS!K264</f>
        <v>364</v>
      </c>
      <c r="G16" s="223">
        <f t="shared" si="0"/>
        <v>1092</v>
      </c>
      <c r="L16" s="5"/>
    </row>
    <row r="17" spans="2:15" x14ac:dyDescent="0.3">
      <c r="B17" s="79">
        <v>118.01</v>
      </c>
      <c r="C17" s="217" t="s">
        <v>571</v>
      </c>
      <c r="D17" s="72">
        <v>7</v>
      </c>
      <c r="E17" s="72" t="s">
        <v>25</v>
      </c>
      <c r="F17" s="84">
        <f>UNITARIOS!K316</f>
        <v>84</v>
      </c>
      <c r="G17" s="223">
        <f t="shared" si="0"/>
        <v>588</v>
      </c>
      <c r="H17" s="241">
        <f>SUM(G12:G17)</f>
        <v>15459.71</v>
      </c>
      <c r="I17" s="226"/>
      <c r="L17" s="5"/>
    </row>
    <row r="18" spans="2:15" x14ac:dyDescent="0.3">
      <c r="B18" s="79"/>
      <c r="C18" s="219" t="s">
        <v>384</v>
      </c>
      <c r="D18" s="72"/>
      <c r="E18" s="72"/>
      <c r="F18" s="84"/>
      <c r="G18" s="223"/>
      <c r="L18" s="5"/>
    </row>
    <row r="19" spans="2:15" x14ac:dyDescent="0.3">
      <c r="B19" s="79">
        <v>201.01</v>
      </c>
      <c r="C19" s="217" t="s">
        <v>457</v>
      </c>
      <c r="D19" s="72">
        <v>17.510000000000002</v>
      </c>
      <c r="E19" s="72" t="s">
        <v>61</v>
      </c>
      <c r="F19" s="84">
        <f>UNITARIOS!K370</f>
        <v>140</v>
      </c>
      <c r="G19" s="223">
        <f t="shared" si="0"/>
        <v>2451.4</v>
      </c>
      <c r="L19" s="5"/>
    </row>
    <row r="20" spans="2:15" ht="31.2" x14ac:dyDescent="0.3">
      <c r="B20" s="79">
        <v>201.03</v>
      </c>
      <c r="C20" s="217" t="s">
        <v>494</v>
      </c>
      <c r="D20" s="72">
        <v>6.78</v>
      </c>
      <c r="E20" s="72" t="s">
        <v>61</v>
      </c>
      <c r="F20" s="84">
        <f>UNITARIOS!K421</f>
        <v>364</v>
      </c>
      <c r="G20" s="223">
        <f t="shared" si="0"/>
        <v>2467.92</v>
      </c>
      <c r="L20" s="5"/>
    </row>
    <row r="21" spans="2:15" ht="31.2" x14ac:dyDescent="0.3">
      <c r="B21" s="79">
        <v>206.06</v>
      </c>
      <c r="C21" s="217" t="s">
        <v>523</v>
      </c>
      <c r="D21" s="72">
        <v>38.590000000000003</v>
      </c>
      <c r="E21" s="72" t="s">
        <v>72</v>
      </c>
      <c r="F21" s="84">
        <f>UNITARIOS!K477</f>
        <v>392</v>
      </c>
      <c r="G21" s="223">
        <f t="shared" si="0"/>
        <v>15127.28</v>
      </c>
      <c r="L21" s="5"/>
    </row>
    <row r="22" spans="2:15" ht="31.2" x14ac:dyDescent="0.3">
      <c r="B22" s="79">
        <v>210.06</v>
      </c>
      <c r="C22" s="217" t="s">
        <v>524</v>
      </c>
      <c r="D22" s="72">
        <v>7.2</v>
      </c>
      <c r="E22" s="72" t="s">
        <v>24</v>
      </c>
      <c r="F22" s="84">
        <f>UNITARIOS!K531</f>
        <v>280</v>
      </c>
      <c r="G22" s="223">
        <f t="shared" si="0"/>
        <v>2016</v>
      </c>
      <c r="L22" s="5"/>
    </row>
    <row r="23" spans="2:15" ht="31.2" x14ac:dyDescent="0.3">
      <c r="B23" s="79">
        <v>210.09</v>
      </c>
      <c r="C23" s="217" t="s">
        <v>525</v>
      </c>
      <c r="D23" s="72">
        <v>8.2799999999999994</v>
      </c>
      <c r="E23" s="72" t="s">
        <v>24</v>
      </c>
      <c r="F23" s="84">
        <f>UNITARIOS!K585</f>
        <v>504</v>
      </c>
      <c r="G23" s="223">
        <f t="shared" si="0"/>
        <v>4173.12</v>
      </c>
      <c r="H23" s="241">
        <f>SUM(G19:G23)</f>
        <v>26235.719999999998</v>
      </c>
      <c r="L23" s="5"/>
    </row>
    <row r="24" spans="2:15" x14ac:dyDescent="0.3">
      <c r="B24" s="79"/>
      <c r="C24" s="219" t="s">
        <v>458</v>
      </c>
      <c r="D24" s="72"/>
      <c r="E24" s="72"/>
      <c r="F24" s="84"/>
      <c r="G24" s="223"/>
      <c r="L24" s="5"/>
    </row>
    <row r="25" spans="2:15" x14ac:dyDescent="0.3">
      <c r="B25" s="138">
        <v>303.06</v>
      </c>
      <c r="C25" s="217" t="s">
        <v>495</v>
      </c>
      <c r="D25" s="72">
        <v>20.55</v>
      </c>
      <c r="E25" s="72" t="s">
        <v>24</v>
      </c>
      <c r="F25" s="84">
        <f>UNITARIOS!K639</f>
        <v>280</v>
      </c>
      <c r="G25" s="223">
        <f t="shared" si="0"/>
        <v>5754</v>
      </c>
      <c r="L25" s="5"/>
    </row>
    <row r="26" spans="2:15" ht="31.2" x14ac:dyDescent="0.3">
      <c r="B26" s="138">
        <v>303.08999999999997</v>
      </c>
      <c r="C26" s="217" t="s">
        <v>526</v>
      </c>
      <c r="D26" s="72">
        <v>19.100000000000001</v>
      </c>
      <c r="E26" s="72" t="s">
        <v>24</v>
      </c>
      <c r="F26" s="84">
        <f>UNITARIOS!K693</f>
        <v>504</v>
      </c>
      <c r="G26" s="223">
        <f t="shared" si="0"/>
        <v>9626.4000000000015</v>
      </c>
      <c r="L26" s="5"/>
    </row>
    <row r="27" spans="2:15" x14ac:dyDescent="0.3">
      <c r="B27" s="138">
        <v>304.07</v>
      </c>
      <c r="C27" s="217" t="s">
        <v>496</v>
      </c>
      <c r="D27" s="72">
        <v>701.4</v>
      </c>
      <c r="E27" s="72" t="s">
        <v>72</v>
      </c>
      <c r="F27" s="84">
        <f>UNITARIOS!K749</f>
        <v>49</v>
      </c>
      <c r="G27" s="223">
        <f t="shared" si="0"/>
        <v>34368.6</v>
      </c>
      <c r="H27" s="241">
        <f>SUM(G25:G27)</f>
        <v>49749</v>
      </c>
      <c r="L27" s="5"/>
    </row>
    <row r="28" spans="2:15" x14ac:dyDescent="0.3">
      <c r="B28" s="138"/>
      <c r="C28" s="219" t="s">
        <v>385</v>
      </c>
      <c r="D28" s="72"/>
      <c r="E28" s="72"/>
      <c r="F28" s="84"/>
      <c r="G28" s="223"/>
      <c r="L28" s="5"/>
    </row>
    <row r="29" spans="2:15" s="4" customFormat="1" ht="31.2" x14ac:dyDescent="0.3">
      <c r="B29" s="138">
        <v>401.35</v>
      </c>
      <c r="C29" s="217" t="s">
        <v>497</v>
      </c>
      <c r="D29" s="72">
        <v>15</v>
      </c>
      <c r="E29" s="72" t="s">
        <v>72</v>
      </c>
      <c r="F29" s="84">
        <f>UNITARIOS!K806</f>
        <v>392</v>
      </c>
      <c r="G29" s="223">
        <f t="shared" si="0"/>
        <v>5880</v>
      </c>
      <c r="I29" s="31"/>
      <c r="J29" s="31"/>
      <c r="L29" s="5"/>
      <c r="O29" s="58"/>
    </row>
    <row r="30" spans="2:15" s="4" customFormat="1" ht="31.2" x14ac:dyDescent="0.3">
      <c r="B30" s="138">
        <v>401.36</v>
      </c>
      <c r="C30" s="217" t="s">
        <v>498</v>
      </c>
      <c r="D30" s="72">
        <v>15</v>
      </c>
      <c r="E30" s="72" t="s">
        <v>72</v>
      </c>
      <c r="F30" s="84">
        <f>UNITARIOS!K862</f>
        <v>252</v>
      </c>
      <c r="G30" s="223">
        <f t="shared" si="0"/>
        <v>3780</v>
      </c>
      <c r="I30" s="31"/>
      <c r="J30" s="31"/>
      <c r="L30" s="5"/>
      <c r="O30" s="58"/>
    </row>
    <row r="31" spans="2:15" ht="31.2" x14ac:dyDescent="0.3">
      <c r="B31" s="138">
        <v>401.39</v>
      </c>
      <c r="C31" s="217" t="s">
        <v>499</v>
      </c>
      <c r="D31" s="72">
        <v>21</v>
      </c>
      <c r="E31" s="72" t="s">
        <v>72</v>
      </c>
      <c r="F31" s="84">
        <f>UNITARIOS!K918</f>
        <v>532</v>
      </c>
      <c r="G31" s="223">
        <f t="shared" si="0"/>
        <v>11172</v>
      </c>
      <c r="L31" s="5"/>
    </row>
    <row r="32" spans="2:15" x14ac:dyDescent="0.3">
      <c r="B32" s="138">
        <v>404.01</v>
      </c>
      <c r="C32" s="217" t="s">
        <v>527</v>
      </c>
      <c r="D32" s="72">
        <v>1.8</v>
      </c>
      <c r="E32" s="72" t="s">
        <v>72</v>
      </c>
      <c r="F32" s="84">
        <f>UNITARIOS!K974</f>
        <v>595</v>
      </c>
      <c r="G32" s="223">
        <f t="shared" si="0"/>
        <v>1071</v>
      </c>
      <c r="L32" s="5"/>
    </row>
    <row r="33" spans="2:12" x14ac:dyDescent="0.3">
      <c r="B33" s="138">
        <v>405.23</v>
      </c>
      <c r="C33" s="217" t="s">
        <v>531</v>
      </c>
      <c r="D33" s="72">
        <v>39.72</v>
      </c>
      <c r="E33" s="72" t="s">
        <v>72</v>
      </c>
      <c r="F33" s="84">
        <f>UNITARIOS!K1030</f>
        <v>252</v>
      </c>
      <c r="G33" s="223">
        <f t="shared" si="0"/>
        <v>10009.44</v>
      </c>
      <c r="L33" s="5"/>
    </row>
    <row r="34" spans="2:12" x14ac:dyDescent="0.3">
      <c r="B34" s="138">
        <v>405.27</v>
      </c>
      <c r="C34" s="217" t="s">
        <v>532</v>
      </c>
      <c r="D34" s="72">
        <v>73.180000000000007</v>
      </c>
      <c r="E34" s="72" t="s">
        <v>72</v>
      </c>
      <c r="F34" s="84">
        <f>UNITARIOS!K1086</f>
        <v>392</v>
      </c>
      <c r="G34" s="223">
        <f t="shared" si="0"/>
        <v>28686.560000000001</v>
      </c>
      <c r="L34" s="5"/>
    </row>
    <row r="35" spans="2:12" ht="31.2" x14ac:dyDescent="0.3">
      <c r="B35" s="138">
        <v>407.09</v>
      </c>
      <c r="C35" s="217" t="s">
        <v>528</v>
      </c>
      <c r="D35" s="72">
        <v>16.649999999999999</v>
      </c>
      <c r="E35" s="72" t="s">
        <v>72</v>
      </c>
      <c r="F35" s="84">
        <f>UNITARIOS!K1142</f>
        <v>420</v>
      </c>
      <c r="G35" s="223">
        <f t="shared" si="0"/>
        <v>6992.9999999999991</v>
      </c>
      <c r="L35" s="5"/>
    </row>
    <row r="36" spans="2:12" x14ac:dyDescent="0.3">
      <c r="B36" s="138">
        <v>407.27</v>
      </c>
      <c r="C36" s="217" t="s">
        <v>529</v>
      </c>
      <c r="D36" s="72">
        <v>4.3</v>
      </c>
      <c r="E36" s="72" t="s">
        <v>72</v>
      </c>
      <c r="F36" s="84">
        <f>UNITARIOS!K1198</f>
        <v>287</v>
      </c>
      <c r="G36" s="223">
        <f t="shared" si="0"/>
        <v>1234.0999999999999</v>
      </c>
      <c r="L36" s="5"/>
    </row>
    <row r="37" spans="2:12" ht="31.2" x14ac:dyDescent="0.3">
      <c r="B37" s="138">
        <v>407.28</v>
      </c>
      <c r="C37" s="217" t="s">
        <v>530</v>
      </c>
      <c r="D37" s="72">
        <v>15.6</v>
      </c>
      <c r="E37" s="72" t="s">
        <v>72</v>
      </c>
      <c r="F37" s="84">
        <f>UNITARIOS!K1254</f>
        <v>609</v>
      </c>
      <c r="G37" s="223">
        <f t="shared" si="0"/>
        <v>9500.4</v>
      </c>
      <c r="L37" s="5"/>
    </row>
    <row r="38" spans="2:12" ht="31.2" x14ac:dyDescent="0.3">
      <c r="B38" s="138">
        <v>408.01</v>
      </c>
      <c r="C38" s="217" t="s">
        <v>533</v>
      </c>
      <c r="D38" s="72">
        <v>32.57</v>
      </c>
      <c r="E38" s="72" t="s">
        <v>24</v>
      </c>
      <c r="F38" s="84">
        <f>UNITARIOS!K1310</f>
        <v>553</v>
      </c>
      <c r="G38" s="223">
        <f t="shared" si="0"/>
        <v>18011.21</v>
      </c>
      <c r="L38" s="5"/>
    </row>
    <row r="39" spans="2:12" ht="31.2" x14ac:dyDescent="0.3">
      <c r="B39" s="138">
        <v>411.04</v>
      </c>
      <c r="C39" s="217" t="s">
        <v>534</v>
      </c>
      <c r="D39" s="72">
        <v>13.97</v>
      </c>
      <c r="E39" s="72" t="s">
        <v>72</v>
      </c>
      <c r="F39" s="84">
        <f>UNITARIOS!K1366</f>
        <v>308</v>
      </c>
      <c r="G39" s="223">
        <f t="shared" si="0"/>
        <v>4302.76</v>
      </c>
      <c r="H39" s="241">
        <f>SUM(G29:G39)</f>
        <v>100640.46999999999</v>
      </c>
      <c r="L39" s="5"/>
    </row>
    <row r="40" spans="2:12" x14ac:dyDescent="0.3">
      <c r="B40" s="138"/>
      <c r="C40" s="219" t="s">
        <v>50</v>
      </c>
      <c r="D40" s="72"/>
      <c r="E40" s="72"/>
      <c r="F40" s="84"/>
      <c r="G40" s="223"/>
      <c r="L40" s="5"/>
    </row>
    <row r="41" spans="2:12" x14ac:dyDescent="0.3">
      <c r="B41" s="138">
        <v>503.02</v>
      </c>
      <c r="C41" s="217" t="s">
        <v>500</v>
      </c>
      <c r="D41" s="72">
        <v>9.6</v>
      </c>
      <c r="E41" s="72" t="s">
        <v>72</v>
      </c>
      <c r="F41" s="84">
        <f>UNITARIOS!K1422</f>
        <v>126</v>
      </c>
      <c r="G41" s="223">
        <f t="shared" si="0"/>
        <v>1209.5999999999999</v>
      </c>
      <c r="L41" s="5"/>
    </row>
    <row r="42" spans="2:12" ht="31.2" x14ac:dyDescent="0.3">
      <c r="B42" s="138">
        <v>505.02</v>
      </c>
      <c r="C42" s="217" t="s">
        <v>501</v>
      </c>
      <c r="D42" s="72">
        <v>6</v>
      </c>
      <c r="E42" s="72" t="s">
        <v>24</v>
      </c>
      <c r="F42" s="84">
        <f>UNITARIOS!K1478</f>
        <v>420</v>
      </c>
      <c r="G42" s="223">
        <f t="shared" si="0"/>
        <v>2520</v>
      </c>
      <c r="L42" s="5"/>
    </row>
    <row r="43" spans="2:12" x14ac:dyDescent="0.3">
      <c r="B43" s="138">
        <v>511.01</v>
      </c>
      <c r="C43" s="217" t="s">
        <v>535</v>
      </c>
      <c r="D43" s="72">
        <v>5.6</v>
      </c>
      <c r="E43" s="72" t="s">
        <v>72</v>
      </c>
      <c r="F43" s="84">
        <f>UNITARIOS!K1534</f>
        <v>329</v>
      </c>
      <c r="G43" s="223">
        <f t="shared" si="0"/>
        <v>1842.3999999999999</v>
      </c>
      <c r="H43" s="241">
        <f>SUM(G41:G43)</f>
        <v>5572</v>
      </c>
      <c r="L43" s="5"/>
    </row>
    <row r="44" spans="2:12" x14ac:dyDescent="0.3">
      <c r="B44" s="82"/>
      <c r="C44" s="219" t="s">
        <v>51</v>
      </c>
      <c r="D44" s="72"/>
      <c r="E44" s="73" t="s">
        <v>60</v>
      </c>
      <c r="F44" s="84"/>
      <c r="G44" s="223"/>
      <c r="L44" s="5"/>
    </row>
    <row r="45" spans="2:12" x14ac:dyDescent="0.3">
      <c r="B45" s="79">
        <v>601.07000000000005</v>
      </c>
      <c r="C45" s="217" t="s">
        <v>536</v>
      </c>
      <c r="D45" s="72">
        <v>41.71</v>
      </c>
      <c r="E45" s="72" t="s">
        <v>24</v>
      </c>
      <c r="F45" s="84">
        <f>UNITARIOS!K1590</f>
        <v>203</v>
      </c>
      <c r="G45" s="223">
        <f t="shared" si="0"/>
        <v>8467.130000000001</v>
      </c>
      <c r="L45" s="5"/>
    </row>
    <row r="46" spans="2:12" x14ac:dyDescent="0.3">
      <c r="B46" s="79">
        <v>601.08000000000004</v>
      </c>
      <c r="C46" s="217" t="s">
        <v>537</v>
      </c>
      <c r="D46" s="72">
        <v>140.94</v>
      </c>
      <c r="E46" s="72" t="s">
        <v>24</v>
      </c>
      <c r="F46" s="84">
        <f>UNITARIOS!K1646</f>
        <v>203</v>
      </c>
      <c r="G46" s="223">
        <f t="shared" si="0"/>
        <v>28610.82</v>
      </c>
      <c r="L46" s="5"/>
    </row>
    <row r="47" spans="2:12" x14ac:dyDescent="0.3">
      <c r="B47" s="79">
        <v>604.03</v>
      </c>
      <c r="C47" s="217" t="s">
        <v>462</v>
      </c>
      <c r="D47" s="72">
        <v>51.5</v>
      </c>
      <c r="E47" s="72" t="s">
        <v>24</v>
      </c>
      <c r="F47" s="84">
        <f>UNITARIOS!K1699</f>
        <v>490</v>
      </c>
      <c r="G47" s="223">
        <f t="shared" si="0"/>
        <v>25235</v>
      </c>
      <c r="L47" s="5"/>
    </row>
    <row r="48" spans="2:12" x14ac:dyDescent="0.3">
      <c r="B48" s="79">
        <v>604.04999999999995</v>
      </c>
      <c r="C48" s="217" t="s">
        <v>52</v>
      </c>
      <c r="D48" s="72">
        <v>15.02</v>
      </c>
      <c r="E48" s="72" t="s">
        <v>24</v>
      </c>
      <c r="F48" s="84">
        <f>UNITARIOS!K1755</f>
        <v>406</v>
      </c>
      <c r="G48" s="223">
        <f t="shared" si="0"/>
        <v>6098.12</v>
      </c>
      <c r="L48" s="5"/>
    </row>
    <row r="49" spans="2:12" x14ac:dyDescent="0.3">
      <c r="B49" s="79">
        <v>607.02</v>
      </c>
      <c r="C49" s="217" t="s">
        <v>502</v>
      </c>
      <c r="D49" s="72">
        <v>37</v>
      </c>
      <c r="E49" s="72" t="s">
        <v>24</v>
      </c>
      <c r="F49" s="84">
        <f>UNITARIOS!K1811</f>
        <v>294</v>
      </c>
      <c r="G49" s="223">
        <f t="shared" si="0"/>
        <v>10878</v>
      </c>
      <c r="L49" s="5"/>
    </row>
    <row r="50" spans="2:12" x14ac:dyDescent="0.3">
      <c r="B50" s="79">
        <v>609.02</v>
      </c>
      <c r="C50" s="217" t="s">
        <v>503</v>
      </c>
      <c r="D50" s="72">
        <v>25</v>
      </c>
      <c r="E50" s="72" t="s">
        <v>24</v>
      </c>
      <c r="F50" s="84">
        <f>UNITARIOS!K1864</f>
        <v>322</v>
      </c>
      <c r="G50" s="223">
        <f t="shared" si="0"/>
        <v>8050</v>
      </c>
      <c r="L50" s="5"/>
    </row>
    <row r="51" spans="2:12" x14ac:dyDescent="0.3">
      <c r="B51" s="79">
        <v>611.01</v>
      </c>
      <c r="C51" s="217" t="s">
        <v>53</v>
      </c>
      <c r="D51" s="72">
        <v>117.1</v>
      </c>
      <c r="E51" s="72" t="s">
        <v>24</v>
      </c>
      <c r="F51" s="84">
        <f>UNITARIOS!K1920</f>
        <v>49</v>
      </c>
      <c r="G51" s="223">
        <f t="shared" si="0"/>
        <v>5737.9</v>
      </c>
      <c r="L51" s="5"/>
    </row>
    <row r="52" spans="2:12" x14ac:dyDescent="0.3">
      <c r="B52" s="79">
        <v>611.03</v>
      </c>
      <c r="C52" s="217" t="s">
        <v>504</v>
      </c>
      <c r="D52" s="72">
        <v>41.71</v>
      </c>
      <c r="E52" s="72" t="s">
        <v>24</v>
      </c>
      <c r="F52" s="84">
        <f>UNITARIOS!K1976</f>
        <v>56</v>
      </c>
      <c r="G52" s="223">
        <f t="shared" si="0"/>
        <v>2335.7600000000002</v>
      </c>
      <c r="H52" s="241">
        <f>SUM(G45:G52)</f>
        <v>95412.729999999981</v>
      </c>
      <c r="L52" s="5"/>
    </row>
    <row r="53" spans="2:12" x14ac:dyDescent="0.3">
      <c r="B53" s="79"/>
      <c r="C53" s="219" t="s">
        <v>54</v>
      </c>
      <c r="D53" s="72"/>
      <c r="E53" s="72" t="s">
        <v>60</v>
      </c>
      <c r="F53" s="84"/>
      <c r="G53" s="223"/>
      <c r="L53" s="5"/>
    </row>
    <row r="54" spans="2:12" x14ac:dyDescent="0.3">
      <c r="B54" s="79">
        <v>702.01</v>
      </c>
      <c r="C54" s="217" t="s">
        <v>505</v>
      </c>
      <c r="D54" s="72">
        <v>3</v>
      </c>
      <c r="E54" s="72" t="s">
        <v>25</v>
      </c>
      <c r="F54" s="84">
        <f>UNITARIOS!K2029</f>
        <v>2716</v>
      </c>
      <c r="G54" s="223">
        <f t="shared" si="0"/>
        <v>8148</v>
      </c>
      <c r="H54" s="241">
        <f>SUM(G54)</f>
        <v>8148</v>
      </c>
      <c r="L54" s="5"/>
    </row>
    <row r="55" spans="2:12" x14ac:dyDescent="0.3">
      <c r="B55" s="82"/>
      <c r="C55" s="219" t="s">
        <v>55</v>
      </c>
      <c r="D55" s="72"/>
      <c r="E55" s="73" t="s">
        <v>60</v>
      </c>
      <c r="F55" s="84"/>
      <c r="G55" s="223"/>
      <c r="L55" s="5"/>
    </row>
    <row r="56" spans="2:12" ht="31.2" x14ac:dyDescent="0.3">
      <c r="B56" s="79">
        <v>803.05</v>
      </c>
      <c r="C56" s="217" t="s">
        <v>538</v>
      </c>
      <c r="D56" s="72">
        <v>10.87</v>
      </c>
      <c r="E56" s="72" t="s">
        <v>24</v>
      </c>
      <c r="F56" s="84">
        <f>UNITARIOS!K2085</f>
        <v>1400</v>
      </c>
      <c r="G56" s="223">
        <f t="shared" si="0"/>
        <v>15217.999999999998</v>
      </c>
      <c r="H56" s="241">
        <f>SUM(G56)</f>
        <v>15217.999999999998</v>
      </c>
      <c r="L56" s="5"/>
    </row>
    <row r="57" spans="2:12" x14ac:dyDescent="0.3">
      <c r="B57" s="79"/>
      <c r="C57" s="219" t="s">
        <v>549</v>
      </c>
      <c r="D57" s="72"/>
      <c r="E57" s="72"/>
      <c r="F57" s="84"/>
      <c r="G57" s="223"/>
      <c r="L57" s="5"/>
    </row>
    <row r="58" spans="2:12" x14ac:dyDescent="0.3">
      <c r="B58" s="79">
        <v>902.01</v>
      </c>
      <c r="C58" s="217" t="s">
        <v>506</v>
      </c>
      <c r="D58" s="72">
        <v>3</v>
      </c>
      <c r="E58" s="72" t="s">
        <v>72</v>
      </c>
      <c r="F58" s="84">
        <f>UNITARIOS!K2138</f>
        <v>175</v>
      </c>
      <c r="G58" s="223">
        <f t="shared" si="0"/>
        <v>525</v>
      </c>
      <c r="L58" s="5"/>
    </row>
    <row r="59" spans="2:12" ht="31.2" x14ac:dyDescent="0.3">
      <c r="B59" s="79">
        <v>903.01</v>
      </c>
      <c r="C59" s="217" t="s">
        <v>539</v>
      </c>
      <c r="D59" s="72">
        <v>2</v>
      </c>
      <c r="E59" s="72" t="s">
        <v>72</v>
      </c>
      <c r="F59" s="84">
        <f>UNITARIOS!K2191</f>
        <v>77</v>
      </c>
      <c r="G59" s="223">
        <f t="shared" si="0"/>
        <v>154</v>
      </c>
      <c r="L59" s="5"/>
    </row>
    <row r="60" spans="2:12" ht="31.2" x14ac:dyDescent="0.3">
      <c r="B60" s="79">
        <v>903.02</v>
      </c>
      <c r="C60" s="217" t="s">
        <v>540</v>
      </c>
      <c r="D60" s="72">
        <v>11</v>
      </c>
      <c r="E60" s="72" t="s">
        <v>72</v>
      </c>
      <c r="F60" s="84">
        <f>UNITARIOS!K2247</f>
        <v>84</v>
      </c>
      <c r="G60" s="223">
        <f t="shared" si="0"/>
        <v>924</v>
      </c>
      <c r="L60" s="5"/>
    </row>
    <row r="61" spans="2:12" x14ac:dyDescent="0.3">
      <c r="B61" s="79">
        <v>904.01</v>
      </c>
      <c r="C61" s="217" t="s">
        <v>541</v>
      </c>
      <c r="D61" s="72">
        <v>1.5</v>
      </c>
      <c r="E61" s="72" t="s">
        <v>72</v>
      </c>
      <c r="F61" s="84">
        <f>UNITARIOS!K2303</f>
        <v>182</v>
      </c>
      <c r="G61" s="223">
        <f t="shared" si="0"/>
        <v>273</v>
      </c>
      <c r="L61" s="5"/>
    </row>
    <row r="62" spans="2:12" x14ac:dyDescent="0.3">
      <c r="B62" s="79">
        <v>904.02</v>
      </c>
      <c r="C62" s="217" t="s">
        <v>542</v>
      </c>
      <c r="D62" s="72">
        <v>4.6100000000000003</v>
      </c>
      <c r="E62" s="72" t="s">
        <v>72</v>
      </c>
      <c r="F62" s="84">
        <f>UNITARIOS!K2354</f>
        <v>280</v>
      </c>
      <c r="G62" s="223">
        <f t="shared" si="0"/>
        <v>1290.8000000000002</v>
      </c>
      <c r="L62" s="5"/>
    </row>
    <row r="63" spans="2:12" x14ac:dyDescent="0.3">
      <c r="B63" s="79">
        <v>904.03</v>
      </c>
      <c r="C63" s="217" t="s">
        <v>543</v>
      </c>
      <c r="D63" s="72">
        <v>6</v>
      </c>
      <c r="E63" s="72" t="s">
        <v>72</v>
      </c>
      <c r="F63" s="84">
        <f>UNITARIOS!K2405</f>
        <v>336</v>
      </c>
      <c r="G63" s="223">
        <f t="shared" si="0"/>
        <v>2016</v>
      </c>
      <c r="L63" s="5"/>
    </row>
    <row r="64" spans="2:12" x14ac:dyDescent="0.3">
      <c r="B64" s="79">
        <v>907.04</v>
      </c>
      <c r="C64" s="217" t="s">
        <v>507</v>
      </c>
      <c r="D64" s="72">
        <v>1</v>
      </c>
      <c r="E64" s="72" t="s">
        <v>25</v>
      </c>
      <c r="F64" s="84">
        <f>UNITARIOS!K2458</f>
        <v>700</v>
      </c>
      <c r="G64" s="223">
        <f t="shared" si="0"/>
        <v>700</v>
      </c>
      <c r="L64" s="5"/>
    </row>
    <row r="65" spans="2:14" x14ac:dyDescent="0.3">
      <c r="B65" s="79">
        <v>907.05</v>
      </c>
      <c r="C65" s="217" t="s">
        <v>544</v>
      </c>
      <c r="D65" s="72">
        <v>1</v>
      </c>
      <c r="E65" s="72" t="s">
        <v>25</v>
      </c>
      <c r="F65" s="84">
        <f>UNITARIOS!K2514</f>
        <v>1176</v>
      </c>
      <c r="G65" s="223">
        <f t="shared" si="0"/>
        <v>1176</v>
      </c>
      <c r="L65" s="5"/>
    </row>
    <row r="66" spans="2:14" x14ac:dyDescent="0.3">
      <c r="B66" s="79">
        <v>907.14</v>
      </c>
      <c r="C66" s="217" t="s">
        <v>508</v>
      </c>
      <c r="D66" s="72">
        <v>1</v>
      </c>
      <c r="E66" s="72" t="s">
        <v>25</v>
      </c>
      <c r="F66" s="84">
        <f>UNITARIOS!K2570</f>
        <v>2492</v>
      </c>
      <c r="G66" s="223">
        <f t="shared" si="0"/>
        <v>2492</v>
      </c>
      <c r="H66" s="241">
        <f>SUM(G58:G66)</f>
        <v>9550.7999999999993</v>
      </c>
      <c r="L66" s="5"/>
    </row>
    <row r="67" spans="2:14" x14ac:dyDescent="0.3">
      <c r="B67" s="82"/>
      <c r="C67" s="219" t="s">
        <v>550</v>
      </c>
      <c r="D67" s="72"/>
      <c r="E67" s="73" t="s">
        <v>60</v>
      </c>
      <c r="F67" s="84"/>
      <c r="G67" s="223"/>
      <c r="L67" s="5"/>
      <c r="N67">
        <v>99</v>
      </c>
    </row>
    <row r="68" spans="2:14" x14ac:dyDescent="0.3">
      <c r="B68" s="79">
        <v>1001.01</v>
      </c>
      <c r="C68" s="217" t="s">
        <v>283</v>
      </c>
      <c r="D68" s="72">
        <v>1</v>
      </c>
      <c r="E68" s="72" t="s">
        <v>25</v>
      </c>
      <c r="F68" s="84">
        <f>UNITARIOS!K2626</f>
        <v>2051</v>
      </c>
      <c r="G68" s="223">
        <f t="shared" si="0"/>
        <v>2051</v>
      </c>
      <c r="L68" s="5"/>
    </row>
    <row r="69" spans="2:14" x14ac:dyDescent="0.3">
      <c r="B69" s="79">
        <v>1002.01</v>
      </c>
      <c r="C69" s="217" t="s">
        <v>509</v>
      </c>
      <c r="D69" s="72">
        <v>2</v>
      </c>
      <c r="E69" s="72" t="s">
        <v>25</v>
      </c>
      <c r="F69" s="84">
        <f>UNITARIOS!K2682</f>
        <v>1428</v>
      </c>
      <c r="G69" s="223">
        <f t="shared" si="0"/>
        <v>2856</v>
      </c>
      <c r="L69" s="5"/>
    </row>
    <row r="70" spans="2:14" x14ac:dyDescent="0.3">
      <c r="B70" s="79">
        <v>1007.01</v>
      </c>
      <c r="C70" s="217" t="s">
        <v>510</v>
      </c>
      <c r="D70" s="72">
        <v>2</v>
      </c>
      <c r="E70" s="72" t="s">
        <v>24</v>
      </c>
      <c r="F70" s="84">
        <f>UNITARIOS!K2738</f>
        <v>483</v>
      </c>
      <c r="G70" s="223">
        <f t="shared" si="0"/>
        <v>966</v>
      </c>
      <c r="L70" s="5"/>
    </row>
    <row r="71" spans="2:14" x14ac:dyDescent="0.3">
      <c r="B71" s="79">
        <v>1007.02</v>
      </c>
      <c r="C71" s="217" t="s">
        <v>545</v>
      </c>
      <c r="D71" s="72">
        <v>3</v>
      </c>
      <c r="E71" s="72" t="s">
        <v>25</v>
      </c>
      <c r="F71" s="84">
        <f>UNITARIOS!K2794</f>
        <v>35</v>
      </c>
      <c r="G71" s="223">
        <f t="shared" si="0"/>
        <v>105</v>
      </c>
      <c r="L71" s="5"/>
    </row>
    <row r="72" spans="2:14" x14ac:dyDescent="0.3">
      <c r="B72" s="79">
        <v>1007.05</v>
      </c>
      <c r="C72" s="217" t="s">
        <v>511</v>
      </c>
      <c r="D72" s="72">
        <v>1</v>
      </c>
      <c r="E72" s="72" t="s">
        <v>25</v>
      </c>
      <c r="F72" s="84">
        <f>UNITARIOS!K2850</f>
        <v>938</v>
      </c>
      <c r="G72" s="223">
        <f t="shared" si="0"/>
        <v>938</v>
      </c>
      <c r="L72" s="5"/>
    </row>
    <row r="73" spans="2:14" x14ac:dyDescent="0.3">
      <c r="B73" s="79">
        <v>1007.06</v>
      </c>
      <c r="C73" s="217" t="s">
        <v>546</v>
      </c>
      <c r="D73" s="72">
        <v>1</v>
      </c>
      <c r="E73" s="72" t="s">
        <v>25</v>
      </c>
      <c r="F73" s="84">
        <f>UNITARIOS!K2906</f>
        <v>938</v>
      </c>
      <c r="G73" s="223">
        <f t="shared" si="0"/>
        <v>938</v>
      </c>
      <c r="L73" s="5"/>
    </row>
    <row r="74" spans="2:14" x14ac:dyDescent="0.3">
      <c r="B74" s="79">
        <v>1007.08</v>
      </c>
      <c r="C74" s="218" t="s">
        <v>547</v>
      </c>
      <c r="D74" s="72">
        <v>1</v>
      </c>
      <c r="E74" s="72" t="s">
        <v>25</v>
      </c>
      <c r="F74" s="84">
        <f>UNITARIOS!K2962</f>
        <v>1526</v>
      </c>
      <c r="G74" s="223">
        <f t="shared" si="0"/>
        <v>1526</v>
      </c>
      <c r="L74" s="5"/>
    </row>
    <row r="75" spans="2:14" x14ac:dyDescent="0.3">
      <c r="B75" s="79">
        <v>1007.09</v>
      </c>
      <c r="C75" s="217" t="s">
        <v>548</v>
      </c>
      <c r="D75" s="72">
        <v>2</v>
      </c>
      <c r="E75" s="72" t="s">
        <v>25</v>
      </c>
      <c r="F75" s="84">
        <f>UNITARIOS!K3018</f>
        <v>385</v>
      </c>
      <c r="G75" s="223">
        <f t="shared" si="0"/>
        <v>770</v>
      </c>
      <c r="H75" s="241">
        <f>SUM(G68:G75)</f>
        <v>10150</v>
      </c>
      <c r="L75" s="5"/>
    </row>
    <row r="76" spans="2:14" x14ac:dyDescent="0.3">
      <c r="B76" s="79"/>
      <c r="C76" s="88" t="s">
        <v>56</v>
      </c>
      <c r="D76" s="72"/>
      <c r="E76" s="73" t="s">
        <v>60</v>
      </c>
      <c r="F76" s="84"/>
      <c r="G76" s="223"/>
      <c r="L76" s="5"/>
    </row>
    <row r="77" spans="2:14" x14ac:dyDescent="0.3">
      <c r="B77" s="79">
        <v>1005.03</v>
      </c>
      <c r="C77" s="217" t="s">
        <v>553</v>
      </c>
      <c r="D77" s="72">
        <v>1</v>
      </c>
      <c r="E77" s="72" t="s">
        <v>25</v>
      </c>
      <c r="F77" s="84">
        <f>UNITARIOS!K3071</f>
        <v>2149</v>
      </c>
      <c r="G77" s="223">
        <f t="shared" si="0"/>
        <v>2149</v>
      </c>
      <c r="L77" s="5"/>
    </row>
    <row r="78" spans="2:14" x14ac:dyDescent="0.3">
      <c r="B78" s="79">
        <v>1009.03</v>
      </c>
      <c r="C78" s="217" t="s">
        <v>554</v>
      </c>
      <c r="D78" s="80">
        <v>7</v>
      </c>
      <c r="E78" s="80" t="s">
        <v>25</v>
      </c>
      <c r="F78" s="81">
        <f>UNITARIOS!K3123</f>
        <v>819</v>
      </c>
      <c r="G78" s="223">
        <f t="shared" si="0"/>
        <v>5733</v>
      </c>
      <c r="L78" s="5"/>
    </row>
    <row r="79" spans="2:14" x14ac:dyDescent="0.3">
      <c r="B79" s="79">
        <v>1011.01</v>
      </c>
      <c r="C79" s="217" t="s">
        <v>280</v>
      </c>
      <c r="D79" s="80">
        <v>2</v>
      </c>
      <c r="E79" s="80" t="s">
        <v>25</v>
      </c>
      <c r="F79" s="81">
        <f>UNITARIOS!K3172</f>
        <v>280</v>
      </c>
      <c r="G79" s="223">
        <f t="shared" si="0"/>
        <v>560</v>
      </c>
      <c r="L79" s="5"/>
    </row>
    <row r="80" spans="2:14" x14ac:dyDescent="0.3">
      <c r="B80" s="79">
        <v>1011.02</v>
      </c>
      <c r="C80" s="217" t="s">
        <v>512</v>
      </c>
      <c r="D80" s="80">
        <v>1</v>
      </c>
      <c r="E80" s="80" t="s">
        <v>25</v>
      </c>
      <c r="F80" s="81">
        <f>UNITARIOS!K3221</f>
        <v>350</v>
      </c>
      <c r="G80" s="223">
        <f t="shared" si="0"/>
        <v>350</v>
      </c>
      <c r="L80" s="5"/>
    </row>
    <row r="81" spans="2:15" x14ac:dyDescent="0.3">
      <c r="B81" s="79">
        <v>1012.02</v>
      </c>
      <c r="C81" s="217" t="s">
        <v>555</v>
      </c>
      <c r="D81" s="80">
        <v>7</v>
      </c>
      <c r="E81" s="80" t="s">
        <v>25</v>
      </c>
      <c r="F81" s="81">
        <f>UNITARIOS!K3271</f>
        <v>371</v>
      </c>
      <c r="G81" s="223">
        <f t="shared" si="0"/>
        <v>2597</v>
      </c>
      <c r="H81" s="241">
        <f>SUM(G77:G81)</f>
        <v>11389</v>
      </c>
      <c r="L81" s="5"/>
    </row>
    <row r="82" spans="2:15" x14ac:dyDescent="0.3">
      <c r="B82" s="79"/>
      <c r="C82" s="88" t="s">
        <v>551</v>
      </c>
      <c r="D82" s="80"/>
      <c r="E82" s="80" t="s">
        <v>60</v>
      </c>
      <c r="F82" s="81"/>
      <c r="G82" s="223"/>
      <c r="I82" s="68"/>
      <c r="J82" s="68"/>
      <c r="L82" s="5"/>
    </row>
    <row r="83" spans="2:15" x14ac:dyDescent="0.3">
      <c r="B83" s="79">
        <v>1207.01</v>
      </c>
      <c r="C83" s="217" t="s">
        <v>556</v>
      </c>
      <c r="D83" s="80">
        <v>1</v>
      </c>
      <c r="E83" s="80" t="s">
        <v>25</v>
      </c>
      <c r="F83" s="81">
        <f>UNITARIOS!K3321</f>
        <v>1924.37</v>
      </c>
      <c r="G83" s="223">
        <f t="shared" si="0"/>
        <v>1924.37</v>
      </c>
      <c r="I83" s="68"/>
      <c r="J83" s="68"/>
      <c r="L83" s="5"/>
    </row>
    <row r="84" spans="2:15" x14ac:dyDescent="0.3">
      <c r="B84" s="79">
        <v>1207.03</v>
      </c>
      <c r="C84" s="217" t="s">
        <v>513</v>
      </c>
      <c r="D84" s="80">
        <v>1</v>
      </c>
      <c r="E84" s="80" t="s">
        <v>25</v>
      </c>
      <c r="F84" s="81">
        <f>UNITARIOS!K3371</f>
        <v>1624</v>
      </c>
      <c r="G84" s="223">
        <f t="shared" si="0"/>
        <v>1624</v>
      </c>
      <c r="L84" s="5"/>
    </row>
    <row r="85" spans="2:15" x14ac:dyDescent="0.3">
      <c r="B85" s="79">
        <v>1208.02</v>
      </c>
      <c r="C85" s="217" t="s">
        <v>57</v>
      </c>
      <c r="D85" s="80">
        <v>1</v>
      </c>
      <c r="E85" s="80" t="s">
        <v>25</v>
      </c>
      <c r="F85" s="81">
        <f>UNITARIOS!K3421</f>
        <v>2881.2</v>
      </c>
      <c r="G85" s="223">
        <f t="shared" si="0"/>
        <v>2881.2</v>
      </c>
      <c r="H85" s="241">
        <f>SUM(G83:G85)</f>
        <v>6429.57</v>
      </c>
      <c r="I85" s="68"/>
      <c r="J85" s="68"/>
      <c r="L85" s="5"/>
    </row>
    <row r="86" spans="2:15" x14ac:dyDescent="0.3">
      <c r="B86" s="82"/>
      <c r="C86" s="88" t="s">
        <v>552</v>
      </c>
      <c r="D86" s="83"/>
      <c r="E86" s="74" t="s">
        <v>60</v>
      </c>
      <c r="F86" s="84"/>
      <c r="G86" s="223"/>
      <c r="L86" s="5"/>
    </row>
    <row r="87" spans="2:15" x14ac:dyDescent="0.3">
      <c r="B87" s="79">
        <v>1304.02</v>
      </c>
      <c r="C87" s="217" t="s">
        <v>514</v>
      </c>
      <c r="D87" s="72">
        <v>3.39</v>
      </c>
      <c r="E87" s="72" t="s">
        <v>72</v>
      </c>
      <c r="F87" s="84">
        <f>UNITARIOS!K3476</f>
        <v>1400</v>
      </c>
      <c r="G87" s="223">
        <f t="shared" si="0"/>
        <v>4746</v>
      </c>
      <c r="L87" s="5"/>
    </row>
    <row r="88" spans="2:15" x14ac:dyDescent="0.3">
      <c r="B88" s="79">
        <v>1304.0139999999999</v>
      </c>
      <c r="C88" s="217" t="s">
        <v>460</v>
      </c>
      <c r="D88" s="72">
        <v>1</v>
      </c>
      <c r="E88" s="72" t="s">
        <v>25</v>
      </c>
      <c r="F88" s="84">
        <f>UNITARIOS!K3531</f>
        <v>7791</v>
      </c>
      <c r="G88" s="223">
        <f t="shared" si="0"/>
        <v>7791</v>
      </c>
      <c r="H88" s="241">
        <f>SUM(G86:G88)</f>
        <v>12537</v>
      </c>
      <c r="L88" s="5"/>
    </row>
    <row r="89" spans="2:15" x14ac:dyDescent="0.3">
      <c r="B89" s="82"/>
      <c r="C89" s="88" t="s">
        <v>58</v>
      </c>
      <c r="D89" s="72"/>
      <c r="E89" s="73" t="s">
        <v>60</v>
      </c>
      <c r="F89" s="84"/>
      <c r="G89" s="223"/>
      <c r="L89" s="5"/>
    </row>
    <row r="90" spans="2:15" x14ac:dyDescent="0.3">
      <c r="B90" s="79">
        <v>1410.05</v>
      </c>
      <c r="C90" s="217" t="s">
        <v>59</v>
      </c>
      <c r="D90" s="72">
        <v>1</v>
      </c>
      <c r="E90" s="72" t="s">
        <v>25</v>
      </c>
      <c r="F90" s="84">
        <f>UNITARIOS!K3586</f>
        <v>4508</v>
      </c>
      <c r="G90" s="223">
        <f t="shared" si="0"/>
        <v>4508</v>
      </c>
      <c r="H90" s="241">
        <f>SUM(G89:G90)</f>
        <v>4508</v>
      </c>
      <c r="I90" s="67">
        <f>SUM(G10:G90)</f>
        <v>371000.00000000006</v>
      </c>
      <c r="J90" s="67">
        <f>$G$161</f>
        <v>753249</v>
      </c>
      <c r="L90" s="5"/>
    </row>
    <row r="91" spans="2:15" s="194" customFormat="1" x14ac:dyDescent="0.3">
      <c r="B91" s="93"/>
      <c r="C91" s="220" t="s">
        <v>515</v>
      </c>
      <c r="D91" s="200"/>
      <c r="E91" s="200"/>
      <c r="F91" s="202"/>
      <c r="G91" s="224"/>
      <c r="I91" s="203"/>
      <c r="J91" s="203"/>
      <c r="L91" s="197"/>
      <c r="O91" s="198"/>
    </row>
    <row r="92" spans="2:15" x14ac:dyDescent="0.3">
      <c r="B92" s="82"/>
      <c r="C92" s="88" t="s">
        <v>46</v>
      </c>
      <c r="D92" s="72"/>
      <c r="E92" s="73" t="s">
        <v>60</v>
      </c>
      <c r="F92" s="84"/>
      <c r="G92" s="223"/>
      <c r="L92" s="5"/>
    </row>
    <row r="93" spans="2:15" x14ac:dyDescent="0.3">
      <c r="B93" s="79">
        <v>101.07</v>
      </c>
      <c r="C93" s="218" t="s">
        <v>461</v>
      </c>
      <c r="D93" s="72">
        <v>29</v>
      </c>
      <c r="E93" s="72" t="s">
        <v>24</v>
      </c>
      <c r="F93" s="84">
        <f>UNITARIOS!K3642</f>
        <v>14</v>
      </c>
      <c r="G93" s="223">
        <f t="shared" si="0"/>
        <v>406</v>
      </c>
      <c r="L93" s="5"/>
    </row>
    <row r="94" spans="2:15" x14ac:dyDescent="0.3">
      <c r="B94" s="79">
        <v>115.02</v>
      </c>
      <c r="C94" s="217" t="s">
        <v>381</v>
      </c>
      <c r="D94" s="72">
        <v>3</v>
      </c>
      <c r="E94" s="72" t="s">
        <v>25</v>
      </c>
      <c r="F94" s="84">
        <f>UNITARIOS!K3698</f>
        <v>308</v>
      </c>
      <c r="G94" s="223">
        <f t="shared" si="0"/>
        <v>924</v>
      </c>
      <c r="H94" s="241">
        <f>SUM(G93:G94)</f>
        <v>1330</v>
      </c>
      <c r="L94" s="5"/>
    </row>
    <row r="95" spans="2:15" x14ac:dyDescent="0.3">
      <c r="B95" s="82"/>
      <c r="C95" s="88" t="s">
        <v>50</v>
      </c>
      <c r="D95" s="72"/>
      <c r="E95" s="73" t="s">
        <v>60</v>
      </c>
      <c r="F95" s="84"/>
      <c r="G95" s="223"/>
      <c r="L95" s="5"/>
    </row>
    <row r="96" spans="2:15" x14ac:dyDescent="0.3">
      <c r="B96" s="79">
        <v>508.01</v>
      </c>
      <c r="C96" s="218" t="s">
        <v>557</v>
      </c>
      <c r="D96" s="72">
        <v>21</v>
      </c>
      <c r="E96" s="72" t="s">
        <v>24</v>
      </c>
      <c r="F96" s="84">
        <f>UNITARIOS!K3754</f>
        <v>490</v>
      </c>
      <c r="G96" s="223">
        <f t="shared" si="0"/>
        <v>10290</v>
      </c>
      <c r="H96" s="241">
        <f>SUM(G95:G96)</f>
        <v>10290</v>
      </c>
      <c r="J96" s="68"/>
      <c r="L96" s="5"/>
    </row>
    <row r="97" spans="2:15" x14ac:dyDescent="0.3">
      <c r="B97" s="82"/>
      <c r="C97" s="88" t="s">
        <v>51</v>
      </c>
      <c r="D97" s="72"/>
      <c r="E97" s="73" t="s">
        <v>60</v>
      </c>
      <c r="F97" s="84"/>
      <c r="G97" s="223"/>
      <c r="L97" s="5"/>
    </row>
    <row r="98" spans="2:15" x14ac:dyDescent="0.3">
      <c r="B98" s="79">
        <v>605.01</v>
      </c>
      <c r="C98" s="218" t="s">
        <v>558</v>
      </c>
      <c r="D98" s="72">
        <v>29</v>
      </c>
      <c r="E98" s="72" t="s">
        <v>24</v>
      </c>
      <c r="F98" s="84">
        <f>UNITARIOS!K3805</f>
        <v>315</v>
      </c>
      <c r="G98" s="223">
        <f t="shared" si="0"/>
        <v>9135</v>
      </c>
      <c r="L98" s="5"/>
    </row>
    <row r="99" spans="2:15" x14ac:dyDescent="0.3">
      <c r="B99" s="79">
        <v>605.08000000000004</v>
      </c>
      <c r="C99" s="218" t="s">
        <v>559</v>
      </c>
      <c r="D99" s="72">
        <v>8</v>
      </c>
      <c r="E99" s="72" t="s">
        <v>24</v>
      </c>
      <c r="F99" s="84">
        <f>UNITARIOS!K3856</f>
        <v>350</v>
      </c>
      <c r="G99" s="223">
        <f t="shared" si="0"/>
        <v>2800</v>
      </c>
      <c r="L99" s="5"/>
    </row>
    <row r="100" spans="2:15" x14ac:dyDescent="0.3">
      <c r="B100" s="79">
        <v>611.01</v>
      </c>
      <c r="C100" s="218" t="s">
        <v>53</v>
      </c>
      <c r="D100" s="72">
        <v>130</v>
      </c>
      <c r="E100" s="72" t="s">
        <v>24</v>
      </c>
      <c r="F100" s="84">
        <f>UNITARIOS!K3912</f>
        <v>49</v>
      </c>
      <c r="G100" s="223">
        <f t="shared" ref="G100:G160" si="1">+D100*F100</f>
        <v>6370</v>
      </c>
      <c r="H100" s="241">
        <f>SUM(G98:G100)</f>
        <v>18305</v>
      </c>
      <c r="L100" s="5"/>
    </row>
    <row r="101" spans="2:15" x14ac:dyDescent="0.3">
      <c r="B101" s="82"/>
      <c r="C101" s="88" t="s">
        <v>54</v>
      </c>
      <c r="D101" s="72"/>
      <c r="E101" s="73" t="s">
        <v>60</v>
      </c>
      <c r="F101" s="84"/>
      <c r="G101" s="223"/>
      <c r="L101" s="5"/>
    </row>
    <row r="102" spans="2:15" x14ac:dyDescent="0.3">
      <c r="B102" s="79">
        <v>701.02</v>
      </c>
      <c r="C102" s="218" t="s">
        <v>560</v>
      </c>
      <c r="D102" s="72">
        <v>3</v>
      </c>
      <c r="E102" s="72" t="s">
        <v>25</v>
      </c>
      <c r="F102" s="84">
        <f>UNITARIOS!K3968</f>
        <v>2583</v>
      </c>
      <c r="G102" s="223">
        <f t="shared" si="1"/>
        <v>7749</v>
      </c>
      <c r="H102" s="241">
        <f>SUM(G101:G102)</f>
        <v>7749</v>
      </c>
      <c r="L102" s="5"/>
    </row>
    <row r="103" spans="2:15" x14ac:dyDescent="0.3">
      <c r="B103" s="79"/>
      <c r="C103" s="88" t="s">
        <v>55</v>
      </c>
      <c r="D103" s="192"/>
      <c r="E103" s="193"/>
      <c r="F103" s="81"/>
      <c r="G103" s="223"/>
      <c r="L103" s="5"/>
    </row>
    <row r="104" spans="2:15" x14ac:dyDescent="0.3">
      <c r="B104" s="79">
        <v>806.06</v>
      </c>
      <c r="C104" s="218" t="s">
        <v>516</v>
      </c>
      <c r="D104" s="192">
        <v>10</v>
      </c>
      <c r="E104" s="193" t="s">
        <v>24</v>
      </c>
      <c r="F104" s="81">
        <f>UNITARIOS!K4024</f>
        <v>700</v>
      </c>
      <c r="G104" s="223">
        <f t="shared" si="1"/>
        <v>7000</v>
      </c>
      <c r="L104" s="5"/>
    </row>
    <row r="105" spans="2:15" x14ac:dyDescent="0.3">
      <c r="B105" s="79">
        <v>806.09</v>
      </c>
      <c r="C105" s="218" t="s">
        <v>517</v>
      </c>
      <c r="D105" s="192">
        <v>10</v>
      </c>
      <c r="E105" s="193" t="s">
        <v>24</v>
      </c>
      <c r="F105" s="81">
        <f>UNITARIOS!K4080</f>
        <v>259</v>
      </c>
      <c r="G105" s="223">
        <f t="shared" si="1"/>
        <v>2590</v>
      </c>
      <c r="H105" s="241">
        <f>SUM(G104:G105)</f>
        <v>9590</v>
      </c>
      <c r="L105" s="5"/>
    </row>
    <row r="106" spans="2:15" x14ac:dyDescent="0.3">
      <c r="B106" s="82"/>
      <c r="C106" s="88" t="s">
        <v>518</v>
      </c>
      <c r="D106" s="83"/>
      <c r="E106" s="74"/>
      <c r="F106" s="84"/>
      <c r="G106" s="223"/>
      <c r="L106" s="5"/>
    </row>
    <row r="107" spans="2:15" x14ac:dyDescent="0.3">
      <c r="B107" s="79">
        <v>1109.03</v>
      </c>
      <c r="C107" s="217" t="s">
        <v>554</v>
      </c>
      <c r="D107" s="72">
        <v>3</v>
      </c>
      <c r="E107" s="72" t="s">
        <v>25</v>
      </c>
      <c r="F107" s="84">
        <f>UNITARIOS!K4132</f>
        <v>819</v>
      </c>
      <c r="G107" s="223">
        <f t="shared" si="1"/>
        <v>2457</v>
      </c>
      <c r="L107" s="5"/>
    </row>
    <row r="108" spans="2:15" x14ac:dyDescent="0.3">
      <c r="B108" s="79">
        <v>1112.01</v>
      </c>
      <c r="C108" s="217" t="s">
        <v>561</v>
      </c>
      <c r="D108" s="72">
        <v>1</v>
      </c>
      <c r="E108" s="72" t="s">
        <v>25</v>
      </c>
      <c r="F108" s="84">
        <f>UNITARIOS!K4182</f>
        <v>273</v>
      </c>
      <c r="G108" s="223">
        <f t="shared" si="1"/>
        <v>273</v>
      </c>
      <c r="H108" s="241">
        <f>SUM(G107:G108)</f>
        <v>2730</v>
      </c>
      <c r="I108" s="67">
        <f>SUM(G93:G108)</f>
        <v>49994</v>
      </c>
      <c r="J108" s="67">
        <f>$G$161</f>
        <v>753249</v>
      </c>
      <c r="L108" s="5"/>
    </row>
    <row r="109" spans="2:15" s="194" customFormat="1" x14ac:dyDescent="0.3">
      <c r="B109" s="93"/>
      <c r="C109" s="220" t="s">
        <v>562</v>
      </c>
      <c r="D109" s="200"/>
      <c r="E109" s="200"/>
      <c r="F109" s="202"/>
      <c r="G109" s="224"/>
      <c r="I109" s="203"/>
      <c r="J109" s="203"/>
      <c r="L109" s="197"/>
      <c r="O109" s="198"/>
    </row>
    <row r="110" spans="2:15" x14ac:dyDescent="0.3">
      <c r="B110" s="79"/>
      <c r="C110" s="88" t="s">
        <v>46</v>
      </c>
      <c r="D110" s="72"/>
      <c r="E110" s="72"/>
      <c r="F110" s="84"/>
      <c r="G110" s="223"/>
      <c r="L110" s="5"/>
    </row>
    <row r="111" spans="2:15" x14ac:dyDescent="0.3">
      <c r="B111" s="79">
        <v>111.03</v>
      </c>
      <c r="C111" s="217" t="s">
        <v>493</v>
      </c>
      <c r="D111" s="72">
        <v>37</v>
      </c>
      <c r="E111" s="72" t="s">
        <v>24</v>
      </c>
      <c r="F111" s="84">
        <f>UNITARIOS!K4238</f>
        <v>126</v>
      </c>
      <c r="G111" s="223">
        <f t="shared" si="1"/>
        <v>4662</v>
      </c>
      <c r="L111" s="5"/>
    </row>
    <row r="112" spans="2:15" x14ac:dyDescent="0.3">
      <c r="B112" s="79">
        <v>114.03</v>
      </c>
      <c r="C112" s="217" t="s">
        <v>277</v>
      </c>
      <c r="D112" s="72">
        <v>21</v>
      </c>
      <c r="E112" s="72" t="s">
        <v>24</v>
      </c>
      <c r="F112" s="84">
        <f>UNITARIOS!K4289</f>
        <v>84</v>
      </c>
      <c r="G112" s="223">
        <f t="shared" si="1"/>
        <v>1764</v>
      </c>
      <c r="L112" s="5"/>
    </row>
    <row r="113" spans="2:12" x14ac:dyDescent="0.3">
      <c r="B113" s="79">
        <v>118.01</v>
      </c>
      <c r="C113" s="217" t="s">
        <v>520</v>
      </c>
      <c r="D113" s="72">
        <v>3</v>
      </c>
      <c r="E113" s="72" t="s">
        <v>25</v>
      </c>
      <c r="F113" s="84">
        <f>UNITARIOS!K4338</f>
        <v>84</v>
      </c>
      <c r="G113" s="223">
        <f t="shared" si="1"/>
        <v>252</v>
      </c>
      <c r="H113" s="241">
        <f>SUM(G111:G113)</f>
        <v>6678</v>
      </c>
      <c r="L113" s="5"/>
    </row>
    <row r="114" spans="2:12" x14ac:dyDescent="0.3">
      <c r="B114" s="93"/>
      <c r="C114" s="220" t="s">
        <v>519</v>
      </c>
      <c r="D114" s="200"/>
      <c r="E114" s="200"/>
      <c r="F114" s="202"/>
      <c r="G114" s="224"/>
      <c r="L114" s="5"/>
    </row>
    <row r="115" spans="2:12" x14ac:dyDescent="0.3">
      <c r="B115" s="79"/>
      <c r="C115" s="88" t="s">
        <v>46</v>
      </c>
      <c r="D115" s="72"/>
      <c r="E115" s="72"/>
      <c r="F115" s="84"/>
      <c r="G115" s="223"/>
      <c r="L115" s="5"/>
    </row>
    <row r="116" spans="2:12" x14ac:dyDescent="0.3">
      <c r="B116" s="79">
        <v>101.07</v>
      </c>
      <c r="C116" s="218" t="s">
        <v>461</v>
      </c>
      <c r="D116" s="72">
        <v>108</v>
      </c>
      <c r="E116" s="72" t="s">
        <v>24</v>
      </c>
      <c r="F116" s="84">
        <f>UNITARIOS!K4390</f>
        <v>14</v>
      </c>
      <c r="G116" s="223">
        <f t="shared" si="1"/>
        <v>1512</v>
      </c>
      <c r="L116" s="5"/>
    </row>
    <row r="117" spans="2:12" x14ac:dyDescent="0.3">
      <c r="B117" s="79">
        <v>115.02</v>
      </c>
      <c r="C117" s="217" t="s">
        <v>381</v>
      </c>
      <c r="D117" s="72">
        <v>2</v>
      </c>
      <c r="E117" s="72" t="s">
        <v>25</v>
      </c>
      <c r="F117" s="84">
        <f>UNITARIOS!K4442</f>
        <v>308</v>
      </c>
      <c r="G117" s="223">
        <f t="shared" si="1"/>
        <v>616</v>
      </c>
      <c r="H117" s="241">
        <f>SUM(G115:G117)</f>
        <v>2128</v>
      </c>
      <c r="L117" s="5"/>
    </row>
    <row r="118" spans="2:12" x14ac:dyDescent="0.3">
      <c r="B118" s="82"/>
      <c r="C118" s="88" t="s">
        <v>50</v>
      </c>
      <c r="D118" s="72"/>
      <c r="E118" s="73" t="s">
        <v>60</v>
      </c>
      <c r="F118" s="84"/>
      <c r="G118" s="223"/>
      <c r="L118" s="5"/>
    </row>
    <row r="119" spans="2:12" x14ac:dyDescent="0.3">
      <c r="B119" s="79">
        <v>508.01</v>
      </c>
      <c r="C119" s="218" t="s">
        <v>557</v>
      </c>
      <c r="D119" s="72">
        <v>156</v>
      </c>
      <c r="E119" s="72" t="s">
        <v>24</v>
      </c>
      <c r="F119" s="84">
        <f>UNITARIOS!K4495</f>
        <v>490</v>
      </c>
      <c r="G119" s="223">
        <f t="shared" si="1"/>
        <v>76440</v>
      </c>
      <c r="H119" s="241">
        <f>SUM(G118:G119)</f>
        <v>76440</v>
      </c>
      <c r="J119" s="68"/>
      <c r="L119" s="5"/>
    </row>
    <row r="120" spans="2:12" x14ac:dyDescent="0.3">
      <c r="B120" s="82"/>
      <c r="C120" s="88" t="s">
        <v>51</v>
      </c>
      <c r="D120" s="72"/>
      <c r="E120" s="73" t="s">
        <v>60</v>
      </c>
      <c r="F120" s="84"/>
      <c r="G120" s="223"/>
      <c r="L120" s="5"/>
    </row>
    <row r="121" spans="2:12" x14ac:dyDescent="0.3">
      <c r="B121" s="79">
        <v>605.01</v>
      </c>
      <c r="C121" s="218" t="s">
        <v>558</v>
      </c>
      <c r="D121" s="72">
        <v>108</v>
      </c>
      <c r="E121" s="72" t="s">
        <v>24</v>
      </c>
      <c r="F121" s="84">
        <f>UNITARIOS!K4546</f>
        <v>315</v>
      </c>
      <c r="G121" s="223">
        <f t="shared" si="1"/>
        <v>34020</v>
      </c>
      <c r="L121" s="5"/>
    </row>
    <row r="122" spans="2:12" x14ac:dyDescent="0.3">
      <c r="B122" s="79">
        <v>605.08000000000004</v>
      </c>
      <c r="C122" s="218" t="s">
        <v>559</v>
      </c>
      <c r="D122" s="72">
        <v>28</v>
      </c>
      <c r="E122" s="72" t="s">
        <v>24</v>
      </c>
      <c r="F122" s="84">
        <f>UNITARIOS!K4597</f>
        <v>350</v>
      </c>
      <c r="G122" s="223">
        <f t="shared" si="1"/>
        <v>9800</v>
      </c>
      <c r="L122" s="5"/>
    </row>
    <row r="123" spans="2:12" x14ac:dyDescent="0.3">
      <c r="B123" s="79">
        <v>611.01</v>
      </c>
      <c r="C123" s="218" t="s">
        <v>53</v>
      </c>
      <c r="D123" s="72">
        <v>280</v>
      </c>
      <c r="E123" s="72" t="s">
        <v>24</v>
      </c>
      <c r="F123" s="84">
        <f>UNITARIOS!K4653</f>
        <v>49</v>
      </c>
      <c r="G123" s="223">
        <f t="shared" si="1"/>
        <v>13720</v>
      </c>
      <c r="H123" s="241">
        <f>SUM(G121:G123)</f>
        <v>57540</v>
      </c>
      <c r="L123" s="5"/>
    </row>
    <row r="124" spans="2:12" x14ac:dyDescent="0.3">
      <c r="B124" s="82"/>
      <c r="C124" s="88" t="s">
        <v>54</v>
      </c>
      <c r="D124" s="72"/>
      <c r="E124" s="73" t="s">
        <v>60</v>
      </c>
      <c r="F124" s="84"/>
      <c r="G124" s="223"/>
      <c r="L124" s="5"/>
    </row>
    <row r="125" spans="2:12" x14ac:dyDescent="0.3">
      <c r="B125" s="79">
        <v>701.02</v>
      </c>
      <c r="C125" s="218" t="s">
        <v>560</v>
      </c>
      <c r="D125" s="72">
        <v>2</v>
      </c>
      <c r="E125" s="72" t="s">
        <v>25</v>
      </c>
      <c r="F125" s="84">
        <f>UNITARIOS!K4709</f>
        <v>2583</v>
      </c>
      <c r="G125" s="223">
        <f t="shared" si="1"/>
        <v>5166</v>
      </c>
      <c r="H125" s="241">
        <f>SUM(G124:G125)</f>
        <v>5166</v>
      </c>
      <c r="L125" s="5"/>
    </row>
    <row r="126" spans="2:12" x14ac:dyDescent="0.3">
      <c r="B126" s="79"/>
      <c r="C126" s="88" t="s">
        <v>55</v>
      </c>
      <c r="D126" s="192"/>
      <c r="E126" s="193"/>
      <c r="F126" s="81"/>
      <c r="G126" s="223"/>
      <c r="L126" s="5"/>
    </row>
    <row r="127" spans="2:12" x14ac:dyDescent="0.3">
      <c r="B127" s="79">
        <v>806.06</v>
      </c>
      <c r="C127" s="218" t="s">
        <v>516</v>
      </c>
      <c r="D127" s="192">
        <v>40</v>
      </c>
      <c r="E127" s="193" t="s">
        <v>24</v>
      </c>
      <c r="F127" s="81">
        <f>UNITARIOS!K4765</f>
        <v>700</v>
      </c>
      <c r="G127" s="223">
        <f t="shared" si="1"/>
        <v>28000</v>
      </c>
      <c r="L127" s="5"/>
    </row>
    <row r="128" spans="2:12" x14ac:dyDescent="0.3">
      <c r="B128" s="79">
        <v>806.09</v>
      </c>
      <c r="C128" s="218" t="s">
        <v>517</v>
      </c>
      <c r="D128" s="192">
        <v>40</v>
      </c>
      <c r="E128" s="193" t="s">
        <v>24</v>
      </c>
      <c r="F128" s="81">
        <f>UNITARIOS!K4821</f>
        <v>259</v>
      </c>
      <c r="G128" s="223">
        <f t="shared" si="1"/>
        <v>10360</v>
      </c>
      <c r="H128" s="241">
        <f>SUM(G126:G128)</f>
        <v>38360</v>
      </c>
      <c r="L128" s="5"/>
    </row>
    <row r="129" spans="2:15" x14ac:dyDescent="0.3">
      <c r="B129" s="82"/>
      <c r="C129" s="88" t="s">
        <v>56</v>
      </c>
      <c r="D129" s="72"/>
      <c r="E129" s="73" t="s">
        <v>60</v>
      </c>
      <c r="F129" s="84"/>
      <c r="G129" s="223"/>
      <c r="L129" s="5"/>
    </row>
    <row r="130" spans="2:15" x14ac:dyDescent="0.3">
      <c r="B130" s="79">
        <v>1105.01</v>
      </c>
      <c r="C130" s="217" t="s">
        <v>459</v>
      </c>
      <c r="D130" s="72">
        <v>2</v>
      </c>
      <c r="E130" s="72" t="s">
        <v>25</v>
      </c>
      <c r="F130" s="84">
        <f>UNITARIOS!K4874</f>
        <v>3024</v>
      </c>
      <c r="G130" s="223">
        <f t="shared" si="1"/>
        <v>6048</v>
      </c>
      <c r="L130" s="5"/>
    </row>
    <row r="131" spans="2:15" x14ac:dyDescent="0.3">
      <c r="B131" s="79">
        <v>1109.03</v>
      </c>
      <c r="C131" s="217" t="s">
        <v>554</v>
      </c>
      <c r="D131" s="72">
        <v>14</v>
      </c>
      <c r="E131" s="72" t="s">
        <v>25</v>
      </c>
      <c r="F131" s="84">
        <f>UNITARIOS!K4926</f>
        <v>819</v>
      </c>
      <c r="G131" s="223">
        <f t="shared" si="1"/>
        <v>11466</v>
      </c>
      <c r="L131" s="5"/>
    </row>
    <row r="132" spans="2:15" x14ac:dyDescent="0.3">
      <c r="B132" s="79">
        <v>1112.01</v>
      </c>
      <c r="C132" s="217" t="s">
        <v>561</v>
      </c>
      <c r="D132" s="80">
        <v>2</v>
      </c>
      <c r="E132" s="80" t="s">
        <v>25</v>
      </c>
      <c r="F132" s="81">
        <f>UNITARIOS!K4976</f>
        <v>273</v>
      </c>
      <c r="G132" s="223">
        <f t="shared" si="1"/>
        <v>546</v>
      </c>
      <c r="H132" s="241">
        <f>SUM(G130:G132)</f>
        <v>18060</v>
      </c>
      <c r="L132" s="5"/>
    </row>
    <row r="133" spans="2:15" s="194" customFormat="1" x14ac:dyDescent="0.3">
      <c r="B133" s="93"/>
      <c r="C133" s="220" t="s">
        <v>563</v>
      </c>
      <c r="D133" s="195"/>
      <c r="E133" s="195" t="s">
        <v>60</v>
      </c>
      <c r="F133" s="96"/>
      <c r="G133" s="224"/>
      <c r="I133" s="196"/>
      <c r="J133" s="196"/>
      <c r="L133" s="197"/>
      <c r="O133" s="198"/>
    </row>
    <row r="134" spans="2:15" x14ac:dyDescent="0.3">
      <c r="B134" s="82"/>
      <c r="C134" s="88" t="s">
        <v>46</v>
      </c>
      <c r="D134" s="83"/>
      <c r="E134" s="74" t="s">
        <v>60</v>
      </c>
      <c r="F134" s="84"/>
      <c r="G134" s="223"/>
      <c r="L134" s="5"/>
    </row>
    <row r="135" spans="2:15" x14ac:dyDescent="0.3">
      <c r="B135" s="79">
        <v>111.03</v>
      </c>
      <c r="C135" s="217" t="s">
        <v>493</v>
      </c>
      <c r="D135" s="72">
        <v>136</v>
      </c>
      <c r="E135" s="72" t="s">
        <v>24</v>
      </c>
      <c r="F135" s="84">
        <f>UNITARIOS!K5032</f>
        <v>126</v>
      </c>
      <c r="G135" s="223">
        <f t="shared" si="1"/>
        <v>17136</v>
      </c>
      <c r="L135" s="5"/>
    </row>
    <row r="136" spans="2:15" x14ac:dyDescent="0.3">
      <c r="B136" s="79">
        <v>114.03</v>
      </c>
      <c r="C136" s="217" t="s">
        <v>277</v>
      </c>
      <c r="D136" s="72">
        <v>156</v>
      </c>
      <c r="E136" s="72" t="s">
        <v>24</v>
      </c>
      <c r="F136" s="84">
        <f>UNITARIOS!K5088</f>
        <v>84</v>
      </c>
      <c r="G136" s="223">
        <f t="shared" si="1"/>
        <v>13104</v>
      </c>
      <c r="L136" s="5"/>
    </row>
    <row r="137" spans="2:15" x14ac:dyDescent="0.3">
      <c r="B137" s="79">
        <v>118.01</v>
      </c>
      <c r="C137" s="217" t="s">
        <v>520</v>
      </c>
      <c r="D137" s="72">
        <v>14</v>
      </c>
      <c r="E137" s="72" t="s">
        <v>25</v>
      </c>
      <c r="F137" s="84">
        <f>UNITARIOS!K5144</f>
        <v>84</v>
      </c>
      <c r="G137" s="223">
        <f t="shared" si="1"/>
        <v>1176</v>
      </c>
      <c r="H137" s="241">
        <f>SUM(G135:G137)</f>
        <v>31416</v>
      </c>
      <c r="L137" s="5"/>
    </row>
    <row r="138" spans="2:15" s="194" customFormat="1" x14ac:dyDescent="0.3">
      <c r="B138" s="199"/>
      <c r="C138" s="220" t="s">
        <v>521</v>
      </c>
      <c r="D138" s="200"/>
      <c r="E138" s="201" t="s">
        <v>60</v>
      </c>
      <c r="F138" s="202"/>
      <c r="G138" s="224"/>
      <c r="I138" s="203"/>
      <c r="J138" s="203"/>
      <c r="L138" s="197"/>
      <c r="O138" s="198"/>
    </row>
    <row r="139" spans="2:15" x14ac:dyDescent="0.3">
      <c r="B139" s="79"/>
      <c r="C139" s="88" t="s">
        <v>46</v>
      </c>
      <c r="D139" s="72"/>
      <c r="E139" s="72"/>
      <c r="F139" s="84"/>
      <c r="G139" s="223"/>
      <c r="L139" s="5"/>
    </row>
    <row r="140" spans="2:15" x14ac:dyDescent="0.3">
      <c r="B140" s="79">
        <v>105.02</v>
      </c>
      <c r="C140" s="217" t="s">
        <v>381</v>
      </c>
      <c r="D140" s="72">
        <v>3</v>
      </c>
      <c r="E140" s="72" t="s">
        <v>25</v>
      </c>
      <c r="F140" s="84">
        <f>UNITARIOS!K5200</f>
        <v>308</v>
      </c>
      <c r="G140" s="223">
        <f t="shared" si="1"/>
        <v>924</v>
      </c>
      <c r="H140" s="241">
        <f>SUM(G138:G140)</f>
        <v>924</v>
      </c>
      <c r="L140" s="5"/>
    </row>
    <row r="141" spans="2:15" x14ac:dyDescent="0.3">
      <c r="B141" s="79"/>
      <c r="C141" s="88" t="s">
        <v>564</v>
      </c>
      <c r="D141" s="72"/>
      <c r="E141" s="72"/>
      <c r="F141" s="84"/>
      <c r="G141" s="223"/>
      <c r="L141" s="5"/>
    </row>
    <row r="142" spans="2:15" x14ac:dyDescent="0.3">
      <c r="B142" s="79">
        <v>605.08000000000004</v>
      </c>
      <c r="C142" s="218" t="s">
        <v>559</v>
      </c>
      <c r="D142" s="72">
        <v>6</v>
      </c>
      <c r="E142" s="72" t="s">
        <v>24</v>
      </c>
      <c r="F142" s="84">
        <f>UNITARIOS!K5251</f>
        <v>350</v>
      </c>
      <c r="G142" s="223">
        <f t="shared" si="1"/>
        <v>2100</v>
      </c>
      <c r="L142" s="5"/>
    </row>
    <row r="143" spans="2:15" x14ac:dyDescent="0.3">
      <c r="B143" s="79">
        <v>609.01</v>
      </c>
      <c r="C143" s="218" t="s">
        <v>522</v>
      </c>
      <c r="D143" s="72">
        <v>17</v>
      </c>
      <c r="E143" s="72" t="s">
        <v>24</v>
      </c>
      <c r="F143" s="84">
        <f>UNITARIOS!K5304</f>
        <v>238</v>
      </c>
      <c r="G143" s="223">
        <f t="shared" si="1"/>
        <v>4046</v>
      </c>
      <c r="H143" s="241">
        <f>SUM(G141:G143)</f>
        <v>6146</v>
      </c>
      <c r="L143" s="5"/>
    </row>
    <row r="144" spans="2:15" x14ac:dyDescent="0.3">
      <c r="B144" s="82"/>
      <c r="C144" s="88" t="s">
        <v>54</v>
      </c>
      <c r="D144" s="72"/>
      <c r="E144" s="73" t="s">
        <v>60</v>
      </c>
      <c r="F144" s="84"/>
      <c r="G144" s="223"/>
      <c r="L144" s="5"/>
    </row>
    <row r="145" spans="2:15" x14ac:dyDescent="0.3">
      <c r="B145" s="79">
        <v>701.02</v>
      </c>
      <c r="C145" s="218" t="s">
        <v>560</v>
      </c>
      <c r="D145" s="72">
        <v>3</v>
      </c>
      <c r="E145" s="72" t="s">
        <v>25</v>
      </c>
      <c r="F145" s="84">
        <f>UNITARIOS!K5360</f>
        <v>2583</v>
      </c>
      <c r="G145" s="223">
        <f t="shared" si="1"/>
        <v>7749</v>
      </c>
      <c r="H145" s="241">
        <f>SUM(G144:G145)</f>
        <v>7749</v>
      </c>
      <c r="L145" s="5"/>
    </row>
    <row r="146" spans="2:15" x14ac:dyDescent="0.3">
      <c r="B146" s="79"/>
      <c r="C146" s="88" t="s">
        <v>550</v>
      </c>
      <c r="D146" s="72"/>
      <c r="E146" s="72"/>
      <c r="F146" s="84"/>
      <c r="G146" s="223"/>
      <c r="L146" s="5"/>
    </row>
    <row r="147" spans="2:15" x14ac:dyDescent="0.3">
      <c r="B147" s="79">
        <v>1001.01</v>
      </c>
      <c r="C147" s="218" t="s">
        <v>283</v>
      </c>
      <c r="D147" s="72">
        <v>3</v>
      </c>
      <c r="E147" s="72" t="s">
        <v>25</v>
      </c>
      <c r="F147" s="84">
        <f>UNITARIOS!K5416</f>
        <v>2051</v>
      </c>
      <c r="G147" s="223">
        <f t="shared" si="1"/>
        <v>6153</v>
      </c>
      <c r="L147" s="5"/>
    </row>
    <row r="148" spans="2:15" x14ac:dyDescent="0.3">
      <c r="B148" s="79">
        <v>1002.02</v>
      </c>
      <c r="C148" s="218" t="s">
        <v>509</v>
      </c>
      <c r="D148" s="72">
        <v>3</v>
      </c>
      <c r="E148" s="72" t="s">
        <v>25</v>
      </c>
      <c r="F148" s="84">
        <f>UNITARIOS!K5472</f>
        <v>1428</v>
      </c>
      <c r="G148" s="223">
        <f t="shared" si="1"/>
        <v>4284</v>
      </c>
      <c r="H148" s="241">
        <f>SUM(G147:G148)</f>
        <v>10437</v>
      </c>
      <c r="L148" s="5"/>
    </row>
    <row r="149" spans="2:15" s="194" customFormat="1" x14ac:dyDescent="0.3">
      <c r="B149" s="93"/>
      <c r="C149" s="220" t="s">
        <v>565</v>
      </c>
      <c r="D149" s="200"/>
      <c r="E149" s="200"/>
      <c r="F149" s="202"/>
      <c r="G149" s="224"/>
      <c r="I149" s="203"/>
      <c r="J149" s="203"/>
      <c r="L149" s="197"/>
      <c r="O149" s="198"/>
    </row>
    <row r="150" spans="2:15" x14ac:dyDescent="0.3">
      <c r="B150" s="79"/>
      <c r="C150" s="88" t="s">
        <v>46</v>
      </c>
      <c r="D150" s="72"/>
      <c r="E150" s="72"/>
      <c r="F150" s="84"/>
      <c r="G150" s="223"/>
      <c r="L150" s="5"/>
    </row>
    <row r="151" spans="2:15" x14ac:dyDescent="0.3">
      <c r="B151" s="79">
        <v>111.03</v>
      </c>
      <c r="C151" s="217" t="s">
        <v>493</v>
      </c>
      <c r="D151" s="72">
        <v>6</v>
      </c>
      <c r="E151" s="72" t="s">
        <v>24</v>
      </c>
      <c r="F151" s="84">
        <f>UNITARIOS!K5528</f>
        <v>126</v>
      </c>
      <c r="G151" s="223">
        <f t="shared" si="1"/>
        <v>756</v>
      </c>
      <c r="L151" s="5"/>
    </row>
    <row r="152" spans="2:15" x14ac:dyDescent="0.3">
      <c r="B152" s="79">
        <v>117.01</v>
      </c>
      <c r="C152" s="218" t="s">
        <v>329</v>
      </c>
      <c r="D152" s="72">
        <v>6</v>
      </c>
      <c r="E152" s="72" t="s">
        <v>25</v>
      </c>
      <c r="F152" s="84">
        <f>UNITARIOS!K5584</f>
        <v>364</v>
      </c>
      <c r="G152" s="223">
        <f t="shared" si="1"/>
        <v>2184</v>
      </c>
      <c r="H152" s="241">
        <f>SUM(G151:G152)</f>
        <v>2940</v>
      </c>
      <c r="L152" s="5"/>
    </row>
    <row r="153" spans="2:15" s="194" customFormat="1" x14ac:dyDescent="0.3">
      <c r="B153" s="204"/>
      <c r="C153" s="220" t="s">
        <v>566</v>
      </c>
      <c r="D153" s="200"/>
      <c r="E153" s="205" t="s">
        <v>60</v>
      </c>
      <c r="F153" s="202"/>
      <c r="G153" s="224"/>
      <c r="I153" s="203"/>
      <c r="J153" s="203"/>
      <c r="L153" s="197"/>
      <c r="O153" s="198"/>
    </row>
    <row r="154" spans="2:15" x14ac:dyDescent="0.3">
      <c r="B154" s="85"/>
      <c r="C154" s="88" t="s">
        <v>54</v>
      </c>
      <c r="D154" s="72"/>
      <c r="E154" s="86"/>
      <c r="F154" s="84"/>
      <c r="G154" s="223"/>
      <c r="L154" s="5"/>
    </row>
    <row r="155" spans="2:15" x14ac:dyDescent="0.3">
      <c r="B155" s="85">
        <v>711.07</v>
      </c>
      <c r="C155" s="218" t="s">
        <v>567</v>
      </c>
      <c r="D155" s="72">
        <v>1</v>
      </c>
      <c r="E155" s="86" t="s">
        <v>25</v>
      </c>
      <c r="F155" s="84">
        <f>UNITARIOS!K5640</f>
        <v>2541</v>
      </c>
      <c r="G155" s="223">
        <f t="shared" si="1"/>
        <v>2541</v>
      </c>
      <c r="H155" s="241">
        <f>SUM(G154:G155)</f>
        <v>2541</v>
      </c>
      <c r="L155" s="5"/>
    </row>
    <row r="156" spans="2:15" x14ac:dyDescent="0.3">
      <c r="B156" s="85"/>
      <c r="C156" s="88" t="s">
        <v>549</v>
      </c>
      <c r="D156" s="72"/>
      <c r="E156" s="86"/>
      <c r="F156" s="84"/>
      <c r="G156" s="223"/>
      <c r="L156" s="5"/>
    </row>
    <row r="157" spans="2:15" x14ac:dyDescent="0.3">
      <c r="B157" s="85">
        <v>909.04</v>
      </c>
      <c r="C157" s="218" t="s">
        <v>569</v>
      </c>
      <c r="D157" s="72">
        <v>1</v>
      </c>
      <c r="E157" s="86" t="s">
        <v>25</v>
      </c>
      <c r="F157" s="84">
        <f>UNITARIOS!K5696</f>
        <v>8757</v>
      </c>
      <c r="G157" s="223">
        <f t="shared" si="1"/>
        <v>8757</v>
      </c>
      <c r="H157" s="241">
        <f>SUM(G156:G157)</f>
        <v>8757</v>
      </c>
      <c r="L157" s="5"/>
    </row>
    <row r="158" spans="2:15" x14ac:dyDescent="0.3">
      <c r="B158" s="85"/>
      <c r="C158" s="88" t="s">
        <v>58</v>
      </c>
      <c r="D158" s="72"/>
      <c r="E158" s="86" t="s">
        <v>60</v>
      </c>
      <c r="F158" s="84"/>
      <c r="G158" s="223"/>
      <c r="L158" s="5"/>
    </row>
    <row r="159" spans="2:15" x14ac:dyDescent="0.3">
      <c r="B159" s="139">
        <v>1401.01</v>
      </c>
      <c r="C159" s="218" t="s">
        <v>387</v>
      </c>
      <c r="D159" s="72">
        <v>1</v>
      </c>
      <c r="E159" s="86" t="s">
        <v>25</v>
      </c>
      <c r="F159" s="84">
        <f>UNITARIOS!K5752</f>
        <v>4473</v>
      </c>
      <c r="G159" s="223">
        <f t="shared" si="1"/>
        <v>4473</v>
      </c>
      <c r="I159" s="67">
        <f>SUM(G135:G160)</f>
        <v>127883</v>
      </c>
      <c r="J159" s="67">
        <f>$G$161</f>
        <v>753249</v>
      </c>
      <c r="L159" s="5"/>
    </row>
    <row r="160" spans="2:15" ht="16.2" thickBot="1" x14ac:dyDescent="0.35">
      <c r="B160" s="139">
        <v>1413.06</v>
      </c>
      <c r="C160" s="218" t="s">
        <v>568</v>
      </c>
      <c r="D160" s="72">
        <v>30</v>
      </c>
      <c r="E160" s="86" t="s">
        <v>72</v>
      </c>
      <c r="F160" s="84">
        <f>UNITARIOS!K5808</f>
        <v>1750</v>
      </c>
      <c r="G160" s="223">
        <f t="shared" si="1"/>
        <v>52500</v>
      </c>
      <c r="H160" s="241">
        <f>SUM(G159:G160)</f>
        <v>56973</v>
      </c>
      <c r="I160" s="68"/>
      <c r="J160" s="68"/>
      <c r="L160" s="5"/>
    </row>
    <row r="161" spans="2:12" ht="16.2" thickBot="1" x14ac:dyDescent="0.35">
      <c r="B161" s="286" t="s">
        <v>8</v>
      </c>
      <c r="C161" s="287"/>
      <c r="D161" s="287"/>
      <c r="E161" s="287"/>
      <c r="F161" s="287"/>
      <c r="G161" s="225">
        <f>SUM(G10:G160)</f>
        <v>753249</v>
      </c>
      <c r="I161" s="69">
        <v>753249</v>
      </c>
      <c r="L161" s="5"/>
    </row>
    <row r="162" spans="2:12" x14ac:dyDescent="0.3">
      <c r="I162" s="69">
        <f>I161-G161</f>
        <v>0</v>
      </c>
    </row>
    <row r="163" spans="2:12" x14ac:dyDescent="0.3">
      <c r="I163" s="70"/>
    </row>
  </sheetData>
  <mergeCells count="8">
    <mergeCell ref="J8:O8"/>
    <mergeCell ref="B2:G2"/>
    <mergeCell ref="B1:G1"/>
    <mergeCell ref="B161:F161"/>
    <mergeCell ref="B7:G7"/>
    <mergeCell ref="B4:G4"/>
    <mergeCell ref="B3:G3"/>
    <mergeCell ref="B5:G5"/>
  </mergeCells>
  <printOptions horizontalCentered="1" verticalCentered="1"/>
  <pageMargins left="0.78740157480314965" right="0.39370078740157483" top="1.4566929133858268" bottom="1.2598425196850394" header="0" footer="0"/>
  <pageSetup scale="64" orientation="portrait" r:id="rId1"/>
  <headerFooter>
    <oddHeader xml:space="preserve">&amp;L
</oddHeader>
  </headerFooter>
  <rowBreaks count="3" manualBreakCount="3">
    <brk id="39" min="1" max="6" man="1"/>
    <brk id="81" min="1" max="6" man="1"/>
    <brk id="128" min="1" max="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813"/>
  <sheetViews>
    <sheetView showGridLines="0" view="pageBreakPreview" topLeftCell="A799" zoomScale="56" zoomScaleNormal="60" zoomScaleSheetLayoutView="56" workbookViewId="0">
      <selection activeCell="A386" sqref="A386:XFD390"/>
    </sheetView>
  </sheetViews>
  <sheetFormatPr baseColWidth="10" defaultRowHeight="16.8" x14ac:dyDescent="0.4"/>
  <cols>
    <col min="1" max="1" width="11.44140625" style="53"/>
    <col min="2" max="2" width="22.6640625" style="77" customWidth="1"/>
    <col min="3" max="3" width="2" style="17" customWidth="1"/>
    <col min="4" max="4" width="59.5546875" style="17" customWidth="1"/>
    <col min="5" max="5" width="10.109375" style="76" hidden="1" customWidth="1"/>
    <col min="6" max="6" width="18.88671875" style="76" customWidth="1"/>
    <col min="7" max="7" width="18.88671875" style="77" customWidth="1"/>
    <col min="8" max="8" width="1.88671875" style="17" customWidth="1"/>
    <col min="9" max="9" width="22" style="78" bestFit="1" customWidth="1"/>
    <col min="10" max="10" width="1.88671875" style="97" customWidth="1"/>
    <col min="11" max="11" width="22.88671875" style="78" customWidth="1"/>
    <col min="12" max="12" width="20.6640625" style="17" customWidth="1"/>
    <col min="13" max="13" width="18.6640625" style="17" customWidth="1"/>
    <col min="14" max="14" width="15.109375" style="98" customWidth="1"/>
    <col min="15" max="15" width="27" style="36" customWidth="1"/>
    <col min="16" max="16" width="11.44140625" style="36"/>
  </cols>
  <sheetData>
    <row r="1" spans="1:16" ht="17.399999999999999" thickBot="1" x14ac:dyDescent="0.45"/>
    <row r="2" spans="1:16" ht="18" thickTop="1" thickBot="1" x14ac:dyDescent="0.45">
      <c r="B2" s="329"/>
      <c r="D2" s="332" t="s">
        <v>455</v>
      </c>
      <c r="E2" s="333"/>
      <c r="F2" s="333"/>
      <c r="G2" s="333"/>
      <c r="H2" s="333"/>
      <c r="I2" s="333"/>
      <c r="J2" s="333"/>
      <c r="K2" s="334"/>
      <c r="M2" s="99" t="s">
        <v>189</v>
      </c>
      <c r="N2" s="100">
        <v>0.4</v>
      </c>
    </row>
    <row r="3" spans="1:16" ht="8.25" customHeight="1" thickBot="1" x14ac:dyDescent="0.45">
      <c r="B3" s="330"/>
    </row>
    <row r="4" spans="1:16" ht="18" thickTop="1" thickBot="1" x14ac:dyDescent="0.45">
      <c r="A4" s="54"/>
      <c r="B4" s="330"/>
      <c r="C4" s="101"/>
      <c r="D4" s="335" t="str">
        <f>CATALOGO!B2</f>
        <v>EVENTO No. UCEE-14-2022</v>
      </c>
      <c r="E4" s="336"/>
      <c r="F4" s="336"/>
      <c r="G4" s="336"/>
      <c r="H4" s="336"/>
      <c r="I4" s="337"/>
      <c r="J4" s="102"/>
      <c r="K4" s="240" t="s">
        <v>0</v>
      </c>
      <c r="M4" s="99" t="s">
        <v>192</v>
      </c>
      <c r="N4" s="103">
        <f>1+N2</f>
        <v>1.4</v>
      </c>
    </row>
    <row r="5" spans="1:16" x14ac:dyDescent="0.4">
      <c r="A5" s="54"/>
      <c r="B5" s="330"/>
      <c r="C5" s="101"/>
      <c r="D5" s="338" t="str">
        <f>CATALOGO!B3</f>
        <v>GRUPO 14 QUE COMPRENDE:</v>
      </c>
      <c r="E5" s="284"/>
      <c r="F5" s="284"/>
      <c r="G5" s="284"/>
      <c r="H5" s="284"/>
      <c r="I5" s="339"/>
      <c r="J5" s="102"/>
      <c r="K5" s="340">
        <v>44761</v>
      </c>
    </row>
    <row r="6" spans="1:16" ht="34.5" customHeight="1" x14ac:dyDescent="0.4">
      <c r="A6" s="54"/>
      <c r="B6" s="330"/>
      <c r="C6" s="101"/>
      <c r="D6" s="338" t="str">
        <f>CATALOGO!B4</f>
        <v>REMOZAMIENTO DE EDIFICACIONES ESCOLARES AFECTADAS POR EL CICLÓN TROPICAL BLAS Y CELIA DEL DEPARTAMENTO DE PETEN</v>
      </c>
      <c r="E6" s="284"/>
      <c r="F6" s="284"/>
      <c r="G6" s="284"/>
      <c r="H6" s="284"/>
      <c r="I6" s="339"/>
      <c r="J6" s="102"/>
      <c r="K6" s="341"/>
    </row>
    <row r="7" spans="1:16" ht="17.399999999999999" thickBot="1" x14ac:dyDescent="0.45">
      <c r="A7" s="54"/>
      <c r="B7" s="331"/>
      <c r="C7" s="101"/>
      <c r="D7" s="343" t="str">
        <f>CATALOGO!B5</f>
        <v>- EODP ANEXA A ESCUELA RURAL MIXTA, EL CRUZADERO, MELCHOR DE MENCOS, PETEN -</v>
      </c>
      <c r="E7" s="344"/>
      <c r="F7" s="344"/>
      <c r="G7" s="344"/>
      <c r="H7" s="344"/>
      <c r="I7" s="345"/>
      <c r="J7" s="102"/>
      <c r="K7" s="342"/>
    </row>
    <row r="8" spans="1:16" ht="17.399999999999999" thickBot="1" x14ac:dyDescent="0.45"/>
    <row r="9" spans="1:16" s="4" customFormat="1" ht="24" customHeight="1" thickBot="1" x14ac:dyDescent="0.35">
      <c r="A9" s="31"/>
      <c r="B9" s="346" t="s">
        <v>423</v>
      </c>
      <c r="C9" s="347"/>
      <c r="D9" s="347"/>
      <c r="E9" s="347"/>
      <c r="F9" s="347"/>
      <c r="G9" s="347"/>
      <c r="H9" s="347"/>
      <c r="I9" s="347"/>
      <c r="J9" s="347"/>
      <c r="K9" s="348"/>
      <c r="L9" s="71"/>
      <c r="M9" s="71"/>
      <c r="N9" s="104"/>
      <c r="O9" s="37"/>
      <c r="P9" s="37"/>
    </row>
    <row r="10" spans="1:16" x14ac:dyDescent="0.4">
      <c r="B10" s="157"/>
      <c r="C10" s="157"/>
      <c r="D10" s="157"/>
      <c r="J10" s="78"/>
    </row>
    <row r="11" spans="1:16" x14ac:dyDescent="0.4">
      <c r="B11" s="105" t="s">
        <v>43</v>
      </c>
      <c r="C11" s="106"/>
      <c r="D11" s="311" t="s">
        <v>1</v>
      </c>
      <c r="E11" s="311"/>
      <c r="F11" s="311"/>
      <c r="G11" s="311"/>
      <c r="H11" s="106"/>
      <c r="I11" s="107" t="s">
        <v>2</v>
      </c>
      <c r="J11" s="136"/>
      <c r="K11" s="107" t="s">
        <v>3</v>
      </c>
    </row>
    <row r="12" spans="1:16" s="4" customFormat="1" ht="30.75" customHeight="1" x14ac:dyDescent="0.3">
      <c r="A12" s="31"/>
      <c r="B12" s="213">
        <f>CATALOGO!B12</f>
        <v>101.01</v>
      </c>
      <c r="C12" s="71"/>
      <c r="D12" s="312" t="str">
        <f>CATALOGO!C12</f>
        <v>LIMPIEZA GENERAL</v>
      </c>
      <c r="E12" s="312"/>
      <c r="F12" s="312"/>
      <c r="G12" s="312"/>
      <c r="H12" s="71"/>
      <c r="I12" s="213">
        <f>CATALOGO!D12</f>
        <v>47.26</v>
      </c>
      <c r="J12" s="109"/>
      <c r="K12" s="227" t="str">
        <f>CATALOGO!E12</f>
        <v>m²</v>
      </c>
      <c r="L12" s="71"/>
      <c r="M12" s="71"/>
      <c r="N12" s="104"/>
      <c r="O12" s="37"/>
      <c r="P12" s="37"/>
    </row>
    <row r="13" spans="1:16" ht="17.399999999999999" thickBot="1" x14ac:dyDescent="0.45"/>
    <row r="14" spans="1:16" ht="17.399999999999999" thickBot="1" x14ac:dyDescent="0.45">
      <c r="B14" s="110" t="s">
        <v>4</v>
      </c>
      <c r="C14" s="300" t="s">
        <v>5</v>
      </c>
      <c r="D14" s="300"/>
      <c r="E14" s="300"/>
      <c r="F14" s="300"/>
      <c r="G14" s="301"/>
    </row>
    <row r="15" spans="1:16" x14ac:dyDescent="0.4">
      <c r="B15" s="111" t="s">
        <v>6</v>
      </c>
      <c r="C15" s="313" t="s">
        <v>1</v>
      </c>
      <c r="D15" s="314"/>
      <c r="E15" s="112" t="s">
        <v>193</v>
      </c>
      <c r="F15" s="113" t="s">
        <v>2</v>
      </c>
      <c r="G15" s="114" t="s">
        <v>3</v>
      </c>
      <c r="H15" s="106"/>
      <c r="I15" s="107" t="s">
        <v>7</v>
      </c>
      <c r="J15" s="136"/>
      <c r="K15" s="228" t="s">
        <v>8</v>
      </c>
      <c r="L15" s="115" t="s">
        <v>194</v>
      </c>
    </row>
    <row r="16" spans="1:16" x14ac:dyDescent="0.4">
      <c r="B16" s="74"/>
      <c r="C16" s="306"/>
      <c r="D16" s="306"/>
      <c r="E16" s="116"/>
      <c r="F16" s="83"/>
      <c r="G16" s="74"/>
      <c r="I16" s="117">
        <f>IF(C16=0,0,VLOOKUP(C16,Tabla1[],3,FALSE))</f>
        <v>0</v>
      </c>
      <c r="K16" s="84">
        <f>+F16*I16</f>
        <v>0</v>
      </c>
      <c r="L16" s="118">
        <f>E16*I16</f>
        <v>0</v>
      </c>
    </row>
    <row r="17" spans="2:12" x14ac:dyDescent="0.4">
      <c r="B17" s="74"/>
      <c r="C17" s="306"/>
      <c r="D17" s="306"/>
      <c r="E17" s="116"/>
      <c r="F17" s="83"/>
      <c r="G17" s="74"/>
      <c r="I17" s="117">
        <f>IF(C17=0,0,VLOOKUP(C17,Tabla1[],3,FALSE))</f>
        <v>0</v>
      </c>
      <c r="K17" s="84">
        <f t="shared" ref="K17:K19" si="0">+F17*I17</f>
        <v>0</v>
      </c>
      <c r="L17" s="118">
        <f t="shared" ref="L17:L19" si="1">E17*I17</f>
        <v>0</v>
      </c>
    </row>
    <row r="18" spans="2:12" x14ac:dyDescent="0.4">
      <c r="B18" s="74"/>
      <c r="C18" s="321"/>
      <c r="D18" s="321"/>
      <c r="E18" s="116"/>
      <c r="F18" s="72"/>
      <c r="G18" s="74"/>
      <c r="I18" s="117">
        <f>IF(C18=0,0,VLOOKUP(C18,Tabla1[],3,FALSE))</f>
        <v>0</v>
      </c>
      <c r="K18" s="84">
        <f t="shared" si="0"/>
        <v>0</v>
      </c>
      <c r="L18" s="118">
        <f t="shared" si="1"/>
        <v>0</v>
      </c>
    </row>
    <row r="19" spans="2:12" x14ac:dyDescent="0.4">
      <c r="B19" s="74"/>
      <c r="C19" s="321"/>
      <c r="D19" s="321"/>
      <c r="E19" s="116"/>
      <c r="F19" s="72"/>
      <c r="G19" s="74"/>
      <c r="I19" s="117">
        <f>IF(C19=0,0,VLOOKUP(C19,Tabla1[],3,FALSE))</f>
        <v>0</v>
      </c>
      <c r="K19" s="84">
        <f t="shared" si="0"/>
        <v>0</v>
      </c>
      <c r="L19" s="118">
        <f t="shared" si="1"/>
        <v>0</v>
      </c>
    </row>
    <row r="20" spans="2:12" ht="17.399999999999999" thickBot="1" x14ac:dyDescent="0.45"/>
    <row r="21" spans="2:12" ht="17.399999999999999" thickBot="1" x14ac:dyDescent="0.45">
      <c r="F21" s="292" t="s">
        <v>9</v>
      </c>
      <c r="G21" s="293"/>
      <c r="H21" s="293"/>
      <c r="I21" s="294"/>
      <c r="K21" s="229">
        <f>+SUM(K16:K19)</f>
        <v>0</v>
      </c>
      <c r="L21" s="119">
        <f>+SUM(L16:L19)</f>
        <v>0</v>
      </c>
    </row>
    <row r="22" spans="2:12" ht="17.399999999999999" thickBot="1" x14ac:dyDescent="0.45"/>
    <row r="23" spans="2:12" ht="17.399999999999999" thickBot="1" x14ac:dyDescent="0.45">
      <c r="B23" s="110" t="s">
        <v>10</v>
      </c>
      <c r="C23" s="300" t="s">
        <v>11</v>
      </c>
      <c r="D23" s="300"/>
      <c r="E23" s="300"/>
      <c r="F23" s="300"/>
      <c r="G23" s="301"/>
    </row>
    <row r="24" spans="2:12" x14ac:dyDescent="0.4">
      <c r="B24" s="114" t="s">
        <v>6</v>
      </c>
      <c r="C24" s="302" t="s">
        <v>1</v>
      </c>
      <c r="D24" s="303"/>
      <c r="E24" s="112" t="s">
        <v>193</v>
      </c>
      <c r="F24" s="120" t="s">
        <v>2</v>
      </c>
      <c r="G24" s="114" t="s">
        <v>3</v>
      </c>
      <c r="H24" s="106"/>
      <c r="I24" s="107" t="s">
        <v>7</v>
      </c>
      <c r="J24" s="136"/>
      <c r="K24" s="107" t="s">
        <v>8</v>
      </c>
      <c r="L24" s="115" t="s">
        <v>194</v>
      </c>
    </row>
    <row r="25" spans="2:12" x14ac:dyDescent="0.4">
      <c r="B25" s="74"/>
      <c r="C25" s="304"/>
      <c r="D25" s="305"/>
      <c r="E25" s="121"/>
      <c r="F25" s="72"/>
      <c r="G25" s="74"/>
      <c r="I25" s="117">
        <f>IF(C25=0,0,VLOOKUP(C25,Tabla3[],3,FALSE))</f>
        <v>0</v>
      </c>
      <c r="K25" s="84">
        <f>+F25*I25</f>
        <v>0</v>
      </c>
      <c r="L25" s="118">
        <f>E25*I25</f>
        <v>0</v>
      </c>
    </row>
    <row r="26" spans="2:12" x14ac:dyDescent="0.4">
      <c r="B26" s="74"/>
      <c r="C26" s="206"/>
      <c r="D26" s="207"/>
      <c r="E26" s="121"/>
      <c r="F26" s="72"/>
      <c r="G26" s="74"/>
      <c r="I26" s="117">
        <f>IF(C26=0,0,VLOOKUP(C26,Tabla3[],3,FALSE))</f>
        <v>0</v>
      </c>
      <c r="K26" s="84">
        <f t="shared" ref="K26:K27" si="2">+F26*I26</f>
        <v>0</v>
      </c>
      <c r="L26" s="118">
        <f t="shared" ref="L26:L28" si="3">E26*I26</f>
        <v>0</v>
      </c>
    </row>
    <row r="27" spans="2:12" x14ac:dyDescent="0.4">
      <c r="B27" s="74"/>
      <c r="C27" s="206"/>
      <c r="D27" s="207"/>
      <c r="E27" s="121"/>
      <c r="F27" s="72"/>
      <c r="G27" s="74"/>
      <c r="I27" s="117">
        <f>IF(C27=0,0,VLOOKUP(C27,Tabla3[],3,FALSE))</f>
        <v>0</v>
      </c>
      <c r="K27" s="84">
        <f t="shared" si="2"/>
        <v>0</v>
      </c>
      <c r="L27" s="118">
        <f t="shared" si="3"/>
        <v>0</v>
      </c>
    </row>
    <row r="28" spans="2:12" x14ac:dyDescent="0.4">
      <c r="B28" s="74"/>
      <c r="C28" s="304"/>
      <c r="D28" s="305"/>
      <c r="E28" s="121"/>
      <c r="F28" s="72"/>
      <c r="G28" s="74"/>
      <c r="I28" s="117">
        <f>IF(C28=0,0,VLOOKUP(C28,Tabla3[],3,FALSE))</f>
        <v>0</v>
      </c>
      <c r="K28" s="84">
        <f t="shared" ref="K28" si="4">+F28*I28</f>
        <v>0</v>
      </c>
      <c r="L28" s="118">
        <f t="shared" si="3"/>
        <v>0</v>
      </c>
    </row>
    <row r="29" spans="2:12" ht="17.399999999999999" thickBot="1" x14ac:dyDescent="0.45"/>
    <row r="30" spans="2:12" ht="17.399999999999999" thickBot="1" x14ac:dyDescent="0.45">
      <c r="F30" s="292" t="s">
        <v>12</v>
      </c>
      <c r="G30" s="293"/>
      <c r="H30" s="293"/>
      <c r="I30" s="294"/>
      <c r="K30" s="229">
        <f>+SUM(K25:K28)</f>
        <v>0</v>
      </c>
      <c r="L30" s="119">
        <f>+SUM(L25:L28)</f>
        <v>0</v>
      </c>
    </row>
    <row r="31" spans="2:12" ht="17.399999999999999" thickBot="1" x14ac:dyDescent="0.45"/>
    <row r="32" spans="2:12" ht="17.399999999999999" thickBot="1" x14ac:dyDescent="0.45">
      <c r="B32" s="110" t="s">
        <v>13</v>
      </c>
      <c r="C32" s="300" t="s">
        <v>14</v>
      </c>
      <c r="D32" s="300"/>
      <c r="E32" s="300"/>
      <c r="F32" s="300"/>
      <c r="G32" s="301"/>
    </row>
    <row r="33" spans="2:12" x14ac:dyDescent="0.4">
      <c r="B33" s="114" t="s">
        <v>6</v>
      </c>
      <c r="C33" s="302" t="s">
        <v>1</v>
      </c>
      <c r="D33" s="303"/>
      <c r="E33" s="112" t="s">
        <v>193</v>
      </c>
      <c r="F33" s="120" t="s">
        <v>2</v>
      </c>
      <c r="G33" s="114" t="s">
        <v>3</v>
      </c>
      <c r="H33" s="106"/>
      <c r="I33" s="107" t="s">
        <v>7</v>
      </c>
      <c r="J33" s="136"/>
      <c r="K33" s="107" t="s">
        <v>8</v>
      </c>
      <c r="L33" s="115" t="s">
        <v>194</v>
      </c>
    </row>
    <row r="34" spans="2:12" x14ac:dyDescent="0.4">
      <c r="B34" s="122">
        <v>1</v>
      </c>
      <c r="C34" s="306" t="s">
        <v>188</v>
      </c>
      <c r="D34" s="306"/>
      <c r="E34" s="116">
        <f>I12</f>
        <v>47.26</v>
      </c>
      <c r="F34" s="83">
        <f>ROUND(E34/I12,2)</f>
        <v>1</v>
      </c>
      <c r="G34" s="74" t="str">
        <f>IF(C34=0,0,VLOOKUP(C34,Tabla2[],2,FALSE))</f>
        <v>m²</v>
      </c>
      <c r="I34" s="117">
        <f>IF(C34=0,0,VLOOKUP(C34,Tabla2[],3,FALSE))</f>
        <v>20</v>
      </c>
      <c r="K34" s="84">
        <f>+F34*I34</f>
        <v>20</v>
      </c>
      <c r="L34" s="118">
        <f>E34*I34</f>
        <v>945.19999999999993</v>
      </c>
    </row>
    <row r="35" spans="2:12" x14ac:dyDescent="0.4">
      <c r="B35" s="122"/>
      <c r="C35" s="306"/>
      <c r="D35" s="306"/>
      <c r="E35" s="116"/>
      <c r="F35" s="83"/>
      <c r="G35" s="74"/>
      <c r="I35" s="117">
        <f>IF(C35=0,0,VLOOKUP(C35,Tabla2[],3,FALSE))</f>
        <v>0</v>
      </c>
      <c r="K35" s="84">
        <f>+F35*I35</f>
        <v>0</v>
      </c>
      <c r="L35" s="118">
        <f t="shared" ref="L35:L37" si="5">E35*I35</f>
        <v>0</v>
      </c>
    </row>
    <row r="36" spans="2:12" ht="17.399999999999999" thickBot="1" x14ac:dyDescent="0.45">
      <c r="B36" s="123"/>
      <c r="C36" s="307"/>
      <c r="D36" s="308"/>
      <c r="E36" s="124"/>
      <c r="F36" s="125"/>
      <c r="G36" s="74"/>
      <c r="I36" s="117">
        <f>IF(C36=0,0,VLOOKUP(C36,Tabla2[],3,FALSE))</f>
        <v>0</v>
      </c>
      <c r="K36" s="84">
        <f t="shared" ref="K36" si="6">+F36*I36</f>
        <v>0</v>
      </c>
      <c r="L36" s="118">
        <f t="shared" si="5"/>
        <v>0</v>
      </c>
    </row>
    <row r="37" spans="2:12" ht="17.399999999999999" thickBot="1" x14ac:dyDescent="0.45">
      <c r="B37" s="297" t="s">
        <v>15</v>
      </c>
      <c r="C37" s="298"/>
      <c r="D37" s="298"/>
      <c r="E37" s="298"/>
      <c r="F37" s="298"/>
      <c r="G37" s="299"/>
      <c r="I37" s="84">
        <v>0</v>
      </c>
      <c r="K37" s="84">
        <v>0</v>
      </c>
      <c r="L37" s="118">
        <f t="shared" si="5"/>
        <v>0</v>
      </c>
    </row>
    <row r="38" spans="2:12" ht="17.399999999999999" thickBot="1" x14ac:dyDescent="0.45"/>
    <row r="39" spans="2:12" ht="17.399999999999999" thickBot="1" x14ac:dyDescent="0.45">
      <c r="F39" s="292" t="s">
        <v>16</v>
      </c>
      <c r="G39" s="293"/>
      <c r="H39" s="293"/>
      <c r="I39" s="294"/>
      <c r="K39" s="229">
        <f>+SUM(K34:K37)</f>
        <v>20</v>
      </c>
      <c r="L39" s="119">
        <f>+SUM(L34:L37)</f>
        <v>945.19999999999993</v>
      </c>
    </row>
    <row r="40" spans="2:12" ht="17.399999999999999" thickBot="1" x14ac:dyDescent="0.45"/>
    <row r="41" spans="2:12" ht="17.399999999999999" thickBot="1" x14ac:dyDescent="0.45">
      <c r="B41" s="110" t="s">
        <v>17</v>
      </c>
      <c r="C41" s="300" t="s">
        <v>18</v>
      </c>
      <c r="D41" s="300"/>
      <c r="E41" s="300"/>
      <c r="F41" s="300"/>
      <c r="G41" s="301"/>
    </row>
    <row r="42" spans="2:12" x14ac:dyDescent="0.4">
      <c r="B42" s="114" t="s">
        <v>6</v>
      </c>
      <c r="C42" s="302" t="s">
        <v>1</v>
      </c>
      <c r="D42" s="303"/>
      <c r="E42" s="126"/>
      <c r="F42" s="120" t="s">
        <v>2</v>
      </c>
      <c r="G42" s="114" t="s">
        <v>3</v>
      </c>
      <c r="H42" s="106"/>
      <c r="I42" s="107" t="s">
        <v>7</v>
      </c>
      <c r="J42" s="136"/>
      <c r="K42" s="107" t="s">
        <v>8</v>
      </c>
      <c r="L42" s="115" t="s">
        <v>194</v>
      </c>
    </row>
    <row r="43" spans="2:12" x14ac:dyDescent="0.4">
      <c r="B43" s="74"/>
      <c r="C43" s="304"/>
      <c r="D43" s="305"/>
      <c r="E43" s="127"/>
      <c r="F43" s="72"/>
      <c r="G43" s="74"/>
      <c r="I43" s="84">
        <v>0</v>
      </c>
      <c r="K43" s="84">
        <f>+F43*I43</f>
        <v>0</v>
      </c>
      <c r="L43" s="118">
        <f>E43*I43</f>
        <v>0</v>
      </c>
    </row>
    <row r="44" spans="2:12" x14ac:dyDescent="0.4">
      <c r="B44" s="74"/>
      <c r="C44" s="304"/>
      <c r="D44" s="305"/>
      <c r="E44" s="127"/>
      <c r="F44" s="72"/>
      <c r="G44" s="74"/>
      <c r="I44" s="84">
        <v>0</v>
      </c>
      <c r="K44" s="84">
        <f t="shared" ref="K44:K45" si="7">+F44*I44</f>
        <v>0</v>
      </c>
      <c r="L44" s="118">
        <f t="shared" ref="L44:L45" si="8">E44*I44</f>
        <v>0</v>
      </c>
    </row>
    <row r="45" spans="2:12" x14ac:dyDescent="0.4">
      <c r="B45" s="74"/>
      <c r="C45" s="304"/>
      <c r="D45" s="305"/>
      <c r="E45" s="127"/>
      <c r="F45" s="72"/>
      <c r="G45" s="74"/>
      <c r="I45" s="84">
        <v>0</v>
      </c>
      <c r="K45" s="84">
        <f t="shared" si="7"/>
        <v>0</v>
      </c>
      <c r="L45" s="118">
        <f t="shared" si="8"/>
        <v>0</v>
      </c>
    </row>
    <row r="46" spans="2:12" ht="17.399999999999999" thickBot="1" x14ac:dyDescent="0.45">
      <c r="L46" s="118"/>
    </row>
    <row r="47" spans="2:12" ht="17.399999999999999" thickBot="1" x14ac:dyDescent="0.45">
      <c r="F47" s="292" t="s">
        <v>19</v>
      </c>
      <c r="G47" s="293"/>
      <c r="H47" s="293"/>
      <c r="I47" s="294"/>
      <c r="K47" s="229">
        <f>+SUM(K43:K45)</f>
        <v>0</v>
      </c>
      <c r="L47" s="119">
        <f>+SUM(L42:L45)</f>
        <v>0</v>
      </c>
    </row>
    <row r="48" spans="2:12" ht="15" customHeight="1" x14ac:dyDescent="0.4">
      <c r="F48" s="128"/>
      <c r="G48" s="129"/>
      <c r="H48" s="130"/>
      <c r="I48" s="108"/>
      <c r="K48" s="230"/>
    </row>
    <row r="49" spans="1:16" ht="15" customHeight="1" thickBot="1" x14ac:dyDescent="0.45"/>
    <row r="50" spans="1:16" ht="17.399999999999999" thickBot="1" x14ac:dyDescent="0.45">
      <c r="F50" s="292" t="s">
        <v>20</v>
      </c>
      <c r="G50" s="293"/>
      <c r="H50" s="293"/>
      <c r="I50" s="294"/>
      <c r="K50" s="229">
        <f>(+K21+K30+K39+K47)</f>
        <v>20</v>
      </c>
      <c r="L50" s="119">
        <f>(+L21+L30+L39+L47)</f>
        <v>945.19999999999993</v>
      </c>
      <c r="N50" s="131"/>
      <c r="O50" s="39"/>
      <c r="P50" s="40"/>
    </row>
    <row r="51" spans="1:16" ht="7.5" customHeight="1" thickBot="1" x14ac:dyDescent="0.45">
      <c r="N51" s="131"/>
      <c r="O51" s="41"/>
      <c r="P51" s="40"/>
    </row>
    <row r="52" spans="1:16" ht="17.399999999999999" thickBot="1" x14ac:dyDescent="0.45">
      <c r="F52" s="292" t="s">
        <v>21</v>
      </c>
      <c r="G52" s="293"/>
      <c r="H52" s="293"/>
      <c r="I52" s="294"/>
      <c r="K52" s="229">
        <f>K50*$N$2</f>
        <v>8</v>
      </c>
      <c r="L52" s="119">
        <f>L50*$N$2</f>
        <v>378.08</v>
      </c>
    </row>
    <row r="53" spans="1:16" ht="7.5" customHeight="1" thickBot="1" x14ac:dyDescent="0.45"/>
    <row r="54" spans="1:16" ht="17.399999999999999" thickBot="1" x14ac:dyDescent="0.45">
      <c r="F54" s="292" t="s">
        <v>22</v>
      </c>
      <c r="G54" s="293"/>
      <c r="H54" s="293"/>
      <c r="I54" s="294"/>
      <c r="K54" s="229">
        <f>+K50+K52</f>
        <v>28</v>
      </c>
      <c r="L54" s="119">
        <f>+L50+L52</f>
        <v>1323.28</v>
      </c>
    </row>
    <row r="55" spans="1:16" ht="17.399999999999999" thickBot="1" x14ac:dyDescent="0.45">
      <c r="F55" s="128"/>
      <c r="G55" s="129"/>
      <c r="H55" s="130"/>
      <c r="I55" s="108"/>
      <c r="K55" s="231"/>
      <c r="L55" s="132">
        <f>L54/I12</f>
        <v>28</v>
      </c>
      <c r="M55" s="133">
        <f>(K54-L55)*I12</f>
        <v>0</v>
      </c>
    </row>
    <row r="56" spans="1:16" x14ac:dyDescent="0.4">
      <c r="F56" s="128"/>
      <c r="G56" s="129"/>
      <c r="H56" s="130"/>
      <c r="I56" s="108"/>
      <c r="K56" s="232"/>
      <c r="L56" s="131"/>
      <c r="M56" s="134"/>
      <c r="N56" s="135"/>
    </row>
    <row r="57" spans="1:16" ht="17.399999999999999" thickBot="1" x14ac:dyDescent="0.45">
      <c r="B57" s="295"/>
      <c r="C57" s="295"/>
      <c r="D57" s="295"/>
    </row>
    <row r="58" spans="1:16" x14ac:dyDescent="0.4">
      <c r="B58" s="296" t="s">
        <v>23</v>
      </c>
      <c r="C58" s="296"/>
      <c r="D58" s="296"/>
    </row>
    <row r="59" spans="1:16" x14ac:dyDescent="0.4">
      <c r="B59" s="157"/>
      <c r="C59" s="157"/>
      <c r="D59" s="157"/>
    </row>
    <row r="60" spans="1:16" x14ac:dyDescent="0.4">
      <c r="B60" s="157"/>
      <c r="C60" s="157"/>
      <c r="D60" s="157"/>
      <c r="J60" s="78"/>
    </row>
    <row r="61" spans="1:16" x14ac:dyDescent="0.4">
      <c r="B61" s="105" t="s">
        <v>43</v>
      </c>
      <c r="C61" s="106"/>
      <c r="D61" s="311" t="s">
        <v>1</v>
      </c>
      <c r="E61" s="311"/>
      <c r="F61" s="311"/>
      <c r="G61" s="311"/>
      <c r="H61" s="106"/>
      <c r="I61" s="107" t="s">
        <v>2</v>
      </c>
      <c r="J61" s="136"/>
      <c r="K61" s="107" t="s">
        <v>3</v>
      </c>
    </row>
    <row r="62" spans="1:16" s="4" customFormat="1" ht="30.75" customHeight="1" x14ac:dyDescent="0.3">
      <c r="A62" s="31"/>
      <c r="B62" s="213">
        <f>CATALOGO!B13</f>
        <v>108.03</v>
      </c>
      <c r="C62" s="71"/>
      <c r="D62" s="312" t="str">
        <f>CATALOGO!C13</f>
        <v>TRAZO Y ESTAQUEADO</v>
      </c>
      <c r="E62" s="312"/>
      <c r="F62" s="312"/>
      <c r="G62" s="312"/>
      <c r="H62" s="71"/>
      <c r="I62" s="213">
        <f>CATALOGO!D13</f>
        <v>38.590000000000003</v>
      </c>
      <c r="J62" s="109"/>
      <c r="K62" s="227" t="str">
        <f>CATALOGO!E13</f>
        <v>ml</v>
      </c>
      <c r="L62" s="71"/>
      <c r="M62" s="71"/>
      <c r="N62" s="104"/>
      <c r="O62" s="37"/>
      <c r="P62" s="37"/>
    </row>
    <row r="63" spans="1:16" ht="17.399999999999999" thickBot="1" x14ac:dyDescent="0.45"/>
    <row r="64" spans="1:16" ht="17.399999999999999" thickBot="1" x14ac:dyDescent="0.45">
      <c r="B64" s="110" t="s">
        <v>4</v>
      </c>
      <c r="C64" s="300" t="s">
        <v>5</v>
      </c>
      <c r="D64" s="300"/>
      <c r="E64" s="300"/>
      <c r="F64" s="300"/>
      <c r="G64" s="301"/>
    </row>
    <row r="65" spans="2:12" x14ac:dyDescent="0.4">
      <c r="B65" s="111" t="s">
        <v>6</v>
      </c>
      <c r="C65" s="313" t="s">
        <v>1</v>
      </c>
      <c r="D65" s="314"/>
      <c r="E65" s="112" t="s">
        <v>193</v>
      </c>
      <c r="F65" s="113" t="s">
        <v>2</v>
      </c>
      <c r="G65" s="114" t="s">
        <v>3</v>
      </c>
      <c r="H65" s="106"/>
      <c r="I65" s="107" t="s">
        <v>7</v>
      </c>
      <c r="J65" s="136"/>
      <c r="K65" s="228" t="s">
        <v>8</v>
      </c>
      <c r="L65" s="115" t="s">
        <v>194</v>
      </c>
    </row>
    <row r="66" spans="2:12" x14ac:dyDescent="0.4">
      <c r="B66" s="122">
        <v>1</v>
      </c>
      <c r="C66" s="315" t="s">
        <v>175</v>
      </c>
      <c r="D66" s="316"/>
      <c r="E66" s="116">
        <f>I62*0.09</f>
        <v>3.4731000000000001</v>
      </c>
      <c r="F66" s="83">
        <f>ROUND(E66/I62,2)</f>
        <v>0.09</v>
      </c>
      <c r="G66" s="74" t="str">
        <f>IF(C66=0,0,VLOOKUP(C66,Tabla1[],2,FALSE))</f>
        <v>Libra</v>
      </c>
      <c r="I66" s="117">
        <f>IF(C66=0,0,VLOOKUP(C66,Tabla1[],3,FALSE))</f>
        <v>10</v>
      </c>
      <c r="K66" s="84">
        <f>+F66*I66</f>
        <v>0.89999999999999991</v>
      </c>
      <c r="L66" s="118">
        <f>E66*I66</f>
        <v>34.731000000000002</v>
      </c>
    </row>
    <row r="67" spans="2:12" x14ac:dyDescent="0.4">
      <c r="B67" s="122">
        <v>2</v>
      </c>
      <c r="C67" s="315" t="s">
        <v>570</v>
      </c>
      <c r="D67" s="316"/>
      <c r="E67" s="116">
        <f>I62*0.61</f>
        <v>23.539900000000003</v>
      </c>
      <c r="F67" s="83">
        <f>ROUND(E67/I62,2)</f>
        <v>0.61</v>
      </c>
      <c r="G67" s="74" t="str">
        <f>IF(C67=0,0,VLOOKUP(C67,Tabla1[],2,FALSE))</f>
        <v>Unidad</v>
      </c>
      <c r="I67" s="117">
        <f>IF(C67=0,0,VLOOKUP(C67,Tabla1[],3,FALSE))</f>
        <v>10</v>
      </c>
      <c r="K67" s="84">
        <f t="shared" ref="K67:K75" si="9">+F67*I67</f>
        <v>6.1</v>
      </c>
      <c r="L67" s="118">
        <f t="shared" ref="L67:L75" si="10">E67*I67</f>
        <v>235.39900000000003</v>
      </c>
    </row>
    <row r="68" spans="2:12" x14ac:dyDescent="0.4">
      <c r="B68" s="122">
        <v>3</v>
      </c>
      <c r="C68" s="315" t="s">
        <v>215</v>
      </c>
      <c r="D68" s="316"/>
      <c r="E68" s="116">
        <f>I62*0.05</f>
        <v>1.9295000000000002</v>
      </c>
      <c r="F68" s="83">
        <f>ROUND(E68/I62,2)</f>
        <v>0.05</v>
      </c>
      <c r="G68" s="74" t="str">
        <f>IF(C68=0,0,VLOOKUP(C68,Tabla1[],2,FALSE))</f>
        <v>Bolsa</v>
      </c>
      <c r="I68" s="117">
        <f>IF(C68=0,0,VLOOKUP(C68,Tabla1[],3,FALSE))</f>
        <v>50</v>
      </c>
      <c r="K68" s="84">
        <f t="shared" si="9"/>
        <v>2.5</v>
      </c>
      <c r="L68" s="118">
        <f t="shared" si="10"/>
        <v>96.475000000000009</v>
      </c>
    </row>
    <row r="69" spans="2:12" x14ac:dyDescent="0.4">
      <c r="B69" s="74"/>
      <c r="C69" s="306"/>
      <c r="D69" s="306"/>
      <c r="E69" s="116"/>
      <c r="F69" s="83"/>
      <c r="G69" s="74"/>
      <c r="I69" s="117">
        <f>IF(C69=0,0,VLOOKUP(C69,Tabla1[],3,FALSE))</f>
        <v>0</v>
      </c>
      <c r="K69" s="84">
        <f t="shared" si="9"/>
        <v>0</v>
      </c>
      <c r="L69" s="118">
        <f t="shared" si="10"/>
        <v>0</v>
      </c>
    </row>
    <row r="70" spans="2:12" x14ac:dyDescent="0.4">
      <c r="B70" s="74"/>
      <c r="C70" s="321"/>
      <c r="D70" s="321"/>
      <c r="E70" s="116"/>
      <c r="F70" s="83"/>
      <c r="G70" s="74"/>
      <c r="I70" s="117">
        <f>IF(C70=0,0,VLOOKUP(C70,Tabla1[],3,FALSE))</f>
        <v>0</v>
      </c>
      <c r="K70" s="84">
        <f t="shared" si="9"/>
        <v>0</v>
      </c>
      <c r="L70" s="118">
        <f t="shared" si="10"/>
        <v>0</v>
      </c>
    </row>
    <row r="71" spans="2:12" x14ac:dyDescent="0.4">
      <c r="B71" s="74"/>
      <c r="C71" s="321"/>
      <c r="D71" s="321"/>
      <c r="E71" s="116"/>
      <c r="F71" s="72"/>
      <c r="G71" s="74"/>
      <c r="I71" s="117">
        <f>IF(C71=0,0,VLOOKUP(C71,Tabla1[],3,FALSE))</f>
        <v>0</v>
      </c>
      <c r="K71" s="84">
        <f t="shared" si="9"/>
        <v>0</v>
      </c>
      <c r="L71" s="118">
        <f t="shared" si="10"/>
        <v>0</v>
      </c>
    </row>
    <row r="72" spans="2:12" x14ac:dyDescent="0.4">
      <c r="B72" s="74"/>
      <c r="C72" s="321"/>
      <c r="D72" s="321"/>
      <c r="E72" s="116"/>
      <c r="F72" s="72"/>
      <c r="G72" s="74"/>
      <c r="I72" s="117">
        <f>IF(C72=0,0,VLOOKUP(C72,Tabla1[],3,FALSE))</f>
        <v>0</v>
      </c>
      <c r="K72" s="84">
        <f t="shared" si="9"/>
        <v>0</v>
      </c>
      <c r="L72" s="118">
        <f t="shared" si="10"/>
        <v>0</v>
      </c>
    </row>
    <row r="73" spans="2:12" x14ac:dyDescent="0.4">
      <c r="B73" s="74"/>
      <c r="C73" s="321"/>
      <c r="D73" s="321"/>
      <c r="E73" s="116"/>
      <c r="F73" s="72"/>
      <c r="G73" s="74"/>
      <c r="I73" s="117">
        <f>IF(C73=0,0,VLOOKUP(C73,Tabla1[],3,FALSE))</f>
        <v>0</v>
      </c>
      <c r="K73" s="84">
        <f t="shared" si="9"/>
        <v>0</v>
      </c>
      <c r="L73" s="118">
        <f t="shared" si="10"/>
        <v>0</v>
      </c>
    </row>
    <row r="74" spans="2:12" x14ac:dyDescent="0.4">
      <c r="B74" s="74"/>
      <c r="C74" s="321"/>
      <c r="D74" s="321"/>
      <c r="E74" s="116"/>
      <c r="F74" s="72"/>
      <c r="G74" s="74"/>
      <c r="I74" s="117">
        <f>IF(C74=0,0,VLOOKUP(C74,Tabla1[],3,FALSE))</f>
        <v>0</v>
      </c>
      <c r="K74" s="84">
        <f t="shared" si="9"/>
        <v>0</v>
      </c>
      <c r="L74" s="118">
        <f t="shared" si="10"/>
        <v>0</v>
      </c>
    </row>
    <row r="75" spans="2:12" x14ac:dyDescent="0.4">
      <c r="B75" s="74"/>
      <c r="C75" s="321"/>
      <c r="D75" s="321"/>
      <c r="E75" s="116"/>
      <c r="F75" s="72"/>
      <c r="G75" s="74"/>
      <c r="I75" s="117">
        <f>IF(C75=0,0,VLOOKUP(C75,Tabla1[],3,FALSE))</f>
        <v>0</v>
      </c>
      <c r="K75" s="84">
        <f t="shared" si="9"/>
        <v>0</v>
      </c>
      <c r="L75" s="118">
        <f t="shared" si="10"/>
        <v>0</v>
      </c>
    </row>
    <row r="76" spans="2:12" ht="17.399999999999999" thickBot="1" x14ac:dyDescent="0.45"/>
    <row r="77" spans="2:12" ht="17.399999999999999" thickBot="1" x14ac:dyDescent="0.45">
      <c r="F77" s="292" t="s">
        <v>9</v>
      </c>
      <c r="G77" s="293"/>
      <c r="H77" s="293"/>
      <c r="I77" s="294"/>
      <c r="K77" s="229">
        <f>+SUM(K66:K75)</f>
        <v>9.5</v>
      </c>
      <c r="L77" s="119">
        <f>+SUM(L66:L75)</f>
        <v>366.60500000000008</v>
      </c>
    </row>
    <row r="78" spans="2:12" ht="17.399999999999999" thickBot="1" x14ac:dyDescent="0.45"/>
    <row r="79" spans="2:12" ht="17.399999999999999" thickBot="1" x14ac:dyDescent="0.45">
      <c r="B79" s="110" t="s">
        <v>10</v>
      </c>
      <c r="C79" s="300" t="s">
        <v>11</v>
      </c>
      <c r="D79" s="300"/>
      <c r="E79" s="300"/>
      <c r="F79" s="300"/>
      <c r="G79" s="301"/>
    </row>
    <row r="80" spans="2:12" x14ac:dyDescent="0.4">
      <c r="B80" s="114" t="s">
        <v>6</v>
      </c>
      <c r="C80" s="302" t="s">
        <v>1</v>
      </c>
      <c r="D80" s="303"/>
      <c r="E80" s="112" t="s">
        <v>193</v>
      </c>
      <c r="F80" s="120" t="s">
        <v>2</v>
      </c>
      <c r="G80" s="114" t="s">
        <v>3</v>
      </c>
      <c r="H80" s="106"/>
      <c r="I80" s="107" t="s">
        <v>7</v>
      </c>
      <c r="J80" s="136"/>
      <c r="K80" s="107" t="s">
        <v>8</v>
      </c>
      <c r="L80" s="115" t="s">
        <v>194</v>
      </c>
    </row>
    <row r="81" spans="2:12" x14ac:dyDescent="0.4">
      <c r="B81" s="74"/>
      <c r="C81" s="304"/>
      <c r="D81" s="305"/>
      <c r="E81" s="121"/>
      <c r="F81" s="72"/>
      <c r="G81" s="74"/>
      <c r="I81" s="117">
        <f>IF(C81=0,0,VLOOKUP(C81,Tabla3[],3,FALSE))</f>
        <v>0</v>
      </c>
      <c r="K81" s="84">
        <f>+F81*I81</f>
        <v>0</v>
      </c>
      <c r="L81" s="118">
        <f>E81*I81</f>
        <v>0</v>
      </c>
    </row>
    <row r="82" spans="2:12" x14ac:dyDescent="0.4">
      <c r="B82" s="74"/>
      <c r="C82" s="206"/>
      <c r="D82" s="207"/>
      <c r="E82" s="121"/>
      <c r="F82" s="72"/>
      <c r="G82" s="74"/>
      <c r="I82" s="117">
        <f>IF(C82=0,0,VLOOKUP(C82,Tabla3[],3,FALSE))</f>
        <v>0</v>
      </c>
      <c r="K82" s="84">
        <f t="shared" ref="K82:K84" si="11">+F82*I82</f>
        <v>0</v>
      </c>
      <c r="L82" s="118">
        <f t="shared" ref="L82:L84" si="12">E82*I82</f>
        <v>0</v>
      </c>
    </row>
    <row r="83" spans="2:12" x14ac:dyDescent="0.4">
      <c r="B83" s="74"/>
      <c r="C83" s="206"/>
      <c r="D83" s="207"/>
      <c r="E83" s="121"/>
      <c r="F83" s="72"/>
      <c r="G83" s="74"/>
      <c r="I83" s="117">
        <f>IF(C83=0,0,VLOOKUP(C83,Tabla3[],3,FALSE))</f>
        <v>0</v>
      </c>
      <c r="K83" s="84">
        <f t="shared" si="11"/>
        <v>0</v>
      </c>
      <c r="L83" s="118">
        <f t="shared" si="12"/>
        <v>0</v>
      </c>
    </row>
    <row r="84" spans="2:12" x14ac:dyDescent="0.4">
      <c r="B84" s="74"/>
      <c r="C84" s="304"/>
      <c r="D84" s="305"/>
      <c r="E84" s="121"/>
      <c r="F84" s="72"/>
      <c r="G84" s="74"/>
      <c r="I84" s="117">
        <f>IF(C84=0,0,VLOOKUP(C84,Tabla3[],3,FALSE))</f>
        <v>0</v>
      </c>
      <c r="K84" s="84">
        <f t="shared" si="11"/>
        <v>0</v>
      </c>
      <c r="L84" s="118">
        <f t="shared" si="12"/>
        <v>0</v>
      </c>
    </row>
    <row r="85" spans="2:12" ht="17.399999999999999" thickBot="1" x14ac:dyDescent="0.45"/>
    <row r="86" spans="2:12" ht="17.399999999999999" thickBot="1" x14ac:dyDescent="0.45">
      <c r="F86" s="292" t="s">
        <v>12</v>
      </c>
      <c r="G86" s="293"/>
      <c r="H86" s="293"/>
      <c r="I86" s="294"/>
      <c r="K86" s="229">
        <f>+SUM(K81:K84)</f>
        <v>0</v>
      </c>
      <c r="L86" s="119">
        <f>+SUM(L81:L84)</f>
        <v>0</v>
      </c>
    </row>
    <row r="87" spans="2:12" ht="17.399999999999999" thickBot="1" x14ac:dyDescent="0.45"/>
    <row r="88" spans="2:12" ht="17.399999999999999" thickBot="1" x14ac:dyDescent="0.45">
      <c r="B88" s="110" t="s">
        <v>13</v>
      </c>
      <c r="C88" s="300" t="s">
        <v>14</v>
      </c>
      <c r="D88" s="300"/>
      <c r="E88" s="300"/>
      <c r="F88" s="300"/>
      <c r="G88" s="301"/>
    </row>
    <row r="89" spans="2:12" x14ac:dyDescent="0.4">
      <c r="B89" s="114" t="s">
        <v>6</v>
      </c>
      <c r="C89" s="302" t="s">
        <v>1</v>
      </c>
      <c r="D89" s="303"/>
      <c r="E89" s="112" t="s">
        <v>193</v>
      </c>
      <c r="F89" s="120" t="s">
        <v>2</v>
      </c>
      <c r="G89" s="114" t="s">
        <v>3</v>
      </c>
      <c r="H89" s="106"/>
      <c r="I89" s="107" t="s">
        <v>7</v>
      </c>
      <c r="J89" s="136"/>
      <c r="K89" s="107" t="s">
        <v>8</v>
      </c>
      <c r="L89" s="115" t="s">
        <v>194</v>
      </c>
    </row>
    <row r="90" spans="2:12" x14ac:dyDescent="0.4">
      <c r="B90" s="122">
        <v>1</v>
      </c>
      <c r="C90" s="306" t="s">
        <v>492</v>
      </c>
      <c r="D90" s="306"/>
      <c r="E90" s="116">
        <f>I62</f>
        <v>38.590000000000003</v>
      </c>
      <c r="F90" s="83">
        <f>ROUND(E90/I62,2)</f>
        <v>1</v>
      </c>
      <c r="G90" s="74" t="str">
        <f>IF(C90=0,0,VLOOKUP(C90,Tabla2[],2,FALSE))</f>
        <v>m²</v>
      </c>
      <c r="I90" s="117">
        <f>IF(C90=0,0,VLOOKUP(C90,Tabla2[],3,FALSE))</f>
        <v>25.5</v>
      </c>
      <c r="K90" s="84">
        <f>+F90*I90</f>
        <v>25.5</v>
      </c>
      <c r="L90" s="118">
        <f>E90*I90</f>
        <v>984.04500000000007</v>
      </c>
    </row>
    <row r="91" spans="2:12" x14ac:dyDescent="0.4">
      <c r="B91" s="122"/>
      <c r="C91" s="306"/>
      <c r="D91" s="306"/>
      <c r="E91" s="116"/>
      <c r="F91" s="83"/>
      <c r="G91" s="74"/>
      <c r="I91" s="117">
        <f>IF(C91=0,0,VLOOKUP(C91,Tabla2[],3,FALSE))</f>
        <v>0</v>
      </c>
      <c r="K91" s="84">
        <f>+F91*I91</f>
        <v>0</v>
      </c>
      <c r="L91" s="118">
        <f t="shared" ref="L91:L93" si="13">E91*I91</f>
        <v>0</v>
      </c>
    </row>
    <row r="92" spans="2:12" ht="17.399999999999999" thickBot="1" x14ac:dyDescent="0.45">
      <c r="B92" s="123"/>
      <c r="C92" s="307"/>
      <c r="D92" s="308"/>
      <c r="E92" s="124"/>
      <c r="F92" s="125"/>
      <c r="G92" s="74"/>
      <c r="I92" s="117">
        <f>IF(C92=0,0,VLOOKUP(C92,Tabla2[],3,FALSE))</f>
        <v>0</v>
      </c>
      <c r="K92" s="84">
        <f t="shared" ref="K92" si="14">+F92*I92</f>
        <v>0</v>
      </c>
      <c r="L92" s="118">
        <f t="shared" si="13"/>
        <v>0</v>
      </c>
    </row>
    <row r="93" spans="2:12" ht="17.399999999999999" thickBot="1" x14ac:dyDescent="0.45">
      <c r="B93" s="297" t="s">
        <v>15</v>
      </c>
      <c r="C93" s="298"/>
      <c r="D93" s="298"/>
      <c r="E93" s="298"/>
      <c r="F93" s="298"/>
      <c r="G93" s="299"/>
      <c r="I93" s="84">
        <v>0</v>
      </c>
      <c r="K93" s="84">
        <v>0</v>
      </c>
      <c r="L93" s="118">
        <f t="shared" si="13"/>
        <v>0</v>
      </c>
    </row>
    <row r="94" spans="2:12" ht="17.399999999999999" thickBot="1" x14ac:dyDescent="0.45"/>
    <row r="95" spans="2:12" ht="17.399999999999999" thickBot="1" x14ac:dyDescent="0.45">
      <c r="F95" s="292" t="s">
        <v>16</v>
      </c>
      <c r="G95" s="293"/>
      <c r="H95" s="293"/>
      <c r="I95" s="294"/>
      <c r="K95" s="229">
        <f>+SUM(K90:K93)</f>
        <v>25.5</v>
      </c>
      <c r="L95" s="119">
        <f>+SUM(L90:L93)</f>
        <v>984.04500000000007</v>
      </c>
    </row>
    <row r="96" spans="2:12" ht="17.399999999999999" thickBot="1" x14ac:dyDescent="0.45"/>
    <row r="97" spans="2:16" ht="17.399999999999999" thickBot="1" x14ac:dyDescent="0.45">
      <c r="B97" s="110" t="s">
        <v>17</v>
      </c>
      <c r="C97" s="300" t="s">
        <v>18</v>
      </c>
      <c r="D97" s="300"/>
      <c r="E97" s="300"/>
      <c r="F97" s="300"/>
      <c r="G97" s="301"/>
    </row>
    <row r="98" spans="2:16" x14ac:dyDescent="0.4">
      <c r="B98" s="114" t="s">
        <v>6</v>
      </c>
      <c r="C98" s="302" t="s">
        <v>1</v>
      </c>
      <c r="D98" s="303"/>
      <c r="E98" s="126"/>
      <c r="F98" s="120" t="s">
        <v>2</v>
      </c>
      <c r="G98" s="114" t="s">
        <v>3</v>
      </c>
      <c r="H98" s="106"/>
      <c r="I98" s="107" t="s">
        <v>7</v>
      </c>
      <c r="J98" s="136"/>
      <c r="K98" s="107" t="s">
        <v>8</v>
      </c>
      <c r="L98" s="115" t="s">
        <v>194</v>
      </c>
    </row>
    <row r="99" spans="2:16" x14ac:dyDescent="0.4">
      <c r="B99" s="74"/>
      <c r="C99" s="304"/>
      <c r="D99" s="305"/>
      <c r="E99" s="127"/>
      <c r="F99" s="72"/>
      <c r="G99" s="74"/>
      <c r="I99" s="84">
        <v>0</v>
      </c>
      <c r="K99" s="84">
        <f>+F99*I99</f>
        <v>0</v>
      </c>
      <c r="L99" s="118">
        <f>E99*I99</f>
        <v>0</v>
      </c>
    </row>
    <row r="100" spans="2:16" x14ac:dyDescent="0.4">
      <c r="B100" s="74"/>
      <c r="C100" s="304"/>
      <c r="D100" s="305"/>
      <c r="E100" s="127"/>
      <c r="F100" s="72"/>
      <c r="G100" s="74"/>
      <c r="I100" s="84">
        <v>0</v>
      </c>
      <c r="K100" s="84">
        <f t="shared" ref="K100:K101" si="15">+F100*I100</f>
        <v>0</v>
      </c>
      <c r="L100" s="118">
        <f t="shared" ref="L100:L101" si="16">E100*I100</f>
        <v>0</v>
      </c>
    </row>
    <row r="101" spans="2:16" x14ac:dyDescent="0.4">
      <c r="B101" s="74"/>
      <c r="C101" s="304"/>
      <c r="D101" s="305"/>
      <c r="E101" s="127"/>
      <c r="F101" s="72"/>
      <c r="G101" s="74"/>
      <c r="I101" s="84">
        <v>0</v>
      </c>
      <c r="K101" s="84">
        <f t="shared" si="15"/>
        <v>0</v>
      </c>
      <c r="L101" s="118">
        <f t="shared" si="16"/>
        <v>0</v>
      </c>
    </row>
    <row r="102" spans="2:16" ht="17.399999999999999" thickBot="1" x14ac:dyDescent="0.45">
      <c r="L102" s="118"/>
    </row>
    <row r="103" spans="2:16" ht="17.399999999999999" thickBot="1" x14ac:dyDescent="0.45">
      <c r="F103" s="292" t="s">
        <v>19</v>
      </c>
      <c r="G103" s="293"/>
      <c r="H103" s="293"/>
      <c r="I103" s="294"/>
      <c r="K103" s="229">
        <f>+SUM(K99:K101)</f>
        <v>0</v>
      </c>
      <c r="L103" s="119">
        <f>+SUM(L98:L101)</f>
        <v>0</v>
      </c>
    </row>
    <row r="104" spans="2:16" ht="15" customHeight="1" x14ac:dyDescent="0.4">
      <c r="F104" s="128"/>
      <c r="G104" s="129"/>
      <c r="H104" s="130"/>
      <c r="I104" s="108"/>
      <c r="K104" s="230"/>
    </row>
    <row r="105" spans="2:16" ht="15" customHeight="1" thickBot="1" x14ac:dyDescent="0.45"/>
    <row r="106" spans="2:16" ht="17.399999999999999" thickBot="1" x14ac:dyDescent="0.45">
      <c r="F106" s="292" t="s">
        <v>20</v>
      </c>
      <c r="G106" s="293"/>
      <c r="H106" s="293"/>
      <c r="I106" s="294"/>
      <c r="K106" s="229">
        <f>(+K77+K86+K95+K103)</f>
        <v>35</v>
      </c>
      <c r="L106" s="119">
        <f>(+L77+L86+L95+L103)</f>
        <v>1350.65</v>
      </c>
      <c r="N106" s="131"/>
      <c r="O106" s="39"/>
      <c r="P106" s="40"/>
    </row>
    <row r="107" spans="2:16" ht="7.5" customHeight="1" thickBot="1" x14ac:dyDescent="0.45">
      <c r="N107" s="131"/>
      <c r="O107" s="41"/>
      <c r="P107" s="40"/>
    </row>
    <row r="108" spans="2:16" ht="17.399999999999999" thickBot="1" x14ac:dyDescent="0.45">
      <c r="F108" s="292" t="s">
        <v>21</v>
      </c>
      <c r="G108" s="293"/>
      <c r="H108" s="293"/>
      <c r="I108" s="294"/>
      <c r="K108" s="229">
        <f>K106*$N$2</f>
        <v>14</v>
      </c>
      <c r="L108" s="119">
        <f>L106*$N$2</f>
        <v>540.2600000000001</v>
      </c>
    </row>
    <row r="109" spans="2:16" ht="7.5" customHeight="1" thickBot="1" x14ac:dyDescent="0.45"/>
    <row r="110" spans="2:16" ht="17.399999999999999" thickBot="1" x14ac:dyDescent="0.45">
      <c r="F110" s="292" t="s">
        <v>22</v>
      </c>
      <c r="G110" s="293"/>
      <c r="H110" s="293"/>
      <c r="I110" s="294"/>
      <c r="K110" s="229">
        <f>+K106+K108</f>
        <v>49</v>
      </c>
      <c r="L110" s="119">
        <f>+L106+L108</f>
        <v>1890.9100000000003</v>
      </c>
    </row>
    <row r="111" spans="2:16" ht="17.399999999999999" thickBot="1" x14ac:dyDescent="0.45">
      <c r="F111" s="128"/>
      <c r="G111" s="129"/>
      <c r="H111" s="130"/>
      <c r="I111" s="108"/>
      <c r="K111" s="231"/>
      <c r="L111" s="132">
        <f>L110/I62</f>
        <v>49.000000000000007</v>
      </c>
      <c r="M111" s="133">
        <f>(K110-L111)*I62</f>
        <v>-2.7419844172982269E-13</v>
      </c>
    </row>
    <row r="112" spans="2:16" x14ac:dyDescent="0.4">
      <c r="F112" s="128"/>
      <c r="G112" s="129"/>
      <c r="H112" s="130"/>
      <c r="I112" s="108"/>
      <c r="K112" s="232"/>
      <c r="L112" s="131"/>
      <c r="M112" s="134"/>
      <c r="N112" s="135"/>
    </row>
    <row r="113" spans="1:16" ht="17.399999999999999" thickBot="1" x14ac:dyDescent="0.45">
      <c r="B113" s="295"/>
      <c r="C113" s="295"/>
      <c r="D113" s="295"/>
    </row>
    <row r="114" spans="1:16" x14ac:dyDescent="0.4">
      <c r="B114" s="296" t="s">
        <v>23</v>
      </c>
      <c r="C114" s="296"/>
      <c r="D114" s="296"/>
    </row>
    <row r="115" spans="1:16" x14ac:dyDescent="0.4">
      <c r="B115" s="157"/>
      <c r="C115" s="157"/>
      <c r="D115" s="157"/>
    </row>
    <row r="117" spans="1:16" x14ac:dyDescent="0.4">
      <c r="B117" s="105" t="s">
        <v>43</v>
      </c>
      <c r="C117" s="106"/>
      <c r="D117" s="311" t="s">
        <v>1</v>
      </c>
      <c r="E117" s="311"/>
      <c r="F117" s="311"/>
      <c r="G117" s="311"/>
      <c r="H117" s="106"/>
      <c r="I117" s="107" t="s">
        <v>2</v>
      </c>
      <c r="J117" s="136"/>
      <c r="K117" s="107" t="s">
        <v>3</v>
      </c>
    </row>
    <row r="118" spans="1:16" s="58" customFormat="1" ht="30.75" customHeight="1" x14ac:dyDescent="0.3">
      <c r="A118" s="56"/>
      <c r="B118" s="213">
        <f>CATALOGO!B14</f>
        <v>111.03</v>
      </c>
      <c r="C118" s="137"/>
      <c r="D118" s="322" t="str">
        <f>CATALOGO!C14</f>
        <v>DEMOLICIÓN DE PISO CERÁMICO/PORCELANATO</v>
      </c>
      <c r="E118" s="322"/>
      <c r="F118" s="322"/>
      <c r="G118" s="322"/>
      <c r="H118" s="137"/>
      <c r="I118" s="213">
        <f>CATALOGO!D14</f>
        <v>66.52</v>
      </c>
      <c r="J118" s="109"/>
      <c r="K118" s="227" t="str">
        <f>CATALOGO!E14</f>
        <v>m²</v>
      </c>
      <c r="L118" s="137"/>
      <c r="M118" s="137"/>
      <c r="N118" s="137"/>
      <c r="O118" s="57"/>
      <c r="P118" s="57"/>
    </row>
    <row r="119" spans="1:16" ht="17.399999999999999" thickBot="1" x14ac:dyDescent="0.45"/>
    <row r="120" spans="1:16" ht="17.399999999999999" thickBot="1" x14ac:dyDescent="0.45">
      <c r="B120" s="110" t="s">
        <v>4</v>
      </c>
      <c r="C120" s="300" t="s">
        <v>5</v>
      </c>
      <c r="D120" s="300"/>
      <c r="E120" s="300"/>
      <c r="F120" s="300"/>
      <c r="G120" s="301"/>
    </row>
    <row r="121" spans="1:16" x14ac:dyDescent="0.4">
      <c r="B121" s="111" t="s">
        <v>6</v>
      </c>
      <c r="C121" s="313" t="s">
        <v>1</v>
      </c>
      <c r="D121" s="314"/>
      <c r="E121" s="112" t="s">
        <v>193</v>
      </c>
      <c r="F121" s="113" t="s">
        <v>2</v>
      </c>
      <c r="G121" s="114" t="s">
        <v>3</v>
      </c>
      <c r="H121" s="106"/>
      <c r="I121" s="107" t="s">
        <v>7</v>
      </c>
      <c r="J121" s="136"/>
      <c r="K121" s="228" t="s">
        <v>8</v>
      </c>
      <c r="L121" s="115" t="s">
        <v>194</v>
      </c>
    </row>
    <row r="122" spans="1:16" x14ac:dyDescent="0.4">
      <c r="B122" s="74"/>
      <c r="C122" s="306"/>
      <c r="D122" s="306"/>
      <c r="E122" s="116"/>
      <c r="F122" s="83"/>
      <c r="G122" s="74"/>
      <c r="I122" s="117">
        <f>IF(C122=0,0,VLOOKUP(C122,Tabla1[],3,FALSE))</f>
        <v>0</v>
      </c>
      <c r="K122" s="84">
        <f>+F122*I122</f>
        <v>0</v>
      </c>
      <c r="L122" s="118">
        <f>E122*I122</f>
        <v>0</v>
      </c>
    </row>
    <row r="123" spans="1:16" x14ac:dyDescent="0.4">
      <c r="B123" s="74"/>
      <c r="C123" s="306"/>
      <c r="D123" s="306"/>
      <c r="E123" s="116"/>
      <c r="F123" s="83"/>
      <c r="G123" s="74"/>
      <c r="I123" s="117">
        <f>IF(C123=0,0,VLOOKUP(C123,Tabla1[],3,FALSE))</f>
        <v>0</v>
      </c>
      <c r="K123" s="84">
        <f t="shared" ref="K123:K126" si="17">+F123*I123</f>
        <v>0</v>
      </c>
      <c r="L123" s="118">
        <f t="shared" ref="L123:L126" si="18">E123*I123</f>
        <v>0</v>
      </c>
    </row>
    <row r="124" spans="1:16" x14ac:dyDescent="0.4">
      <c r="B124" s="74"/>
      <c r="C124" s="306"/>
      <c r="D124" s="306"/>
      <c r="E124" s="116"/>
      <c r="F124" s="83"/>
      <c r="G124" s="74"/>
      <c r="I124" s="117">
        <f>IF(C124=0,0,VLOOKUP(C124,Tabla1[],3,FALSE))</f>
        <v>0</v>
      </c>
      <c r="K124" s="84">
        <f t="shared" si="17"/>
        <v>0</v>
      </c>
      <c r="L124" s="118">
        <f t="shared" si="18"/>
        <v>0</v>
      </c>
    </row>
    <row r="125" spans="1:16" x14ac:dyDescent="0.4">
      <c r="B125" s="74"/>
      <c r="C125" s="306"/>
      <c r="D125" s="306"/>
      <c r="E125" s="116"/>
      <c r="F125" s="83"/>
      <c r="G125" s="74"/>
      <c r="I125" s="117">
        <f>IF(C125=0,0,VLOOKUP(C125,Tabla1[],3,FALSE))</f>
        <v>0</v>
      </c>
      <c r="K125" s="84">
        <f t="shared" si="17"/>
        <v>0</v>
      </c>
      <c r="L125" s="118">
        <f t="shared" si="18"/>
        <v>0</v>
      </c>
    </row>
    <row r="126" spans="1:16" x14ac:dyDescent="0.4">
      <c r="B126" s="74"/>
      <c r="C126" s="321"/>
      <c r="D126" s="321"/>
      <c r="E126" s="116"/>
      <c r="F126" s="83"/>
      <c r="G126" s="74"/>
      <c r="I126" s="117">
        <f>IF(C126=0,0,VLOOKUP(C126,Tabla1[],3,FALSE))</f>
        <v>0</v>
      </c>
      <c r="K126" s="84">
        <f t="shared" si="17"/>
        <v>0</v>
      </c>
      <c r="L126" s="118">
        <f t="shared" si="18"/>
        <v>0</v>
      </c>
    </row>
    <row r="127" spans="1:16" ht="17.399999999999999" thickBot="1" x14ac:dyDescent="0.45"/>
    <row r="128" spans="1:16" ht="17.399999999999999" thickBot="1" x14ac:dyDescent="0.45">
      <c r="F128" s="292" t="s">
        <v>9</v>
      </c>
      <c r="G128" s="293"/>
      <c r="H128" s="293"/>
      <c r="I128" s="294"/>
      <c r="K128" s="229">
        <f>+SUM(K122:K126)</f>
        <v>0</v>
      </c>
      <c r="L128" s="119">
        <f>+SUM(L122:L126)</f>
        <v>0</v>
      </c>
    </row>
    <row r="129" spans="2:12" ht="17.399999999999999" thickBot="1" x14ac:dyDescent="0.45"/>
    <row r="130" spans="2:12" ht="17.399999999999999" thickBot="1" x14ac:dyDescent="0.45">
      <c r="B130" s="110" t="s">
        <v>10</v>
      </c>
      <c r="C130" s="300" t="s">
        <v>11</v>
      </c>
      <c r="D130" s="300"/>
      <c r="E130" s="300"/>
      <c r="F130" s="300"/>
      <c r="G130" s="301"/>
    </row>
    <row r="131" spans="2:12" x14ac:dyDescent="0.4">
      <c r="B131" s="114" t="s">
        <v>6</v>
      </c>
      <c r="C131" s="302" t="s">
        <v>1</v>
      </c>
      <c r="D131" s="303"/>
      <c r="E131" s="112" t="s">
        <v>193</v>
      </c>
      <c r="F131" s="120" t="s">
        <v>2</v>
      </c>
      <c r="G131" s="114" t="s">
        <v>3</v>
      </c>
      <c r="H131" s="106"/>
      <c r="I131" s="107" t="s">
        <v>7</v>
      </c>
      <c r="J131" s="136"/>
      <c r="K131" s="107" t="s">
        <v>8</v>
      </c>
      <c r="L131" s="115" t="s">
        <v>194</v>
      </c>
    </row>
    <row r="132" spans="2:12" x14ac:dyDescent="0.4">
      <c r="B132" s="122"/>
      <c r="C132" s="306"/>
      <c r="D132" s="306"/>
      <c r="E132" s="116"/>
      <c r="F132" s="83"/>
      <c r="G132" s="74"/>
      <c r="I132" s="117"/>
      <c r="K132" s="84"/>
      <c r="L132" s="118">
        <f>E132*I132</f>
        <v>0</v>
      </c>
    </row>
    <row r="133" spans="2:12" x14ac:dyDescent="0.4">
      <c r="B133" s="74"/>
      <c r="C133" s="206"/>
      <c r="D133" s="207"/>
      <c r="E133" s="121"/>
      <c r="F133" s="72"/>
      <c r="G133" s="74"/>
      <c r="I133" s="117">
        <f>IF(C133=0,0,VLOOKUP(C133,Tabla3[],3,FALSE))</f>
        <v>0</v>
      </c>
      <c r="K133" s="84">
        <f t="shared" ref="K133:K135" si="19">+F133*I133</f>
        <v>0</v>
      </c>
      <c r="L133" s="118">
        <f t="shared" ref="L133:L135" si="20">E133*I133</f>
        <v>0</v>
      </c>
    </row>
    <row r="134" spans="2:12" x14ac:dyDescent="0.4">
      <c r="B134" s="74"/>
      <c r="C134" s="206"/>
      <c r="D134" s="207"/>
      <c r="E134" s="121"/>
      <c r="F134" s="72"/>
      <c r="G134" s="74"/>
      <c r="I134" s="117">
        <f>IF(C134=0,0,VLOOKUP(C134,Tabla3[],3,FALSE))</f>
        <v>0</v>
      </c>
      <c r="K134" s="84">
        <f t="shared" si="19"/>
        <v>0</v>
      </c>
      <c r="L134" s="118">
        <f t="shared" si="20"/>
        <v>0</v>
      </c>
    </row>
    <row r="135" spans="2:12" x14ac:dyDescent="0.4">
      <c r="B135" s="74"/>
      <c r="C135" s="304"/>
      <c r="D135" s="305"/>
      <c r="E135" s="121"/>
      <c r="F135" s="72"/>
      <c r="G135" s="74"/>
      <c r="I135" s="117">
        <f>IF(C135=0,0,VLOOKUP(C135,Tabla3[],3,FALSE))</f>
        <v>0</v>
      </c>
      <c r="K135" s="84">
        <f t="shared" si="19"/>
        <v>0</v>
      </c>
      <c r="L135" s="118">
        <f t="shared" si="20"/>
        <v>0</v>
      </c>
    </row>
    <row r="136" spans="2:12" ht="17.399999999999999" thickBot="1" x14ac:dyDescent="0.45"/>
    <row r="137" spans="2:12" ht="17.399999999999999" thickBot="1" x14ac:dyDescent="0.45">
      <c r="F137" s="292" t="s">
        <v>12</v>
      </c>
      <c r="G137" s="293"/>
      <c r="H137" s="293"/>
      <c r="I137" s="294"/>
      <c r="K137" s="229">
        <f>+SUM(K132:K135)</f>
        <v>0</v>
      </c>
      <c r="L137" s="119">
        <f>+SUM(L132:L135)</f>
        <v>0</v>
      </c>
    </row>
    <row r="138" spans="2:12" ht="17.399999999999999" thickBot="1" x14ac:dyDescent="0.45"/>
    <row r="139" spans="2:12" ht="17.399999999999999" thickBot="1" x14ac:dyDescent="0.45">
      <c r="B139" s="110" t="s">
        <v>13</v>
      </c>
      <c r="C139" s="300" t="s">
        <v>14</v>
      </c>
      <c r="D139" s="300"/>
      <c r="E139" s="300"/>
      <c r="F139" s="300"/>
      <c r="G139" s="301"/>
    </row>
    <row r="140" spans="2:12" x14ac:dyDescent="0.4">
      <c r="B140" s="114" t="s">
        <v>6</v>
      </c>
      <c r="C140" s="302" t="s">
        <v>1</v>
      </c>
      <c r="D140" s="303"/>
      <c r="E140" s="112" t="s">
        <v>193</v>
      </c>
      <c r="F140" s="120" t="s">
        <v>2</v>
      </c>
      <c r="G140" s="114" t="s">
        <v>3</v>
      </c>
      <c r="H140" s="106"/>
      <c r="I140" s="107" t="s">
        <v>7</v>
      </c>
      <c r="J140" s="136"/>
      <c r="K140" s="107" t="s">
        <v>8</v>
      </c>
      <c r="L140" s="115" t="s">
        <v>194</v>
      </c>
    </row>
    <row r="141" spans="2:12" x14ac:dyDescent="0.4">
      <c r="B141" s="122">
        <v>1</v>
      </c>
      <c r="C141" s="306" t="s">
        <v>195</v>
      </c>
      <c r="D141" s="306"/>
      <c r="E141" s="116">
        <f>I118</f>
        <v>66.52</v>
      </c>
      <c r="F141" s="83">
        <f>ROUND(E141/I118,2)</f>
        <v>1</v>
      </c>
      <c r="G141" s="74" t="str">
        <f>IF(C141=0,0,VLOOKUP(C141,Tabla2[],2,FALSE))</f>
        <v>m²</v>
      </c>
      <c r="I141" s="117">
        <f>IF(C141=0,0,VLOOKUP(C141,Tabla2[],3,FALSE))</f>
        <v>90</v>
      </c>
      <c r="K141" s="84">
        <f>+F141*I141</f>
        <v>90</v>
      </c>
      <c r="L141" s="118">
        <f>E141*I141</f>
        <v>5986.7999999999993</v>
      </c>
    </row>
    <row r="142" spans="2:12" x14ac:dyDescent="0.4">
      <c r="B142" s="122"/>
      <c r="C142" s="306"/>
      <c r="D142" s="306"/>
      <c r="E142" s="116"/>
      <c r="F142" s="83"/>
      <c r="G142" s="74"/>
      <c r="I142" s="117">
        <f>IF(C142=0,0,VLOOKUP(C142,Tabla2[],3,FALSE))</f>
        <v>0</v>
      </c>
      <c r="K142" s="84">
        <f>+F142*I142</f>
        <v>0</v>
      </c>
      <c r="L142" s="118">
        <f>E142*I142</f>
        <v>0</v>
      </c>
    </row>
    <row r="143" spans="2:12" ht="17.399999999999999" thickBot="1" x14ac:dyDescent="0.45">
      <c r="B143" s="123"/>
      <c r="C143" s="307"/>
      <c r="D143" s="308"/>
      <c r="E143" s="124"/>
      <c r="F143" s="125"/>
      <c r="G143" s="74"/>
      <c r="I143" s="117">
        <f>IF(C143=0,0,VLOOKUP(C143,Tabla2[],3,FALSE))</f>
        <v>0</v>
      </c>
      <c r="K143" s="84">
        <f t="shared" ref="K143" si="21">+F143*I143</f>
        <v>0</v>
      </c>
      <c r="L143" s="118">
        <f t="shared" ref="L143:L144" si="22">E143*I143</f>
        <v>0</v>
      </c>
    </row>
    <row r="144" spans="2:12" ht="17.399999999999999" thickBot="1" x14ac:dyDescent="0.45">
      <c r="B144" s="297" t="s">
        <v>15</v>
      </c>
      <c r="C144" s="298"/>
      <c r="D144" s="298"/>
      <c r="E144" s="298"/>
      <c r="F144" s="298"/>
      <c r="G144" s="299"/>
      <c r="I144" s="84">
        <v>0</v>
      </c>
      <c r="K144" s="84">
        <v>0</v>
      </c>
      <c r="L144" s="118">
        <f t="shared" si="22"/>
        <v>0</v>
      </c>
    </row>
    <row r="145" spans="2:16" ht="17.399999999999999" thickBot="1" x14ac:dyDescent="0.45"/>
    <row r="146" spans="2:16" ht="17.399999999999999" thickBot="1" x14ac:dyDescent="0.45">
      <c r="F146" s="292" t="s">
        <v>16</v>
      </c>
      <c r="G146" s="293"/>
      <c r="H146" s="293"/>
      <c r="I146" s="294"/>
      <c r="K146" s="229">
        <f>+SUM(K141:K144)</f>
        <v>90</v>
      </c>
      <c r="L146" s="119">
        <f>+SUM(L141:L144)</f>
        <v>5986.7999999999993</v>
      </c>
    </row>
    <row r="147" spans="2:16" ht="17.399999999999999" thickBot="1" x14ac:dyDescent="0.45"/>
    <row r="148" spans="2:16" ht="17.399999999999999" thickBot="1" x14ac:dyDescent="0.45">
      <c r="B148" s="110" t="s">
        <v>17</v>
      </c>
      <c r="C148" s="300" t="s">
        <v>18</v>
      </c>
      <c r="D148" s="300"/>
      <c r="E148" s="300"/>
      <c r="F148" s="300"/>
      <c r="G148" s="301"/>
    </row>
    <row r="149" spans="2:16" x14ac:dyDescent="0.4">
      <c r="B149" s="114" t="s">
        <v>6</v>
      </c>
      <c r="C149" s="302" t="s">
        <v>1</v>
      </c>
      <c r="D149" s="303"/>
      <c r="E149" s="126"/>
      <c r="F149" s="120" t="s">
        <v>2</v>
      </c>
      <c r="G149" s="114" t="s">
        <v>3</v>
      </c>
      <c r="H149" s="106"/>
      <c r="I149" s="107" t="s">
        <v>7</v>
      </c>
      <c r="J149" s="136"/>
      <c r="K149" s="107" t="s">
        <v>8</v>
      </c>
      <c r="L149" s="115" t="s">
        <v>194</v>
      </c>
    </row>
    <row r="150" spans="2:16" x14ac:dyDescent="0.4">
      <c r="B150" s="74"/>
      <c r="C150" s="304"/>
      <c r="D150" s="305"/>
      <c r="E150" s="127"/>
      <c r="F150" s="72"/>
      <c r="G150" s="74"/>
      <c r="I150" s="84">
        <v>0</v>
      </c>
      <c r="K150" s="84">
        <f>+F150*I150</f>
        <v>0</v>
      </c>
      <c r="L150" s="118">
        <f>E150*I150</f>
        <v>0</v>
      </c>
    </row>
    <row r="151" spans="2:16" x14ac:dyDescent="0.4">
      <c r="B151" s="74"/>
      <c r="C151" s="304"/>
      <c r="D151" s="305"/>
      <c r="E151" s="127"/>
      <c r="F151" s="72"/>
      <c r="G151" s="74"/>
      <c r="I151" s="84">
        <v>0</v>
      </c>
      <c r="K151" s="84">
        <f t="shared" ref="K151:K152" si="23">+F151*I151</f>
        <v>0</v>
      </c>
      <c r="L151" s="118">
        <f t="shared" ref="L151:L152" si="24">E151*I151</f>
        <v>0</v>
      </c>
    </row>
    <row r="152" spans="2:16" x14ac:dyDescent="0.4">
      <c r="B152" s="74"/>
      <c r="C152" s="304"/>
      <c r="D152" s="305"/>
      <c r="E152" s="127"/>
      <c r="F152" s="72"/>
      <c r="G152" s="74"/>
      <c r="I152" s="84">
        <v>0</v>
      </c>
      <c r="K152" s="84">
        <f t="shared" si="23"/>
        <v>0</v>
      </c>
      <c r="L152" s="118">
        <f t="shared" si="24"/>
        <v>0</v>
      </c>
    </row>
    <row r="153" spans="2:16" ht="17.399999999999999" thickBot="1" x14ac:dyDescent="0.45">
      <c r="L153" s="118"/>
    </row>
    <row r="154" spans="2:16" ht="17.399999999999999" thickBot="1" x14ac:dyDescent="0.45">
      <c r="F154" s="292" t="s">
        <v>19</v>
      </c>
      <c r="G154" s="293"/>
      <c r="H154" s="293"/>
      <c r="I154" s="294"/>
      <c r="K154" s="229">
        <f>+SUM(K150:K152)</f>
        <v>0</v>
      </c>
      <c r="L154" s="119">
        <f>+SUM(L149:L152)</f>
        <v>0</v>
      </c>
    </row>
    <row r="155" spans="2:16" ht="15" customHeight="1" x14ac:dyDescent="0.4">
      <c r="F155" s="128"/>
      <c r="G155" s="129"/>
      <c r="H155" s="130"/>
      <c r="I155" s="108"/>
      <c r="K155" s="230"/>
    </row>
    <row r="156" spans="2:16" ht="15" customHeight="1" thickBot="1" x14ac:dyDescent="0.45"/>
    <row r="157" spans="2:16" ht="17.399999999999999" thickBot="1" x14ac:dyDescent="0.45">
      <c r="F157" s="292" t="s">
        <v>20</v>
      </c>
      <c r="G157" s="293"/>
      <c r="H157" s="293"/>
      <c r="I157" s="294"/>
      <c r="K157" s="229">
        <f>(+K128+K137+K146+K154)</f>
        <v>90</v>
      </c>
      <c r="L157" s="119">
        <f>(+L128+L137+L146+L154)</f>
        <v>5986.7999999999993</v>
      </c>
      <c r="N157" s="131"/>
      <c r="O157" s="39"/>
      <c r="P157" s="40"/>
    </row>
    <row r="158" spans="2:16" ht="7.5" customHeight="1" thickBot="1" x14ac:dyDescent="0.45">
      <c r="N158" s="131"/>
      <c r="O158" s="41"/>
      <c r="P158" s="40"/>
    </row>
    <row r="159" spans="2:16" ht="17.399999999999999" thickBot="1" x14ac:dyDescent="0.45">
      <c r="F159" s="292" t="s">
        <v>21</v>
      </c>
      <c r="G159" s="293"/>
      <c r="H159" s="293"/>
      <c r="I159" s="294"/>
      <c r="K159" s="229">
        <f>K157*$N$2</f>
        <v>36</v>
      </c>
      <c r="L159" s="119">
        <f>L157*$N$2</f>
        <v>2394.7199999999998</v>
      </c>
    </row>
    <row r="160" spans="2:16" ht="7.5" customHeight="1" thickBot="1" x14ac:dyDescent="0.45"/>
    <row r="161" spans="1:16" ht="17.399999999999999" thickBot="1" x14ac:dyDescent="0.45">
      <c r="F161" s="292" t="s">
        <v>22</v>
      </c>
      <c r="G161" s="293"/>
      <c r="H161" s="293"/>
      <c r="I161" s="294"/>
      <c r="K161" s="229">
        <f>+K157+K159</f>
        <v>126</v>
      </c>
      <c r="L161" s="119">
        <f>+L157+L159</f>
        <v>8381.5199999999986</v>
      </c>
    </row>
    <row r="162" spans="1:16" ht="17.399999999999999" thickBot="1" x14ac:dyDescent="0.45">
      <c r="F162" s="128"/>
      <c r="G162" s="129"/>
      <c r="H162" s="130"/>
      <c r="I162" s="108"/>
      <c r="K162" s="231"/>
      <c r="L162" s="132">
        <f>L161/I118</f>
        <v>125.99999999999999</v>
      </c>
      <c r="M162" s="133">
        <f>(K161-L162)*I118</f>
        <v>9.4530605565523723E-13</v>
      </c>
    </row>
    <row r="163" spans="1:16" x14ac:dyDescent="0.4">
      <c r="F163" s="128"/>
      <c r="G163" s="129"/>
      <c r="H163" s="130"/>
      <c r="I163" s="108"/>
      <c r="K163" s="232"/>
      <c r="L163" s="131"/>
      <c r="M163" s="134"/>
      <c r="N163" s="135"/>
    </row>
    <row r="164" spans="1:16" ht="17.399999999999999" thickBot="1" x14ac:dyDescent="0.45">
      <c r="B164" s="295"/>
      <c r="C164" s="295"/>
      <c r="D164" s="295"/>
    </row>
    <row r="165" spans="1:16" x14ac:dyDescent="0.4">
      <c r="B165" s="296" t="s">
        <v>23</v>
      </c>
      <c r="C165" s="296"/>
      <c r="D165" s="296"/>
    </row>
    <row r="166" spans="1:16" x14ac:dyDescent="0.4">
      <c r="B166" s="157"/>
      <c r="C166" s="157"/>
      <c r="D166" s="157"/>
    </row>
    <row r="168" spans="1:16" x14ac:dyDescent="0.4">
      <c r="B168" s="105" t="s">
        <v>43</v>
      </c>
      <c r="C168" s="106"/>
      <c r="D168" s="311" t="s">
        <v>1</v>
      </c>
      <c r="E168" s="311"/>
      <c r="F168" s="311"/>
      <c r="G168" s="311"/>
      <c r="H168" s="106"/>
      <c r="I168" s="107" t="s">
        <v>2</v>
      </c>
      <c r="J168" s="136"/>
      <c r="K168" s="107" t="s">
        <v>3</v>
      </c>
    </row>
    <row r="169" spans="1:16" s="58" customFormat="1" ht="30.75" customHeight="1" x14ac:dyDescent="0.3">
      <c r="A169" s="56"/>
      <c r="B169" s="213">
        <f>CATALOGO!B15</f>
        <v>114.03</v>
      </c>
      <c r="C169" s="137"/>
      <c r="D169" s="322" t="str">
        <f>CATALOGO!C15</f>
        <v>DESMONTAJE DE CUBIERTA DE TECHO</v>
      </c>
      <c r="E169" s="322"/>
      <c r="F169" s="322"/>
      <c r="G169" s="322"/>
      <c r="H169" s="137"/>
      <c r="I169" s="213">
        <f>CATALOGO!D15</f>
        <v>6</v>
      </c>
      <c r="J169" s="109"/>
      <c r="K169" s="227" t="str">
        <f>CATALOGO!E15</f>
        <v>m²</v>
      </c>
      <c r="L169" s="137"/>
      <c r="M169" s="137"/>
      <c r="N169" s="137"/>
      <c r="O169" s="57"/>
      <c r="P169" s="57"/>
    </row>
    <row r="170" spans="1:16" ht="17.399999999999999" thickBot="1" x14ac:dyDescent="0.45"/>
    <row r="171" spans="1:16" ht="17.399999999999999" thickBot="1" x14ac:dyDescent="0.45">
      <c r="B171" s="110" t="s">
        <v>4</v>
      </c>
      <c r="C171" s="300" t="s">
        <v>5</v>
      </c>
      <c r="D171" s="300"/>
      <c r="E171" s="300"/>
      <c r="F171" s="300"/>
      <c r="G171" s="301"/>
    </row>
    <row r="172" spans="1:16" x14ac:dyDescent="0.4">
      <c r="B172" s="111" t="s">
        <v>6</v>
      </c>
      <c r="C172" s="313" t="s">
        <v>1</v>
      </c>
      <c r="D172" s="314"/>
      <c r="E172" s="112" t="s">
        <v>193</v>
      </c>
      <c r="F172" s="113" t="s">
        <v>2</v>
      </c>
      <c r="G172" s="114" t="s">
        <v>3</v>
      </c>
      <c r="H172" s="106"/>
      <c r="I172" s="107" t="s">
        <v>7</v>
      </c>
      <c r="J172" s="136"/>
      <c r="K172" s="228" t="s">
        <v>8</v>
      </c>
      <c r="L172" s="115" t="s">
        <v>194</v>
      </c>
    </row>
    <row r="173" spans="1:16" x14ac:dyDescent="0.4">
      <c r="B173" s="74"/>
      <c r="C173" s="306"/>
      <c r="D173" s="306"/>
      <c r="E173" s="116"/>
      <c r="F173" s="83"/>
      <c r="G173" s="74"/>
      <c r="I173" s="117">
        <f>IF(C173=0,0,VLOOKUP(C173,Tabla1[],3,FALSE))</f>
        <v>0</v>
      </c>
      <c r="K173" s="84">
        <f>+F173*I173</f>
        <v>0</v>
      </c>
      <c r="L173" s="118">
        <f>E173*I173</f>
        <v>0</v>
      </c>
    </row>
    <row r="174" spans="1:16" x14ac:dyDescent="0.4">
      <c r="B174" s="74"/>
      <c r="C174" s="306"/>
      <c r="D174" s="306"/>
      <c r="E174" s="116"/>
      <c r="F174" s="83"/>
      <c r="G174" s="74"/>
      <c r="I174" s="117">
        <f>IF(C174=0,0,VLOOKUP(C174,Tabla1[],3,FALSE))</f>
        <v>0</v>
      </c>
      <c r="K174" s="84">
        <f t="shared" ref="K174:K177" si="25">+F174*I174</f>
        <v>0</v>
      </c>
      <c r="L174" s="118">
        <f t="shared" ref="L174:L177" si="26">E174*I174</f>
        <v>0</v>
      </c>
    </row>
    <row r="175" spans="1:16" x14ac:dyDescent="0.4">
      <c r="B175" s="74"/>
      <c r="C175" s="306"/>
      <c r="D175" s="306"/>
      <c r="E175" s="116"/>
      <c r="F175" s="83"/>
      <c r="G175" s="74"/>
      <c r="I175" s="117">
        <f>IF(C175=0,0,VLOOKUP(C175,Tabla1[],3,FALSE))</f>
        <v>0</v>
      </c>
      <c r="K175" s="84">
        <f t="shared" si="25"/>
        <v>0</v>
      </c>
      <c r="L175" s="118">
        <f t="shared" si="26"/>
        <v>0</v>
      </c>
    </row>
    <row r="176" spans="1:16" x14ac:dyDescent="0.4">
      <c r="B176" s="74"/>
      <c r="C176" s="306"/>
      <c r="D176" s="306"/>
      <c r="E176" s="116"/>
      <c r="F176" s="83"/>
      <c r="G176" s="74"/>
      <c r="I176" s="117">
        <f>IF(C176=0,0,VLOOKUP(C176,Tabla1[],3,FALSE))</f>
        <v>0</v>
      </c>
      <c r="K176" s="84">
        <f t="shared" si="25"/>
        <v>0</v>
      </c>
      <c r="L176" s="118">
        <f t="shared" si="26"/>
        <v>0</v>
      </c>
    </row>
    <row r="177" spans="2:12" x14ac:dyDescent="0.4">
      <c r="B177" s="74"/>
      <c r="C177" s="321"/>
      <c r="D177" s="321"/>
      <c r="E177" s="116"/>
      <c r="F177" s="83"/>
      <c r="G177" s="74"/>
      <c r="I177" s="117">
        <f>IF(C177=0,0,VLOOKUP(C177,Tabla1[],3,FALSE))</f>
        <v>0</v>
      </c>
      <c r="K177" s="84">
        <f t="shared" si="25"/>
        <v>0</v>
      </c>
      <c r="L177" s="118">
        <f t="shared" si="26"/>
        <v>0</v>
      </c>
    </row>
    <row r="178" spans="2:12" ht="17.399999999999999" thickBot="1" x14ac:dyDescent="0.45"/>
    <row r="179" spans="2:12" ht="17.399999999999999" thickBot="1" x14ac:dyDescent="0.45">
      <c r="F179" s="292" t="s">
        <v>9</v>
      </c>
      <c r="G179" s="293"/>
      <c r="H179" s="293"/>
      <c r="I179" s="294"/>
      <c r="K179" s="229">
        <f>+SUM(K173:K177)</f>
        <v>0</v>
      </c>
      <c r="L179" s="119">
        <f>+SUM(L173:L177)</f>
        <v>0</v>
      </c>
    </row>
    <row r="180" spans="2:12" ht="17.399999999999999" thickBot="1" x14ac:dyDescent="0.45"/>
    <row r="181" spans="2:12" ht="17.399999999999999" thickBot="1" x14ac:dyDescent="0.45">
      <c r="B181" s="110" t="s">
        <v>10</v>
      </c>
      <c r="C181" s="300" t="s">
        <v>11</v>
      </c>
      <c r="D181" s="300"/>
      <c r="E181" s="300"/>
      <c r="F181" s="300"/>
      <c r="G181" s="301"/>
    </row>
    <row r="182" spans="2:12" x14ac:dyDescent="0.4">
      <c r="B182" s="114" t="s">
        <v>6</v>
      </c>
      <c r="C182" s="302" t="s">
        <v>1</v>
      </c>
      <c r="D182" s="303"/>
      <c r="E182" s="112" t="s">
        <v>193</v>
      </c>
      <c r="F182" s="120" t="s">
        <v>2</v>
      </c>
      <c r="G182" s="114" t="s">
        <v>3</v>
      </c>
      <c r="H182" s="106"/>
      <c r="I182" s="107" t="s">
        <v>7</v>
      </c>
      <c r="J182" s="136"/>
      <c r="K182" s="107" t="s">
        <v>8</v>
      </c>
      <c r="L182" s="115" t="s">
        <v>194</v>
      </c>
    </row>
    <row r="183" spans="2:12" x14ac:dyDescent="0.4">
      <c r="B183" s="122"/>
      <c r="C183" s="306" t="s">
        <v>209</v>
      </c>
      <c r="D183" s="306"/>
      <c r="E183" s="116">
        <f>I169</f>
        <v>6</v>
      </c>
      <c r="F183" s="83">
        <f>ROUND(E183/I169,2)</f>
        <v>1</v>
      </c>
      <c r="G183" s="74" t="str">
        <f>IF(C183=0,0,VLOOKUP(C183,Tabla3[],2,FALSE))</f>
        <v>mes</v>
      </c>
      <c r="I183" s="117">
        <f>IF(C183=0,0,VLOOKUP(C183,Tabla3[],3,FALSE))</f>
        <v>200</v>
      </c>
      <c r="K183" s="84">
        <f>+F183*I183</f>
        <v>200</v>
      </c>
      <c r="L183" s="118">
        <f>E183*I183</f>
        <v>1200</v>
      </c>
    </row>
    <row r="184" spans="2:12" x14ac:dyDescent="0.4">
      <c r="B184" s="74"/>
      <c r="C184" s="206"/>
      <c r="D184" s="207"/>
      <c r="E184" s="121"/>
      <c r="F184" s="72"/>
      <c r="G184" s="74"/>
      <c r="I184" s="117">
        <f>IF(C184=0,0,VLOOKUP(C184,Tabla3[],3,FALSE))</f>
        <v>0</v>
      </c>
      <c r="K184" s="84">
        <f>+F184*I184</f>
        <v>0</v>
      </c>
      <c r="L184" s="118">
        <f>E184*I184</f>
        <v>0</v>
      </c>
    </row>
    <row r="185" spans="2:12" x14ac:dyDescent="0.4">
      <c r="B185" s="74"/>
      <c r="C185" s="206"/>
      <c r="D185" s="207"/>
      <c r="E185" s="121"/>
      <c r="F185" s="72"/>
      <c r="G185" s="74"/>
      <c r="I185" s="117">
        <f>IF(C185=0,0,VLOOKUP(C185,Tabla3[],3,FALSE))</f>
        <v>0</v>
      </c>
      <c r="K185" s="84">
        <f t="shared" ref="K185:K186" si="27">+F185*I185</f>
        <v>0</v>
      </c>
      <c r="L185" s="118">
        <f t="shared" ref="L185:L186" si="28">E185*I185</f>
        <v>0</v>
      </c>
    </row>
    <row r="186" spans="2:12" x14ac:dyDescent="0.4">
      <c r="B186" s="74"/>
      <c r="C186" s="304"/>
      <c r="D186" s="305"/>
      <c r="E186" s="121"/>
      <c r="F186" s="72"/>
      <c r="G186" s="74"/>
      <c r="I186" s="117">
        <f>IF(C186=0,0,VLOOKUP(C186,Tabla3[],3,FALSE))</f>
        <v>0</v>
      </c>
      <c r="K186" s="84">
        <f t="shared" si="27"/>
        <v>0</v>
      </c>
      <c r="L186" s="118">
        <f t="shared" si="28"/>
        <v>0</v>
      </c>
    </row>
    <row r="187" spans="2:12" ht="17.399999999999999" thickBot="1" x14ac:dyDescent="0.45"/>
    <row r="188" spans="2:12" ht="17.399999999999999" thickBot="1" x14ac:dyDescent="0.45">
      <c r="F188" s="292" t="s">
        <v>12</v>
      </c>
      <c r="G188" s="293"/>
      <c r="H188" s="293"/>
      <c r="I188" s="294"/>
      <c r="K188" s="229">
        <f>+SUM(K183:K186)</f>
        <v>200</v>
      </c>
      <c r="L188" s="119">
        <f>+SUM(L183:L186)</f>
        <v>1200</v>
      </c>
    </row>
    <row r="189" spans="2:12" ht="17.399999999999999" thickBot="1" x14ac:dyDescent="0.45"/>
    <row r="190" spans="2:12" ht="17.399999999999999" thickBot="1" x14ac:dyDescent="0.45">
      <c r="B190" s="110" t="s">
        <v>13</v>
      </c>
      <c r="C190" s="300" t="s">
        <v>14</v>
      </c>
      <c r="D190" s="300"/>
      <c r="E190" s="300"/>
      <c r="F190" s="300"/>
      <c r="G190" s="301"/>
    </row>
    <row r="191" spans="2:12" x14ac:dyDescent="0.4">
      <c r="B191" s="114" t="s">
        <v>6</v>
      </c>
      <c r="C191" s="302" t="s">
        <v>1</v>
      </c>
      <c r="D191" s="303"/>
      <c r="E191" s="112" t="s">
        <v>193</v>
      </c>
      <c r="F191" s="120" t="s">
        <v>2</v>
      </c>
      <c r="G191" s="114" t="s">
        <v>3</v>
      </c>
      <c r="H191" s="106"/>
      <c r="I191" s="107" t="s">
        <v>7</v>
      </c>
      <c r="J191" s="136"/>
      <c r="K191" s="107" t="s">
        <v>8</v>
      </c>
      <c r="L191" s="115" t="s">
        <v>194</v>
      </c>
    </row>
    <row r="192" spans="2:12" x14ac:dyDescent="0.4">
      <c r="B192" s="122">
        <v>1</v>
      </c>
      <c r="C192" s="306" t="s">
        <v>277</v>
      </c>
      <c r="D192" s="306"/>
      <c r="E192" s="116">
        <f>I169</f>
        <v>6</v>
      </c>
      <c r="F192" s="83">
        <f>ROUND(E192/I169,2)</f>
        <v>1</v>
      </c>
      <c r="G192" s="74" t="str">
        <f>IF(C192=0,0,VLOOKUP(C192,Tabla2[],2,FALSE))</f>
        <v>m²</v>
      </c>
      <c r="I192" s="117">
        <f>IF(C192=0,0,VLOOKUP(C192,Tabla2[],3,FALSE))</f>
        <v>60</v>
      </c>
      <c r="K192" s="84">
        <f>+F192*I192</f>
        <v>60</v>
      </c>
      <c r="L192" s="118">
        <f>E192*I192</f>
        <v>360</v>
      </c>
    </row>
    <row r="193" spans="2:16" x14ac:dyDescent="0.4">
      <c r="B193" s="122"/>
      <c r="C193" s="306"/>
      <c r="D193" s="306"/>
      <c r="E193" s="116"/>
      <c r="F193" s="83"/>
      <c r="G193" s="74"/>
      <c r="I193" s="117">
        <f>IF(C193=0,0,VLOOKUP(C193,Tabla2[],3,FALSE))</f>
        <v>0</v>
      </c>
      <c r="K193" s="84">
        <f>+F193*I193</f>
        <v>0</v>
      </c>
      <c r="L193" s="118">
        <f>E193*I193</f>
        <v>0</v>
      </c>
    </row>
    <row r="194" spans="2:16" ht="17.399999999999999" thickBot="1" x14ac:dyDescent="0.45">
      <c r="B194" s="123"/>
      <c r="C194" s="307"/>
      <c r="D194" s="308"/>
      <c r="E194" s="124"/>
      <c r="F194" s="125"/>
      <c r="G194" s="74"/>
      <c r="I194" s="117">
        <f>IF(C194=0,0,VLOOKUP(C194,Tabla2[],3,FALSE))</f>
        <v>0</v>
      </c>
      <c r="K194" s="84">
        <f t="shared" ref="K194" si="29">+F194*I194</f>
        <v>0</v>
      </c>
      <c r="L194" s="118">
        <f t="shared" ref="L194:L195" si="30">E194*I194</f>
        <v>0</v>
      </c>
    </row>
    <row r="195" spans="2:16" ht="17.399999999999999" thickBot="1" x14ac:dyDescent="0.45">
      <c r="B195" s="297" t="s">
        <v>15</v>
      </c>
      <c r="C195" s="298"/>
      <c r="D195" s="298"/>
      <c r="E195" s="298"/>
      <c r="F195" s="298"/>
      <c r="G195" s="299"/>
      <c r="I195" s="84">
        <v>0</v>
      </c>
      <c r="K195" s="84">
        <v>0</v>
      </c>
      <c r="L195" s="118">
        <f t="shared" si="30"/>
        <v>0</v>
      </c>
    </row>
    <row r="196" spans="2:16" ht="17.399999999999999" thickBot="1" x14ac:dyDescent="0.45"/>
    <row r="197" spans="2:16" ht="17.399999999999999" thickBot="1" x14ac:dyDescent="0.45">
      <c r="F197" s="292" t="s">
        <v>16</v>
      </c>
      <c r="G197" s="293"/>
      <c r="H197" s="293"/>
      <c r="I197" s="294"/>
      <c r="K197" s="229">
        <f>+SUM(K192:K195)</f>
        <v>60</v>
      </c>
      <c r="L197" s="119">
        <f>+SUM(L192:L195)</f>
        <v>360</v>
      </c>
    </row>
    <row r="198" spans="2:16" ht="17.399999999999999" thickBot="1" x14ac:dyDescent="0.45"/>
    <row r="199" spans="2:16" ht="17.399999999999999" thickBot="1" x14ac:dyDescent="0.45">
      <c r="B199" s="110" t="s">
        <v>17</v>
      </c>
      <c r="C199" s="300" t="s">
        <v>18</v>
      </c>
      <c r="D199" s="300"/>
      <c r="E199" s="300"/>
      <c r="F199" s="300"/>
      <c r="G199" s="301"/>
    </row>
    <row r="200" spans="2:16" x14ac:dyDescent="0.4">
      <c r="B200" s="114" t="s">
        <v>6</v>
      </c>
      <c r="C200" s="302" t="s">
        <v>1</v>
      </c>
      <c r="D200" s="303"/>
      <c r="E200" s="126"/>
      <c r="F200" s="120" t="s">
        <v>2</v>
      </c>
      <c r="G200" s="114" t="s">
        <v>3</v>
      </c>
      <c r="H200" s="106"/>
      <c r="I200" s="107" t="s">
        <v>7</v>
      </c>
      <c r="J200" s="136"/>
      <c r="K200" s="107" t="s">
        <v>8</v>
      </c>
      <c r="L200" s="115" t="s">
        <v>194</v>
      </c>
    </row>
    <row r="201" spans="2:16" x14ac:dyDescent="0.4">
      <c r="B201" s="74"/>
      <c r="C201" s="304"/>
      <c r="D201" s="305"/>
      <c r="E201" s="127"/>
      <c r="F201" s="72"/>
      <c r="G201" s="74"/>
      <c r="I201" s="84">
        <v>0</v>
      </c>
      <c r="K201" s="84">
        <f>+F201*I201</f>
        <v>0</v>
      </c>
      <c r="L201" s="118">
        <f>E201*I201</f>
        <v>0</v>
      </c>
    </row>
    <row r="202" spans="2:16" x14ac:dyDescent="0.4">
      <c r="B202" s="74"/>
      <c r="C202" s="304"/>
      <c r="D202" s="305"/>
      <c r="E202" s="127"/>
      <c r="F202" s="72"/>
      <c r="G202" s="74"/>
      <c r="I202" s="84">
        <v>0</v>
      </c>
      <c r="K202" s="84">
        <f t="shared" ref="K202:K203" si="31">+F202*I202</f>
        <v>0</v>
      </c>
      <c r="L202" s="118">
        <f t="shared" ref="L202:L203" si="32">E202*I202</f>
        <v>0</v>
      </c>
    </row>
    <row r="203" spans="2:16" x14ac:dyDescent="0.4">
      <c r="B203" s="74"/>
      <c r="C203" s="304"/>
      <c r="D203" s="305"/>
      <c r="E203" s="127"/>
      <c r="F203" s="72"/>
      <c r="G203" s="74"/>
      <c r="I203" s="84">
        <v>0</v>
      </c>
      <c r="K203" s="84">
        <f t="shared" si="31"/>
        <v>0</v>
      </c>
      <c r="L203" s="118">
        <f t="shared" si="32"/>
        <v>0</v>
      </c>
    </row>
    <row r="204" spans="2:16" ht="17.399999999999999" thickBot="1" x14ac:dyDescent="0.45">
      <c r="L204" s="118"/>
    </row>
    <row r="205" spans="2:16" ht="17.399999999999999" thickBot="1" x14ac:dyDescent="0.45">
      <c r="F205" s="292" t="s">
        <v>19</v>
      </c>
      <c r="G205" s="293"/>
      <c r="H205" s="293"/>
      <c r="I205" s="294"/>
      <c r="K205" s="229">
        <f>+SUM(K201:K203)</f>
        <v>0</v>
      </c>
      <c r="L205" s="119">
        <f>+SUM(L200:L203)</f>
        <v>0</v>
      </c>
    </row>
    <row r="206" spans="2:16" ht="15" customHeight="1" x14ac:dyDescent="0.4">
      <c r="F206" s="128"/>
      <c r="G206" s="129"/>
      <c r="H206" s="130"/>
      <c r="I206" s="108"/>
      <c r="K206" s="230"/>
    </row>
    <row r="207" spans="2:16" ht="15" customHeight="1" thickBot="1" x14ac:dyDescent="0.45"/>
    <row r="208" spans="2:16" ht="17.399999999999999" thickBot="1" x14ac:dyDescent="0.45">
      <c r="F208" s="292" t="s">
        <v>20</v>
      </c>
      <c r="G208" s="293"/>
      <c r="H208" s="293"/>
      <c r="I208" s="294"/>
      <c r="K208" s="229">
        <f>(+K179+K188+K197+K205)</f>
        <v>260</v>
      </c>
      <c r="L208" s="119">
        <f>(+L179+L188+L197+L205)</f>
        <v>1560</v>
      </c>
      <c r="N208" s="131"/>
      <c r="O208" s="39"/>
      <c r="P208" s="40"/>
    </row>
    <row r="209" spans="1:16" ht="7.5" customHeight="1" thickBot="1" x14ac:dyDescent="0.45">
      <c r="N209" s="131"/>
      <c r="O209" s="41"/>
      <c r="P209" s="40"/>
    </row>
    <row r="210" spans="1:16" ht="17.399999999999999" thickBot="1" x14ac:dyDescent="0.45">
      <c r="F210" s="292" t="s">
        <v>21</v>
      </c>
      <c r="G210" s="293"/>
      <c r="H210" s="293"/>
      <c r="I210" s="294"/>
      <c r="K210" s="229">
        <f>K208*$N$2</f>
        <v>104</v>
      </c>
      <c r="L210" s="119">
        <f>L208*$N$2</f>
        <v>624</v>
      </c>
    </row>
    <row r="211" spans="1:16" ht="7.5" customHeight="1" thickBot="1" x14ac:dyDescent="0.45"/>
    <row r="212" spans="1:16" ht="17.399999999999999" thickBot="1" x14ac:dyDescent="0.45">
      <c r="F212" s="292" t="s">
        <v>22</v>
      </c>
      <c r="G212" s="293"/>
      <c r="H212" s="293"/>
      <c r="I212" s="294"/>
      <c r="K212" s="229">
        <f>+K208+K210</f>
        <v>364</v>
      </c>
      <c r="L212" s="119">
        <f>+L208+L210</f>
        <v>2184</v>
      </c>
    </row>
    <row r="213" spans="1:16" ht="17.399999999999999" thickBot="1" x14ac:dyDescent="0.45">
      <c r="F213" s="128"/>
      <c r="G213" s="129"/>
      <c r="H213" s="130"/>
      <c r="I213" s="108"/>
      <c r="K213" s="231"/>
      <c r="L213" s="132">
        <f>L212/I169</f>
        <v>364</v>
      </c>
      <c r="M213" s="133">
        <f>(K212-L213)*I169</f>
        <v>0</v>
      </c>
    </row>
    <row r="214" spans="1:16" x14ac:dyDescent="0.4">
      <c r="F214" s="128"/>
      <c r="G214" s="129"/>
      <c r="H214" s="130"/>
      <c r="I214" s="108"/>
      <c r="K214" s="232"/>
      <c r="L214" s="131"/>
      <c r="M214" s="134"/>
      <c r="N214" s="135"/>
    </row>
    <row r="215" spans="1:16" ht="17.399999999999999" thickBot="1" x14ac:dyDescent="0.45">
      <c r="B215" s="295"/>
      <c r="C215" s="295"/>
      <c r="D215" s="295"/>
    </row>
    <row r="216" spans="1:16" x14ac:dyDescent="0.4">
      <c r="B216" s="296" t="s">
        <v>23</v>
      </c>
      <c r="C216" s="296"/>
      <c r="D216" s="296"/>
    </row>
    <row r="217" spans="1:16" x14ac:dyDescent="0.4">
      <c r="B217" s="157"/>
      <c r="C217" s="157"/>
      <c r="D217" s="157"/>
    </row>
    <row r="219" spans="1:16" x14ac:dyDescent="0.4">
      <c r="B219" s="105" t="s">
        <v>43</v>
      </c>
      <c r="C219" s="106"/>
      <c r="D219" s="311" t="s">
        <v>1</v>
      </c>
      <c r="E219" s="311"/>
      <c r="F219" s="311"/>
      <c r="G219" s="311"/>
      <c r="H219" s="106"/>
      <c r="I219" s="107" t="s">
        <v>2</v>
      </c>
      <c r="J219" s="136"/>
      <c r="K219" s="107" t="s">
        <v>3</v>
      </c>
    </row>
    <row r="220" spans="1:16" s="58" customFormat="1" ht="30.75" customHeight="1" x14ac:dyDescent="0.3">
      <c r="A220" s="56"/>
      <c r="B220" s="213">
        <f>CATALOGO!B16</f>
        <v>117.01</v>
      </c>
      <c r="C220" s="137"/>
      <c r="D220" s="322" t="str">
        <f>CATALOGO!C16</f>
        <v>DESMONTAJE DE ARTEFACTOS SANITARIOS</v>
      </c>
      <c r="E220" s="322"/>
      <c r="F220" s="322"/>
      <c r="G220" s="322"/>
      <c r="H220" s="137"/>
      <c r="I220" s="213">
        <f>CATALOGO!D16</f>
        <v>3</v>
      </c>
      <c r="J220" s="109"/>
      <c r="K220" s="227" t="str">
        <f>CATALOGO!E16</f>
        <v>Unidad</v>
      </c>
      <c r="L220" s="137"/>
      <c r="M220" s="137"/>
      <c r="N220" s="137"/>
      <c r="O220" s="57"/>
      <c r="P220" s="57"/>
    </row>
    <row r="221" spans="1:16" ht="17.399999999999999" thickBot="1" x14ac:dyDescent="0.45"/>
    <row r="222" spans="1:16" ht="17.399999999999999" thickBot="1" x14ac:dyDescent="0.45">
      <c r="B222" s="110" t="s">
        <v>4</v>
      </c>
      <c r="C222" s="300" t="s">
        <v>5</v>
      </c>
      <c r="D222" s="300"/>
      <c r="E222" s="300"/>
      <c r="F222" s="300"/>
      <c r="G222" s="301"/>
    </row>
    <row r="223" spans="1:16" x14ac:dyDescent="0.4">
      <c r="B223" s="111" t="s">
        <v>6</v>
      </c>
      <c r="C223" s="313" t="s">
        <v>1</v>
      </c>
      <c r="D223" s="314"/>
      <c r="E223" s="112" t="s">
        <v>193</v>
      </c>
      <c r="F223" s="113" t="s">
        <v>2</v>
      </c>
      <c r="G223" s="114" t="s">
        <v>3</v>
      </c>
      <c r="H223" s="106"/>
      <c r="I223" s="107" t="s">
        <v>7</v>
      </c>
      <c r="J223" s="136"/>
      <c r="K223" s="228" t="s">
        <v>8</v>
      </c>
      <c r="L223" s="115" t="s">
        <v>194</v>
      </c>
    </row>
    <row r="224" spans="1:16" x14ac:dyDescent="0.4">
      <c r="B224" s="74"/>
      <c r="C224" s="306"/>
      <c r="D224" s="306"/>
      <c r="E224" s="116"/>
      <c r="F224" s="83"/>
      <c r="G224" s="74"/>
      <c r="I224" s="117">
        <f>IF(C224=0,0,VLOOKUP(C224,Tabla1[],3,FALSE))</f>
        <v>0</v>
      </c>
      <c r="K224" s="84">
        <f>+F224*I224</f>
        <v>0</v>
      </c>
      <c r="L224" s="118">
        <f>E224*I224</f>
        <v>0</v>
      </c>
    </row>
    <row r="225" spans="2:12" x14ac:dyDescent="0.4">
      <c r="B225" s="74"/>
      <c r="C225" s="306"/>
      <c r="D225" s="306"/>
      <c r="E225" s="116"/>
      <c r="F225" s="83"/>
      <c r="G225" s="74"/>
      <c r="I225" s="117">
        <f>IF(C225=0,0,VLOOKUP(C225,Tabla1[],3,FALSE))</f>
        <v>0</v>
      </c>
      <c r="K225" s="84">
        <f t="shared" ref="K225:K229" si="33">+F225*I225</f>
        <v>0</v>
      </c>
      <c r="L225" s="118">
        <f t="shared" ref="L225:L229" si="34">E225*I225</f>
        <v>0</v>
      </c>
    </row>
    <row r="226" spans="2:12" x14ac:dyDescent="0.4">
      <c r="B226" s="74"/>
      <c r="C226" s="306"/>
      <c r="D226" s="306"/>
      <c r="E226" s="116"/>
      <c r="F226" s="83"/>
      <c r="G226" s="74"/>
      <c r="I226" s="117">
        <f>IF(C226=0,0,VLOOKUP(C226,Tabla1[],3,FALSE))</f>
        <v>0</v>
      </c>
      <c r="K226" s="84">
        <f t="shared" si="33"/>
        <v>0</v>
      </c>
      <c r="L226" s="118">
        <f t="shared" si="34"/>
        <v>0</v>
      </c>
    </row>
    <row r="227" spans="2:12" x14ac:dyDescent="0.4">
      <c r="B227" s="74"/>
      <c r="C227" s="306"/>
      <c r="D227" s="306"/>
      <c r="E227" s="116"/>
      <c r="F227" s="83"/>
      <c r="G227" s="74"/>
      <c r="I227" s="117">
        <f>IF(C227=0,0,VLOOKUP(C227,Tabla1[],3,FALSE))</f>
        <v>0</v>
      </c>
      <c r="K227" s="84">
        <f t="shared" si="33"/>
        <v>0</v>
      </c>
      <c r="L227" s="118">
        <f t="shared" si="34"/>
        <v>0</v>
      </c>
    </row>
    <row r="228" spans="2:12" x14ac:dyDescent="0.4">
      <c r="B228" s="74"/>
      <c r="C228" s="321"/>
      <c r="D228" s="321"/>
      <c r="E228" s="116"/>
      <c r="F228" s="83"/>
      <c r="G228" s="74"/>
      <c r="I228" s="117">
        <f>IF(C228=0,0,VLOOKUP(C228,Tabla1[],3,FALSE))</f>
        <v>0</v>
      </c>
      <c r="K228" s="84">
        <f t="shared" si="33"/>
        <v>0</v>
      </c>
      <c r="L228" s="118">
        <f t="shared" si="34"/>
        <v>0</v>
      </c>
    </row>
    <row r="229" spans="2:12" x14ac:dyDescent="0.4">
      <c r="B229" s="74"/>
      <c r="C229" s="321"/>
      <c r="D229" s="321"/>
      <c r="E229" s="116"/>
      <c r="F229" s="72"/>
      <c r="G229" s="74"/>
      <c r="I229" s="117">
        <f>IF(C229=0,0,VLOOKUP(C229,Tabla1[],3,FALSE))</f>
        <v>0</v>
      </c>
      <c r="K229" s="84">
        <f t="shared" si="33"/>
        <v>0</v>
      </c>
      <c r="L229" s="118">
        <f t="shared" si="34"/>
        <v>0</v>
      </c>
    </row>
    <row r="230" spans="2:12" ht="17.399999999999999" thickBot="1" x14ac:dyDescent="0.45"/>
    <row r="231" spans="2:12" ht="17.399999999999999" thickBot="1" x14ac:dyDescent="0.45">
      <c r="F231" s="292" t="s">
        <v>9</v>
      </c>
      <c r="G231" s="293"/>
      <c r="H231" s="293"/>
      <c r="I231" s="294"/>
      <c r="K231" s="229">
        <f>+SUM(K224:K229)</f>
        <v>0</v>
      </c>
      <c r="L231" s="119">
        <f>+SUM(L224:L229)</f>
        <v>0</v>
      </c>
    </row>
    <row r="232" spans="2:12" ht="17.399999999999999" thickBot="1" x14ac:dyDescent="0.45"/>
    <row r="233" spans="2:12" ht="17.399999999999999" thickBot="1" x14ac:dyDescent="0.45">
      <c r="B233" s="110" t="s">
        <v>10</v>
      </c>
      <c r="C233" s="300" t="s">
        <v>11</v>
      </c>
      <c r="D233" s="300"/>
      <c r="E233" s="300"/>
      <c r="F233" s="300"/>
      <c r="G233" s="301"/>
    </row>
    <row r="234" spans="2:12" x14ac:dyDescent="0.4">
      <c r="B234" s="114" t="s">
        <v>6</v>
      </c>
      <c r="C234" s="302" t="s">
        <v>1</v>
      </c>
      <c r="D234" s="303"/>
      <c r="E234" s="112" t="s">
        <v>193</v>
      </c>
      <c r="F234" s="120" t="s">
        <v>2</v>
      </c>
      <c r="G234" s="114" t="s">
        <v>3</v>
      </c>
      <c r="H234" s="106"/>
      <c r="I234" s="107" t="s">
        <v>7</v>
      </c>
      <c r="J234" s="136"/>
      <c r="K234" s="107" t="s">
        <v>8</v>
      </c>
      <c r="L234" s="115" t="s">
        <v>194</v>
      </c>
    </row>
    <row r="235" spans="2:12" x14ac:dyDescent="0.4">
      <c r="B235" s="122">
        <v>1</v>
      </c>
      <c r="C235" s="306" t="s">
        <v>190</v>
      </c>
      <c r="D235" s="306"/>
      <c r="E235" s="116">
        <f>I220*0.6</f>
        <v>1.7999999999999998</v>
      </c>
      <c r="F235" s="83">
        <f>ROUND(E235/I220,2)</f>
        <v>0.6</v>
      </c>
      <c r="G235" s="74" t="str">
        <f>IF(C235=0,0,VLOOKUP(C235,Tabla3[],2,FALSE))</f>
        <v>Viaje</v>
      </c>
      <c r="I235" s="117">
        <f>IF(C235=0,0,VLOOKUP(C235,Tabla3[],3,FALSE))</f>
        <v>200</v>
      </c>
      <c r="K235" s="84">
        <f t="shared" ref="K235:K238" si="35">+F235*I235</f>
        <v>120</v>
      </c>
      <c r="L235" s="118">
        <f>E235*I235</f>
        <v>359.99999999999994</v>
      </c>
    </row>
    <row r="236" spans="2:12" x14ac:dyDescent="0.4">
      <c r="B236" s="74"/>
      <c r="C236" s="206"/>
      <c r="D236" s="207"/>
      <c r="E236" s="121"/>
      <c r="F236" s="72"/>
      <c r="G236" s="74"/>
      <c r="I236" s="117">
        <f>IF(C236=0,0,VLOOKUP(C236,Tabla3[],3,FALSE))</f>
        <v>0</v>
      </c>
      <c r="K236" s="84">
        <f t="shared" si="35"/>
        <v>0</v>
      </c>
      <c r="L236" s="118">
        <f t="shared" ref="L236:L238" si="36">E236*I236</f>
        <v>0</v>
      </c>
    </row>
    <row r="237" spans="2:12" x14ac:dyDescent="0.4">
      <c r="B237" s="74"/>
      <c r="C237" s="206"/>
      <c r="D237" s="207"/>
      <c r="E237" s="121"/>
      <c r="F237" s="72"/>
      <c r="G237" s="74"/>
      <c r="I237" s="117">
        <f>IF(C237=0,0,VLOOKUP(C237,Tabla3[],3,FALSE))</f>
        <v>0</v>
      </c>
      <c r="K237" s="84">
        <f t="shared" si="35"/>
        <v>0</v>
      </c>
      <c r="L237" s="118">
        <f t="shared" si="36"/>
        <v>0</v>
      </c>
    </row>
    <row r="238" spans="2:12" x14ac:dyDescent="0.4">
      <c r="B238" s="74"/>
      <c r="C238" s="304"/>
      <c r="D238" s="305"/>
      <c r="E238" s="121"/>
      <c r="F238" s="72"/>
      <c r="G238" s="74"/>
      <c r="I238" s="117">
        <f>IF(C238=0,0,VLOOKUP(C238,Tabla3[],3,FALSE))</f>
        <v>0</v>
      </c>
      <c r="K238" s="84">
        <f t="shared" si="35"/>
        <v>0</v>
      </c>
      <c r="L238" s="118">
        <f t="shared" si="36"/>
        <v>0</v>
      </c>
    </row>
    <row r="239" spans="2:12" ht="17.399999999999999" thickBot="1" x14ac:dyDescent="0.45"/>
    <row r="240" spans="2:12" ht="17.399999999999999" thickBot="1" x14ac:dyDescent="0.45">
      <c r="F240" s="292" t="s">
        <v>12</v>
      </c>
      <c r="G240" s="293"/>
      <c r="H240" s="293"/>
      <c r="I240" s="294"/>
      <c r="K240" s="229">
        <f>+SUM(K235:K238)</f>
        <v>120</v>
      </c>
      <c r="L240" s="119">
        <f>+SUM(L235:L238)</f>
        <v>359.99999999999994</v>
      </c>
    </row>
    <row r="241" spans="2:12" ht="17.399999999999999" thickBot="1" x14ac:dyDescent="0.45"/>
    <row r="242" spans="2:12" ht="17.399999999999999" thickBot="1" x14ac:dyDescent="0.45">
      <c r="B242" s="110" t="s">
        <v>13</v>
      </c>
      <c r="C242" s="300" t="s">
        <v>14</v>
      </c>
      <c r="D242" s="300"/>
      <c r="E242" s="300"/>
      <c r="F242" s="300"/>
      <c r="G242" s="301"/>
    </row>
    <row r="243" spans="2:12" x14ac:dyDescent="0.4">
      <c r="B243" s="114" t="s">
        <v>6</v>
      </c>
      <c r="C243" s="302" t="s">
        <v>1</v>
      </c>
      <c r="D243" s="303"/>
      <c r="E243" s="112" t="s">
        <v>193</v>
      </c>
      <c r="F243" s="120" t="s">
        <v>2</v>
      </c>
      <c r="G243" s="114" t="s">
        <v>3</v>
      </c>
      <c r="H243" s="106"/>
      <c r="I243" s="107" t="s">
        <v>7</v>
      </c>
      <c r="J243" s="136"/>
      <c r="K243" s="107" t="s">
        <v>8</v>
      </c>
      <c r="L243" s="115" t="s">
        <v>194</v>
      </c>
    </row>
    <row r="244" spans="2:12" x14ac:dyDescent="0.4">
      <c r="B244" s="122">
        <v>1</v>
      </c>
      <c r="C244" s="306" t="s">
        <v>329</v>
      </c>
      <c r="D244" s="306"/>
      <c r="E244" s="116">
        <f>I220</f>
        <v>3</v>
      </c>
      <c r="F244" s="83">
        <f>ROUND(E244/I220,2)</f>
        <v>1</v>
      </c>
      <c r="G244" s="74" t="str">
        <f>IF(C244=0,0,VLOOKUP(C244,Tabla2[],2,FALSE))</f>
        <v>Unidad</v>
      </c>
      <c r="I244" s="117">
        <f>IF(C244=0,0,VLOOKUP(C244,Tabla2[],3,FALSE))</f>
        <v>140</v>
      </c>
      <c r="K244" s="84">
        <f>+F244*I244</f>
        <v>140</v>
      </c>
      <c r="L244" s="118">
        <f>E244*I244</f>
        <v>420</v>
      </c>
    </row>
    <row r="245" spans="2:12" x14ac:dyDescent="0.4">
      <c r="B245" s="122"/>
      <c r="C245" s="306"/>
      <c r="D245" s="306"/>
      <c r="E245" s="116"/>
      <c r="F245" s="83"/>
      <c r="G245" s="74"/>
      <c r="I245" s="117">
        <f>IF(C245=0,0,VLOOKUP(C245,Tabla2[],3,FALSE))</f>
        <v>0</v>
      </c>
      <c r="K245" s="84">
        <f>+F245*I245</f>
        <v>0</v>
      </c>
      <c r="L245" s="118">
        <f>E245*I245</f>
        <v>0</v>
      </c>
    </row>
    <row r="246" spans="2:12" ht="17.399999999999999" thickBot="1" x14ac:dyDescent="0.45">
      <c r="B246" s="123"/>
      <c r="C246" s="307"/>
      <c r="D246" s="308"/>
      <c r="E246" s="124"/>
      <c r="F246" s="125"/>
      <c r="G246" s="74"/>
      <c r="I246" s="117">
        <f>IF(C246=0,0,VLOOKUP(C246,Tabla2[],3,FALSE))</f>
        <v>0</v>
      </c>
      <c r="K246" s="84">
        <f t="shared" ref="K246" si="37">+F246*I246</f>
        <v>0</v>
      </c>
      <c r="L246" s="118">
        <f t="shared" ref="L246:L247" si="38">E246*I246</f>
        <v>0</v>
      </c>
    </row>
    <row r="247" spans="2:12" ht="17.399999999999999" thickBot="1" x14ac:dyDescent="0.45">
      <c r="B247" s="297" t="s">
        <v>15</v>
      </c>
      <c r="C247" s="298"/>
      <c r="D247" s="298"/>
      <c r="E247" s="298"/>
      <c r="F247" s="298"/>
      <c r="G247" s="299"/>
      <c r="I247" s="84">
        <v>0</v>
      </c>
      <c r="K247" s="84">
        <v>0</v>
      </c>
      <c r="L247" s="118">
        <f t="shared" si="38"/>
        <v>0</v>
      </c>
    </row>
    <row r="248" spans="2:12" ht="17.399999999999999" thickBot="1" x14ac:dyDescent="0.45"/>
    <row r="249" spans="2:12" ht="17.399999999999999" thickBot="1" x14ac:dyDescent="0.45">
      <c r="F249" s="292" t="s">
        <v>16</v>
      </c>
      <c r="G249" s="293"/>
      <c r="H249" s="293"/>
      <c r="I249" s="294"/>
      <c r="K249" s="229">
        <f>+SUM(K244:K247)</f>
        <v>140</v>
      </c>
      <c r="L249" s="119">
        <f>+SUM(L244:L247)</f>
        <v>420</v>
      </c>
    </row>
    <row r="250" spans="2:12" ht="17.399999999999999" thickBot="1" x14ac:dyDescent="0.45"/>
    <row r="251" spans="2:12" ht="17.399999999999999" thickBot="1" x14ac:dyDescent="0.45">
      <c r="B251" s="110" t="s">
        <v>17</v>
      </c>
      <c r="C251" s="300" t="s">
        <v>18</v>
      </c>
      <c r="D251" s="300"/>
      <c r="E251" s="300"/>
      <c r="F251" s="300"/>
      <c r="G251" s="301"/>
    </row>
    <row r="252" spans="2:12" x14ac:dyDescent="0.4">
      <c r="B252" s="114" t="s">
        <v>6</v>
      </c>
      <c r="C252" s="302" t="s">
        <v>1</v>
      </c>
      <c r="D252" s="303"/>
      <c r="E252" s="126"/>
      <c r="F252" s="120" t="s">
        <v>2</v>
      </c>
      <c r="G252" s="114" t="s">
        <v>3</v>
      </c>
      <c r="H252" s="106"/>
      <c r="I252" s="107" t="s">
        <v>7</v>
      </c>
      <c r="J252" s="136"/>
      <c r="K252" s="107" t="s">
        <v>8</v>
      </c>
      <c r="L252" s="115" t="s">
        <v>194</v>
      </c>
    </row>
    <row r="253" spans="2:12" x14ac:dyDescent="0.4">
      <c r="B253" s="74"/>
      <c r="C253" s="304"/>
      <c r="D253" s="305"/>
      <c r="E253" s="127"/>
      <c r="F253" s="72"/>
      <c r="G253" s="74"/>
      <c r="I253" s="84">
        <v>0</v>
      </c>
      <c r="K253" s="84">
        <f>+F253*I253</f>
        <v>0</v>
      </c>
      <c r="L253" s="118">
        <f>E253*I253</f>
        <v>0</v>
      </c>
    </row>
    <row r="254" spans="2:12" x14ac:dyDescent="0.4">
      <c r="B254" s="74"/>
      <c r="C254" s="304"/>
      <c r="D254" s="305"/>
      <c r="E254" s="127"/>
      <c r="F254" s="72"/>
      <c r="G254" s="74"/>
      <c r="I254" s="84">
        <v>0</v>
      </c>
      <c r="K254" s="84">
        <f t="shared" ref="K254:K255" si="39">+F254*I254</f>
        <v>0</v>
      </c>
      <c r="L254" s="118">
        <f t="shared" ref="L254:L255" si="40">E254*I254</f>
        <v>0</v>
      </c>
    </row>
    <row r="255" spans="2:12" x14ac:dyDescent="0.4">
      <c r="B255" s="74"/>
      <c r="C255" s="304"/>
      <c r="D255" s="305"/>
      <c r="E255" s="127"/>
      <c r="F255" s="72"/>
      <c r="G255" s="74"/>
      <c r="I255" s="84">
        <v>0</v>
      </c>
      <c r="K255" s="84">
        <f t="shared" si="39"/>
        <v>0</v>
      </c>
      <c r="L255" s="118">
        <f t="shared" si="40"/>
        <v>0</v>
      </c>
    </row>
    <row r="256" spans="2:12" ht="17.399999999999999" thickBot="1" x14ac:dyDescent="0.45">
      <c r="L256" s="118"/>
    </row>
    <row r="257" spans="1:16" ht="17.399999999999999" thickBot="1" x14ac:dyDescent="0.45">
      <c r="F257" s="292" t="s">
        <v>19</v>
      </c>
      <c r="G257" s="293"/>
      <c r="H257" s="293"/>
      <c r="I257" s="294"/>
      <c r="K257" s="229">
        <f>+SUM(K253:K255)</f>
        <v>0</v>
      </c>
      <c r="L257" s="119">
        <f>+SUM(L252:L255)</f>
        <v>0</v>
      </c>
    </row>
    <row r="258" spans="1:16" ht="15" customHeight="1" x14ac:dyDescent="0.4">
      <c r="F258" s="128"/>
      <c r="G258" s="129"/>
      <c r="H258" s="130"/>
      <c r="I258" s="108"/>
      <c r="K258" s="230"/>
    </row>
    <row r="259" spans="1:16" ht="15" customHeight="1" thickBot="1" x14ac:dyDescent="0.45"/>
    <row r="260" spans="1:16" ht="17.399999999999999" thickBot="1" x14ac:dyDescent="0.45">
      <c r="F260" s="292" t="s">
        <v>20</v>
      </c>
      <c r="G260" s="293"/>
      <c r="H260" s="293"/>
      <c r="I260" s="294"/>
      <c r="K260" s="229">
        <f>(+K231+K240+K249+K257)</f>
        <v>260</v>
      </c>
      <c r="L260" s="119">
        <f>(+L231+L240+L249+L257)</f>
        <v>780</v>
      </c>
      <c r="N260" s="131"/>
      <c r="O260" s="39"/>
      <c r="P260" s="40"/>
    </row>
    <row r="261" spans="1:16" ht="7.5" customHeight="1" thickBot="1" x14ac:dyDescent="0.45">
      <c r="N261" s="131"/>
      <c r="O261" s="41"/>
      <c r="P261" s="40"/>
    </row>
    <row r="262" spans="1:16" ht="17.399999999999999" thickBot="1" x14ac:dyDescent="0.45">
      <c r="F262" s="292" t="s">
        <v>21</v>
      </c>
      <c r="G262" s="293"/>
      <c r="H262" s="293"/>
      <c r="I262" s="294"/>
      <c r="K262" s="229">
        <f>K260*$N$2</f>
        <v>104</v>
      </c>
      <c r="L262" s="119">
        <f>L260*$N$2</f>
        <v>312</v>
      </c>
    </row>
    <row r="263" spans="1:16" ht="7.5" customHeight="1" thickBot="1" x14ac:dyDescent="0.45"/>
    <row r="264" spans="1:16" ht="17.399999999999999" thickBot="1" x14ac:dyDescent="0.45">
      <c r="F264" s="292" t="s">
        <v>22</v>
      </c>
      <c r="G264" s="293"/>
      <c r="H264" s="293"/>
      <c r="I264" s="294"/>
      <c r="K264" s="229">
        <f>+K260+K262</f>
        <v>364</v>
      </c>
      <c r="L264" s="119">
        <f>+L260+L262</f>
        <v>1092</v>
      </c>
    </row>
    <row r="265" spans="1:16" ht="17.399999999999999" thickBot="1" x14ac:dyDescent="0.45">
      <c r="F265" s="128"/>
      <c r="G265" s="129"/>
      <c r="H265" s="130"/>
      <c r="I265" s="108"/>
      <c r="K265" s="231"/>
      <c r="L265" s="132">
        <f>L264/I220</f>
        <v>364</v>
      </c>
      <c r="M265" s="133">
        <f>(K264-L265)*I220</f>
        <v>0</v>
      </c>
    </row>
    <row r="266" spans="1:16" x14ac:dyDescent="0.4">
      <c r="F266" s="128"/>
      <c r="G266" s="129"/>
      <c r="H266" s="130"/>
      <c r="I266" s="108"/>
      <c r="K266" s="232"/>
      <c r="L266" s="131"/>
      <c r="M266" s="134"/>
      <c r="N266" s="135"/>
    </row>
    <row r="267" spans="1:16" ht="17.399999999999999" thickBot="1" x14ac:dyDescent="0.45">
      <c r="B267" s="295"/>
      <c r="C267" s="295"/>
      <c r="D267" s="295"/>
    </row>
    <row r="268" spans="1:16" x14ac:dyDescent="0.4">
      <c r="B268" s="296" t="s">
        <v>23</v>
      </c>
      <c r="C268" s="296"/>
      <c r="D268" s="296"/>
    </row>
    <row r="269" spans="1:16" x14ac:dyDescent="0.4">
      <c r="B269" s="157"/>
      <c r="C269" s="157"/>
      <c r="D269" s="157"/>
    </row>
    <row r="270" spans="1:16" x14ac:dyDescent="0.4">
      <c r="B270" s="157"/>
      <c r="C270" s="157"/>
      <c r="D270" s="157"/>
    </row>
    <row r="271" spans="1:16" x14ac:dyDescent="0.4">
      <c r="B271" s="105" t="s">
        <v>43</v>
      </c>
      <c r="C271" s="106"/>
      <c r="D271" s="311" t="s">
        <v>1</v>
      </c>
      <c r="E271" s="311"/>
      <c r="F271" s="311"/>
      <c r="G271" s="311"/>
      <c r="H271" s="106"/>
      <c r="I271" s="107" t="s">
        <v>2</v>
      </c>
      <c r="J271" s="136"/>
      <c r="K271" s="107" t="s">
        <v>3</v>
      </c>
    </row>
    <row r="272" spans="1:16" s="4" customFormat="1" ht="30.75" customHeight="1" x14ac:dyDescent="0.3">
      <c r="A272" s="31"/>
      <c r="B272" s="213">
        <f>CATALOGO!B17</f>
        <v>118.01</v>
      </c>
      <c r="C272" s="137"/>
      <c r="D272" s="322" t="str">
        <f>CATALOGO!C17</f>
        <v>DESMONTAJE DE ACCESORIOS ELECTRICOS</v>
      </c>
      <c r="E272" s="322"/>
      <c r="F272" s="322"/>
      <c r="G272" s="322"/>
      <c r="H272" s="137"/>
      <c r="I272" s="213">
        <f>CATALOGO!D17</f>
        <v>7</v>
      </c>
      <c r="J272" s="109"/>
      <c r="K272" s="227" t="str">
        <f>CATALOGO!E17</f>
        <v>Unidad</v>
      </c>
      <c r="L272" s="71"/>
      <c r="M272" s="71"/>
      <c r="N272" s="104"/>
      <c r="O272" s="37"/>
      <c r="P272" s="37"/>
    </row>
    <row r="273" spans="2:12" ht="17.399999999999999" thickBot="1" x14ac:dyDescent="0.45"/>
    <row r="274" spans="2:12" ht="17.399999999999999" thickBot="1" x14ac:dyDescent="0.45">
      <c r="B274" s="110" t="s">
        <v>4</v>
      </c>
      <c r="C274" s="300" t="s">
        <v>5</v>
      </c>
      <c r="D274" s="300"/>
      <c r="E274" s="300"/>
      <c r="F274" s="300"/>
      <c r="G274" s="301"/>
    </row>
    <row r="275" spans="2:12" x14ac:dyDescent="0.4">
      <c r="B275" s="111" t="s">
        <v>6</v>
      </c>
      <c r="C275" s="313" t="s">
        <v>1</v>
      </c>
      <c r="D275" s="314"/>
      <c r="E275" s="112" t="s">
        <v>193</v>
      </c>
      <c r="F275" s="113" t="s">
        <v>2</v>
      </c>
      <c r="G275" s="114" t="s">
        <v>3</v>
      </c>
      <c r="H275" s="106"/>
      <c r="I275" s="107" t="s">
        <v>7</v>
      </c>
      <c r="J275" s="136"/>
      <c r="K275" s="228" t="s">
        <v>8</v>
      </c>
      <c r="L275" s="115" t="s">
        <v>194</v>
      </c>
    </row>
    <row r="276" spans="2:12" x14ac:dyDescent="0.4">
      <c r="B276" s="74"/>
      <c r="C276" s="306"/>
      <c r="D276" s="306"/>
      <c r="E276" s="116"/>
      <c r="F276" s="83"/>
      <c r="G276" s="74"/>
      <c r="I276" s="117">
        <f>IF(C276=0,0,VLOOKUP(C276,Tabla1[],3,FALSE))</f>
        <v>0</v>
      </c>
      <c r="K276" s="84">
        <f>+F276*I276</f>
        <v>0</v>
      </c>
      <c r="L276" s="118">
        <f>E276*I276</f>
        <v>0</v>
      </c>
    </row>
    <row r="277" spans="2:12" x14ac:dyDescent="0.4">
      <c r="B277" s="74"/>
      <c r="C277" s="306"/>
      <c r="D277" s="306"/>
      <c r="E277" s="116"/>
      <c r="F277" s="83"/>
      <c r="G277" s="74"/>
      <c r="I277" s="117">
        <f>IF(C277=0,0,VLOOKUP(C277,Tabla1[],3,FALSE))</f>
        <v>0</v>
      </c>
      <c r="K277" s="84">
        <f t="shared" ref="K277:K281" si="41">+F277*I277</f>
        <v>0</v>
      </c>
      <c r="L277" s="118">
        <f t="shared" ref="L277:L281" si="42">E277*I277</f>
        <v>0</v>
      </c>
    </row>
    <row r="278" spans="2:12" x14ac:dyDescent="0.4">
      <c r="B278" s="74"/>
      <c r="C278" s="306"/>
      <c r="D278" s="306"/>
      <c r="E278" s="116"/>
      <c r="F278" s="83"/>
      <c r="G278" s="74"/>
      <c r="I278" s="117">
        <f>IF(C278=0,0,VLOOKUP(C278,Tabla1[],3,FALSE))</f>
        <v>0</v>
      </c>
      <c r="K278" s="84">
        <f t="shared" si="41"/>
        <v>0</v>
      </c>
      <c r="L278" s="118">
        <f t="shared" si="42"/>
        <v>0</v>
      </c>
    </row>
    <row r="279" spans="2:12" x14ac:dyDescent="0.4">
      <c r="B279" s="74"/>
      <c r="C279" s="306"/>
      <c r="D279" s="306"/>
      <c r="E279" s="116"/>
      <c r="F279" s="83"/>
      <c r="G279" s="74"/>
      <c r="I279" s="117">
        <f>IF(C279=0,0,VLOOKUP(C279,Tabla1[],3,FALSE))</f>
        <v>0</v>
      </c>
      <c r="K279" s="84">
        <f t="shared" si="41"/>
        <v>0</v>
      </c>
      <c r="L279" s="118">
        <f t="shared" si="42"/>
        <v>0</v>
      </c>
    </row>
    <row r="280" spans="2:12" x14ac:dyDescent="0.4">
      <c r="B280" s="74"/>
      <c r="C280" s="321"/>
      <c r="D280" s="321"/>
      <c r="E280" s="116"/>
      <c r="F280" s="83"/>
      <c r="G280" s="74"/>
      <c r="I280" s="117">
        <f>IF(C280=0,0,VLOOKUP(C280,Tabla1[],3,FALSE))</f>
        <v>0</v>
      </c>
      <c r="K280" s="84">
        <f t="shared" si="41"/>
        <v>0</v>
      </c>
      <c r="L280" s="118">
        <f t="shared" si="42"/>
        <v>0</v>
      </c>
    </row>
    <row r="281" spans="2:12" x14ac:dyDescent="0.4">
      <c r="B281" s="74"/>
      <c r="C281" s="321"/>
      <c r="D281" s="321"/>
      <c r="E281" s="116"/>
      <c r="F281" s="72"/>
      <c r="G281" s="74"/>
      <c r="I281" s="117">
        <f>IF(C281=0,0,VLOOKUP(C281,Tabla1[],3,FALSE))</f>
        <v>0</v>
      </c>
      <c r="K281" s="84">
        <f t="shared" si="41"/>
        <v>0</v>
      </c>
      <c r="L281" s="118">
        <f t="shared" si="42"/>
        <v>0</v>
      </c>
    </row>
    <row r="282" spans="2:12" ht="17.399999999999999" thickBot="1" x14ac:dyDescent="0.45"/>
    <row r="283" spans="2:12" ht="17.399999999999999" thickBot="1" x14ac:dyDescent="0.45">
      <c r="F283" s="292" t="s">
        <v>9</v>
      </c>
      <c r="G283" s="293"/>
      <c r="H283" s="293"/>
      <c r="I283" s="294"/>
      <c r="K283" s="229">
        <f>+SUM(K276:K281)</f>
        <v>0</v>
      </c>
      <c r="L283" s="119">
        <f>+SUM(L276:L281)</f>
        <v>0</v>
      </c>
    </row>
    <row r="284" spans="2:12" ht="17.399999999999999" thickBot="1" x14ac:dyDescent="0.45"/>
    <row r="285" spans="2:12" ht="17.399999999999999" thickBot="1" x14ac:dyDescent="0.45">
      <c r="B285" s="110" t="s">
        <v>10</v>
      </c>
      <c r="C285" s="300" t="s">
        <v>11</v>
      </c>
      <c r="D285" s="300"/>
      <c r="E285" s="300"/>
      <c r="F285" s="300"/>
      <c r="G285" s="301"/>
    </row>
    <row r="286" spans="2:12" x14ac:dyDescent="0.4">
      <c r="B286" s="114" t="s">
        <v>6</v>
      </c>
      <c r="C286" s="302" t="s">
        <v>1</v>
      </c>
      <c r="D286" s="303"/>
      <c r="E286" s="112" t="s">
        <v>193</v>
      </c>
      <c r="F286" s="120" t="s">
        <v>2</v>
      </c>
      <c r="G286" s="114" t="s">
        <v>3</v>
      </c>
      <c r="H286" s="106"/>
      <c r="I286" s="107" t="s">
        <v>7</v>
      </c>
      <c r="J286" s="136"/>
      <c r="K286" s="107" t="s">
        <v>8</v>
      </c>
      <c r="L286" s="115" t="s">
        <v>194</v>
      </c>
    </row>
    <row r="287" spans="2:12" x14ac:dyDescent="0.4">
      <c r="B287" s="122"/>
      <c r="C287" s="306"/>
      <c r="D287" s="306"/>
      <c r="E287" s="116"/>
      <c r="F287" s="83"/>
      <c r="G287" s="74"/>
      <c r="I287" s="117">
        <f>IF(C287=0,0,VLOOKUP(C287,Tabla3[],3,FALSE))</f>
        <v>0</v>
      </c>
      <c r="K287" s="84">
        <f t="shared" ref="K287:K290" si="43">+F287*I287</f>
        <v>0</v>
      </c>
      <c r="L287" s="118">
        <f>E287*I287</f>
        <v>0</v>
      </c>
    </row>
    <row r="288" spans="2:12" x14ac:dyDescent="0.4">
      <c r="B288" s="74"/>
      <c r="C288" s="206"/>
      <c r="D288" s="207"/>
      <c r="E288" s="121"/>
      <c r="F288" s="72"/>
      <c r="G288" s="74"/>
      <c r="I288" s="117">
        <f>IF(C288=0,0,VLOOKUP(C288,Tabla3[],3,FALSE))</f>
        <v>0</v>
      </c>
      <c r="K288" s="84">
        <f t="shared" si="43"/>
        <v>0</v>
      </c>
      <c r="L288" s="118">
        <f t="shared" ref="L288:L290" si="44">E288*I288</f>
        <v>0</v>
      </c>
    </row>
    <row r="289" spans="2:12" x14ac:dyDescent="0.4">
      <c r="B289" s="74"/>
      <c r="C289" s="206"/>
      <c r="D289" s="207"/>
      <c r="E289" s="121"/>
      <c r="F289" s="72"/>
      <c r="G289" s="74"/>
      <c r="I289" s="117">
        <f>IF(C289=0,0,VLOOKUP(C289,Tabla3[],3,FALSE))</f>
        <v>0</v>
      </c>
      <c r="K289" s="84">
        <f t="shared" si="43"/>
        <v>0</v>
      </c>
      <c r="L289" s="118">
        <f t="shared" si="44"/>
        <v>0</v>
      </c>
    </row>
    <row r="290" spans="2:12" x14ac:dyDescent="0.4">
      <c r="B290" s="74"/>
      <c r="C290" s="304"/>
      <c r="D290" s="305"/>
      <c r="E290" s="121"/>
      <c r="F290" s="72"/>
      <c r="G290" s="74"/>
      <c r="I290" s="117">
        <f>IF(C290=0,0,VLOOKUP(C290,Tabla3[],3,FALSE))</f>
        <v>0</v>
      </c>
      <c r="K290" s="84">
        <f t="shared" si="43"/>
        <v>0</v>
      </c>
      <c r="L290" s="118">
        <f t="shared" si="44"/>
        <v>0</v>
      </c>
    </row>
    <row r="291" spans="2:12" ht="17.399999999999999" thickBot="1" x14ac:dyDescent="0.45"/>
    <row r="292" spans="2:12" ht="17.399999999999999" thickBot="1" x14ac:dyDescent="0.45">
      <c r="F292" s="292" t="s">
        <v>12</v>
      </c>
      <c r="G292" s="293"/>
      <c r="H292" s="293"/>
      <c r="I292" s="294"/>
      <c r="K292" s="229">
        <f>+SUM(K287:K290)</f>
        <v>0</v>
      </c>
      <c r="L292" s="119">
        <f>+SUM(L287:L290)</f>
        <v>0</v>
      </c>
    </row>
    <row r="293" spans="2:12" ht="17.399999999999999" thickBot="1" x14ac:dyDescent="0.45"/>
    <row r="294" spans="2:12" ht="17.399999999999999" thickBot="1" x14ac:dyDescent="0.45">
      <c r="B294" s="110" t="s">
        <v>13</v>
      </c>
      <c r="C294" s="300" t="s">
        <v>14</v>
      </c>
      <c r="D294" s="300"/>
      <c r="E294" s="300"/>
      <c r="F294" s="300"/>
      <c r="G294" s="301"/>
    </row>
    <row r="295" spans="2:12" x14ac:dyDescent="0.4">
      <c r="B295" s="114" t="s">
        <v>6</v>
      </c>
      <c r="C295" s="302" t="s">
        <v>1</v>
      </c>
      <c r="D295" s="303"/>
      <c r="E295" s="112" t="s">
        <v>193</v>
      </c>
      <c r="F295" s="120" t="s">
        <v>2</v>
      </c>
      <c r="G295" s="114" t="s">
        <v>3</v>
      </c>
      <c r="H295" s="106"/>
      <c r="I295" s="107" t="s">
        <v>7</v>
      </c>
      <c r="J295" s="136"/>
      <c r="K295" s="107" t="s">
        <v>8</v>
      </c>
      <c r="L295" s="115" t="s">
        <v>194</v>
      </c>
    </row>
    <row r="296" spans="2:12" x14ac:dyDescent="0.4">
      <c r="B296" s="122">
        <v>1</v>
      </c>
      <c r="C296" s="306" t="s">
        <v>464</v>
      </c>
      <c r="D296" s="306"/>
      <c r="E296" s="116">
        <f>I272</f>
        <v>7</v>
      </c>
      <c r="F296" s="83">
        <f>ROUND(E296/I272,2)</f>
        <v>1</v>
      </c>
      <c r="G296" s="74" t="str">
        <f>IF(C296=0,0,VLOOKUP(C296,Tabla2[],2,FALSE))</f>
        <v>Unidad</v>
      </c>
      <c r="I296" s="117">
        <f>IF(C296=0,0,VLOOKUP(C296,Tabla2[],3,FALSE))</f>
        <v>60</v>
      </c>
      <c r="K296" s="84">
        <f>+F296*I296</f>
        <v>60</v>
      </c>
      <c r="L296" s="118">
        <f>E296*I296</f>
        <v>420</v>
      </c>
    </row>
    <row r="297" spans="2:12" x14ac:dyDescent="0.4">
      <c r="B297" s="122"/>
      <c r="C297" s="306"/>
      <c r="D297" s="306"/>
      <c r="E297" s="116"/>
      <c r="F297" s="83"/>
      <c r="G297" s="74"/>
      <c r="I297" s="117">
        <f>IF(C297=0,0,VLOOKUP(C297,Tabla2[],3,FALSE))</f>
        <v>0</v>
      </c>
      <c r="K297" s="84">
        <f>+F297*I297</f>
        <v>0</v>
      </c>
      <c r="L297" s="118">
        <f>E297*I297</f>
        <v>0</v>
      </c>
    </row>
    <row r="298" spans="2:12" ht="17.399999999999999" thickBot="1" x14ac:dyDescent="0.45">
      <c r="B298" s="123"/>
      <c r="C298" s="307"/>
      <c r="D298" s="308"/>
      <c r="E298" s="124"/>
      <c r="F298" s="125"/>
      <c r="G298" s="74"/>
      <c r="I298" s="117">
        <f>IF(C298=0,0,VLOOKUP(C298,Tabla2[],3,FALSE))</f>
        <v>0</v>
      </c>
      <c r="K298" s="84">
        <f t="shared" ref="K298" si="45">+F298*I298</f>
        <v>0</v>
      </c>
      <c r="L298" s="118">
        <f t="shared" ref="L298:L299" si="46">E298*I298</f>
        <v>0</v>
      </c>
    </row>
    <row r="299" spans="2:12" ht="17.399999999999999" thickBot="1" x14ac:dyDescent="0.45">
      <c r="B299" s="297" t="s">
        <v>15</v>
      </c>
      <c r="C299" s="298"/>
      <c r="D299" s="298"/>
      <c r="E299" s="298"/>
      <c r="F299" s="298"/>
      <c r="G299" s="299"/>
      <c r="I299" s="84">
        <v>0</v>
      </c>
      <c r="K299" s="84">
        <v>0</v>
      </c>
      <c r="L299" s="118">
        <f t="shared" si="46"/>
        <v>0</v>
      </c>
    </row>
    <row r="300" spans="2:12" ht="17.399999999999999" thickBot="1" x14ac:dyDescent="0.45"/>
    <row r="301" spans="2:12" ht="17.399999999999999" thickBot="1" x14ac:dyDescent="0.45">
      <c r="F301" s="292" t="s">
        <v>16</v>
      </c>
      <c r="G301" s="293"/>
      <c r="H301" s="293"/>
      <c r="I301" s="294"/>
      <c r="K301" s="229">
        <f>+SUM(K296:K299)</f>
        <v>60</v>
      </c>
      <c r="L301" s="119">
        <f>+SUM(L296:L299)</f>
        <v>420</v>
      </c>
    </row>
    <row r="302" spans="2:12" ht="17.399999999999999" thickBot="1" x14ac:dyDescent="0.45"/>
    <row r="303" spans="2:12" ht="17.399999999999999" thickBot="1" x14ac:dyDescent="0.45">
      <c r="B303" s="110" t="s">
        <v>17</v>
      </c>
      <c r="C303" s="300" t="s">
        <v>18</v>
      </c>
      <c r="D303" s="300"/>
      <c r="E303" s="300"/>
      <c r="F303" s="300"/>
      <c r="G303" s="301"/>
    </row>
    <row r="304" spans="2:12" x14ac:dyDescent="0.4">
      <c r="B304" s="114" t="s">
        <v>6</v>
      </c>
      <c r="C304" s="302" t="s">
        <v>1</v>
      </c>
      <c r="D304" s="303"/>
      <c r="E304" s="126"/>
      <c r="F304" s="120" t="s">
        <v>2</v>
      </c>
      <c r="G304" s="114" t="s">
        <v>3</v>
      </c>
      <c r="H304" s="106"/>
      <c r="I304" s="107" t="s">
        <v>7</v>
      </c>
      <c r="J304" s="136"/>
      <c r="K304" s="107" t="s">
        <v>8</v>
      </c>
      <c r="L304" s="115" t="s">
        <v>194</v>
      </c>
    </row>
    <row r="305" spans="2:16" x14ac:dyDescent="0.4">
      <c r="B305" s="74"/>
      <c r="C305" s="304"/>
      <c r="D305" s="305"/>
      <c r="E305" s="127"/>
      <c r="F305" s="72"/>
      <c r="G305" s="74"/>
      <c r="I305" s="84">
        <v>0</v>
      </c>
      <c r="K305" s="84">
        <f>+F305*I305</f>
        <v>0</v>
      </c>
      <c r="L305" s="118">
        <f>E305*I305</f>
        <v>0</v>
      </c>
    </row>
    <row r="306" spans="2:16" x14ac:dyDescent="0.4">
      <c r="B306" s="74"/>
      <c r="C306" s="304"/>
      <c r="D306" s="305"/>
      <c r="E306" s="127"/>
      <c r="F306" s="72"/>
      <c r="G306" s="74"/>
      <c r="I306" s="84">
        <v>0</v>
      </c>
      <c r="K306" s="84">
        <f t="shared" ref="K306:K307" si="47">+F306*I306</f>
        <v>0</v>
      </c>
      <c r="L306" s="118">
        <f t="shared" ref="L306:L307" si="48">E306*I306</f>
        <v>0</v>
      </c>
    </row>
    <row r="307" spans="2:16" x14ac:dyDescent="0.4">
      <c r="B307" s="74"/>
      <c r="C307" s="304"/>
      <c r="D307" s="305"/>
      <c r="E307" s="127"/>
      <c r="F307" s="72"/>
      <c r="G307" s="74"/>
      <c r="I307" s="84">
        <v>0</v>
      </c>
      <c r="K307" s="84">
        <f t="shared" si="47"/>
        <v>0</v>
      </c>
      <c r="L307" s="118">
        <f t="shared" si="48"/>
        <v>0</v>
      </c>
    </row>
    <row r="308" spans="2:16" ht="17.399999999999999" thickBot="1" x14ac:dyDescent="0.45">
      <c r="L308" s="118"/>
    </row>
    <row r="309" spans="2:16" ht="17.399999999999999" thickBot="1" x14ac:dyDescent="0.45">
      <c r="F309" s="292" t="s">
        <v>19</v>
      </c>
      <c r="G309" s="293"/>
      <c r="H309" s="293"/>
      <c r="I309" s="294"/>
      <c r="K309" s="229">
        <f>+SUM(K305:K307)</f>
        <v>0</v>
      </c>
      <c r="L309" s="119">
        <f>+SUM(L304:L307)</f>
        <v>0</v>
      </c>
    </row>
    <row r="310" spans="2:16" ht="15" customHeight="1" x14ac:dyDescent="0.4">
      <c r="F310" s="128"/>
      <c r="G310" s="129"/>
      <c r="H310" s="130"/>
      <c r="I310" s="108"/>
      <c r="K310" s="230"/>
    </row>
    <row r="311" spans="2:16" ht="15" customHeight="1" thickBot="1" x14ac:dyDescent="0.45"/>
    <row r="312" spans="2:16" ht="17.399999999999999" thickBot="1" x14ac:dyDescent="0.45">
      <c r="F312" s="292" t="s">
        <v>20</v>
      </c>
      <c r="G312" s="293"/>
      <c r="H312" s="293"/>
      <c r="I312" s="294"/>
      <c r="K312" s="229">
        <f>(+K283+K292+K301+K309)</f>
        <v>60</v>
      </c>
      <c r="L312" s="119">
        <f>(+L283+L292+L301+L309)</f>
        <v>420</v>
      </c>
      <c r="N312" s="131"/>
      <c r="O312" s="39"/>
      <c r="P312" s="40"/>
    </row>
    <row r="313" spans="2:16" ht="7.5" customHeight="1" thickBot="1" x14ac:dyDescent="0.45">
      <c r="N313" s="131"/>
      <c r="O313" s="41"/>
      <c r="P313" s="40"/>
    </row>
    <row r="314" spans="2:16" ht="17.399999999999999" thickBot="1" x14ac:dyDescent="0.45">
      <c r="F314" s="292" t="s">
        <v>21</v>
      </c>
      <c r="G314" s="293"/>
      <c r="H314" s="293"/>
      <c r="I314" s="294"/>
      <c r="K314" s="229">
        <f>K312*$N$2</f>
        <v>24</v>
      </c>
      <c r="L314" s="119">
        <f>L312*$N$2</f>
        <v>168</v>
      </c>
    </row>
    <row r="315" spans="2:16" ht="7.5" customHeight="1" thickBot="1" x14ac:dyDescent="0.45"/>
    <row r="316" spans="2:16" ht="17.399999999999999" thickBot="1" x14ac:dyDescent="0.45">
      <c r="F316" s="292" t="s">
        <v>22</v>
      </c>
      <c r="G316" s="293"/>
      <c r="H316" s="293"/>
      <c r="I316" s="294"/>
      <c r="K316" s="229">
        <f>+K312+K314</f>
        <v>84</v>
      </c>
      <c r="L316" s="119">
        <f>+L312+L314</f>
        <v>588</v>
      </c>
    </row>
    <row r="317" spans="2:16" ht="17.399999999999999" thickBot="1" x14ac:dyDescent="0.45">
      <c r="F317" s="128"/>
      <c r="G317" s="129"/>
      <c r="H317" s="130"/>
      <c r="I317" s="108"/>
      <c r="K317" s="231"/>
      <c r="L317" s="132">
        <f>L316/I272</f>
        <v>84</v>
      </c>
      <c r="M317" s="133">
        <f>(K316-L317)*I272</f>
        <v>0</v>
      </c>
    </row>
    <row r="318" spans="2:16" x14ac:dyDescent="0.4">
      <c r="F318" s="128"/>
      <c r="G318" s="129"/>
      <c r="H318" s="130"/>
      <c r="I318" s="108"/>
      <c r="K318" s="232"/>
      <c r="L318" s="131"/>
      <c r="M318" s="134"/>
      <c r="N318" s="135"/>
    </row>
    <row r="319" spans="2:16" ht="17.399999999999999" thickBot="1" x14ac:dyDescent="0.45">
      <c r="B319" s="295"/>
      <c r="C319" s="295"/>
      <c r="D319" s="295"/>
    </row>
    <row r="320" spans="2:16" x14ac:dyDescent="0.4">
      <c r="B320" s="296" t="s">
        <v>23</v>
      </c>
      <c r="C320" s="296"/>
      <c r="D320" s="296"/>
    </row>
    <row r="321" spans="1:16" x14ac:dyDescent="0.4">
      <c r="B321" s="157"/>
      <c r="C321" s="157"/>
      <c r="D321" s="157"/>
    </row>
    <row r="322" spans="1:16" x14ac:dyDescent="0.4">
      <c r="B322" s="157"/>
      <c r="C322" s="157"/>
      <c r="D322" s="157"/>
    </row>
    <row r="323" spans="1:16" x14ac:dyDescent="0.4">
      <c r="B323" s="105" t="s">
        <v>43</v>
      </c>
      <c r="C323" s="106"/>
      <c r="D323" s="311" t="s">
        <v>1</v>
      </c>
      <c r="E323" s="311"/>
      <c r="F323" s="311"/>
      <c r="G323" s="311"/>
      <c r="H323" s="106"/>
      <c r="I323" s="107" t="s">
        <v>2</v>
      </c>
      <c r="J323" s="136"/>
      <c r="K323" s="107" t="s">
        <v>3</v>
      </c>
    </row>
    <row r="324" spans="1:16" s="4" customFormat="1" ht="30.75" customHeight="1" x14ac:dyDescent="0.3">
      <c r="A324" s="31"/>
      <c r="B324" s="213">
        <f>CATALOGO!B19</f>
        <v>201.01</v>
      </c>
      <c r="C324" s="71"/>
      <c r="D324" s="312" t="str">
        <f>CATALOGO!C19</f>
        <v>EXCAVACIÓN ESTRUCTURAL A MANO</v>
      </c>
      <c r="E324" s="312"/>
      <c r="F324" s="312"/>
      <c r="G324" s="312"/>
      <c r="H324" s="71"/>
      <c r="I324" s="213">
        <f>CATALOGO!D19</f>
        <v>17.510000000000002</v>
      </c>
      <c r="J324" s="109"/>
      <c r="K324" s="227" t="str">
        <f>CATALOGO!E19</f>
        <v>m³</v>
      </c>
      <c r="L324" s="71"/>
      <c r="M324" s="71"/>
      <c r="N324" s="104"/>
      <c r="O324" s="37"/>
      <c r="P324" s="37"/>
    </row>
    <row r="325" spans="1:16" ht="17.399999999999999" thickBot="1" x14ac:dyDescent="0.45"/>
    <row r="326" spans="1:16" ht="17.399999999999999" thickBot="1" x14ac:dyDescent="0.45">
      <c r="B326" s="110" t="s">
        <v>4</v>
      </c>
      <c r="C326" s="300" t="s">
        <v>5</v>
      </c>
      <c r="D326" s="300"/>
      <c r="E326" s="300"/>
      <c r="F326" s="300"/>
      <c r="G326" s="301"/>
    </row>
    <row r="327" spans="1:16" x14ac:dyDescent="0.4">
      <c r="B327" s="111" t="s">
        <v>6</v>
      </c>
      <c r="C327" s="313" t="s">
        <v>1</v>
      </c>
      <c r="D327" s="314"/>
      <c r="E327" s="112" t="s">
        <v>193</v>
      </c>
      <c r="F327" s="113" t="s">
        <v>2</v>
      </c>
      <c r="G327" s="114" t="s">
        <v>3</v>
      </c>
      <c r="H327" s="106"/>
      <c r="I327" s="107" t="s">
        <v>7</v>
      </c>
      <c r="J327" s="136"/>
      <c r="K327" s="228" t="s">
        <v>8</v>
      </c>
      <c r="L327" s="115" t="s">
        <v>194</v>
      </c>
    </row>
    <row r="328" spans="1:16" x14ac:dyDescent="0.4">
      <c r="B328" s="122">
        <v>1</v>
      </c>
      <c r="C328" s="306" t="s">
        <v>215</v>
      </c>
      <c r="D328" s="306"/>
      <c r="E328" s="116">
        <f>I324*0.4</f>
        <v>7.0040000000000013</v>
      </c>
      <c r="F328" s="83">
        <f>ROUND(E328/I324,2)</f>
        <v>0.4</v>
      </c>
      <c r="G328" s="74" t="str">
        <f>IF(C328=0,0,VLOOKUP(C328,Tabla1[],2,FALSE))</f>
        <v>Bolsa</v>
      </c>
      <c r="I328" s="117">
        <f>IF(C328=0,0,VLOOKUP(C328,Tabla1[],3,FALSE))</f>
        <v>50</v>
      </c>
      <c r="K328" s="84">
        <f>+F328*I328</f>
        <v>20</v>
      </c>
      <c r="L328" s="118">
        <f>E328*I328</f>
        <v>350.20000000000005</v>
      </c>
    </row>
    <row r="329" spans="1:16" x14ac:dyDescent="0.4">
      <c r="B329" s="122">
        <v>2</v>
      </c>
      <c r="C329" s="306" t="s">
        <v>180</v>
      </c>
      <c r="D329" s="306"/>
      <c r="E329" s="116">
        <f>I324*2</f>
        <v>35.020000000000003</v>
      </c>
      <c r="F329" s="83">
        <f>ROUND(E329/I324,2)</f>
        <v>2</v>
      </c>
      <c r="G329" s="74" t="str">
        <f>IF(C329=0,0,VLOOKUP(C329,Tabla1[],2,FALSE))</f>
        <v>pt</v>
      </c>
      <c r="I329" s="117">
        <f>IF(C329=0,0,VLOOKUP(C329,Tabla1[],3,FALSE))</f>
        <v>9</v>
      </c>
      <c r="K329" s="84">
        <f t="shared" ref="K329:K335" si="49">+F329*I329</f>
        <v>18</v>
      </c>
      <c r="L329" s="118">
        <f t="shared" ref="L329:L335" si="50">E329*I329</f>
        <v>315.18</v>
      </c>
    </row>
    <row r="330" spans="1:16" x14ac:dyDescent="0.4">
      <c r="B330" s="122">
        <v>3</v>
      </c>
      <c r="C330" s="306" t="s">
        <v>465</v>
      </c>
      <c r="D330" s="306"/>
      <c r="E330" s="116">
        <f>I324*0.4</f>
        <v>7.0040000000000013</v>
      </c>
      <c r="F330" s="83">
        <f>ROUND(E330/I324,2)</f>
        <v>0.4</v>
      </c>
      <c r="G330" s="74" t="str">
        <f>IF(C330=0,0,VLOOKUP(C330,Tabla1[],2,FALSE))</f>
        <v>Rollo</v>
      </c>
      <c r="I330" s="117">
        <f>IF(C330=0,0,VLOOKUP(C330,Tabla1[],3,FALSE))</f>
        <v>30</v>
      </c>
      <c r="K330" s="84">
        <f t="shared" si="49"/>
        <v>12</v>
      </c>
      <c r="L330" s="118">
        <f t="shared" si="50"/>
        <v>210.12000000000003</v>
      </c>
    </row>
    <row r="331" spans="1:16" x14ac:dyDescent="0.4">
      <c r="B331" s="122"/>
      <c r="C331" s="306"/>
      <c r="D331" s="306"/>
      <c r="E331" s="116"/>
      <c r="F331" s="83"/>
      <c r="G331" s="74"/>
      <c r="I331" s="117">
        <f>IF(C331=0,0,VLOOKUP(C331,Tabla1[],3,FALSE))</f>
        <v>0</v>
      </c>
      <c r="K331" s="84">
        <f t="shared" si="49"/>
        <v>0</v>
      </c>
      <c r="L331" s="118">
        <f t="shared" si="50"/>
        <v>0</v>
      </c>
    </row>
    <row r="332" spans="1:16" x14ac:dyDescent="0.4">
      <c r="B332" s="122"/>
      <c r="C332" s="321"/>
      <c r="D332" s="321"/>
      <c r="E332" s="116"/>
      <c r="F332" s="83"/>
      <c r="G332" s="74"/>
      <c r="I332" s="117">
        <f>IF(C332=0,0,VLOOKUP(C332,Tabla1[],3,FALSE))</f>
        <v>0</v>
      </c>
      <c r="K332" s="84">
        <f t="shared" si="49"/>
        <v>0</v>
      </c>
      <c r="L332" s="118">
        <f t="shared" si="50"/>
        <v>0</v>
      </c>
    </row>
    <row r="333" spans="1:16" x14ac:dyDescent="0.4">
      <c r="B333" s="122"/>
      <c r="C333" s="321"/>
      <c r="D333" s="321"/>
      <c r="E333" s="116"/>
      <c r="F333" s="72"/>
      <c r="G333" s="74"/>
      <c r="I333" s="117">
        <f>IF(C333=0,0,VLOOKUP(C333,Tabla1[],3,FALSE))</f>
        <v>0</v>
      </c>
      <c r="K333" s="84">
        <f t="shared" si="49"/>
        <v>0</v>
      </c>
      <c r="L333" s="118">
        <f t="shared" si="50"/>
        <v>0</v>
      </c>
    </row>
    <row r="334" spans="1:16" x14ac:dyDescent="0.4">
      <c r="B334" s="122"/>
      <c r="C334" s="321"/>
      <c r="D334" s="321"/>
      <c r="E334" s="116"/>
      <c r="F334" s="72"/>
      <c r="G334" s="74"/>
      <c r="I334" s="117">
        <f>IF(C334=0,0,VLOOKUP(C334,Tabla1[],3,FALSE))</f>
        <v>0</v>
      </c>
      <c r="K334" s="84">
        <f t="shared" si="49"/>
        <v>0</v>
      </c>
      <c r="L334" s="118">
        <f t="shared" si="50"/>
        <v>0</v>
      </c>
    </row>
    <row r="335" spans="1:16" x14ac:dyDescent="0.4">
      <c r="B335" s="122"/>
      <c r="C335" s="321"/>
      <c r="D335" s="321"/>
      <c r="E335" s="116"/>
      <c r="F335" s="72"/>
      <c r="G335" s="74"/>
      <c r="I335" s="117">
        <f>IF(C335=0,0,VLOOKUP(C335,Tabla1[],3,FALSE))</f>
        <v>0</v>
      </c>
      <c r="K335" s="84">
        <f t="shared" si="49"/>
        <v>0</v>
      </c>
      <c r="L335" s="118">
        <f t="shared" si="50"/>
        <v>0</v>
      </c>
    </row>
    <row r="336" spans="1:16" ht="17.399999999999999" thickBot="1" x14ac:dyDescent="0.45"/>
    <row r="337" spans="2:12" ht="17.399999999999999" thickBot="1" x14ac:dyDescent="0.45">
      <c r="F337" s="292" t="s">
        <v>9</v>
      </c>
      <c r="G337" s="293"/>
      <c r="H337" s="293"/>
      <c r="I337" s="294"/>
      <c r="K337" s="229">
        <f>+SUM(K328:K335)</f>
        <v>50</v>
      </c>
      <c r="L337" s="119">
        <f>+SUM(L328:L335)</f>
        <v>875.50000000000011</v>
      </c>
    </row>
    <row r="338" spans="2:12" ht="17.399999999999999" thickBot="1" x14ac:dyDescent="0.45"/>
    <row r="339" spans="2:12" ht="17.399999999999999" thickBot="1" x14ac:dyDescent="0.45">
      <c r="B339" s="110" t="s">
        <v>10</v>
      </c>
      <c r="C339" s="300" t="s">
        <v>11</v>
      </c>
      <c r="D339" s="300"/>
      <c r="E339" s="300"/>
      <c r="F339" s="300"/>
      <c r="G339" s="301"/>
    </row>
    <row r="340" spans="2:12" x14ac:dyDescent="0.4">
      <c r="B340" s="114" t="s">
        <v>6</v>
      </c>
      <c r="C340" s="302" t="s">
        <v>1</v>
      </c>
      <c r="D340" s="303"/>
      <c r="E340" s="112" t="s">
        <v>193</v>
      </c>
      <c r="F340" s="120" t="s">
        <v>2</v>
      </c>
      <c r="G340" s="114" t="s">
        <v>3</v>
      </c>
      <c r="H340" s="106"/>
      <c r="I340" s="107" t="s">
        <v>7</v>
      </c>
      <c r="J340" s="136"/>
      <c r="K340" s="107" t="s">
        <v>8</v>
      </c>
      <c r="L340" s="115" t="s">
        <v>194</v>
      </c>
    </row>
    <row r="341" spans="2:12" x14ac:dyDescent="0.4">
      <c r="B341" s="122"/>
      <c r="C341" s="306"/>
      <c r="D341" s="306"/>
      <c r="E341" s="116"/>
      <c r="F341" s="83"/>
      <c r="G341" s="74"/>
      <c r="I341" s="117">
        <v>0</v>
      </c>
      <c r="K341" s="84">
        <v>0</v>
      </c>
      <c r="L341" s="118">
        <f>E341*I341</f>
        <v>0</v>
      </c>
    </row>
    <row r="342" spans="2:12" x14ac:dyDescent="0.4">
      <c r="B342" s="74"/>
      <c r="C342" s="206"/>
      <c r="D342" s="207"/>
      <c r="E342" s="121"/>
      <c r="F342" s="72"/>
      <c r="G342" s="74"/>
      <c r="I342" s="117">
        <f>IF(C342=0,0,VLOOKUP(C342,Tabla3[],3,FALSE))</f>
        <v>0</v>
      </c>
      <c r="K342" s="84">
        <f t="shared" ref="K342:K344" si="51">+F342*I342</f>
        <v>0</v>
      </c>
      <c r="L342" s="118">
        <f t="shared" ref="L342:L344" si="52">E342*I342</f>
        <v>0</v>
      </c>
    </row>
    <row r="343" spans="2:12" x14ac:dyDescent="0.4">
      <c r="B343" s="74"/>
      <c r="C343" s="206"/>
      <c r="D343" s="207"/>
      <c r="E343" s="121"/>
      <c r="F343" s="72"/>
      <c r="G343" s="74"/>
      <c r="I343" s="117">
        <f>IF(C343=0,0,VLOOKUP(C343,Tabla3[],3,FALSE))</f>
        <v>0</v>
      </c>
      <c r="K343" s="84">
        <f t="shared" si="51"/>
        <v>0</v>
      </c>
      <c r="L343" s="118">
        <f t="shared" si="52"/>
        <v>0</v>
      </c>
    </row>
    <row r="344" spans="2:12" x14ac:dyDescent="0.4">
      <c r="B344" s="74"/>
      <c r="C344" s="304"/>
      <c r="D344" s="305"/>
      <c r="E344" s="121"/>
      <c r="F344" s="72"/>
      <c r="G344" s="74"/>
      <c r="I344" s="117">
        <f>IF(C344=0,0,VLOOKUP(C344,Tabla3[],3,FALSE))</f>
        <v>0</v>
      </c>
      <c r="K344" s="84">
        <f t="shared" si="51"/>
        <v>0</v>
      </c>
      <c r="L344" s="118">
        <f t="shared" si="52"/>
        <v>0</v>
      </c>
    </row>
    <row r="345" spans="2:12" ht="17.399999999999999" thickBot="1" x14ac:dyDescent="0.45"/>
    <row r="346" spans="2:12" ht="17.399999999999999" thickBot="1" x14ac:dyDescent="0.45">
      <c r="F346" s="292" t="s">
        <v>12</v>
      </c>
      <c r="G346" s="293"/>
      <c r="H346" s="293"/>
      <c r="I346" s="294"/>
      <c r="K346" s="229">
        <f>+SUM(K341:K344)</f>
        <v>0</v>
      </c>
      <c r="L346" s="119">
        <f>+SUM(L341:L344)</f>
        <v>0</v>
      </c>
    </row>
    <row r="347" spans="2:12" ht="17.399999999999999" thickBot="1" x14ac:dyDescent="0.45"/>
    <row r="348" spans="2:12" ht="17.399999999999999" thickBot="1" x14ac:dyDescent="0.45">
      <c r="B348" s="110" t="s">
        <v>13</v>
      </c>
      <c r="C348" s="300" t="s">
        <v>14</v>
      </c>
      <c r="D348" s="300"/>
      <c r="E348" s="300"/>
      <c r="F348" s="300"/>
      <c r="G348" s="301"/>
    </row>
    <row r="349" spans="2:12" x14ac:dyDescent="0.4">
      <c r="B349" s="114" t="s">
        <v>6</v>
      </c>
      <c r="C349" s="302" t="s">
        <v>1</v>
      </c>
      <c r="D349" s="303"/>
      <c r="E349" s="112" t="s">
        <v>193</v>
      </c>
      <c r="F349" s="120" t="s">
        <v>2</v>
      </c>
      <c r="G349" s="114" t="s">
        <v>3</v>
      </c>
      <c r="H349" s="106"/>
      <c r="I349" s="107" t="s">
        <v>7</v>
      </c>
      <c r="J349" s="136"/>
      <c r="K349" s="107" t="s">
        <v>8</v>
      </c>
      <c r="L349" s="115" t="s">
        <v>194</v>
      </c>
    </row>
    <row r="350" spans="2:12" x14ac:dyDescent="0.4">
      <c r="B350" s="122">
        <v>1</v>
      </c>
      <c r="C350" s="306" t="s">
        <v>399</v>
      </c>
      <c r="D350" s="306"/>
      <c r="E350" s="116">
        <f>I324</f>
        <v>17.510000000000002</v>
      </c>
      <c r="F350" s="83">
        <f>ROUND(E350/I324,2)</f>
        <v>1</v>
      </c>
      <c r="G350" s="74" t="str">
        <f>IF(C350=0,0,VLOOKUP(C350,Tabla2[],2,FALSE))</f>
        <v>m³</v>
      </c>
      <c r="I350" s="117">
        <f>IF(C350=0,0,VLOOKUP(C350,Tabla2[],3,FALSE))</f>
        <v>50</v>
      </c>
      <c r="K350" s="84">
        <f>+F350*I350</f>
        <v>50</v>
      </c>
      <c r="L350" s="118">
        <f>E350*I350</f>
        <v>875.50000000000011</v>
      </c>
    </row>
    <row r="351" spans="2:12" x14ac:dyDescent="0.4">
      <c r="B351" s="122"/>
      <c r="C351" s="306"/>
      <c r="D351" s="306"/>
      <c r="E351" s="116"/>
      <c r="F351" s="83"/>
      <c r="G351" s="74"/>
      <c r="I351" s="117">
        <f>IF(C351=0,0,VLOOKUP(C351,Tabla2[],3,FALSE))</f>
        <v>0</v>
      </c>
      <c r="K351" s="84">
        <f>+F351*I351</f>
        <v>0</v>
      </c>
      <c r="L351" s="118">
        <f>E351*I351</f>
        <v>0</v>
      </c>
    </row>
    <row r="352" spans="2:12" ht="17.399999999999999" thickBot="1" x14ac:dyDescent="0.45">
      <c r="B352" s="123"/>
      <c r="C352" s="307"/>
      <c r="D352" s="308"/>
      <c r="E352" s="124"/>
      <c r="F352" s="125"/>
      <c r="G352" s="74"/>
      <c r="I352" s="117">
        <f>IF(C352=0,0,VLOOKUP(C352,Tabla2[],3,FALSE))</f>
        <v>0</v>
      </c>
      <c r="K352" s="84">
        <f t="shared" ref="K352" si="53">+F352*I352</f>
        <v>0</v>
      </c>
      <c r="L352" s="118">
        <f t="shared" ref="L352:L353" si="54">E352*I352</f>
        <v>0</v>
      </c>
    </row>
    <row r="353" spans="2:16" ht="17.399999999999999" thickBot="1" x14ac:dyDescent="0.45">
      <c r="B353" s="297" t="s">
        <v>15</v>
      </c>
      <c r="C353" s="298"/>
      <c r="D353" s="298"/>
      <c r="E353" s="298"/>
      <c r="F353" s="298"/>
      <c r="G353" s="299"/>
      <c r="I353" s="84">
        <v>0</v>
      </c>
      <c r="K353" s="84">
        <v>0</v>
      </c>
      <c r="L353" s="118">
        <f t="shared" si="54"/>
        <v>0</v>
      </c>
    </row>
    <row r="354" spans="2:16" ht="17.399999999999999" thickBot="1" x14ac:dyDescent="0.45"/>
    <row r="355" spans="2:16" ht="17.399999999999999" thickBot="1" x14ac:dyDescent="0.45">
      <c r="F355" s="292" t="s">
        <v>16</v>
      </c>
      <c r="G355" s="293"/>
      <c r="H355" s="293"/>
      <c r="I355" s="294"/>
      <c r="K355" s="229">
        <f>+SUM(K350:K353)</f>
        <v>50</v>
      </c>
      <c r="L355" s="119">
        <f>+SUM(L350:L353)</f>
        <v>875.50000000000011</v>
      </c>
    </row>
    <row r="356" spans="2:16" ht="17.399999999999999" thickBot="1" x14ac:dyDescent="0.45"/>
    <row r="357" spans="2:16" ht="17.399999999999999" thickBot="1" x14ac:dyDescent="0.45">
      <c r="B357" s="110" t="s">
        <v>17</v>
      </c>
      <c r="C357" s="300" t="s">
        <v>18</v>
      </c>
      <c r="D357" s="300"/>
      <c r="E357" s="300"/>
      <c r="F357" s="300"/>
      <c r="G357" s="301"/>
    </row>
    <row r="358" spans="2:16" x14ac:dyDescent="0.4">
      <c r="B358" s="114" t="s">
        <v>6</v>
      </c>
      <c r="C358" s="302" t="s">
        <v>1</v>
      </c>
      <c r="D358" s="303"/>
      <c r="E358" s="126"/>
      <c r="F358" s="120" t="s">
        <v>2</v>
      </c>
      <c r="G358" s="114" t="s">
        <v>3</v>
      </c>
      <c r="H358" s="106"/>
      <c r="I358" s="107" t="s">
        <v>7</v>
      </c>
      <c r="J358" s="136"/>
      <c r="K358" s="107" t="s">
        <v>8</v>
      </c>
      <c r="L358" s="115" t="s">
        <v>194</v>
      </c>
    </row>
    <row r="359" spans="2:16" x14ac:dyDescent="0.4">
      <c r="B359" s="74"/>
      <c r="C359" s="304"/>
      <c r="D359" s="305"/>
      <c r="E359" s="127"/>
      <c r="F359" s="72"/>
      <c r="G359" s="74"/>
      <c r="I359" s="84">
        <v>0</v>
      </c>
      <c r="K359" s="84">
        <f>+F359*I359</f>
        <v>0</v>
      </c>
      <c r="L359" s="118">
        <f>E359*I359</f>
        <v>0</v>
      </c>
    </row>
    <row r="360" spans="2:16" x14ac:dyDescent="0.4">
      <c r="B360" s="74"/>
      <c r="C360" s="304"/>
      <c r="D360" s="305"/>
      <c r="E360" s="127"/>
      <c r="F360" s="72"/>
      <c r="G360" s="74"/>
      <c r="I360" s="84">
        <v>0</v>
      </c>
      <c r="K360" s="84">
        <f t="shared" ref="K360:K361" si="55">+F360*I360</f>
        <v>0</v>
      </c>
      <c r="L360" s="118">
        <f t="shared" ref="L360:L361" si="56">E360*I360</f>
        <v>0</v>
      </c>
    </row>
    <row r="361" spans="2:16" x14ac:dyDescent="0.4">
      <c r="B361" s="74"/>
      <c r="C361" s="304"/>
      <c r="D361" s="305"/>
      <c r="E361" s="127"/>
      <c r="F361" s="72"/>
      <c r="G361" s="74"/>
      <c r="I361" s="84">
        <v>0</v>
      </c>
      <c r="K361" s="84">
        <f t="shared" si="55"/>
        <v>0</v>
      </c>
      <c r="L361" s="118">
        <f t="shared" si="56"/>
        <v>0</v>
      </c>
    </row>
    <row r="362" spans="2:16" ht="17.399999999999999" thickBot="1" x14ac:dyDescent="0.45">
      <c r="L362" s="118"/>
    </row>
    <row r="363" spans="2:16" ht="17.399999999999999" thickBot="1" x14ac:dyDescent="0.45">
      <c r="F363" s="292" t="s">
        <v>19</v>
      </c>
      <c r="G363" s="293"/>
      <c r="H363" s="293"/>
      <c r="I363" s="294"/>
      <c r="K363" s="229">
        <f>+SUM(K359:K361)</f>
        <v>0</v>
      </c>
      <c r="L363" s="119">
        <f>+SUM(L358:L361)</f>
        <v>0</v>
      </c>
    </row>
    <row r="364" spans="2:16" ht="15" customHeight="1" x14ac:dyDescent="0.4">
      <c r="F364" s="128"/>
      <c r="G364" s="129"/>
      <c r="H364" s="130"/>
      <c r="I364" s="108"/>
      <c r="K364" s="230"/>
    </row>
    <row r="365" spans="2:16" ht="15" customHeight="1" thickBot="1" x14ac:dyDescent="0.45"/>
    <row r="366" spans="2:16" ht="17.399999999999999" thickBot="1" x14ac:dyDescent="0.45">
      <c r="F366" s="292" t="s">
        <v>20</v>
      </c>
      <c r="G366" s="293"/>
      <c r="H366" s="293"/>
      <c r="I366" s="294"/>
      <c r="K366" s="229">
        <f>(+K337+K346+K355+K363)</f>
        <v>100</v>
      </c>
      <c r="L366" s="119">
        <f>(+L337+L346+L355+L363)</f>
        <v>1751.0000000000002</v>
      </c>
      <c r="N366" s="131"/>
      <c r="O366" s="39"/>
      <c r="P366" s="40"/>
    </row>
    <row r="367" spans="2:16" ht="7.5" customHeight="1" thickBot="1" x14ac:dyDescent="0.45">
      <c r="N367" s="131"/>
      <c r="O367" s="41"/>
      <c r="P367" s="40"/>
    </row>
    <row r="368" spans="2:16" ht="17.399999999999999" thickBot="1" x14ac:dyDescent="0.45">
      <c r="F368" s="292" t="s">
        <v>21</v>
      </c>
      <c r="G368" s="293"/>
      <c r="H368" s="293"/>
      <c r="I368" s="294"/>
      <c r="K368" s="229">
        <f>K366*$N$2</f>
        <v>40</v>
      </c>
      <c r="L368" s="119">
        <f>L366*$N$2</f>
        <v>700.40000000000009</v>
      </c>
    </row>
    <row r="369" spans="1:16" ht="7.5" customHeight="1" thickBot="1" x14ac:dyDescent="0.45"/>
    <row r="370" spans="1:16" ht="17.399999999999999" thickBot="1" x14ac:dyDescent="0.45">
      <c r="F370" s="292" t="s">
        <v>22</v>
      </c>
      <c r="G370" s="293"/>
      <c r="H370" s="293"/>
      <c r="I370" s="294"/>
      <c r="K370" s="229">
        <f>+K366+K368</f>
        <v>140</v>
      </c>
      <c r="L370" s="119">
        <f>+L366+L368</f>
        <v>2451.4000000000005</v>
      </c>
    </row>
    <row r="371" spans="1:16" ht="17.399999999999999" thickBot="1" x14ac:dyDescent="0.45">
      <c r="F371" s="128"/>
      <c r="G371" s="129"/>
      <c r="H371" s="130"/>
      <c r="I371" s="108"/>
      <c r="K371" s="231"/>
      <c r="L371" s="132">
        <f>L370/I324</f>
        <v>140.00000000000003</v>
      </c>
      <c r="M371" s="133">
        <f>(K370-L371)*I324</f>
        <v>-4.9766413212637421E-13</v>
      </c>
    </row>
    <row r="372" spans="1:16" x14ac:dyDescent="0.4">
      <c r="F372" s="128"/>
      <c r="G372" s="129"/>
      <c r="H372" s="130"/>
      <c r="I372" s="108"/>
      <c r="K372" s="232"/>
      <c r="L372" s="131"/>
      <c r="M372" s="134"/>
      <c r="N372" s="135"/>
    </row>
    <row r="373" spans="1:16" ht="17.399999999999999" thickBot="1" x14ac:dyDescent="0.45">
      <c r="B373" s="295"/>
      <c r="C373" s="295"/>
      <c r="D373" s="295"/>
    </row>
    <row r="374" spans="1:16" x14ac:dyDescent="0.4">
      <c r="B374" s="296" t="s">
        <v>23</v>
      </c>
      <c r="C374" s="296"/>
      <c r="D374" s="296"/>
    </row>
    <row r="375" spans="1:16" x14ac:dyDescent="0.4">
      <c r="B375" s="157"/>
      <c r="C375" s="157"/>
      <c r="D375" s="157"/>
    </row>
    <row r="376" spans="1:16" x14ac:dyDescent="0.4">
      <c r="B376" s="157"/>
      <c r="C376" s="157"/>
      <c r="D376" s="157"/>
    </row>
    <row r="377" spans="1:16" x14ac:dyDescent="0.4">
      <c r="B377" s="105" t="s">
        <v>43</v>
      </c>
      <c r="C377" s="106"/>
      <c r="D377" s="311" t="s">
        <v>1</v>
      </c>
      <c r="E377" s="311"/>
      <c r="F377" s="311"/>
      <c r="G377" s="311"/>
      <c r="H377" s="106"/>
      <c r="I377" s="107" t="s">
        <v>2</v>
      </c>
      <c r="J377" s="136"/>
      <c r="K377" s="107" t="s">
        <v>3</v>
      </c>
    </row>
    <row r="378" spans="1:16" s="4" customFormat="1" ht="30.75" customHeight="1" x14ac:dyDescent="0.3">
      <c r="A378" s="31"/>
      <c r="B378" s="213">
        <f>CATALOGO!B20</f>
        <v>201.03</v>
      </c>
      <c r="C378" s="71"/>
      <c r="D378" s="312" t="str">
        <f>CATALOGO!C20</f>
        <v>RELLENO Y COMPACTACIÓN DE CIMIENTO CON MATERIAL DE EXCAVACIÓN</v>
      </c>
      <c r="E378" s="312"/>
      <c r="F378" s="312"/>
      <c r="G378" s="312"/>
      <c r="H378" s="71"/>
      <c r="I378" s="213">
        <f>CATALOGO!D20</f>
        <v>6.78</v>
      </c>
      <c r="J378" s="109"/>
      <c r="K378" s="227" t="str">
        <f>CATALOGO!E20</f>
        <v>m³</v>
      </c>
      <c r="L378" s="71"/>
      <c r="M378" s="71"/>
      <c r="N378" s="104"/>
      <c r="O378" s="37"/>
      <c r="P378" s="37"/>
    </row>
    <row r="379" spans="1:16" ht="17.399999999999999" thickBot="1" x14ac:dyDescent="0.45"/>
    <row r="380" spans="1:16" ht="17.399999999999999" thickBot="1" x14ac:dyDescent="0.45">
      <c r="B380" s="110" t="s">
        <v>4</v>
      </c>
      <c r="C380" s="300" t="s">
        <v>5</v>
      </c>
      <c r="D380" s="300"/>
      <c r="E380" s="300"/>
      <c r="F380" s="300"/>
      <c r="G380" s="301"/>
    </row>
    <row r="381" spans="1:16" x14ac:dyDescent="0.4">
      <c r="B381" s="111" t="s">
        <v>6</v>
      </c>
      <c r="C381" s="313" t="s">
        <v>1</v>
      </c>
      <c r="D381" s="314"/>
      <c r="E381" s="112" t="s">
        <v>193</v>
      </c>
      <c r="F381" s="113" t="s">
        <v>2</v>
      </c>
      <c r="G381" s="114" t="s">
        <v>3</v>
      </c>
      <c r="H381" s="106"/>
      <c r="I381" s="107" t="s">
        <v>7</v>
      </c>
      <c r="J381" s="136"/>
      <c r="K381" s="228" t="s">
        <v>8</v>
      </c>
      <c r="L381" s="115" t="s">
        <v>194</v>
      </c>
    </row>
    <row r="382" spans="1:16" x14ac:dyDescent="0.4">
      <c r="B382" s="122"/>
      <c r="C382" s="306"/>
      <c r="D382" s="306"/>
      <c r="E382" s="116"/>
      <c r="F382" s="83"/>
      <c r="G382" s="74"/>
      <c r="I382" s="117">
        <f>IF(C382=0,0,VLOOKUP(C382,Tabla1[],3,FALSE))</f>
        <v>0</v>
      </c>
      <c r="K382" s="84">
        <f>+F382*I382</f>
        <v>0</v>
      </c>
      <c r="L382" s="118">
        <f>E382*I382</f>
        <v>0</v>
      </c>
    </row>
    <row r="383" spans="1:16" x14ac:dyDescent="0.4">
      <c r="B383" s="122"/>
      <c r="C383" s="306"/>
      <c r="D383" s="306"/>
      <c r="E383" s="116"/>
      <c r="F383" s="83"/>
      <c r="G383" s="74"/>
      <c r="I383" s="117">
        <f>IF(C383=0,0,VLOOKUP(C383,Tabla1[],3,FALSE))</f>
        <v>0</v>
      </c>
      <c r="K383" s="84">
        <f t="shared" ref="K383:K386" si="57">+F383*I383</f>
        <v>0</v>
      </c>
      <c r="L383" s="118">
        <f t="shared" ref="L383:L386" si="58">E383*I383</f>
        <v>0</v>
      </c>
    </row>
    <row r="384" spans="1:16" x14ac:dyDescent="0.4">
      <c r="B384" s="122"/>
      <c r="C384" s="306"/>
      <c r="D384" s="306"/>
      <c r="E384" s="116"/>
      <c r="F384" s="83"/>
      <c r="G384" s="74"/>
      <c r="I384" s="117">
        <f>IF(C384=0,0,VLOOKUP(C384,Tabla1[],3,FALSE))</f>
        <v>0</v>
      </c>
      <c r="K384" s="84">
        <f t="shared" si="57"/>
        <v>0</v>
      </c>
      <c r="L384" s="118">
        <f t="shared" si="58"/>
        <v>0</v>
      </c>
    </row>
    <row r="385" spans="2:12" x14ac:dyDescent="0.4">
      <c r="B385" s="122"/>
      <c r="C385" s="306"/>
      <c r="D385" s="306"/>
      <c r="E385" s="116"/>
      <c r="F385" s="83"/>
      <c r="G385" s="74"/>
      <c r="I385" s="117">
        <f>IF(C385=0,0,VLOOKUP(C385,Tabla1[],3,FALSE))</f>
        <v>0</v>
      </c>
      <c r="K385" s="84">
        <f t="shared" si="57"/>
        <v>0</v>
      </c>
      <c r="L385" s="118">
        <f t="shared" si="58"/>
        <v>0</v>
      </c>
    </row>
    <row r="386" spans="2:12" x14ac:dyDescent="0.4">
      <c r="B386" s="122"/>
      <c r="C386" s="321"/>
      <c r="D386" s="321"/>
      <c r="E386" s="116"/>
      <c r="F386" s="72"/>
      <c r="G386" s="74"/>
      <c r="I386" s="117">
        <f>IF(C386=0,0,VLOOKUP(C386,Tabla1[],3,FALSE))</f>
        <v>0</v>
      </c>
      <c r="K386" s="84">
        <f t="shared" si="57"/>
        <v>0</v>
      </c>
      <c r="L386" s="118">
        <f t="shared" si="58"/>
        <v>0</v>
      </c>
    </row>
    <row r="387" spans="2:12" ht="17.399999999999999" thickBot="1" x14ac:dyDescent="0.45"/>
    <row r="388" spans="2:12" ht="17.399999999999999" thickBot="1" x14ac:dyDescent="0.45">
      <c r="F388" s="292" t="s">
        <v>9</v>
      </c>
      <c r="G388" s="293"/>
      <c r="H388" s="293"/>
      <c r="I388" s="294"/>
      <c r="K388" s="229">
        <f>+SUM(K382:K386)</f>
        <v>0</v>
      </c>
      <c r="L388" s="119">
        <f>+SUM(L382:L386)</f>
        <v>0</v>
      </c>
    </row>
    <row r="389" spans="2:12" ht="17.399999999999999" thickBot="1" x14ac:dyDescent="0.45"/>
    <row r="390" spans="2:12" ht="17.399999999999999" thickBot="1" x14ac:dyDescent="0.45">
      <c r="B390" s="110" t="s">
        <v>10</v>
      </c>
      <c r="C390" s="300" t="s">
        <v>11</v>
      </c>
      <c r="D390" s="300"/>
      <c r="E390" s="300"/>
      <c r="F390" s="300"/>
      <c r="G390" s="301"/>
    </row>
    <row r="391" spans="2:12" x14ac:dyDescent="0.4">
      <c r="B391" s="114" t="s">
        <v>6</v>
      </c>
      <c r="C391" s="302" t="s">
        <v>1</v>
      </c>
      <c r="D391" s="303"/>
      <c r="E391" s="112" t="s">
        <v>193</v>
      </c>
      <c r="F391" s="120" t="s">
        <v>2</v>
      </c>
      <c r="G391" s="114" t="s">
        <v>3</v>
      </c>
      <c r="H391" s="106"/>
      <c r="I391" s="107" t="s">
        <v>7</v>
      </c>
      <c r="J391" s="136"/>
      <c r="K391" s="107" t="s">
        <v>8</v>
      </c>
      <c r="L391" s="115" t="s">
        <v>194</v>
      </c>
    </row>
    <row r="392" spans="2:12" x14ac:dyDescent="0.4">
      <c r="B392" s="122"/>
      <c r="C392" s="306" t="s">
        <v>190</v>
      </c>
      <c r="D392" s="306"/>
      <c r="E392" s="116">
        <f>I378</f>
        <v>6.78</v>
      </c>
      <c r="F392" s="83">
        <f>ROUND(E392/I378,2)</f>
        <v>1</v>
      </c>
      <c r="G392" s="74" t="str">
        <f>IF(C392=0,0,VLOOKUP(C392,Tabla3[],2,FALSE))</f>
        <v>Viaje</v>
      </c>
      <c r="I392" s="117">
        <f>IF(C392=0,0,VLOOKUP(C392,Tabla3[],3,FALSE))</f>
        <v>200</v>
      </c>
      <c r="K392" s="84">
        <f t="shared" ref="K392" si="59">+F392*I392</f>
        <v>200</v>
      </c>
      <c r="L392" s="118">
        <f>E392*I392</f>
        <v>1356</v>
      </c>
    </row>
    <row r="393" spans="2:12" x14ac:dyDescent="0.4">
      <c r="B393" s="122"/>
      <c r="C393" s="309"/>
      <c r="D393" s="310"/>
      <c r="E393" s="116"/>
      <c r="F393" s="83"/>
      <c r="G393" s="74"/>
      <c r="I393" s="117">
        <f>IF(C393=0,0,VLOOKUP(C393,Tabla3[],3,FALSE))</f>
        <v>0</v>
      </c>
      <c r="K393" s="84">
        <f t="shared" ref="K393:K395" si="60">+F393*I393</f>
        <v>0</v>
      </c>
      <c r="L393" s="118">
        <f t="shared" ref="L393:L395" si="61">E393*I393</f>
        <v>0</v>
      </c>
    </row>
    <row r="394" spans="2:12" x14ac:dyDescent="0.4">
      <c r="B394" s="74"/>
      <c r="C394" s="206"/>
      <c r="D394" s="207"/>
      <c r="E394" s="121"/>
      <c r="F394" s="72"/>
      <c r="G394" s="74"/>
      <c r="I394" s="117">
        <f>IF(C394=0,0,VLOOKUP(C394,Tabla3[],3,FALSE))</f>
        <v>0</v>
      </c>
      <c r="K394" s="84">
        <f t="shared" si="60"/>
        <v>0</v>
      </c>
      <c r="L394" s="118">
        <f t="shared" si="61"/>
        <v>0</v>
      </c>
    </row>
    <row r="395" spans="2:12" x14ac:dyDescent="0.4">
      <c r="B395" s="74"/>
      <c r="C395" s="304"/>
      <c r="D395" s="305"/>
      <c r="E395" s="121"/>
      <c r="F395" s="72"/>
      <c r="G395" s="74"/>
      <c r="I395" s="117">
        <f>IF(C395=0,0,VLOOKUP(C395,Tabla3[],3,FALSE))</f>
        <v>0</v>
      </c>
      <c r="K395" s="84">
        <f t="shared" si="60"/>
        <v>0</v>
      </c>
      <c r="L395" s="118">
        <f t="shared" si="61"/>
        <v>0</v>
      </c>
    </row>
    <row r="396" spans="2:12" ht="17.399999999999999" thickBot="1" x14ac:dyDescent="0.45"/>
    <row r="397" spans="2:12" ht="17.399999999999999" thickBot="1" x14ac:dyDescent="0.45">
      <c r="F397" s="292" t="s">
        <v>12</v>
      </c>
      <c r="G397" s="293"/>
      <c r="H397" s="293"/>
      <c r="I397" s="294"/>
      <c r="K397" s="229">
        <f>+SUM(K392:K395)</f>
        <v>200</v>
      </c>
      <c r="L397" s="119">
        <f>+SUM(L392:L395)</f>
        <v>1356</v>
      </c>
    </row>
    <row r="398" spans="2:12" ht="17.399999999999999" thickBot="1" x14ac:dyDescent="0.45"/>
    <row r="399" spans="2:12" ht="17.399999999999999" thickBot="1" x14ac:dyDescent="0.45">
      <c r="B399" s="110" t="s">
        <v>13</v>
      </c>
      <c r="C399" s="300" t="s">
        <v>14</v>
      </c>
      <c r="D399" s="300"/>
      <c r="E399" s="300"/>
      <c r="F399" s="300"/>
      <c r="G399" s="301"/>
    </row>
    <row r="400" spans="2:12" x14ac:dyDescent="0.4">
      <c r="B400" s="114" t="s">
        <v>6</v>
      </c>
      <c r="C400" s="302" t="s">
        <v>1</v>
      </c>
      <c r="D400" s="303"/>
      <c r="E400" s="112" t="s">
        <v>193</v>
      </c>
      <c r="F400" s="120" t="s">
        <v>2</v>
      </c>
      <c r="G400" s="114" t="s">
        <v>3</v>
      </c>
      <c r="H400" s="106"/>
      <c r="I400" s="107" t="s">
        <v>7</v>
      </c>
      <c r="J400" s="136"/>
      <c r="K400" s="107" t="s">
        <v>8</v>
      </c>
      <c r="L400" s="115" t="s">
        <v>194</v>
      </c>
    </row>
    <row r="401" spans="2:12" x14ac:dyDescent="0.4">
      <c r="B401" s="122">
        <v>1</v>
      </c>
      <c r="C401" s="306" t="s">
        <v>573</v>
      </c>
      <c r="D401" s="306"/>
      <c r="E401" s="116">
        <f>I378</f>
        <v>6.78</v>
      </c>
      <c r="F401" s="83">
        <f>ROUND(E401/I378,2)</f>
        <v>1</v>
      </c>
      <c r="G401" s="74" t="str">
        <f>IF(C401=0,0,VLOOKUP(C401,Tabla2[],2,FALSE))</f>
        <v>m²</v>
      </c>
      <c r="I401" s="117">
        <f>IF(C401=0,0,VLOOKUP(C401,Tabla2[],3,FALSE))</f>
        <v>20</v>
      </c>
      <c r="K401" s="84">
        <f>+F401*I401</f>
        <v>20</v>
      </c>
      <c r="L401" s="118">
        <f>E401*I401</f>
        <v>135.6</v>
      </c>
    </row>
    <row r="402" spans="2:12" x14ac:dyDescent="0.4">
      <c r="B402" s="122">
        <v>2</v>
      </c>
      <c r="C402" s="306" t="s">
        <v>574</v>
      </c>
      <c r="D402" s="306"/>
      <c r="E402" s="116">
        <f>I378</f>
        <v>6.78</v>
      </c>
      <c r="F402" s="83">
        <f>ROUND(E402/I378,2)</f>
        <v>1</v>
      </c>
      <c r="G402" s="74" t="str">
        <f>IF(C402=0,0,VLOOKUP(C402,Tabla2[],2,FALSE))</f>
        <v>m²</v>
      </c>
      <c r="I402" s="117">
        <f>IF(C402=0,0,VLOOKUP(C402,Tabla2[],3,FALSE))</f>
        <v>40</v>
      </c>
      <c r="K402" s="84">
        <f>+F402*I402</f>
        <v>40</v>
      </c>
      <c r="L402" s="118">
        <f>E402*I402</f>
        <v>271.2</v>
      </c>
    </row>
    <row r="403" spans="2:12" ht="17.399999999999999" thickBot="1" x14ac:dyDescent="0.45">
      <c r="B403" s="123"/>
      <c r="C403" s="307"/>
      <c r="D403" s="308"/>
      <c r="E403" s="124"/>
      <c r="F403" s="125"/>
      <c r="G403" s="74"/>
      <c r="I403" s="117">
        <f>IF(C403=0,0,VLOOKUP(C403,Tabla2[],3,FALSE))</f>
        <v>0</v>
      </c>
      <c r="K403" s="84">
        <f t="shared" ref="K403" si="62">+F403*I403</f>
        <v>0</v>
      </c>
      <c r="L403" s="118">
        <f t="shared" ref="L403:L404" si="63">E403*I403</f>
        <v>0</v>
      </c>
    </row>
    <row r="404" spans="2:12" ht="17.399999999999999" thickBot="1" x14ac:dyDescent="0.45">
      <c r="B404" s="297" t="s">
        <v>15</v>
      </c>
      <c r="C404" s="298"/>
      <c r="D404" s="298"/>
      <c r="E404" s="298"/>
      <c r="F404" s="298"/>
      <c r="G404" s="299"/>
      <c r="I404" s="84">
        <v>0</v>
      </c>
      <c r="K404" s="84">
        <v>0</v>
      </c>
      <c r="L404" s="118">
        <f t="shared" si="63"/>
        <v>0</v>
      </c>
    </row>
    <row r="405" spans="2:12" ht="17.399999999999999" thickBot="1" x14ac:dyDescent="0.45"/>
    <row r="406" spans="2:12" ht="17.399999999999999" thickBot="1" x14ac:dyDescent="0.45">
      <c r="F406" s="292" t="s">
        <v>16</v>
      </c>
      <c r="G406" s="293"/>
      <c r="H406" s="293"/>
      <c r="I406" s="294"/>
      <c r="K406" s="229">
        <f>+SUM(K401:K404)</f>
        <v>60</v>
      </c>
      <c r="L406" s="119">
        <f>+SUM(L401:L404)</f>
        <v>406.79999999999995</v>
      </c>
    </row>
    <row r="407" spans="2:12" ht="17.399999999999999" thickBot="1" x14ac:dyDescent="0.45"/>
    <row r="408" spans="2:12" ht="17.399999999999999" thickBot="1" x14ac:dyDescent="0.45">
      <c r="B408" s="110" t="s">
        <v>17</v>
      </c>
      <c r="C408" s="300" t="s">
        <v>18</v>
      </c>
      <c r="D408" s="300"/>
      <c r="E408" s="300"/>
      <c r="F408" s="300"/>
      <c r="G408" s="301"/>
    </row>
    <row r="409" spans="2:12" x14ac:dyDescent="0.4">
      <c r="B409" s="114" t="s">
        <v>6</v>
      </c>
      <c r="C409" s="302" t="s">
        <v>1</v>
      </c>
      <c r="D409" s="303"/>
      <c r="E409" s="126"/>
      <c r="F409" s="120" t="s">
        <v>2</v>
      </c>
      <c r="G409" s="114" t="s">
        <v>3</v>
      </c>
      <c r="H409" s="106"/>
      <c r="I409" s="107" t="s">
        <v>7</v>
      </c>
      <c r="J409" s="136"/>
      <c r="K409" s="107" t="s">
        <v>8</v>
      </c>
      <c r="L409" s="115" t="s">
        <v>194</v>
      </c>
    </row>
    <row r="410" spans="2:12" x14ac:dyDescent="0.4">
      <c r="B410" s="74"/>
      <c r="C410" s="304"/>
      <c r="D410" s="305"/>
      <c r="E410" s="127"/>
      <c r="F410" s="72"/>
      <c r="G410" s="74"/>
      <c r="I410" s="84">
        <v>0</v>
      </c>
      <c r="K410" s="84">
        <f>+F410*I410</f>
        <v>0</v>
      </c>
      <c r="L410" s="118">
        <f>E410*I410</f>
        <v>0</v>
      </c>
    </row>
    <row r="411" spans="2:12" x14ac:dyDescent="0.4">
      <c r="B411" s="74"/>
      <c r="C411" s="304"/>
      <c r="D411" s="305"/>
      <c r="E411" s="127"/>
      <c r="F411" s="72"/>
      <c r="G411" s="74"/>
      <c r="I411" s="84">
        <v>0</v>
      </c>
      <c r="K411" s="84">
        <f t="shared" ref="K411:K412" si="64">+F411*I411</f>
        <v>0</v>
      </c>
      <c r="L411" s="118">
        <f t="shared" ref="L411:L412" si="65">E411*I411</f>
        <v>0</v>
      </c>
    </row>
    <row r="412" spans="2:12" x14ac:dyDescent="0.4">
      <c r="B412" s="74"/>
      <c r="C412" s="304"/>
      <c r="D412" s="305"/>
      <c r="E412" s="127"/>
      <c r="F412" s="72"/>
      <c r="G412" s="74"/>
      <c r="I412" s="84">
        <v>0</v>
      </c>
      <c r="K412" s="84">
        <f t="shared" si="64"/>
        <v>0</v>
      </c>
      <c r="L412" s="118">
        <f t="shared" si="65"/>
        <v>0</v>
      </c>
    </row>
    <row r="413" spans="2:12" ht="17.399999999999999" thickBot="1" x14ac:dyDescent="0.45">
      <c r="L413" s="118"/>
    </row>
    <row r="414" spans="2:12" ht="17.399999999999999" thickBot="1" x14ac:dyDescent="0.45">
      <c r="F414" s="292" t="s">
        <v>19</v>
      </c>
      <c r="G414" s="293"/>
      <c r="H414" s="293"/>
      <c r="I414" s="294"/>
      <c r="K414" s="229">
        <f>+SUM(K410:K412)</f>
        <v>0</v>
      </c>
      <c r="L414" s="119">
        <f>+SUM(L409:L412)</f>
        <v>0</v>
      </c>
    </row>
    <row r="415" spans="2:12" ht="15" customHeight="1" x14ac:dyDescent="0.4">
      <c r="F415" s="128"/>
      <c r="G415" s="129"/>
      <c r="H415" s="130"/>
      <c r="I415" s="108"/>
      <c r="K415" s="230"/>
    </row>
    <row r="416" spans="2:12" ht="15" customHeight="1" thickBot="1" x14ac:dyDescent="0.45"/>
    <row r="417" spans="1:16" ht="17.399999999999999" thickBot="1" x14ac:dyDescent="0.45">
      <c r="F417" s="292" t="s">
        <v>20</v>
      </c>
      <c r="G417" s="293"/>
      <c r="H417" s="293"/>
      <c r="I417" s="294"/>
      <c r="K417" s="229">
        <f>(+K388+K397+K406+K414)</f>
        <v>260</v>
      </c>
      <c r="L417" s="119">
        <f>(+L388+L397+L406+L414)</f>
        <v>1762.8</v>
      </c>
      <c r="N417" s="131"/>
      <c r="O417" s="39"/>
      <c r="P417" s="40"/>
    </row>
    <row r="418" spans="1:16" ht="7.5" customHeight="1" thickBot="1" x14ac:dyDescent="0.45">
      <c r="N418" s="131"/>
      <c r="O418" s="41"/>
      <c r="P418" s="40"/>
    </row>
    <row r="419" spans="1:16" ht="17.399999999999999" thickBot="1" x14ac:dyDescent="0.45">
      <c r="F419" s="292" t="s">
        <v>21</v>
      </c>
      <c r="G419" s="293"/>
      <c r="H419" s="293"/>
      <c r="I419" s="294"/>
      <c r="K419" s="229">
        <f>K417*$N$2</f>
        <v>104</v>
      </c>
      <c r="L419" s="119">
        <f>L417*$N$2</f>
        <v>705.12</v>
      </c>
    </row>
    <row r="420" spans="1:16" ht="7.5" customHeight="1" thickBot="1" x14ac:dyDescent="0.45"/>
    <row r="421" spans="1:16" ht="17.399999999999999" thickBot="1" x14ac:dyDescent="0.45">
      <c r="F421" s="292" t="s">
        <v>22</v>
      </c>
      <c r="G421" s="293"/>
      <c r="H421" s="293"/>
      <c r="I421" s="294"/>
      <c r="K421" s="229">
        <f>+K417+K419</f>
        <v>364</v>
      </c>
      <c r="L421" s="119">
        <f>+L417+L419</f>
        <v>2467.92</v>
      </c>
    </row>
    <row r="422" spans="1:16" ht="17.399999999999999" thickBot="1" x14ac:dyDescent="0.45">
      <c r="F422" s="128"/>
      <c r="G422" s="129"/>
      <c r="H422" s="130"/>
      <c r="I422" s="108"/>
      <c r="K422" s="231"/>
      <c r="L422" s="132">
        <f>L421/I378</f>
        <v>364</v>
      </c>
      <c r="M422" s="133">
        <f>(K421-L422)*I378</f>
        <v>0</v>
      </c>
    </row>
    <row r="423" spans="1:16" x14ac:dyDescent="0.4">
      <c r="F423" s="128"/>
      <c r="G423" s="129"/>
      <c r="H423" s="130"/>
      <c r="I423" s="108"/>
      <c r="K423" s="232"/>
      <c r="L423" s="131"/>
      <c r="M423" s="134"/>
      <c r="N423" s="135"/>
    </row>
    <row r="424" spans="1:16" ht="17.399999999999999" thickBot="1" x14ac:dyDescent="0.45">
      <c r="B424" s="295"/>
      <c r="C424" s="295"/>
      <c r="D424" s="295"/>
    </row>
    <row r="425" spans="1:16" x14ac:dyDescent="0.4">
      <c r="B425" s="296" t="s">
        <v>23</v>
      </c>
      <c r="C425" s="296"/>
      <c r="D425" s="296"/>
    </row>
    <row r="426" spans="1:16" x14ac:dyDescent="0.4">
      <c r="B426" s="157"/>
      <c r="C426" s="157"/>
      <c r="D426" s="157"/>
    </row>
    <row r="427" spans="1:16" x14ac:dyDescent="0.4">
      <c r="B427" s="157"/>
      <c r="C427" s="157"/>
      <c r="D427" s="157"/>
    </row>
    <row r="428" spans="1:16" x14ac:dyDescent="0.4">
      <c r="B428" s="105" t="s">
        <v>43</v>
      </c>
      <c r="C428" s="106"/>
      <c r="D428" s="311" t="s">
        <v>1</v>
      </c>
      <c r="E428" s="311"/>
      <c r="F428" s="311"/>
      <c r="G428" s="311"/>
      <c r="H428" s="106"/>
      <c r="I428" s="107" t="s">
        <v>2</v>
      </c>
      <c r="J428" s="136"/>
      <c r="K428" s="107" t="s">
        <v>3</v>
      </c>
    </row>
    <row r="429" spans="1:16" s="4" customFormat="1" ht="30.75" customHeight="1" x14ac:dyDescent="0.3">
      <c r="A429" s="31"/>
      <c r="B429" s="213">
        <f>CATALOGO!B21</f>
        <v>206.06</v>
      </c>
      <c r="C429" s="71"/>
      <c r="D429" s="312" t="str">
        <f>CATALOGO!C21</f>
        <v>CIMIENTO CORRIDO DE 0.20m X 0.60m, CONCRETO 3000 PSI, REFUERZO 3NO3 + ESL NO3 @ 0.20m</v>
      </c>
      <c r="E429" s="312"/>
      <c r="F429" s="312"/>
      <c r="G429" s="312"/>
      <c r="H429" s="71"/>
      <c r="I429" s="213">
        <f>CATALOGO!D21</f>
        <v>38.590000000000003</v>
      </c>
      <c r="J429" s="109"/>
      <c r="K429" s="227" t="str">
        <f>CATALOGO!E21</f>
        <v>ml</v>
      </c>
      <c r="L429" s="71"/>
      <c r="M429" s="71"/>
      <c r="N429" s="104"/>
      <c r="O429" s="37"/>
      <c r="P429" s="37"/>
    </row>
    <row r="430" spans="1:16" ht="17.399999999999999" thickBot="1" x14ac:dyDescent="0.45"/>
    <row r="431" spans="1:16" ht="17.399999999999999" thickBot="1" x14ac:dyDescent="0.45">
      <c r="B431" s="110" t="s">
        <v>4</v>
      </c>
      <c r="C431" s="300" t="s">
        <v>5</v>
      </c>
      <c r="D431" s="300"/>
      <c r="E431" s="300"/>
      <c r="F431" s="300"/>
      <c r="G431" s="301"/>
    </row>
    <row r="432" spans="1:16" x14ac:dyDescent="0.4">
      <c r="B432" s="111" t="s">
        <v>6</v>
      </c>
      <c r="C432" s="313" t="s">
        <v>1</v>
      </c>
      <c r="D432" s="314"/>
      <c r="E432" s="112" t="s">
        <v>193</v>
      </c>
      <c r="F432" s="113" t="s">
        <v>2</v>
      </c>
      <c r="G432" s="114" t="s">
        <v>3</v>
      </c>
      <c r="H432" s="106"/>
      <c r="I432" s="107" t="s">
        <v>7</v>
      </c>
      <c r="J432" s="136"/>
      <c r="K432" s="228" t="s">
        <v>8</v>
      </c>
      <c r="L432" s="115" t="s">
        <v>194</v>
      </c>
    </row>
    <row r="433" spans="2:12" x14ac:dyDescent="0.4">
      <c r="B433" s="122">
        <v>1</v>
      </c>
      <c r="C433" s="315" t="s">
        <v>169</v>
      </c>
      <c r="D433" s="316"/>
      <c r="E433" s="116">
        <f>I429*1</f>
        <v>38.590000000000003</v>
      </c>
      <c r="F433" s="83">
        <f>ROUND(E433/I429,2)</f>
        <v>1</v>
      </c>
      <c r="G433" s="74" t="str">
        <f>IF(C433=0,0,VLOOKUP(C433,Tabla1[],2,FALSE))</f>
        <v>Varilla</v>
      </c>
      <c r="I433" s="117">
        <f>IF(C433=0,0,VLOOKUP(C433,Tabla1[],3,FALSE))</f>
        <v>40</v>
      </c>
      <c r="K433" s="84">
        <f>+F433*I433</f>
        <v>40</v>
      </c>
      <c r="L433" s="118">
        <f>E433*I433</f>
        <v>1543.6000000000001</v>
      </c>
    </row>
    <row r="434" spans="2:12" x14ac:dyDescent="0.4">
      <c r="B434" s="122">
        <v>2</v>
      </c>
      <c r="C434" s="315" t="s">
        <v>313</v>
      </c>
      <c r="D434" s="316"/>
      <c r="E434" s="116">
        <f>I429*1</f>
        <v>38.590000000000003</v>
      </c>
      <c r="F434" s="83">
        <f>ROUND(E434/I429,2)</f>
        <v>1</v>
      </c>
      <c r="G434" s="74" t="str">
        <f>IF(C434=0,0,VLOOKUP(C434,Tabla1[],2,FALSE))</f>
        <v>Varilla</v>
      </c>
      <c r="I434" s="117">
        <f>IF(C434=0,0,VLOOKUP(C434,Tabla1[],3,FALSE))</f>
        <v>20</v>
      </c>
      <c r="K434" s="84">
        <f>+F434*I434</f>
        <v>20</v>
      </c>
      <c r="L434" s="118">
        <f>E434*I434</f>
        <v>771.80000000000007</v>
      </c>
    </row>
    <row r="435" spans="2:12" x14ac:dyDescent="0.4">
      <c r="B435" s="122">
        <v>3</v>
      </c>
      <c r="C435" s="317" t="s">
        <v>214</v>
      </c>
      <c r="D435" s="318"/>
      <c r="E435" s="116">
        <f>I429*1.5</f>
        <v>57.885000000000005</v>
      </c>
      <c r="F435" s="83">
        <f>ROUND(E435/I429,2)</f>
        <v>1.5</v>
      </c>
      <c r="G435" s="74" t="str">
        <f>IF(C435=0,0,VLOOKUP(C435,Tabla1[],2,FALSE))</f>
        <v>Saco</v>
      </c>
      <c r="I435" s="117">
        <f>IF(C435=0,0,VLOOKUP(C435,Tabla1[],3,FALSE))</f>
        <v>80</v>
      </c>
      <c r="K435" s="84">
        <f t="shared" ref="K435:K442" si="66">+F435*I435</f>
        <v>120</v>
      </c>
      <c r="L435" s="118">
        <f t="shared" ref="L435:L442" si="67">E435*I435</f>
        <v>4630.8</v>
      </c>
    </row>
    <row r="436" spans="2:12" x14ac:dyDescent="0.4">
      <c r="B436" s="122">
        <v>4</v>
      </c>
      <c r="C436" s="319" t="s">
        <v>73</v>
      </c>
      <c r="D436" s="318"/>
      <c r="E436" s="116">
        <f>I429*0.05</f>
        <v>1.9295000000000002</v>
      </c>
      <c r="F436" s="83">
        <f>ROUND(E436/I429,2)</f>
        <v>0.05</v>
      </c>
      <c r="G436" s="74" t="str">
        <f>IF(C436=0,0,VLOOKUP(C436,Tabla1[],2,FALSE))</f>
        <v>m³</v>
      </c>
      <c r="I436" s="117">
        <f>IF(C436=0,0,VLOOKUP(C436,Tabla1[],3,FALSE))</f>
        <v>250</v>
      </c>
      <c r="K436" s="84">
        <f t="shared" si="66"/>
        <v>12.5</v>
      </c>
      <c r="L436" s="118">
        <f t="shared" si="67"/>
        <v>482.37500000000006</v>
      </c>
    </row>
    <row r="437" spans="2:12" x14ac:dyDescent="0.4">
      <c r="B437" s="122">
        <v>5</v>
      </c>
      <c r="C437" s="319" t="s">
        <v>230</v>
      </c>
      <c r="D437" s="318"/>
      <c r="E437" s="116">
        <f>I429*0.05</f>
        <v>1.9295000000000002</v>
      </c>
      <c r="F437" s="83">
        <f>ROUND(E437/I429,2)</f>
        <v>0.05</v>
      </c>
      <c r="G437" s="74" t="str">
        <f>IF(C437=0,0,VLOOKUP(C437,Tabla1[],2,FALSE))</f>
        <v>m³</v>
      </c>
      <c r="I437" s="117">
        <f>IF(C437=0,0,VLOOKUP(C437,Tabla1[],3,FALSE))</f>
        <v>250</v>
      </c>
      <c r="K437" s="84">
        <f t="shared" si="66"/>
        <v>12.5</v>
      </c>
      <c r="L437" s="118">
        <f t="shared" si="67"/>
        <v>482.37500000000006</v>
      </c>
    </row>
    <row r="438" spans="2:12" x14ac:dyDescent="0.4">
      <c r="B438" s="122"/>
      <c r="C438" s="321"/>
      <c r="D438" s="321"/>
      <c r="E438" s="116"/>
      <c r="F438" s="83"/>
      <c r="G438" s="74"/>
      <c r="I438" s="117">
        <f>IF(C438=0,0,VLOOKUP(C438,Tabla1[],3,FALSE))</f>
        <v>0</v>
      </c>
      <c r="K438" s="84">
        <f t="shared" si="66"/>
        <v>0</v>
      </c>
      <c r="L438" s="118">
        <f t="shared" si="67"/>
        <v>0</v>
      </c>
    </row>
    <row r="439" spans="2:12" x14ac:dyDescent="0.4">
      <c r="B439" s="122"/>
      <c r="C439" s="321"/>
      <c r="D439" s="321"/>
      <c r="E439" s="116"/>
      <c r="F439" s="72"/>
      <c r="G439" s="74"/>
      <c r="I439" s="117">
        <f>IF(C439=0,0,VLOOKUP(C439,Tabla1[],3,FALSE))</f>
        <v>0</v>
      </c>
      <c r="K439" s="84">
        <f t="shared" si="66"/>
        <v>0</v>
      </c>
      <c r="L439" s="118">
        <f t="shared" si="67"/>
        <v>0</v>
      </c>
    </row>
    <row r="440" spans="2:12" x14ac:dyDescent="0.4">
      <c r="B440" s="122"/>
      <c r="C440" s="321"/>
      <c r="D440" s="321"/>
      <c r="E440" s="116"/>
      <c r="F440" s="72"/>
      <c r="G440" s="74"/>
      <c r="I440" s="117">
        <f>IF(C440=0,0,VLOOKUP(C440,Tabla1[],3,FALSE))</f>
        <v>0</v>
      </c>
      <c r="K440" s="84">
        <f t="shared" si="66"/>
        <v>0</v>
      </c>
      <c r="L440" s="118">
        <f t="shared" si="67"/>
        <v>0</v>
      </c>
    </row>
    <row r="441" spans="2:12" x14ac:dyDescent="0.4">
      <c r="B441" s="122"/>
      <c r="C441" s="321"/>
      <c r="D441" s="321"/>
      <c r="E441" s="116"/>
      <c r="F441" s="72"/>
      <c r="G441" s="74"/>
      <c r="I441" s="117">
        <f>IF(C441=0,0,VLOOKUP(C441,Tabla1[],3,FALSE))</f>
        <v>0</v>
      </c>
      <c r="K441" s="84">
        <f t="shared" si="66"/>
        <v>0</v>
      </c>
      <c r="L441" s="118">
        <f t="shared" si="67"/>
        <v>0</v>
      </c>
    </row>
    <row r="442" spans="2:12" x14ac:dyDescent="0.4">
      <c r="B442" s="122"/>
      <c r="C442" s="321"/>
      <c r="D442" s="321"/>
      <c r="E442" s="116"/>
      <c r="F442" s="72"/>
      <c r="G442" s="74"/>
      <c r="I442" s="117">
        <f>IF(C442=0,0,VLOOKUP(C442,Tabla1[],3,FALSE))</f>
        <v>0</v>
      </c>
      <c r="K442" s="84">
        <f t="shared" si="66"/>
        <v>0</v>
      </c>
      <c r="L442" s="118">
        <f t="shared" si="67"/>
        <v>0</v>
      </c>
    </row>
    <row r="443" spans="2:12" ht="17.399999999999999" thickBot="1" x14ac:dyDescent="0.45"/>
    <row r="444" spans="2:12" ht="17.399999999999999" thickBot="1" x14ac:dyDescent="0.45">
      <c r="F444" s="292" t="s">
        <v>9</v>
      </c>
      <c r="G444" s="293"/>
      <c r="H444" s="293"/>
      <c r="I444" s="294"/>
      <c r="K444" s="229">
        <f>+SUM(K433:K442)</f>
        <v>205</v>
      </c>
      <c r="L444" s="119">
        <f>+SUM(L433:L442)</f>
        <v>7910.9500000000007</v>
      </c>
    </row>
    <row r="445" spans="2:12" ht="17.399999999999999" thickBot="1" x14ac:dyDescent="0.45"/>
    <row r="446" spans="2:12" ht="17.399999999999999" thickBot="1" x14ac:dyDescent="0.45">
      <c r="B446" s="110" t="s">
        <v>10</v>
      </c>
      <c r="C446" s="300" t="s">
        <v>11</v>
      </c>
      <c r="D446" s="300"/>
      <c r="E446" s="300"/>
      <c r="F446" s="300"/>
      <c r="G446" s="301"/>
    </row>
    <row r="447" spans="2:12" x14ac:dyDescent="0.4">
      <c r="B447" s="114" t="s">
        <v>6</v>
      </c>
      <c r="C447" s="302" t="s">
        <v>1</v>
      </c>
      <c r="D447" s="303"/>
      <c r="E447" s="112" t="s">
        <v>193</v>
      </c>
      <c r="F447" s="120" t="s">
        <v>2</v>
      </c>
      <c r="G447" s="114" t="s">
        <v>3</v>
      </c>
      <c r="H447" s="106"/>
      <c r="I447" s="107" t="s">
        <v>7</v>
      </c>
      <c r="J447" s="136"/>
      <c r="K447" s="107" t="s">
        <v>8</v>
      </c>
      <c r="L447" s="115" t="s">
        <v>194</v>
      </c>
    </row>
    <row r="448" spans="2:12" x14ac:dyDescent="0.4">
      <c r="B448" s="122"/>
      <c r="C448" s="306"/>
      <c r="D448" s="306"/>
      <c r="E448" s="116"/>
      <c r="F448" s="83"/>
      <c r="G448" s="74"/>
      <c r="I448" s="117">
        <v>0</v>
      </c>
      <c r="K448" s="84">
        <v>0</v>
      </c>
      <c r="L448" s="118">
        <f>E448*I448</f>
        <v>0</v>
      </c>
    </row>
    <row r="449" spans="2:12" x14ac:dyDescent="0.4">
      <c r="B449" s="74"/>
      <c r="C449" s="206"/>
      <c r="D449" s="207"/>
      <c r="E449" s="121"/>
      <c r="F449" s="72"/>
      <c r="G449" s="74"/>
      <c r="I449" s="117">
        <f>IF(C449=0,0,VLOOKUP(C449,Tabla3[],3,FALSE))</f>
        <v>0</v>
      </c>
      <c r="K449" s="84">
        <f t="shared" ref="K449:K451" si="68">+F449*I449</f>
        <v>0</v>
      </c>
      <c r="L449" s="118">
        <f t="shared" ref="L449:L451" si="69">E449*I449</f>
        <v>0</v>
      </c>
    </row>
    <row r="450" spans="2:12" x14ac:dyDescent="0.4">
      <c r="B450" s="74"/>
      <c r="C450" s="206"/>
      <c r="D450" s="207"/>
      <c r="E450" s="121"/>
      <c r="F450" s="72"/>
      <c r="G450" s="74"/>
      <c r="I450" s="117">
        <f>IF(C450=0,0,VLOOKUP(C450,Tabla3[],3,FALSE))</f>
        <v>0</v>
      </c>
      <c r="K450" s="84">
        <f t="shared" si="68"/>
        <v>0</v>
      </c>
      <c r="L450" s="118">
        <f t="shared" si="69"/>
        <v>0</v>
      </c>
    </row>
    <row r="451" spans="2:12" x14ac:dyDescent="0.4">
      <c r="B451" s="74"/>
      <c r="C451" s="304"/>
      <c r="D451" s="305"/>
      <c r="E451" s="121"/>
      <c r="F451" s="72"/>
      <c r="G451" s="74"/>
      <c r="I451" s="117">
        <f>IF(C451=0,0,VLOOKUP(C451,Tabla3[],3,FALSE))</f>
        <v>0</v>
      </c>
      <c r="K451" s="84">
        <f t="shared" si="68"/>
        <v>0</v>
      </c>
      <c r="L451" s="118">
        <f t="shared" si="69"/>
        <v>0</v>
      </c>
    </row>
    <row r="452" spans="2:12" ht="17.399999999999999" thickBot="1" x14ac:dyDescent="0.45"/>
    <row r="453" spans="2:12" ht="17.399999999999999" thickBot="1" x14ac:dyDescent="0.45">
      <c r="F453" s="292" t="s">
        <v>12</v>
      </c>
      <c r="G453" s="293"/>
      <c r="H453" s="293"/>
      <c r="I453" s="294"/>
      <c r="K453" s="229">
        <f>+SUM(K448:K451)</f>
        <v>0</v>
      </c>
      <c r="L453" s="119">
        <f>+SUM(L448:L451)</f>
        <v>0</v>
      </c>
    </row>
    <row r="454" spans="2:12" ht="17.399999999999999" thickBot="1" x14ac:dyDescent="0.45"/>
    <row r="455" spans="2:12" ht="17.399999999999999" thickBot="1" x14ac:dyDescent="0.45">
      <c r="B455" s="110" t="s">
        <v>13</v>
      </c>
      <c r="C455" s="300" t="s">
        <v>14</v>
      </c>
      <c r="D455" s="300"/>
      <c r="E455" s="300"/>
      <c r="F455" s="300"/>
      <c r="G455" s="301"/>
    </row>
    <row r="456" spans="2:12" x14ac:dyDescent="0.4">
      <c r="B456" s="114" t="s">
        <v>6</v>
      </c>
      <c r="C456" s="302" t="s">
        <v>1</v>
      </c>
      <c r="D456" s="303"/>
      <c r="E456" s="112" t="s">
        <v>193</v>
      </c>
      <c r="F456" s="120" t="s">
        <v>2</v>
      </c>
      <c r="G456" s="114" t="s">
        <v>3</v>
      </c>
      <c r="H456" s="106"/>
      <c r="I456" s="107" t="s">
        <v>7</v>
      </c>
      <c r="J456" s="136"/>
      <c r="K456" s="107" t="s">
        <v>8</v>
      </c>
      <c r="L456" s="115" t="s">
        <v>194</v>
      </c>
    </row>
    <row r="457" spans="2:12" x14ac:dyDescent="0.4">
      <c r="B457" s="122">
        <v>1</v>
      </c>
      <c r="C457" s="306" t="s">
        <v>451</v>
      </c>
      <c r="D457" s="306"/>
      <c r="E457" s="116">
        <f>I429</f>
        <v>38.590000000000003</v>
      </c>
      <c r="F457" s="83">
        <f>ROUND(E457/I429,2)</f>
        <v>1</v>
      </c>
      <c r="G457" s="74" t="str">
        <f>IF(C457=0,0,VLOOKUP(C457,Tabla2[],2,FALSE))</f>
        <v>Unidad</v>
      </c>
      <c r="I457" s="117">
        <f>IF(C457=0,0,VLOOKUP(C457,Tabla2[],3,FALSE))</f>
        <v>75</v>
      </c>
      <c r="K457" s="84">
        <f>+F457*I457</f>
        <v>75</v>
      </c>
      <c r="L457" s="118">
        <f>E457*I457</f>
        <v>2894.2500000000005</v>
      </c>
    </row>
    <row r="458" spans="2:12" x14ac:dyDescent="0.4">
      <c r="B458" s="122"/>
      <c r="C458" s="306"/>
      <c r="D458" s="306"/>
      <c r="E458" s="116"/>
      <c r="F458" s="83"/>
      <c r="G458" s="74"/>
      <c r="I458" s="117">
        <f>IF(C458=0,0,VLOOKUP(C458,Tabla2[],3,FALSE))</f>
        <v>0</v>
      </c>
      <c r="K458" s="84">
        <f>+F458*I458</f>
        <v>0</v>
      </c>
      <c r="L458" s="118">
        <f>E458*I458</f>
        <v>0</v>
      </c>
    </row>
    <row r="459" spans="2:12" ht="17.399999999999999" thickBot="1" x14ac:dyDescent="0.45">
      <c r="B459" s="123"/>
      <c r="C459" s="307"/>
      <c r="D459" s="308"/>
      <c r="E459" s="124"/>
      <c r="F459" s="125"/>
      <c r="G459" s="74"/>
      <c r="I459" s="117">
        <f>IF(C459=0,0,VLOOKUP(C459,Tabla2[],3,FALSE))</f>
        <v>0</v>
      </c>
      <c r="K459" s="84">
        <f t="shared" ref="K459" si="70">+F459*I459</f>
        <v>0</v>
      </c>
      <c r="L459" s="118">
        <f t="shared" ref="L459:L460" si="71">E459*I459</f>
        <v>0</v>
      </c>
    </row>
    <row r="460" spans="2:12" ht="17.399999999999999" thickBot="1" x14ac:dyDescent="0.45">
      <c r="B460" s="297" t="s">
        <v>15</v>
      </c>
      <c r="C460" s="298"/>
      <c r="D460" s="298"/>
      <c r="E460" s="298"/>
      <c r="F460" s="298"/>
      <c r="G460" s="299"/>
      <c r="I460" s="84">
        <v>0</v>
      </c>
      <c r="K460" s="84">
        <v>0</v>
      </c>
      <c r="L460" s="118">
        <f t="shared" si="71"/>
        <v>0</v>
      </c>
    </row>
    <row r="461" spans="2:12" ht="17.399999999999999" thickBot="1" x14ac:dyDescent="0.45"/>
    <row r="462" spans="2:12" ht="17.399999999999999" thickBot="1" x14ac:dyDescent="0.45">
      <c r="F462" s="292" t="s">
        <v>16</v>
      </c>
      <c r="G462" s="293"/>
      <c r="H462" s="293"/>
      <c r="I462" s="294"/>
      <c r="K462" s="229">
        <f>+SUM(K457:K460)</f>
        <v>75</v>
      </c>
      <c r="L462" s="119">
        <f>+SUM(L457:L460)</f>
        <v>2894.2500000000005</v>
      </c>
    </row>
    <row r="463" spans="2:12" ht="17.399999999999999" thickBot="1" x14ac:dyDescent="0.45"/>
    <row r="464" spans="2:12" ht="17.399999999999999" thickBot="1" x14ac:dyDescent="0.45">
      <c r="B464" s="110" t="s">
        <v>17</v>
      </c>
      <c r="C464" s="300" t="s">
        <v>18</v>
      </c>
      <c r="D464" s="300"/>
      <c r="E464" s="300"/>
      <c r="F464" s="300"/>
      <c r="G464" s="301"/>
    </row>
    <row r="465" spans="2:16" x14ac:dyDescent="0.4">
      <c r="B465" s="114" t="s">
        <v>6</v>
      </c>
      <c r="C465" s="302" t="s">
        <v>1</v>
      </c>
      <c r="D465" s="303"/>
      <c r="E465" s="126"/>
      <c r="F465" s="120" t="s">
        <v>2</v>
      </c>
      <c r="G465" s="114" t="s">
        <v>3</v>
      </c>
      <c r="H465" s="106"/>
      <c r="I465" s="107" t="s">
        <v>7</v>
      </c>
      <c r="J465" s="136"/>
      <c r="K465" s="107" t="s">
        <v>8</v>
      </c>
      <c r="L465" s="115" t="s">
        <v>194</v>
      </c>
    </row>
    <row r="466" spans="2:16" x14ac:dyDescent="0.4">
      <c r="B466" s="74"/>
      <c r="C466" s="304"/>
      <c r="D466" s="305"/>
      <c r="E466" s="127"/>
      <c r="F466" s="72"/>
      <c r="G466" s="74"/>
      <c r="I466" s="84">
        <v>0</v>
      </c>
      <c r="K466" s="84">
        <f>+F466*I466</f>
        <v>0</v>
      </c>
      <c r="L466" s="118">
        <f>E466*I466</f>
        <v>0</v>
      </c>
    </row>
    <row r="467" spans="2:16" x14ac:dyDescent="0.4">
      <c r="B467" s="74"/>
      <c r="C467" s="304"/>
      <c r="D467" s="305"/>
      <c r="E467" s="127"/>
      <c r="F467" s="72"/>
      <c r="G467" s="74"/>
      <c r="I467" s="84">
        <v>0</v>
      </c>
      <c r="K467" s="84">
        <f t="shared" ref="K467:K468" si="72">+F467*I467</f>
        <v>0</v>
      </c>
      <c r="L467" s="118">
        <f t="shared" ref="L467:L468" si="73">E467*I467</f>
        <v>0</v>
      </c>
    </row>
    <row r="468" spans="2:16" x14ac:dyDescent="0.4">
      <c r="B468" s="74"/>
      <c r="C468" s="304"/>
      <c r="D468" s="305"/>
      <c r="E468" s="127"/>
      <c r="F468" s="72"/>
      <c r="G468" s="74"/>
      <c r="I468" s="84">
        <v>0</v>
      </c>
      <c r="K468" s="84">
        <f t="shared" si="72"/>
        <v>0</v>
      </c>
      <c r="L468" s="118">
        <f t="shared" si="73"/>
        <v>0</v>
      </c>
    </row>
    <row r="469" spans="2:16" ht="17.399999999999999" thickBot="1" x14ac:dyDescent="0.45">
      <c r="L469" s="118"/>
    </row>
    <row r="470" spans="2:16" ht="17.399999999999999" thickBot="1" x14ac:dyDescent="0.45">
      <c r="F470" s="292" t="s">
        <v>19</v>
      </c>
      <c r="G470" s="293"/>
      <c r="H470" s="293"/>
      <c r="I470" s="294"/>
      <c r="K470" s="229">
        <f>+SUM(K466:K468)</f>
        <v>0</v>
      </c>
      <c r="L470" s="119">
        <f>+SUM(L465:L468)</f>
        <v>0</v>
      </c>
    </row>
    <row r="471" spans="2:16" ht="15" customHeight="1" x14ac:dyDescent="0.4">
      <c r="F471" s="128"/>
      <c r="G471" s="129"/>
      <c r="H471" s="130"/>
      <c r="I471" s="108"/>
      <c r="K471" s="230"/>
    </row>
    <row r="472" spans="2:16" ht="15" customHeight="1" thickBot="1" x14ac:dyDescent="0.45"/>
    <row r="473" spans="2:16" ht="17.399999999999999" thickBot="1" x14ac:dyDescent="0.45">
      <c r="F473" s="292" t="s">
        <v>20</v>
      </c>
      <c r="G473" s="293"/>
      <c r="H473" s="293"/>
      <c r="I473" s="294"/>
      <c r="K473" s="229">
        <f>(+K444+K453+K462+K470)</f>
        <v>280</v>
      </c>
      <c r="L473" s="119">
        <f>(+L444+L453+L462+L470)</f>
        <v>10805.2</v>
      </c>
      <c r="N473" s="131"/>
      <c r="O473" s="39"/>
      <c r="P473" s="40"/>
    </row>
    <row r="474" spans="2:16" ht="7.5" customHeight="1" thickBot="1" x14ac:dyDescent="0.45">
      <c r="N474" s="131"/>
      <c r="O474" s="41"/>
      <c r="P474" s="40"/>
    </row>
    <row r="475" spans="2:16" ht="17.399999999999999" thickBot="1" x14ac:dyDescent="0.45">
      <c r="F475" s="292" t="s">
        <v>21</v>
      </c>
      <c r="G475" s="293"/>
      <c r="H475" s="293"/>
      <c r="I475" s="294"/>
      <c r="K475" s="229">
        <f>K473*$N$2</f>
        <v>112</v>
      </c>
      <c r="L475" s="119">
        <f>L473*$N$2</f>
        <v>4322.0800000000008</v>
      </c>
    </row>
    <row r="476" spans="2:16" ht="7.5" customHeight="1" thickBot="1" x14ac:dyDescent="0.45"/>
    <row r="477" spans="2:16" ht="17.399999999999999" thickBot="1" x14ac:dyDescent="0.45">
      <c r="F477" s="292" t="s">
        <v>22</v>
      </c>
      <c r="G477" s="293"/>
      <c r="H477" s="293"/>
      <c r="I477" s="294"/>
      <c r="K477" s="229">
        <f>+K473+K475</f>
        <v>392</v>
      </c>
      <c r="L477" s="119">
        <f>+L473+L475</f>
        <v>15127.280000000002</v>
      </c>
    </row>
    <row r="478" spans="2:16" ht="17.399999999999999" thickBot="1" x14ac:dyDescent="0.45">
      <c r="F478" s="128"/>
      <c r="G478" s="129"/>
      <c r="H478" s="130"/>
      <c r="I478" s="108"/>
      <c r="K478" s="231"/>
      <c r="L478" s="132">
        <f>L477/I429</f>
        <v>392.00000000000006</v>
      </c>
      <c r="M478" s="133">
        <f>(K477-L478)*I429</f>
        <v>-2.1935875338385815E-12</v>
      </c>
    </row>
    <row r="479" spans="2:16" x14ac:dyDescent="0.4">
      <c r="F479" s="128"/>
      <c r="G479" s="129"/>
      <c r="H479" s="130"/>
      <c r="I479" s="108"/>
      <c r="K479" s="232"/>
      <c r="L479" s="131"/>
      <c r="M479" s="134"/>
      <c r="N479" s="135"/>
    </row>
    <row r="480" spans="2:16" ht="17.399999999999999" thickBot="1" x14ac:dyDescent="0.45">
      <c r="B480" s="295"/>
      <c r="C480" s="295"/>
      <c r="D480" s="295"/>
    </row>
    <row r="481" spans="1:16" x14ac:dyDescent="0.4">
      <c r="B481" s="296" t="s">
        <v>23</v>
      </c>
      <c r="C481" s="296"/>
      <c r="D481" s="296"/>
    </row>
    <row r="482" spans="1:16" x14ac:dyDescent="0.4">
      <c r="B482" s="157"/>
      <c r="C482" s="157"/>
      <c r="D482" s="157"/>
    </row>
    <row r="483" spans="1:16" x14ac:dyDescent="0.4">
      <c r="B483" s="157"/>
      <c r="C483" s="157"/>
      <c r="D483" s="157"/>
    </row>
    <row r="484" spans="1:16" x14ac:dyDescent="0.4">
      <c r="B484" s="105" t="s">
        <v>43</v>
      </c>
      <c r="C484" s="106"/>
      <c r="D484" s="311" t="s">
        <v>1</v>
      </c>
      <c r="E484" s="311"/>
      <c r="F484" s="311"/>
      <c r="G484" s="311"/>
      <c r="H484" s="106"/>
      <c r="I484" s="107" t="s">
        <v>2</v>
      </c>
      <c r="J484" s="136"/>
      <c r="K484" s="107" t="s">
        <v>3</v>
      </c>
    </row>
    <row r="485" spans="1:16" s="4" customFormat="1" ht="30.75" customHeight="1" x14ac:dyDescent="0.3">
      <c r="A485" s="31"/>
      <c r="B485" s="213">
        <f>CATALOGO!B25</f>
        <v>303.06</v>
      </c>
      <c r="C485" s="71"/>
      <c r="D485" s="312" t="str">
        <f>CATALOGO!C25</f>
        <v>LEVANTADO DE MURO 0.19m, BLOCK TIPO A (70 Kg/Cm²)</v>
      </c>
      <c r="E485" s="312"/>
      <c r="F485" s="312"/>
      <c r="G485" s="312"/>
      <c r="H485" s="71"/>
      <c r="I485" s="213">
        <f>CATALOGO!D25</f>
        <v>20.55</v>
      </c>
      <c r="J485" s="109"/>
      <c r="K485" s="227" t="str">
        <f>CATALOGO!E25</f>
        <v>m²</v>
      </c>
      <c r="L485" s="71"/>
      <c r="M485" s="71"/>
      <c r="N485" s="104"/>
      <c r="O485" s="37"/>
      <c r="P485" s="37"/>
    </row>
    <row r="486" spans="1:16" ht="17.399999999999999" thickBot="1" x14ac:dyDescent="0.45"/>
    <row r="487" spans="1:16" ht="17.399999999999999" thickBot="1" x14ac:dyDescent="0.45">
      <c r="B487" s="110" t="s">
        <v>4</v>
      </c>
      <c r="C487" s="300" t="s">
        <v>5</v>
      </c>
      <c r="D487" s="300"/>
      <c r="E487" s="300"/>
      <c r="F487" s="300"/>
      <c r="G487" s="301"/>
    </row>
    <row r="488" spans="1:16" x14ac:dyDescent="0.4">
      <c r="B488" s="111" t="s">
        <v>6</v>
      </c>
      <c r="C488" s="313" t="s">
        <v>1</v>
      </c>
      <c r="D488" s="314"/>
      <c r="E488" s="112" t="s">
        <v>193</v>
      </c>
      <c r="F488" s="113" t="s">
        <v>2</v>
      </c>
      <c r="G488" s="114" t="s">
        <v>3</v>
      </c>
      <c r="H488" s="106"/>
      <c r="I488" s="107" t="s">
        <v>7</v>
      </c>
      <c r="J488" s="136"/>
      <c r="K488" s="228" t="s">
        <v>8</v>
      </c>
      <c r="L488" s="115" t="s">
        <v>194</v>
      </c>
    </row>
    <row r="489" spans="1:16" x14ac:dyDescent="0.4">
      <c r="B489" s="122">
        <v>1</v>
      </c>
      <c r="C489" s="315" t="s">
        <v>575</v>
      </c>
      <c r="D489" s="316"/>
      <c r="E489" s="116">
        <f>I485*13</f>
        <v>267.15000000000003</v>
      </c>
      <c r="F489" s="83">
        <f>ROUND(E489/I485,2)</f>
        <v>13</v>
      </c>
      <c r="G489" s="74" t="str">
        <f>IF(C489=0,0,VLOOKUP(C489,Tabla1[],2,FALSE))</f>
        <v>Unidad</v>
      </c>
      <c r="I489" s="117">
        <f>IF(C489=0,0,VLOOKUP(C489,Tabla1[],3,FALSE))</f>
        <v>9</v>
      </c>
      <c r="K489" s="84">
        <f>+F489*I489</f>
        <v>117</v>
      </c>
      <c r="L489" s="118">
        <f>E489*I489</f>
        <v>2404.3500000000004</v>
      </c>
    </row>
    <row r="490" spans="1:16" x14ac:dyDescent="0.4">
      <c r="B490" s="122">
        <v>2</v>
      </c>
      <c r="C490" s="317" t="s">
        <v>214</v>
      </c>
      <c r="D490" s="318"/>
      <c r="E490" s="116">
        <f>I485*0.3</f>
        <v>6.165</v>
      </c>
      <c r="F490" s="83">
        <f>ROUND(E490/I485,2)</f>
        <v>0.3</v>
      </c>
      <c r="G490" s="74" t="str">
        <f>IF(C490=0,0,VLOOKUP(C490,Tabla1[],2,FALSE))</f>
        <v>Saco</v>
      </c>
      <c r="I490" s="117">
        <f>IF(C490=0,0,VLOOKUP(C490,Tabla1[],3,FALSE))</f>
        <v>80</v>
      </c>
      <c r="K490" s="84">
        <f t="shared" ref="K490:K496" si="74">+F490*I490</f>
        <v>24</v>
      </c>
      <c r="L490" s="118">
        <f t="shared" ref="L490:L496" si="75">E490*I490</f>
        <v>493.2</v>
      </c>
    </row>
    <row r="491" spans="1:16" x14ac:dyDescent="0.4">
      <c r="B491" s="122">
        <v>3</v>
      </c>
      <c r="C491" s="319" t="s">
        <v>73</v>
      </c>
      <c r="D491" s="318"/>
      <c r="E491" s="116">
        <f>I485*0.04</f>
        <v>0.82200000000000006</v>
      </c>
      <c r="F491" s="83">
        <f>ROUND(E491/I485,2)</f>
        <v>0.04</v>
      </c>
      <c r="G491" s="74" t="str">
        <f>IF(C491=0,0,VLOOKUP(C491,Tabla1[],2,FALSE))</f>
        <v>m³</v>
      </c>
      <c r="I491" s="117">
        <f>IF(C491=0,0,VLOOKUP(C491,Tabla1[],3,FALSE))</f>
        <v>250</v>
      </c>
      <c r="K491" s="84">
        <f t="shared" si="74"/>
        <v>10</v>
      </c>
      <c r="L491" s="118">
        <f t="shared" si="75"/>
        <v>205.50000000000003</v>
      </c>
    </row>
    <row r="492" spans="1:16" x14ac:dyDescent="0.4">
      <c r="B492" s="122"/>
      <c r="C492" s="321"/>
      <c r="D492" s="321"/>
      <c r="E492" s="116"/>
      <c r="F492" s="83"/>
      <c r="G492" s="74"/>
      <c r="I492" s="117">
        <f>IF(C492=0,0,VLOOKUP(C492,Tabla1[],3,FALSE))</f>
        <v>0</v>
      </c>
      <c r="K492" s="84">
        <f t="shared" si="74"/>
        <v>0</v>
      </c>
      <c r="L492" s="118">
        <f t="shared" si="75"/>
        <v>0</v>
      </c>
    </row>
    <row r="493" spans="1:16" x14ac:dyDescent="0.4">
      <c r="B493" s="122"/>
      <c r="C493" s="321"/>
      <c r="D493" s="321"/>
      <c r="E493" s="116"/>
      <c r="F493" s="72"/>
      <c r="G493" s="74"/>
      <c r="I493" s="117">
        <f>IF(C493=0,0,VLOOKUP(C493,Tabla1[],3,FALSE))</f>
        <v>0</v>
      </c>
      <c r="K493" s="84">
        <f t="shared" si="74"/>
        <v>0</v>
      </c>
      <c r="L493" s="118">
        <f t="shared" si="75"/>
        <v>0</v>
      </c>
    </row>
    <row r="494" spans="1:16" x14ac:dyDescent="0.4">
      <c r="B494" s="122"/>
      <c r="C494" s="321"/>
      <c r="D494" s="321"/>
      <c r="E494" s="116"/>
      <c r="F494" s="72"/>
      <c r="G494" s="74"/>
      <c r="I494" s="117">
        <f>IF(C494=0,0,VLOOKUP(C494,Tabla1[],3,FALSE))</f>
        <v>0</v>
      </c>
      <c r="K494" s="84">
        <f t="shared" si="74"/>
        <v>0</v>
      </c>
      <c r="L494" s="118">
        <f t="shared" si="75"/>
        <v>0</v>
      </c>
    </row>
    <row r="495" spans="1:16" x14ac:dyDescent="0.4">
      <c r="B495" s="122"/>
      <c r="C495" s="321"/>
      <c r="D495" s="321"/>
      <c r="E495" s="116"/>
      <c r="F495" s="72"/>
      <c r="G495" s="74"/>
      <c r="I495" s="117">
        <f>IF(C495=0,0,VLOOKUP(C495,Tabla1[],3,FALSE))</f>
        <v>0</v>
      </c>
      <c r="K495" s="84">
        <f t="shared" si="74"/>
        <v>0</v>
      </c>
      <c r="L495" s="118">
        <f t="shared" si="75"/>
        <v>0</v>
      </c>
    </row>
    <row r="496" spans="1:16" x14ac:dyDescent="0.4">
      <c r="B496" s="122"/>
      <c r="C496" s="321"/>
      <c r="D496" s="321"/>
      <c r="E496" s="116"/>
      <c r="F496" s="72"/>
      <c r="G496" s="74"/>
      <c r="I496" s="117">
        <f>IF(C496=0,0,VLOOKUP(C496,Tabla1[],3,FALSE))</f>
        <v>0</v>
      </c>
      <c r="K496" s="84">
        <f t="shared" si="74"/>
        <v>0</v>
      </c>
      <c r="L496" s="118">
        <f t="shared" si="75"/>
        <v>0</v>
      </c>
    </row>
    <row r="497" spans="2:12" ht="17.399999999999999" thickBot="1" x14ac:dyDescent="0.45"/>
    <row r="498" spans="2:12" ht="17.399999999999999" thickBot="1" x14ac:dyDescent="0.45">
      <c r="F498" s="292" t="s">
        <v>9</v>
      </c>
      <c r="G498" s="293"/>
      <c r="H498" s="293"/>
      <c r="I498" s="294"/>
      <c r="K498" s="229">
        <f>+SUM(K489:K496)</f>
        <v>151</v>
      </c>
      <c r="L498" s="119">
        <f>+SUM(L489:L496)</f>
        <v>3103.05</v>
      </c>
    </row>
    <row r="499" spans="2:12" ht="17.399999999999999" thickBot="1" x14ac:dyDescent="0.45"/>
    <row r="500" spans="2:12" ht="17.399999999999999" thickBot="1" x14ac:dyDescent="0.45">
      <c r="B500" s="110" t="s">
        <v>10</v>
      </c>
      <c r="C500" s="300" t="s">
        <v>11</v>
      </c>
      <c r="D500" s="300"/>
      <c r="E500" s="300"/>
      <c r="F500" s="300"/>
      <c r="G500" s="301"/>
    </row>
    <row r="501" spans="2:12" x14ac:dyDescent="0.4">
      <c r="B501" s="114" t="s">
        <v>6</v>
      </c>
      <c r="C501" s="302" t="s">
        <v>1</v>
      </c>
      <c r="D501" s="303"/>
      <c r="E501" s="112" t="s">
        <v>193</v>
      </c>
      <c r="F501" s="120" t="s">
        <v>2</v>
      </c>
      <c r="G501" s="114" t="s">
        <v>3</v>
      </c>
      <c r="H501" s="106"/>
      <c r="I501" s="107" t="s">
        <v>7</v>
      </c>
      <c r="J501" s="136"/>
      <c r="K501" s="107" t="s">
        <v>8</v>
      </c>
      <c r="L501" s="115" t="s">
        <v>194</v>
      </c>
    </row>
    <row r="502" spans="2:12" x14ac:dyDescent="0.4">
      <c r="B502" s="122"/>
      <c r="C502" s="306"/>
      <c r="D502" s="306"/>
      <c r="E502" s="116"/>
      <c r="F502" s="83"/>
      <c r="G502" s="74"/>
      <c r="I502" s="117">
        <f>IF(C502=0,0,VLOOKUP(C502,Tabla3[],3,FALSE))</f>
        <v>0</v>
      </c>
      <c r="K502" s="84">
        <f t="shared" ref="K502:K505" si="76">+F502*I502</f>
        <v>0</v>
      </c>
      <c r="L502" s="118">
        <f>E502*I502</f>
        <v>0</v>
      </c>
    </row>
    <row r="503" spans="2:12" x14ac:dyDescent="0.4">
      <c r="B503" s="74"/>
      <c r="C503" s="206"/>
      <c r="D503" s="207"/>
      <c r="E503" s="121"/>
      <c r="F503" s="72"/>
      <c r="G503" s="74"/>
      <c r="I503" s="117">
        <f>IF(C503=0,0,VLOOKUP(C503,Tabla3[],3,FALSE))</f>
        <v>0</v>
      </c>
      <c r="K503" s="84">
        <f t="shared" si="76"/>
        <v>0</v>
      </c>
      <c r="L503" s="118">
        <f t="shared" ref="L503:L505" si="77">E503*I503</f>
        <v>0</v>
      </c>
    </row>
    <row r="504" spans="2:12" x14ac:dyDescent="0.4">
      <c r="B504" s="74"/>
      <c r="C504" s="206"/>
      <c r="D504" s="207"/>
      <c r="E504" s="121"/>
      <c r="F504" s="72"/>
      <c r="G504" s="74"/>
      <c r="I504" s="117">
        <f>IF(C504=0,0,VLOOKUP(C504,Tabla3[],3,FALSE))</f>
        <v>0</v>
      </c>
      <c r="K504" s="84">
        <f t="shared" si="76"/>
        <v>0</v>
      </c>
      <c r="L504" s="118">
        <f t="shared" si="77"/>
        <v>0</v>
      </c>
    </row>
    <row r="505" spans="2:12" x14ac:dyDescent="0.4">
      <c r="B505" s="74"/>
      <c r="C505" s="304"/>
      <c r="D505" s="305"/>
      <c r="E505" s="121"/>
      <c r="F505" s="72"/>
      <c r="G505" s="74"/>
      <c r="I505" s="117">
        <f>IF(C505=0,0,VLOOKUP(C505,Tabla3[],3,FALSE))</f>
        <v>0</v>
      </c>
      <c r="K505" s="84">
        <f t="shared" si="76"/>
        <v>0</v>
      </c>
      <c r="L505" s="118">
        <f t="shared" si="77"/>
        <v>0</v>
      </c>
    </row>
    <row r="506" spans="2:12" ht="17.399999999999999" thickBot="1" x14ac:dyDescent="0.45"/>
    <row r="507" spans="2:12" ht="17.399999999999999" thickBot="1" x14ac:dyDescent="0.45">
      <c r="F507" s="292" t="s">
        <v>12</v>
      </c>
      <c r="G507" s="293"/>
      <c r="H507" s="293"/>
      <c r="I507" s="294"/>
      <c r="K507" s="229">
        <f>+SUM(K502:K505)</f>
        <v>0</v>
      </c>
      <c r="L507" s="119">
        <f>+SUM(L502:L505)</f>
        <v>0</v>
      </c>
    </row>
    <row r="508" spans="2:12" ht="17.399999999999999" thickBot="1" x14ac:dyDescent="0.45"/>
    <row r="509" spans="2:12" ht="17.399999999999999" thickBot="1" x14ac:dyDescent="0.45">
      <c r="B509" s="110" t="s">
        <v>13</v>
      </c>
      <c r="C509" s="300" t="s">
        <v>14</v>
      </c>
      <c r="D509" s="300"/>
      <c r="E509" s="300"/>
      <c r="F509" s="300"/>
      <c r="G509" s="301"/>
    </row>
    <row r="510" spans="2:12" x14ac:dyDescent="0.4">
      <c r="B510" s="114" t="s">
        <v>6</v>
      </c>
      <c r="C510" s="302" t="s">
        <v>1</v>
      </c>
      <c r="D510" s="303"/>
      <c r="E510" s="112" t="s">
        <v>193</v>
      </c>
      <c r="F510" s="120" t="s">
        <v>2</v>
      </c>
      <c r="G510" s="114" t="s">
        <v>3</v>
      </c>
      <c r="H510" s="106"/>
      <c r="I510" s="107" t="s">
        <v>7</v>
      </c>
      <c r="J510" s="136"/>
      <c r="K510" s="107" t="s">
        <v>8</v>
      </c>
      <c r="L510" s="115" t="s">
        <v>194</v>
      </c>
    </row>
    <row r="511" spans="2:12" x14ac:dyDescent="0.4">
      <c r="B511" s="122">
        <v>1</v>
      </c>
      <c r="C511" s="306" t="s">
        <v>466</v>
      </c>
      <c r="D511" s="306"/>
      <c r="E511" s="116">
        <f>I485</f>
        <v>20.55</v>
      </c>
      <c r="F511" s="83">
        <f>ROUND(E511/I485,2)</f>
        <v>1</v>
      </c>
      <c r="G511" s="74" t="str">
        <f>IF(C511=0,0,VLOOKUP(C511,Tabla2[],2,FALSE))</f>
        <v>m²</v>
      </c>
      <c r="I511" s="117">
        <f>IF(C511=0,0,VLOOKUP(C511,Tabla2[],3,FALSE))</f>
        <v>49</v>
      </c>
      <c r="K511" s="84">
        <f>+F511*I511</f>
        <v>49</v>
      </c>
      <c r="L511" s="118">
        <f>E511*I511</f>
        <v>1006.95</v>
      </c>
    </row>
    <row r="512" spans="2:12" x14ac:dyDescent="0.4">
      <c r="B512" s="122"/>
      <c r="C512" s="306"/>
      <c r="D512" s="306"/>
      <c r="E512" s="116"/>
      <c r="F512" s="83"/>
      <c r="G512" s="74"/>
      <c r="I512" s="117">
        <f>IF(C512=0,0,VLOOKUP(C512,Tabla2[],3,FALSE))</f>
        <v>0</v>
      </c>
      <c r="K512" s="84">
        <f>+F512*I512</f>
        <v>0</v>
      </c>
      <c r="L512" s="118">
        <f>E512*I512</f>
        <v>0</v>
      </c>
    </row>
    <row r="513" spans="2:16" ht="17.399999999999999" thickBot="1" x14ac:dyDescent="0.45">
      <c r="B513" s="123"/>
      <c r="C513" s="307"/>
      <c r="D513" s="308"/>
      <c r="E513" s="124"/>
      <c r="F513" s="125"/>
      <c r="G513" s="74"/>
      <c r="I513" s="117">
        <f>IF(C513=0,0,VLOOKUP(C513,Tabla2[],3,FALSE))</f>
        <v>0</v>
      </c>
      <c r="K513" s="84">
        <f t="shared" ref="K513" si="78">+F513*I513</f>
        <v>0</v>
      </c>
      <c r="L513" s="118">
        <f t="shared" ref="L513:L514" si="79">E513*I513</f>
        <v>0</v>
      </c>
    </row>
    <row r="514" spans="2:16" ht="17.399999999999999" thickBot="1" x14ac:dyDescent="0.45">
      <c r="B514" s="297" t="s">
        <v>15</v>
      </c>
      <c r="C514" s="298"/>
      <c r="D514" s="298"/>
      <c r="E514" s="298"/>
      <c r="F514" s="298"/>
      <c r="G514" s="299"/>
      <c r="I514" s="84">
        <v>0</v>
      </c>
      <c r="K514" s="84">
        <v>0</v>
      </c>
      <c r="L514" s="118">
        <f t="shared" si="79"/>
        <v>0</v>
      </c>
    </row>
    <row r="515" spans="2:16" ht="17.399999999999999" thickBot="1" x14ac:dyDescent="0.45"/>
    <row r="516" spans="2:16" ht="17.399999999999999" thickBot="1" x14ac:dyDescent="0.45">
      <c r="F516" s="292" t="s">
        <v>16</v>
      </c>
      <c r="G516" s="293"/>
      <c r="H516" s="293"/>
      <c r="I516" s="294"/>
      <c r="K516" s="229">
        <f>+SUM(K511:K514)</f>
        <v>49</v>
      </c>
      <c r="L516" s="119">
        <f>+SUM(L511:L514)</f>
        <v>1006.95</v>
      </c>
    </row>
    <row r="517" spans="2:16" ht="17.399999999999999" thickBot="1" x14ac:dyDescent="0.45"/>
    <row r="518" spans="2:16" ht="17.399999999999999" thickBot="1" x14ac:dyDescent="0.45">
      <c r="B518" s="110" t="s">
        <v>17</v>
      </c>
      <c r="C518" s="300" t="s">
        <v>18</v>
      </c>
      <c r="D518" s="300"/>
      <c r="E518" s="300"/>
      <c r="F518" s="300"/>
      <c r="G518" s="301"/>
    </row>
    <row r="519" spans="2:16" x14ac:dyDescent="0.4">
      <c r="B519" s="114" t="s">
        <v>6</v>
      </c>
      <c r="C519" s="302" t="s">
        <v>1</v>
      </c>
      <c r="D519" s="303"/>
      <c r="E519" s="126"/>
      <c r="F519" s="120" t="s">
        <v>2</v>
      </c>
      <c r="G519" s="114" t="s">
        <v>3</v>
      </c>
      <c r="H519" s="106"/>
      <c r="I519" s="107" t="s">
        <v>7</v>
      </c>
      <c r="J519" s="136"/>
      <c r="K519" s="107" t="s">
        <v>8</v>
      </c>
      <c r="L519" s="115" t="s">
        <v>194</v>
      </c>
    </row>
    <row r="520" spans="2:16" x14ac:dyDescent="0.4">
      <c r="B520" s="74"/>
      <c r="C520" s="304"/>
      <c r="D520" s="305"/>
      <c r="E520" s="127"/>
      <c r="F520" s="72"/>
      <c r="G520" s="74"/>
      <c r="I520" s="84">
        <v>0</v>
      </c>
      <c r="K520" s="84">
        <f>+F520*I520</f>
        <v>0</v>
      </c>
      <c r="L520" s="118">
        <f>E520*I520</f>
        <v>0</v>
      </c>
    </row>
    <row r="521" spans="2:16" x14ac:dyDescent="0.4">
      <c r="B521" s="74"/>
      <c r="C521" s="304"/>
      <c r="D521" s="305"/>
      <c r="E521" s="127"/>
      <c r="F521" s="72"/>
      <c r="G521" s="74"/>
      <c r="I521" s="84">
        <v>0</v>
      </c>
      <c r="K521" s="84">
        <f t="shared" ref="K521:K522" si="80">+F521*I521</f>
        <v>0</v>
      </c>
      <c r="L521" s="118">
        <f t="shared" ref="L521:L522" si="81">E521*I521</f>
        <v>0</v>
      </c>
    </row>
    <row r="522" spans="2:16" x14ac:dyDescent="0.4">
      <c r="B522" s="74"/>
      <c r="C522" s="304"/>
      <c r="D522" s="305"/>
      <c r="E522" s="127"/>
      <c r="F522" s="72"/>
      <c r="G522" s="74"/>
      <c r="I522" s="84">
        <v>0</v>
      </c>
      <c r="K522" s="84">
        <f t="shared" si="80"/>
        <v>0</v>
      </c>
      <c r="L522" s="118">
        <f t="shared" si="81"/>
        <v>0</v>
      </c>
    </row>
    <row r="523" spans="2:16" ht="17.399999999999999" thickBot="1" x14ac:dyDescent="0.45">
      <c r="L523" s="118"/>
    </row>
    <row r="524" spans="2:16" ht="17.399999999999999" thickBot="1" x14ac:dyDescent="0.45">
      <c r="F524" s="292" t="s">
        <v>19</v>
      </c>
      <c r="G524" s="293"/>
      <c r="H524" s="293"/>
      <c r="I524" s="294"/>
      <c r="K524" s="229">
        <f>+SUM(K520:K522)</f>
        <v>0</v>
      </c>
      <c r="L524" s="119">
        <f>+SUM(L519:L522)</f>
        <v>0</v>
      </c>
    </row>
    <row r="525" spans="2:16" ht="15" customHeight="1" x14ac:dyDescent="0.4">
      <c r="F525" s="128"/>
      <c r="G525" s="129"/>
      <c r="H525" s="130"/>
      <c r="I525" s="108"/>
      <c r="K525" s="230"/>
    </row>
    <row r="526" spans="2:16" ht="15" customHeight="1" thickBot="1" x14ac:dyDescent="0.45"/>
    <row r="527" spans="2:16" ht="17.399999999999999" thickBot="1" x14ac:dyDescent="0.45">
      <c r="F527" s="292" t="s">
        <v>20</v>
      </c>
      <c r="G527" s="293"/>
      <c r="H527" s="293"/>
      <c r="I527" s="294"/>
      <c r="K527" s="229">
        <f>(+K498+K507+K516+K524)</f>
        <v>200</v>
      </c>
      <c r="L527" s="119">
        <f>(+L498+L507+L516+L524)</f>
        <v>4110</v>
      </c>
      <c r="N527" s="131"/>
      <c r="O527" s="39"/>
      <c r="P527" s="40"/>
    </row>
    <row r="528" spans="2:16" ht="7.5" customHeight="1" thickBot="1" x14ac:dyDescent="0.45">
      <c r="N528" s="131"/>
      <c r="O528" s="41"/>
      <c r="P528" s="40"/>
    </row>
    <row r="529" spans="1:16" ht="17.399999999999999" thickBot="1" x14ac:dyDescent="0.45">
      <c r="F529" s="292" t="s">
        <v>21</v>
      </c>
      <c r="G529" s="293"/>
      <c r="H529" s="293"/>
      <c r="I529" s="294"/>
      <c r="K529" s="229">
        <f>K527*$N$2</f>
        <v>80</v>
      </c>
      <c r="L529" s="119">
        <f>L527*$N$2</f>
        <v>1644</v>
      </c>
    </row>
    <row r="530" spans="1:16" ht="7.5" customHeight="1" thickBot="1" x14ac:dyDescent="0.45"/>
    <row r="531" spans="1:16" ht="17.399999999999999" thickBot="1" x14ac:dyDescent="0.45">
      <c r="F531" s="292" t="s">
        <v>22</v>
      </c>
      <c r="G531" s="293"/>
      <c r="H531" s="293"/>
      <c r="I531" s="294"/>
      <c r="K531" s="229">
        <f>+K527+K529</f>
        <v>280</v>
      </c>
      <c r="L531" s="119">
        <f>+L527+L529</f>
        <v>5754</v>
      </c>
    </row>
    <row r="532" spans="1:16" ht="17.399999999999999" thickBot="1" x14ac:dyDescent="0.45">
      <c r="F532" s="128"/>
      <c r="G532" s="129"/>
      <c r="H532" s="130"/>
      <c r="I532" s="108"/>
      <c r="K532" s="231"/>
      <c r="L532" s="132">
        <f>L531/I485</f>
        <v>280</v>
      </c>
      <c r="M532" s="133">
        <f>(K531-L532)*I485</f>
        <v>0</v>
      </c>
    </row>
    <row r="533" spans="1:16" x14ac:dyDescent="0.4">
      <c r="F533" s="128"/>
      <c r="G533" s="129"/>
      <c r="H533" s="130"/>
      <c r="I533" s="108"/>
      <c r="K533" s="232"/>
      <c r="L533" s="131"/>
      <c r="M533" s="134"/>
      <c r="N533" s="135"/>
    </row>
    <row r="534" spans="1:16" ht="17.399999999999999" thickBot="1" x14ac:dyDescent="0.45">
      <c r="B534" s="295"/>
      <c r="C534" s="295"/>
      <c r="D534" s="295"/>
    </row>
    <row r="535" spans="1:16" x14ac:dyDescent="0.4">
      <c r="B535" s="296" t="s">
        <v>23</v>
      </c>
      <c r="C535" s="296"/>
      <c r="D535" s="296"/>
    </row>
    <row r="536" spans="1:16" x14ac:dyDescent="0.4">
      <c r="B536" s="157"/>
      <c r="C536" s="157"/>
      <c r="D536" s="157"/>
    </row>
    <row r="537" spans="1:16" x14ac:dyDescent="0.4">
      <c r="B537" s="157"/>
      <c r="C537" s="157"/>
      <c r="D537" s="157"/>
    </row>
    <row r="538" spans="1:16" x14ac:dyDescent="0.4">
      <c r="B538" s="105" t="s">
        <v>43</v>
      </c>
      <c r="C538" s="106"/>
      <c r="D538" s="311" t="s">
        <v>1</v>
      </c>
      <c r="E538" s="311"/>
      <c r="F538" s="311"/>
      <c r="G538" s="311"/>
      <c r="H538" s="106"/>
      <c r="I538" s="107" t="s">
        <v>2</v>
      </c>
      <c r="J538" s="136"/>
      <c r="K538" s="107" t="s">
        <v>3</v>
      </c>
    </row>
    <row r="539" spans="1:16" s="4" customFormat="1" ht="30.75" customHeight="1" x14ac:dyDescent="0.3">
      <c r="A539" s="31"/>
      <c r="B539" s="213">
        <f>CATALOGO!B23</f>
        <v>210.09</v>
      </c>
      <c r="C539" s="71"/>
      <c r="D539" s="312" t="str">
        <f>CATALOGO!C23</f>
        <v>LEVANTADO DE MURO DOBLE 0.19m, BLOCK TIPO A (70 Kg/Cm²) HASTA SOLERA DE HUMEDAD</v>
      </c>
      <c r="E539" s="312"/>
      <c r="F539" s="312"/>
      <c r="G539" s="312"/>
      <c r="H539" s="71"/>
      <c r="I539" s="213">
        <f>CATALOGO!D23</f>
        <v>8.2799999999999994</v>
      </c>
      <c r="J539" s="109"/>
      <c r="K539" s="227" t="str">
        <f>CATALOGO!E23</f>
        <v>m²</v>
      </c>
      <c r="L539" s="71"/>
      <c r="M539" s="71"/>
      <c r="N539" s="104"/>
      <c r="O539" s="37"/>
      <c r="P539" s="37"/>
    </row>
    <row r="540" spans="1:16" ht="17.399999999999999" thickBot="1" x14ac:dyDescent="0.45"/>
    <row r="541" spans="1:16" ht="17.399999999999999" thickBot="1" x14ac:dyDescent="0.45">
      <c r="B541" s="110" t="s">
        <v>4</v>
      </c>
      <c r="C541" s="300" t="s">
        <v>5</v>
      </c>
      <c r="D541" s="300"/>
      <c r="E541" s="300"/>
      <c r="F541" s="300"/>
      <c r="G541" s="301"/>
    </row>
    <row r="542" spans="1:16" x14ac:dyDescent="0.4">
      <c r="B542" s="111" t="s">
        <v>6</v>
      </c>
      <c r="C542" s="313" t="s">
        <v>1</v>
      </c>
      <c r="D542" s="314"/>
      <c r="E542" s="112" t="s">
        <v>193</v>
      </c>
      <c r="F542" s="113" t="s">
        <v>2</v>
      </c>
      <c r="G542" s="114" t="s">
        <v>3</v>
      </c>
      <c r="H542" s="106"/>
      <c r="I542" s="107" t="s">
        <v>7</v>
      </c>
      <c r="J542" s="136"/>
      <c r="K542" s="228" t="s">
        <v>8</v>
      </c>
      <c r="L542" s="115" t="s">
        <v>194</v>
      </c>
    </row>
    <row r="543" spans="1:16" x14ac:dyDescent="0.4">
      <c r="B543" s="122">
        <v>1</v>
      </c>
      <c r="C543" s="315" t="s">
        <v>575</v>
      </c>
      <c r="D543" s="316"/>
      <c r="E543" s="116">
        <f>I539*27</f>
        <v>223.55999999999997</v>
      </c>
      <c r="F543" s="83">
        <f>ROUND(E543/I539,2)</f>
        <v>27</v>
      </c>
      <c r="G543" s="74" t="str">
        <f>IF(C543=0,0,VLOOKUP(C543,Tabla1[],2,FALSE))</f>
        <v>Unidad</v>
      </c>
      <c r="I543" s="117">
        <f>IF(C543=0,0,VLOOKUP(C543,Tabla1[],3,FALSE))</f>
        <v>9</v>
      </c>
      <c r="K543" s="84">
        <f>+F543*I543</f>
        <v>243</v>
      </c>
      <c r="L543" s="118">
        <f>E543*I543</f>
        <v>2012.0399999999997</v>
      </c>
    </row>
    <row r="544" spans="1:16" x14ac:dyDescent="0.4">
      <c r="B544" s="122">
        <v>2</v>
      </c>
      <c r="C544" s="317" t="s">
        <v>214</v>
      </c>
      <c r="D544" s="318"/>
      <c r="E544" s="116">
        <f>I539*0.6</f>
        <v>4.9679999999999991</v>
      </c>
      <c r="F544" s="83">
        <f>ROUND(E544/I539,2)</f>
        <v>0.6</v>
      </c>
      <c r="G544" s="74" t="str">
        <f>IF(C544=0,0,VLOOKUP(C544,Tabla1[],2,FALSE))</f>
        <v>Saco</v>
      </c>
      <c r="I544" s="117">
        <f>IF(C544=0,0,VLOOKUP(C544,Tabla1[],3,FALSE))</f>
        <v>80</v>
      </c>
      <c r="K544" s="84">
        <f t="shared" ref="K544:K550" si="82">+F544*I544</f>
        <v>48</v>
      </c>
      <c r="L544" s="118">
        <f t="shared" ref="L544:L550" si="83">E544*I544</f>
        <v>397.43999999999994</v>
      </c>
    </row>
    <row r="545" spans="2:12" x14ac:dyDescent="0.4">
      <c r="B545" s="122">
        <v>3</v>
      </c>
      <c r="C545" s="319" t="s">
        <v>73</v>
      </c>
      <c r="D545" s="318"/>
      <c r="E545" s="116">
        <f>I539*0.08</f>
        <v>0.66239999999999999</v>
      </c>
      <c r="F545" s="83">
        <f>ROUND(E545/I539,2)</f>
        <v>0.08</v>
      </c>
      <c r="G545" s="74" t="str">
        <f>IF(C545=0,0,VLOOKUP(C545,Tabla1[],2,FALSE))</f>
        <v>m³</v>
      </c>
      <c r="I545" s="117">
        <f>IF(C545=0,0,VLOOKUP(C545,Tabla1[],3,FALSE))</f>
        <v>250</v>
      </c>
      <c r="K545" s="84">
        <f t="shared" si="82"/>
        <v>20</v>
      </c>
      <c r="L545" s="118">
        <f t="shared" si="83"/>
        <v>165.6</v>
      </c>
    </row>
    <row r="546" spans="2:12" x14ac:dyDescent="0.4">
      <c r="B546" s="122"/>
      <c r="C546" s="321"/>
      <c r="D546" s="321"/>
      <c r="E546" s="116"/>
      <c r="F546" s="83"/>
      <c r="G546" s="74"/>
      <c r="I546" s="117">
        <f>IF(C546=0,0,VLOOKUP(C546,Tabla1[],3,FALSE))</f>
        <v>0</v>
      </c>
      <c r="K546" s="84">
        <f t="shared" si="82"/>
        <v>0</v>
      </c>
      <c r="L546" s="118">
        <f t="shared" si="83"/>
        <v>0</v>
      </c>
    </row>
    <row r="547" spans="2:12" x14ac:dyDescent="0.4">
      <c r="B547" s="122"/>
      <c r="C547" s="321"/>
      <c r="D547" s="321"/>
      <c r="E547" s="116"/>
      <c r="F547" s="72"/>
      <c r="G547" s="74"/>
      <c r="I547" s="117">
        <f>IF(C547=0,0,VLOOKUP(C547,Tabla1[],3,FALSE))</f>
        <v>0</v>
      </c>
      <c r="K547" s="84">
        <f t="shared" si="82"/>
        <v>0</v>
      </c>
      <c r="L547" s="118">
        <f t="shared" si="83"/>
        <v>0</v>
      </c>
    </row>
    <row r="548" spans="2:12" x14ac:dyDescent="0.4">
      <c r="B548" s="122"/>
      <c r="C548" s="321"/>
      <c r="D548" s="321"/>
      <c r="E548" s="116"/>
      <c r="F548" s="72"/>
      <c r="G548" s="74"/>
      <c r="I548" s="117">
        <f>IF(C548=0,0,VLOOKUP(C548,Tabla1[],3,FALSE))</f>
        <v>0</v>
      </c>
      <c r="K548" s="84">
        <f t="shared" si="82"/>
        <v>0</v>
      </c>
      <c r="L548" s="118">
        <f t="shared" si="83"/>
        <v>0</v>
      </c>
    </row>
    <row r="549" spans="2:12" x14ac:dyDescent="0.4">
      <c r="B549" s="122"/>
      <c r="C549" s="321"/>
      <c r="D549" s="321"/>
      <c r="E549" s="116"/>
      <c r="F549" s="72"/>
      <c r="G549" s="74"/>
      <c r="I549" s="117">
        <f>IF(C549=0,0,VLOOKUP(C549,Tabla1[],3,FALSE))</f>
        <v>0</v>
      </c>
      <c r="K549" s="84">
        <f t="shared" si="82"/>
        <v>0</v>
      </c>
      <c r="L549" s="118">
        <f t="shared" si="83"/>
        <v>0</v>
      </c>
    </row>
    <row r="550" spans="2:12" x14ac:dyDescent="0.4">
      <c r="B550" s="122"/>
      <c r="C550" s="321"/>
      <c r="D550" s="321"/>
      <c r="E550" s="116"/>
      <c r="F550" s="72"/>
      <c r="G550" s="74"/>
      <c r="I550" s="117">
        <f>IF(C550=0,0,VLOOKUP(C550,Tabla1[],3,FALSE))</f>
        <v>0</v>
      </c>
      <c r="K550" s="84">
        <f t="shared" si="82"/>
        <v>0</v>
      </c>
      <c r="L550" s="118">
        <f t="shared" si="83"/>
        <v>0</v>
      </c>
    </row>
    <row r="551" spans="2:12" ht="17.399999999999999" thickBot="1" x14ac:dyDescent="0.45"/>
    <row r="552" spans="2:12" ht="17.399999999999999" thickBot="1" x14ac:dyDescent="0.45">
      <c r="F552" s="292" t="s">
        <v>9</v>
      </c>
      <c r="G552" s="293"/>
      <c r="H552" s="293"/>
      <c r="I552" s="294"/>
      <c r="K552" s="229">
        <f>+SUM(K543:K550)</f>
        <v>311</v>
      </c>
      <c r="L552" s="119">
        <f>+SUM(L543:L550)</f>
        <v>2575.0799999999995</v>
      </c>
    </row>
    <row r="553" spans="2:12" ht="17.399999999999999" thickBot="1" x14ac:dyDescent="0.45"/>
    <row r="554" spans="2:12" ht="17.399999999999999" thickBot="1" x14ac:dyDescent="0.45">
      <c r="B554" s="110" t="s">
        <v>10</v>
      </c>
      <c r="C554" s="300" t="s">
        <v>11</v>
      </c>
      <c r="D554" s="300"/>
      <c r="E554" s="300"/>
      <c r="F554" s="300"/>
      <c r="G554" s="301"/>
    </row>
    <row r="555" spans="2:12" x14ac:dyDescent="0.4">
      <c r="B555" s="114" t="s">
        <v>6</v>
      </c>
      <c r="C555" s="302" t="s">
        <v>1</v>
      </c>
      <c r="D555" s="303"/>
      <c r="E555" s="112" t="s">
        <v>193</v>
      </c>
      <c r="F555" s="120" t="s">
        <v>2</v>
      </c>
      <c r="G555" s="114" t="s">
        <v>3</v>
      </c>
      <c r="H555" s="106"/>
      <c r="I555" s="107" t="s">
        <v>7</v>
      </c>
      <c r="J555" s="136"/>
      <c r="K555" s="107" t="s">
        <v>8</v>
      </c>
      <c r="L555" s="115" t="s">
        <v>194</v>
      </c>
    </row>
    <row r="556" spans="2:12" x14ac:dyDescent="0.4">
      <c r="B556" s="122"/>
      <c r="C556" s="306"/>
      <c r="D556" s="306"/>
      <c r="E556" s="116"/>
      <c r="F556" s="83"/>
      <c r="G556" s="74"/>
      <c r="I556" s="117">
        <f>IF(C556=0,0,VLOOKUP(C556,Tabla3[],3,FALSE))</f>
        <v>0</v>
      </c>
      <c r="K556" s="84">
        <f t="shared" ref="K556:K559" si="84">+F556*I556</f>
        <v>0</v>
      </c>
      <c r="L556" s="118">
        <f>E556*I556</f>
        <v>0</v>
      </c>
    </row>
    <row r="557" spans="2:12" x14ac:dyDescent="0.4">
      <c r="B557" s="74"/>
      <c r="C557" s="206"/>
      <c r="D557" s="207"/>
      <c r="E557" s="121"/>
      <c r="F557" s="72"/>
      <c r="G557" s="74"/>
      <c r="I557" s="117">
        <f>IF(C557=0,0,VLOOKUP(C557,Tabla3[],3,FALSE))</f>
        <v>0</v>
      </c>
      <c r="K557" s="84">
        <f t="shared" si="84"/>
        <v>0</v>
      </c>
      <c r="L557" s="118">
        <f t="shared" ref="L557:L559" si="85">E557*I557</f>
        <v>0</v>
      </c>
    </row>
    <row r="558" spans="2:12" x14ac:dyDescent="0.4">
      <c r="B558" s="74"/>
      <c r="C558" s="206"/>
      <c r="D558" s="207"/>
      <c r="E558" s="121"/>
      <c r="F558" s="72"/>
      <c r="G558" s="74"/>
      <c r="I558" s="117">
        <f>IF(C558=0,0,VLOOKUP(C558,Tabla3[],3,FALSE))</f>
        <v>0</v>
      </c>
      <c r="K558" s="84">
        <f t="shared" si="84"/>
        <v>0</v>
      </c>
      <c r="L558" s="118">
        <f t="shared" si="85"/>
        <v>0</v>
      </c>
    </row>
    <row r="559" spans="2:12" x14ac:dyDescent="0.4">
      <c r="B559" s="74"/>
      <c r="C559" s="304"/>
      <c r="D559" s="305"/>
      <c r="E559" s="121"/>
      <c r="F559" s="72"/>
      <c r="G559" s="74"/>
      <c r="I559" s="117">
        <f>IF(C559=0,0,VLOOKUP(C559,Tabla3[],3,FALSE))</f>
        <v>0</v>
      </c>
      <c r="K559" s="84">
        <f t="shared" si="84"/>
        <v>0</v>
      </c>
      <c r="L559" s="118">
        <f t="shared" si="85"/>
        <v>0</v>
      </c>
    </row>
    <row r="560" spans="2:12" ht="17.399999999999999" thickBot="1" x14ac:dyDescent="0.45"/>
    <row r="561" spans="2:12" ht="17.399999999999999" thickBot="1" x14ac:dyDescent="0.45">
      <c r="F561" s="292" t="s">
        <v>12</v>
      </c>
      <c r="G561" s="293"/>
      <c r="H561" s="293"/>
      <c r="I561" s="294"/>
      <c r="K561" s="229">
        <f>+SUM(K556:K559)</f>
        <v>0</v>
      </c>
      <c r="L561" s="119">
        <f>+SUM(L556:L559)</f>
        <v>0</v>
      </c>
    </row>
    <row r="562" spans="2:12" ht="17.399999999999999" thickBot="1" x14ac:dyDescent="0.45"/>
    <row r="563" spans="2:12" ht="17.399999999999999" thickBot="1" x14ac:dyDescent="0.45">
      <c r="B563" s="110" t="s">
        <v>13</v>
      </c>
      <c r="C563" s="300" t="s">
        <v>14</v>
      </c>
      <c r="D563" s="300"/>
      <c r="E563" s="300"/>
      <c r="F563" s="300"/>
      <c r="G563" s="301"/>
    </row>
    <row r="564" spans="2:12" x14ac:dyDescent="0.4">
      <c r="B564" s="114" t="s">
        <v>6</v>
      </c>
      <c r="C564" s="302" t="s">
        <v>1</v>
      </c>
      <c r="D564" s="303"/>
      <c r="E564" s="112" t="s">
        <v>193</v>
      </c>
      <c r="F564" s="120" t="s">
        <v>2</v>
      </c>
      <c r="G564" s="114" t="s">
        <v>3</v>
      </c>
      <c r="H564" s="106"/>
      <c r="I564" s="107" t="s">
        <v>7</v>
      </c>
      <c r="J564" s="136"/>
      <c r="K564" s="107" t="s">
        <v>8</v>
      </c>
      <c r="L564" s="115" t="s">
        <v>194</v>
      </c>
    </row>
    <row r="565" spans="2:12" x14ac:dyDescent="0.4">
      <c r="B565" s="122">
        <v>1</v>
      </c>
      <c r="C565" s="306" t="s">
        <v>466</v>
      </c>
      <c r="D565" s="306"/>
      <c r="E565" s="116">
        <f>I539</f>
        <v>8.2799999999999994</v>
      </c>
      <c r="F565" s="83">
        <f>ROUND(E565/I539,2)</f>
        <v>1</v>
      </c>
      <c r="G565" s="74" t="str">
        <f>IF(C565=0,0,VLOOKUP(C565,Tabla2[],2,FALSE))</f>
        <v>m²</v>
      </c>
      <c r="I565" s="117">
        <f>IF(C565=0,0,VLOOKUP(C565,Tabla2[],3,FALSE))</f>
        <v>49</v>
      </c>
      <c r="K565" s="84">
        <f>+F565*I565</f>
        <v>49</v>
      </c>
      <c r="L565" s="118">
        <f>E565*I565</f>
        <v>405.71999999999997</v>
      </c>
    </row>
    <row r="566" spans="2:12" x14ac:dyDescent="0.4">
      <c r="B566" s="122"/>
      <c r="C566" s="306"/>
      <c r="D566" s="306"/>
      <c r="E566" s="116"/>
      <c r="F566" s="83"/>
      <c r="G566" s="74"/>
      <c r="I566" s="117">
        <f>IF(C566=0,0,VLOOKUP(C566,Tabla2[],3,FALSE))</f>
        <v>0</v>
      </c>
      <c r="K566" s="84">
        <f>+F566*I566</f>
        <v>0</v>
      </c>
      <c r="L566" s="118">
        <f>E566*I566</f>
        <v>0</v>
      </c>
    </row>
    <row r="567" spans="2:12" ht="17.399999999999999" thickBot="1" x14ac:dyDescent="0.45">
      <c r="B567" s="123"/>
      <c r="C567" s="307"/>
      <c r="D567" s="308"/>
      <c r="E567" s="124"/>
      <c r="F567" s="125"/>
      <c r="G567" s="74"/>
      <c r="I567" s="117">
        <f>IF(C567=0,0,VLOOKUP(C567,Tabla2[],3,FALSE))</f>
        <v>0</v>
      </c>
      <c r="K567" s="84">
        <f t="shared" ref="K567" si="86">+F567*I567</f>
        <v>0</v>
      </c>
      <c r="L567" s="118">
        <f t="shared" ref="L567:L568" si="87">E567*I567</f>
        <v>0</v>
      </c>
    </row>
    <row r="568" spans="2:12" ht="17.399999999999999" thickBot="1" x14ac:dyDescent="0.45">
      <c r="B568" s="297" t="s">
        <v>15</v>
      </c>
      <c r="C568" s="298"/>
      <c r="D568" s="298"/>
      <c r="E568" s="298"/>
      <c r="F568" s="298"/>
      <c r="G568" s="299"/>
      <c r="I568" s="84">
        <v>0</v>
      </c>
      <c r="K568" s="84">
        <v>0</v>
      </c>
      <c r="L568" s="118">
        <f t="shared" si="87"/>
        <v>0</v>
      </c>
    </row>
    <row r="569" spans="2:12" ht="17.399999999999999" thickBot="1" x14ac:dyDescent="0.45"/>
    <row r="570" spans="2:12" ht="17.399999999999999" thickBot="1" x14ac:dyDescent="0.45">
      <c r="F570" s="292" t="s">
        <v>16</v>
      </c>
      <c r="G570" s="293"/>
      <c r="H570" s="293"/>
      <c r="I570" s="294"/>
      <c r="K570" s="229">
        <f>+SUM(K565:K568)</f>
        <v>49</v>
      </c>
      <c r="L570" s="119">
        <f>+SUM(L565:L568)</f>
        <v>405.71999999999997</v>
      </c>
    </row>
    <row r="571" spans="2:12" ht="17.399999999999999" thickBot="1" x14ac:dyDescent="0.45"/>
    <row r="572" spans="2:12" ht="17.399999999999999" thickBot="1" x14ac:dyDescent="0.45">
      <c r="B572" s="110" t="s">
        <v>17</v>
      </c>
      <c r="C572" s="300" t="s">
        <v>18</v>
      </c>
      <c r="D572" s="300"/>
      <c r="E572" s="300"/>
      <c r="F572" s="300"/>
      <c r="G572" s="301"/>
    </row>
    <row r="573" spans="2:12" x14ac:dyDescent="0.4">
      <c r="B573" s="114" t="s">
        <v>6</v>
      </c>
      <c r="C573" s="302" t="s">
        <v>1</v>
      </c>
      <c r="D573" s="303"/>
      <c r="E573" s="126"/>
      <c r="F573" s="120" t="s">
        <v>2</v>
      </c>
      <c r="G573" s="114" t="s">
        <v>3</v>
      </c>
      <c r="H573" s="106"/>
      <c r="I573" s="107" t="s">
        <v>7</v>
      </c>
      <c r="J573" s="136"/>
      <c r="K573" s="107" t="s">
        <v>8</v>
      </c>
      <c r="L573" s="115" t="s">
        <v>194</v>
      </c>
    </row>
    <row r="574" spans="2:12" x14ac:dyDescent="0.4">
      <c r="B574" s="74"/>
      <c r="C574" s="304"/>
      <c r="D574" s="305"/>
      <c r="E574" s="127"/>
      <c r="F574" s="72"/>
      <c r="G574" s="74"/>
      <c r="I574" s="84">
        <v>0</v>
      </c>
      <c r="K574" s="84">
        <f>+F574*I574</f>
        <v>0</v>
      </c>
      <c r="L574" s="118">
        <f>E574*I574</f>
        <v>0</v>
      </c>
    </row>
    <row r="575" spans="2:12" x14ac:dyDescent="0.4">
      <c r="B575" s="74"/>
      <c r="C575" s="304"/>
      <c r="D575" s="305"/>
      <c r="E575" s="127"/>
      <c r="F575" s="72"/>
      <c r="G575" s="74"/>
      <c r="I575" s="84">
        <v>0</v>
      </c>
      <c r="K575" s="84">
        <f t="shared" ref="K575:K576" si="88">+F575*I575</f>
        <v>0</v>
      </c>
      <c r="L575" s="118">
        <f t="shared" ref="L575:L576" si="89">E575*I575</f>
        <v>0</v>
      </c>
    </row>
    <row r="576" spans="2:12" x14ac:dyDescent="0.4">
      <c r="B576" s="74"/>
      <c r="C576" s="304"/>
      <c r="D576" s="305"/>
      <c r="E576" s="127"/>
      <c r="F576" s="72"/>
      <c r="G576" s="74"/>
      <c r="I576" s="84">
        <v>0</v>
      </c>
      <c r="K576" s="84">
        <f t="shared" si="88"/>
        <v>0</v>
      </c>
      <c r="L576" s="118">
        <f t="shared" si="89"/>
        <v>0</v>
      </c>
    </row>
    <row r="577" spans="2:16" ht="17.399999999999999" thickBot="1" x14ac:dyDescent="0.45">
      <c r="L577" s="118"/>
    </row>
    <row r="578" spans="2:16" ht="17.399999999999999" thickBot="1" x14ac:dyDescent="0.45">
      <c r="F578" s="292" t="s">
        <v>19</v>
      </c>
      <c r="G578" s="293"/>
      <c r="H578" s="293"/>
      <c r="I578" s="294"/>
      <c r="K578" s="229">
        <f>+SUM(K574:K576)</f>
        <v>0</v>
      </c>
      <c r="L578" s="119">
        <f>+SUM(L573:L576)</f>
        <v>0</v>
      </c>
    </row>
    <row r="579" spans="2:16" ht="15" customHeight="1" x14ac:dyDescent="0.4">
      <c r="F579" s="128"/>
      <c r="G579" s="129"/>
      <c r="H579" s="130"/>
      <c r="I579" s="108"/>
      <c r="K579" s="230"/>
    </row>
    <row r="580" spans="2:16" ht="15" customHeight="1" thickBot="1" x14ac:dyDescent="0.45"/>
    <row r="581" spans="2:16" ht="17.399999999999999" thickBot="1" x14ac:dyDescent="0.45">
      <c r="F581" s="292" t="s">
        <v>20</v>
      </c>
      <c r="G581" s="293"/>
      <c r="H581" s="293"/>
      <c r="I581" s="294"/>
      <c r="K581" s="229">
        <f>(+K552+K561+K570+K578)</f>
        <v>360</v>
      </c>
      <c r="L581" s="119">
        <f>(+L552+L561+L570+L578)</f>
        <v>2980.7999999999993</v>
      </c>
      <c r="N581" s="131"/>
      <c r="O581" s="39"/>
      <c r="P581" s="40"/>
    </row>
    <row r="582" spans="2:16" ht="7.5" customHeight="1" thickBot="1" x14ac:dyDescent="0.45">
      <c r="N582" s="131"/>
      <c r="O582" s="41"/>
      <c r="P582" s="40"/>
    </row>
    <row r="583" spans="2:16" ht="17.399999999999999" thickBot="1" x14ac:dyDescent="0.45">
      <c r="F583" s="292" t="s">
        <v>21</v>
      </c>
      <c r="G583" s="293"/>
      <c r="H583" s="293"/>
      <c r="I583" s="294"/>
      <c r="K583" s="229">
        <f>K581*$N$2</f>
        <v>144</v>
      </c>
      <c r="L583" s="119">
        <f>L581*$N$2</f>
        <v>1192.3199999999997</v>
      </c>
    </row>
    <row r="584" spans="2:16" ht="7.5" customHeight="1" thickBot="1" x14ac:dyDescent="0.45"/>
    <row r="585" spans="2:16" ht="17.399999999999999" thickBot="1" x14ac:dyDescent="0.45">
      <c r="F585" s="292" t="s">
        <v>22</v>
      </c>
      <c r="G585" s="293"/>
      <c r="H585" s="293"/>
      <c r="I585" s="294"/>
      <c r="K585" s="229">
        <f>+K581+K583</f>
        <v>504</v>
      </c>
      <c r="L585" s="119">
        <f>+L581+L583</f>
        <v>4173.119999999999</v>
      </c>
    </row>
    <row r="586" spans="2:16" ht="17.399999999999999" thickBot="1" x14ac:dyDescent="0.45">
      <c r="F586" s="128"/>
      <c r="G586" s="129"/>
      <c r="H586" s="130"/>
      <c r="I586" s="108"/>
      <c r="K586" s="231"/>
      <c r="L586" s="132">
        <f>L585/I539</f>
        <v>503.99999999999994</v>
      </c>
      <c r="M586" s="133">
        <f>(K585-L586)*I539</f>
        <v>4.7066350816749033E-13</v>
      </c>
    </row>
    <row r="587" spans="2:16" x14ac:dyDescent="0.4">
      <c r="F587" s="128"/>
      <c r="G587" s="129"/>
      <c r="H587" s="130"/>
      <c r="I587" s="108"/>
      <c r="K587" s="232"/>
      <c r="L587" s="131"/>
      <c r="M587" s="134"/>
      <c r="N587" s="135"/>
    </row>
    <row r="588" spans="2:16" ht="17.399999999999999" thickBot="1" x14ac:dyDescent="0.45">
      <c r="B588" s="295"/>
      <c r="C588" s="295"/>
      <c r="D588" s="295"/>
    </row>
    <row r="589" spans="2:16" x14ac:dyDescent="0.4">
      <c r="B589" s="296" t="s">
        <v>23</v>
      </c>
      <c r="C589" s="296"/>
      <c r="D589" s="296"/>
    </row>
    <row r="590" spans="2:16" x14ac:dyDescent="0.4">
      <c r="B590" s="157"/>
      <c r="C590" s="157"/>
      <c r="D590" s="157"/>
    </row>
    <row r="591" spans="2:16" x14ac:dyDescent="0.4">
      <c r="B591" s="157"/>
      <c r="C591" s="157"/>
      <c r="D591" s="157"/>
    </row>
    <row r="592" spans="2:16" x14ac:dyDescent="0.4">
      <c r="B592" s="105" t="s">
        <v>43</v>
      </c>
      <c r="C592" s="106"/>
      <c r="D592" s="311" t="s">
        <v>1</v>
      </c>
      <c r="E592" s="311"/>
      <c r="F592" s="311"/>
      <c r="G592" s="311"/>
      <c r="H592" s="106"/>
      <c r="I592" s="107" t="s">
        <v>2</v>
      </c>
      <c r="J592" s="136"/>
      <c r="K592" s="107" t="s">
        <v>3</v>
      </c>
    </row>
    <row r="593" spans="1:16" s="4" customFormat="1" ht="30.75" customHeight="1" x14ac:dyDescent="0.3">
      <c r="A593" s="31"/>
      <c r="B593" s="213">
        <f>CATALOGO!B25</f>
        <v>303.06</v>
      </c>
      <c r="C593" s="71"/>
      <c r="D593" s="312" t="str">
        <f>CATALOGO!C25</f>
        <v>LEVANTADO DE MURO 0.19m, BLOCK TIPO A (70 Kg/Cm²)</v>
      </c>
      <c r="E593" s="312"/>
      <c r="F593" s="312"/>
      <c r="G593" s="312"/>
      <c r="H593" s="71"/>
      <c r="I593" s="213">
        <f>CATALOGO!D25</f>
        <v>20.55</v>
      </c>
      <c r="J593" s="109"/>
      <c r="K593" s="227" t="str">
        <f>CATALOGO!E25</f>
        <v>m²</v>
      </c>
      <c r="L593" s="71"/>
      <c r="M593" s="71"/>
      <c r="N593" s="104"/>
      <c r="O593" s="37"/>
      <c r="P593" s="37"/>
    </row>
    <row r="594" spans="1:16" ht="17.399999999999999" thickBot="1" x14ac:dyDescent="0.45"/>
    <row r="595" spans="1:16" ht="17.399999999999999" thickBot="1" x14ac:dyDescent="0.45">
      <c r="B595" s="110" t="s">
        <v>4</v>
      </c>
      <c r="C595" s="300" t="s">
        <v>5</v>
      </c>
      <c r="D595" s="300"/>
      <c r="E595" s="300"/>
      <c r="F595" s="300"/>
      <c r="G595" s="301"/>
    </row>
    <row r="596" spans="1:16" x14ac:dyDescent="0.4">
      <c r="B596" s="111" t="s">
        <v>6</v>
      </c>
      <c r="C596" s="313" t="s">
        <v>1</v>
      </c>
      <c r="D596" s="314"/>
      <c r="E596" s="112" t="s">
        <v>193</v>
      </c>
      <c r="F596" s="113" t="s">
        <v>2</v>
      </c>
      <c r="G596" s="114" t="s">
        <v>3</v>
      </c>
      <c r="H596" s="106"/>
      <c r="I596" s="107" t="s">
        <v>7</v>
      </c>
      <c r="J596" s="136"/>
      <c r="K596" s="228" t="s">
        <v>8</v>
      </c>
      <c r="L596" s="115" t="s">
        <v>194</v>
      </c>
    </row>
    <row r="597" spans="1:16" x14ac:dyDescent="0.4">
      <c r="B597" s="122">
        <v>1</v>
      </c>
      <c r="C597" s="315" t="s">
        <v>575</v>
      </c>
      <c r="D597" s="316"/>
      <c r="E597" s="116">
        <f>I593*13</f>
        <v>267.15000000000003</v>
      </c>
      <c r="F597" s="83">
        <f>ROUND(E597/I593,2)</f>
        <v>13</v>
      </c>
      <c r="G597" s="74" t="str">
        <f>IF(C597=0,0,VLOOKUP(C597,Tabla1[],2,FALSE))</f>
        <v>Unidad</v>
      </c>
      <c r="I597" s="117">
        <f>IF(C597=0,0,VLOOKUP(C597,Tabla1[],3,FALSE))</f>
        <v>9</v>
      </c>
      <c r="K597" s="84">
        <f>+F597*I597</f>
        <v>117</v>
      </c>
      <c r="L597" s="118">
        <f>E597*I597</f>
        <v>2404.3500000000004</v>
      </c>
    </row>
    <row r="598" spans="1:16" x14ac:dyDescent="0.4">
      <c r="B598" s="122">
        <v>2</v>
      </c>
      <c r="C598" s="317" t="s">
        <v>214</v>
      </c>
      <c r="D598" s="318"/>
      <c r="E598" s="116">
        <f>I593*0.3</f>
        <v>6.165</v>
      </c>
      <c r="F598" s="83">
        <f>ROUND(E598/I593,2)</f>
        <v>0.3</v>
      </c>
      <c r="G598" s="74" t="str">
        <f>IF(C598=0,0,VLOOKUP(C598,Tabla1[],2,FALSE))</f>
        <v>Saco</v>
      </c>
      <c r="I598" s="117">
        <f>IF(C598=0,0,VLOOKUP(C598,Tabla1[],3,FALSE))</f>
        <v>80</v>
      </c>
      <c r="K598" s="84">
        <f t="shared" ref="K598:K604" si="90">+F598*I598</f>
        <v>24</v>
      </c>
      <c r="L598" s="118">
        <f t="shared" ref="L598:L604" si="91">E598*I598</f>
        <v>493.2</v>
      </c>
    </row>
    <row r="599" spans="1:16" x14ac:dyDescent="0.4">
      <c r="B599" s="122">
        <v>3</v>
      </c>
      <c r="C599" s="319" t="s">
        <v>73</v>
      </c>
      <c r="D599" s="318"/>
      <c r="E599" s="116">
        <f>I593*0.04</f>
        <v>0.82200000000000006</v>
      </c>
      <c r="F599" s="83">
        <f>ROUND(E599/I593,2)</f>
        <v>0.04</v>
      </c>
      <c r="G599" s="74" t="str">
        <f>IF(C599=0,0,VLOOKUP(C599,Tabla1[],2,FALSE))</f>
        <v>m³</v>
      </c>
      <c r="I599" s="117">
        <f>IF(C599=0,0,VLOOKUP(C599,Tabla1[],3,FALSE))</f>
        <v>250</v>
      </c>
      <c r="K599" s="84">
        <f t="shared" si="90"/>
        <v>10</v>
      </c>
      <c r="L599" s="118">
        <f t="shared" si="91"/>
        <v>205.50000000000003</v>
      </c>
    </row>
    <row r="600" spans="1:16" x14ac:dyDescent="0.4">
      <c r="B600" s="122"/>
      <c r="C600" s="321"/>
      <c r="D600" s="321"/>
      <c r="E600" s="116"/>
      <c r="F600" s="83"/>
      <c r="G600" s="74"/>
      <c r="I600" s="117">
        <f>IF(C600=0,0,VLOOKUP(C600,Tabla1[],3,FALSE))</f>
        <v>0</v>
      </c>
      <c r="K600" s="84">
        <f t="shared" si="90"/>
        <v>0</v>
      </c>
      <c r="L600" s="118">
        <f t="shared" si="91"/>
        <v>0</v>
      </c>
    </row>
    <row r="601" spans="1:16" x14ac:dyDescent="0.4">
      <c r="B601" s="122"/>
      <c r="C601" s="321"/>
      <c r="D601" s="321"/>
      <c r="E601" s="116"/>
      <c r="F601" s="72"/>
      <c r="G601" s="74"/>
      <c r="I601" s="117">
        <f>IF(C601=0,0,VLOOKUP(C601,Tabla1[],3,FALSE))</f>
        <v>0</v>
      </c>
      <c r="K601" s="84">
        <f t="shared" si="90"/>
        <v>0</v>
      </c>
      <c r="L601" s="118">
        <f t="shared" si="91"/>
        <v>0</v>
      </c>
    </row>
    <row r="602" spans="1:16" x14ac:dyDescent="0.4">
      <c r="B602" s="122"/>
      <c r="C602" s="321"/>
      <c r="D602" s="321"/>
      <c r="E602" s="116"/>
      <c r="F602" s="72"/>
      <c r="G602" s="74"/>
      <c r="I602" s="117">
        <f>IF(C602=0,0,VLOOKUP(C602,Tabla1[],3,FALSE))</f>
        <v>0</v>
      </c>
      <c r="K602" s="84">
        <f t="shared" si="90"/>
        <v>0</v>
      </c>
      <c r="L602" s="118">
        <f t="shared" si="91"/>
        <v>0</v>
      </c>
    </row>
    <row r="603" spans="1:16" x14ac:dyDescent="0.4">
      <c r="B603" s="122"/>
      <c r="C603" s="321"/>
      <c r="D603" s="321"/>
      <c r="E603" s="116"/>
      <c r="F603" s="72"/>
      <c r="G603" s="74"/>
      <c r="I603" s="117">
        <f>IF(C603=0,0,VLOOKUP(C603,Tabla1[],3,FALSE))</f>
        <v>0</v>
      </c>
      <c r="K603" s="84">
        <f t="shared" si="90"/>
        <v>0</v>
      </c>
      <c r="L603" s="118">
        <f t="shared" si="91"/>
        <v>0</v>
      </c>
    </row>
    <row r="604" spans="1:16" x14ac:dyDescent="0.4">
      <c r="B604" s="122"/>
      <c r="C604" s="321"/>
      <c r="D604" s="321"/>
      <c r="E604" s="116"/>
      <c r="F604" s="72"/>
      <c r="G604" s="74"/>
      <c r="I604" s="117">
        <f>IF(C604=0,0,VLOOKUP(C604,Tabla1[],3,FALSE))</f>
        <v>0</v>
      </c>
      <c r="K604" s="84">
        <f t="shared" si="90"/>
        <v>0</v>
      </c>
      <c r="L604" s="118">
        <f t="shared" si="91"/>
        <v>0</v>
      </c>
    </row>
    <row r="605" spans="1:16" ht="17.399999999999999" thickBot="1" x14ac:dyDescent="0.45"/>
    <row r="606" spans="1:16" ht="17.399999999999999" thickBot="1" x14ac:dyDescent="0.45">
      <c r="F606" s="292" t="s">
        <v>9</v>
      </c>
      <c r="G606" s="293"/>
      <c r="H606" s="293"/>
      <c r="I606" s="294"/>
      <c r="K606" s="229">
        <f>+SUM(K597:K604)</f>
        <v>151</v>
      </c>
      <c r="L606" s="119">
        <f>+SUM(L597:L604)</f>
        <v>3103.05</v>
      </c>
    </row>
    <row r="607" spans="1:16" ht="17.399999999999999" thickBot="1" x14ac:dyDescent="0.45"/>
    <row r="608" spans="1:16" ht="17.399999999999999" thickBot="1" x14ac:dyDescent="0.45">
      <c r="B608" s="110" t="s">
        <v>10</v>
      </c>
      <c r="C608" s="300" t="s">
        <v>11</v>
      </c>
      <c r="D608" s="300"/>
      <c r="E608" s="300"/>
      <c r="F608" s="300"/>
      <c r="G608" s="301"/>
    </row>
    <row r="609" spans="2:12" x14ac:dyDescent="0.4">
      <c r="B609" s="114" t="s">
        <v>6</v>
      </c>
      <c r="C609" s="302" t="s">
        <v>1</v>
      </c>
      <c r="D609" s="303"/>
      <c r="E609" s="112" t="s">
        <v>193</v>
      </c>
      <c r="F609" s="120" t="s">
        <v>2</v>
      </c>
      <c r="G609" s="114" t="s">
        <v>3</v>
      </c>
      <c r="H609" s="106"/>
      <c r="I609" s="107" t="s">
        <v>7</v>
      </c>
      <c r="J609" s="136"/>
      <c r="K609" s="107" t="s">
        <v>8</v>
      </c>
      <c r="L609" s="115" t="s">
        <v>194</v>
      </c>
    </row>
    <row r="610" spans="2:12" x14ac:dyDescent="0.4">
      <c r="B610" s="122"/>
      <c r="C610" s="306"/>
      <c r="D610" s="306"/>
      <c r="E610" s="116"/>
      <c r="F610" s="83"/>
      <c r="G610" s="74"/>
      <c r="I610" s="117">
        <f>IF(C610=0,0,VLOOKUP(C610,Tabla3[],3,FALSE))</f>
        <v>0</v>
      </c>
      <c r="K610" s="84">
        <f t="shared" ref="K610:K613" si="92">+F610*I610</f>
        <v>0</v>
      </c>
      <c r="L610" s="118">
        <f>E610*I610</f>
        <v>0</v>
      </c>
    </row>
    <row r="611" spans="2:12" x14ac:dyDescent="0.4">
      <c r="B611" s="74"/>
      <c r="C611" s="206"/>
      <c r="D611" s="207"/>
      <c r="E611" s="121"/>
      <c r="F611" s="72"/>
      <c r="G611" s="74"/>
      <c r="I611" s="117">
        <f>IF(C611=0,0,VLOOKUP(C611,Tabla3[],3,FALSE))</f>
        <v>0</v>
      </c>
      <c r="K611" s="84">
        <f t="shared" si="92"/>
        <v>0</v>
      </c>
      <c r="L611" s="118">
        <f t="shared" ref="L611:L613" si="93">E611*I611</f>
        <v>0</v>
      </c>
    </row>
    <row r="612" spans="2:12" x14ac:dyDescent="0.4">
      <c r="B612" s="74"/>
      <c r="C612" s="206"/>
      <c r="D612" s="207"/>
      <c r="E612" s="121"/>
      <c r="F612" s="72"/>
      <c r="G612" s="74"/>
      <c r="I612" s="117">
        <f>IF(C612=0,0,VLOOKUP(C612,Tabla3[],3,FALSE))</f>
        <v>0</v>
      </c>
      <c r="K612" s="84">
        <f t="shared" si="92"/>
        <v>0</v>
      </c>
      <c r="L612" s="118">
        <f t="shared" si="93"/>
        <v>0</v>
      </c>
    </row>
    <row r="613" spans="2:12" x14ac:dyDescent="0.4">
      <c r="B613" s="74"/>
      <c r="C613" s="304"/>
      <c r="D613" s="305"/>
      <c r="E613" s="121"/>
      <c r="F613" s="72"/>
      <c r="G613" s="74"/>
      <c r="I613" s="117">
        <f>IF(C613=0,0,VLOOKUP(C613,Tabla3[],3,FALSE))</f>
        <v>0</v>
      </c>
      <c r="K613" s="84">
        <f t="shared" si="92"/>
        <v>0</v>
      </c>
      <c r="L613" s="118">
        <f t="shared" si="93"/>
        <v>0</v>
      </c>
    </row>
    <row r="614" spans="2:12" ht="17.399999999999999" thickBot="1" x14ac:dyDescent="0.45"/>
    <row r="615" spans="2:12" ht="17.399999999999999" thickBot="1" x14ac:dyDescent="0.45">
      <c r="F615" s="292" t="s">
        <v>12</v>
      </c>
      <c r="G615" s="293"/>
      <c r="H615" s="293"/>
      <c r="I615" s="294"/>
      <c r="K615" s="229">
        <f>+SUM(K610:K613)</f>
        <v>0</v>
      </c>
      <c r="L615" s="119">
        <f>+SUM(L610:L613)</f>
        <v>0</v>
      </c>
    </row>
    <row r="616" spans="2:12" ht="17.399999999999999" thickBot="1" x14ac:dyDescent="0.45"/>
    <row r="617" spans="2:12" ht="17.399999999999999" thickBot="1" x14ac:dyDescent="0.45">
      <c r="B617" s="110" t="s">
        <v>13</v>
      </c>
      <c r="C617" s="300" t="s">
        <v>14</v>
      </c>
      <c r="D617" s="300"/>
      <c r="E617" s="300"/>
      <c r="F617" s="300"/>
      <c r="G617" s="301"/>
    </row>
    <row r="618" spans="2:12" x14ac:dyDescent="0.4">
      <c r="B618" s="114" t="s">
        <v>6</v>
      </c>
      <c r="C618" s="302" t="s">
        <v>1</v>
      </c>
      <c r="D618" s="303"/>
      <c r="E618" s="112" t="s">
        <v>193</v>
      </c>
      <c r="F618" s="120" t="s">
        <v>2</v>
      </c>
      <c r="G618" s="114" t="s">
        <v>3</v>
      </c>
      <c r="H618" s="106"/>
      <c r="I618" s="107" t="s">
        <v>7</v>
      </c>
      <c r="J618" s="136"/>
      <c r="K618" s="107" t="s">
        <v>8</v>
      </c>
      <c r="L618" s="115" t="s">
        <v>194</v>
      </c>
    </row>
    <row r="619" spans="2:12" x14ac:dyDescent="0.4">
      <c r="B619" s="122">
        <v>1</v>
      </c>
      <c r="C619" s="306" t="s">
        <v>466</v>
      </c>
      <c r="D619" s="306"/>
      <c r="E619" s="116">
        <f>I593</f>
        <v>20.55</v>
      </c>
      <c r="F619" s="83">
        <f>ROUND(E619/I593,2)</f>
        <v>1</v>
      </c>
      <c r="G619" s="74" t="str">
        <f>IF(C619=0,0,VLOOKUP(C619,Tabla2[],2,FALSE))</f>
        <v>m²</v>
      </c>
      <c r="I619" s="117">
        <f>IF(C619=0,0,VLOOKUP(C619,Tabla2[],3,FALSE))</f>
        <v>49</v>
      </c>
      <c r="K619" s="84">
        <f>+F619*I619</f>
        <v>49</v>
      </c>
      <c r="L619" s="118">
        <f>E619*I619</f>
        <v>1006.95</v>
      </c>
    </row>
    <row r="620" spans="2:12" x14ac:dyDescent="0.4">
      <c r="B620" s="122"/>
      <c r="C620" s="306"/>
      <c r="D620" s="306"/>
      <c r="E620" s="116"/>
      <c r="F620" s="83"/>
      <c r="G620" s="74"/>
      <c r="I620" s="117">
        <f>IF(C620=0,0,VLOOKUP(C620,Tabla2[],3,FALSE))</f>
        <v>0</v>
      </c>
      <c r="K620" s="84">
        <f>+F620*I620</f>
        <v>0</v>
      </c>
      <c r="L620" s="118">
        <f>E620*I620</f>
        <v>0</v>
      </c>
    </row>
    <row r="621" spans="2:12" ht="17.399999999999999" thickBot="1" x14ac:dyDescent="0.45">
      <c r="B621" s="123"/>
      <c r="C621" s="307"/>
      <c r="D621" s="308"/>
      <c r="E621" s="124"/>
      <c r="F621" s="125"/>
      <c r="G621" s="74"/>
      <c r="I621" s="117">
        <f>IF(C621=0,0,VLOOKUP(C621,Tabla2[],3,FALSE))</f>
        <v>0</v>
      </c>
      <c r="K621" s="84">
        <f t="shared" ref="K621" si="94">+F621*I621</f>
        <v>0</v>
      </c>
      <c r="L621" s="118">
        <f t="shared" ref="L621:L622" si="95">E621*I621</f>
        <v>0</v>
      </c>
    </row>
    <row r="622" spans="2:12" ht="17.399999999999999" thickBot="1" x14ac:dyDescent="0.45">
      <c r="B622" s="297" t="s">
        <v>15</v>
      </c>
      <c r="C622" s="298"/>
      <c r="D622" s="298"/>
      <c r="E622" s="298"/>
      <c r="F622" s="298"/>
      <c r="G622" s="299"/>
      <c r="I622" s="84">
        <v>0</v>
      </c>
      <c r="K622" s="84">
        <v>0</v>
      </c>
      <c r="L622" s="118">
        <f t="shared" si="95"/>
        <v>0</v>
      </c>
    </row>
    <row r="623" spans="2:12" ht="17.399999999999999" thickBot="1" x14ac:dyDescent="0.45"/>
    <row r="624" spans="2:12" ht="17.399999999999999" thickBot="1" x14ac:dyDescent="0.45">
      <c r="F624" s="292" t="s">
        <v>16</v>
      </c>
      <c r="G624" s="293"/>
      <c r="H624" s="293"/>
      <c r="I624" s="294"/>
      <c r="K624" s="229">
        <f>+SUM(K619:K622)</f>
        <v>49</v>
      </c>
      <c r="L624" s="119">
        <f>+SUM(L619:L622)</f>
        <v>1006.95</v>
      </c>
    </row>
    <row r="625" spans="2:16" ht="17.399999999999999" thickBot="1" x14ac:dyDescent="0.45"/>
    <row r="626" spans="2:16" ht="17.399999999999999" thickBot="1" x14ac:dyDescent="0.45">
      <c r="B626" s="110" t="s">
        <v>17</v>
      </c>
      <c r="C626" s="300" t="s">
        <v>18</v>
      </c>
      <c r="D626" s="300"/>
      <c r="E626" s="300"/>
      <c r="F626" s="300"/>
      <c r="G626" s="301"/>
    </row>
    <row r="627" spans="2:16" x14ac:dyDescent="0.4">
      <c r="B627" s="114" t="s">
        <v>6</v>
      </c>
      <c r="C627" s="302" t="s">
        <v>1</v>
      </c>
      <c r="D627" s="303"/>
      <c r="E627" s="126"/>
      <c r="F627" s="120" t="s">
        <v>2</v>
      </c>
      <c r="G627" s="114" t="s">
        <v>3</v>
      </c>
      <c r="H627" s="106"/>
      <c r="I627" s="107" t="s">
        <v>7</v>
      </c>
      <c r="J627" s="136"/>
      <c r="K627" s="107" t="s">
        <v>8</v>
      </c>
      <c r="L627" s="115" t="s">
        <v>194</v>
      </c>
    </row>
    <row r="628" spans="2:16" x14ac:dyDescent="0.4">
      <c r="B628" s="74"/>
      <c r="C628" s="304"/>
      <c r="D628" s="305"/>
      <c r="E628" s="127"/>
      <c r="F628" s="72"/>
      <c r="G628" s="74"/>
      <c r="I628" s="84">
        <v>0</v>
      </c>
      <c r="K628" s="84">
        <f>+F628*I628</f>
        <v>0</v>
      </c>
      <c r="L628" s="118">
        <f>E628*I628</f>
        <v>0</v>
      </c>
    </row>
    <row r="629" spans="2:16" x14ac:dyDescent="0.4">
      <c r="B629" s="74"/>
      <c r="C629" s="304"/>
      <c r="D629" s="305"/>
      <c r="E629" s="127"/>
      <c r="F629" s="72"/>
      <c r="G629" s="74"/>
      <c r="I629" s="84">
        <v>0</v>
      </c>
      <c r="K629" s="84">
        <f t="shared" ref="K629:K630" si="96">+F629*I629</f>
        <v>0</v>
      </c>
      <c r="L629" s="118">
        <f t="shared" ref="L629:L630" si="97">E629*I629</f>
        <v>0</v>
      </c>
    </row>
    <row r="630" spans="2:16" x14ac:dyDescent="0.4">
      <c r="B630" s="74"/>
      <c r="C630" s="304"/>
      <c r="D630" s="305"/>
      <c r="E630" s="127"/>
      <c r="F630" s="72"/>
      <c r="G630" s="74"/>
      <c r="I630" s="84">
        <v>0</v>
      </c>
      <c r="K630" s="84">
        <f t="shared" si="96"/>
        <v>0</v>
      </c>
      <c r="L630" s="118">
        <f t="shared" si="97"/>
        <v>0</v>
      </c>
    </row>
    <row r="631" spans="2:16" ht="17.399999999999999" thickBot="1" x14ac:dyDescent="0.45">
      <c r="L631" s="118"/>
    </row>
    <row r="632" spans="2:16" ht="17.399999999999999" thickBot="1" x14ac:dyDescent="0.45">
      <c r="F632" s="292" t="s">
        <v>19</v>
      </c>
      <c r="G632" s="293"/>
      <c r="H632" s="293"/>
      <c r="I632" s="294"/>
      <c r="K632" s="229">
        <f>+SUM(K628:K630)</f>
        <v>0</v>
      </c>
      <c r="L632" s="119">
        <f>+SUM(L627:L630)</f>
        <v>0</v>
      </c>
    </row>
    <row r="633" spans="2:16" ht="15" customHeight="1" x14ac:dyDescent="0.4">
      <c r="F633" s="128"/>
      <c r="G633" s="129"/>
      <c r="H633" s="130"/>
      <c r="I633" s="108"/>
      <c r="K633" s="230"/>
    </row>
    <row r="634" spans="2:16" ht="15" customHeight="1" thickBot="1" x14ac:dyDescent="0.45"/>
    <row r="635" spans="2:16" ht="17.399999999999999" thickBot="1" x14ac:dyDescent="0.45">
      <c r="F635" s="292" t="s">
        <v>20</v>
      </c>
      <c r="G635" s="293"/>
      <c r="H635" s="293"/>
      <c r="I635" s="294"/>
      <c r="K635" s="229">
        <f>(+K606+K615+K624+K632)</f>
        <v>200</v>
      </c>
      <c r="L635" s="119">
        <f>(+L606+L615+L624+L632)</f>
        <v>4110</v>
      </c>
      <c r="N635" s="131"/>
      <c r="O635" s="39"/>
      <c r="P635" s="40"/>
    </row>
    <row r="636" spans="2:16" ht="7.5" customHeight="1" thickBot="1" x14ac:dyDescent="0.45">
      <c r="N636" s="131"/>
      <c r="O636" s="41"/>
      <c r="P636" s="40"/>
    </row>
    <row r="637" spans="2:16" ht="17.399999999999999" thickBot="1" x14ac:dyDescent="0.45">
      <c r="F637" s="292" t="s">
        <v>21</v>
      </c>
      <c r="G637" s="293"/>
      <c r="H637" s="293"/>
      <c r="I637" s="294"/>
      <c r="K637" s="229">
        <f>K635*$N$2</f>
        <v>80</v>
      </c>
      <c r="L637" s="119">
        <f>L635*$N$2</f>
        <v>1644</v>
      </c>
    </row>
    <row r="638" spans="2:16" ht="7.5" customHeight="1" thickBot="1" x14ac:dyDescent="0.45"/>
    <row r="639" spans="2:16" ht="17.399999999999999" thickBot="1" x14ac:dyDescent="0.45">
      <c r="F639" s="292" t="s">
        <v>22</v>
      </c>
      <c r="G639" s="293"/>
      <c r="H639" s="293"/>
      <c r="I639" s="294"/>
      <c r="K639" s="229">
        <f>+K635+K637</f>
        <v>280</v>
      </c>
      <c r="L639" s="119">
        <f>+L635+L637</f>
        <v>5754</v>
      </c>
    </row>
    <row r="640" spans="2:16" ht="17.399999999999999" thickBot="1" x14ac:dyDescent="0.45">
      <c r="F640" s="128"/>
      <c r="G640" s="129"/>
      <c r="H640" s="130"/>
      <c r="I640" s="108"/>
      <c r="K640" s="231"/>
      <c r="L640" s="132">
        <f>L639/I593</f>
        <v>280</v>
      </c>
      <c r="M640" s="133">
        <f>(K639-L640)*I593</f>
        <v>0</v>
      </c>
    </row>
    <row r="641" spans="1:16" x14ac:dyDescent="0.4">
      <c r="F641" s="128"/>
      <c r="G641" s="129"/>
      <c r="H641" s="130"/>
      <c r="I641" s="108"/>
      <c r="K641" s="232"/>
      <c r="L641" s="131"/>
      <c r="M641" s="134"/>
      <c r="N641" s="135"/>
    </row>
    <row r="642" spans="1:16" ht="17.399999999999999" thickBot="1" x14ac:dyDescent="0.45">
      <c r="B642" s="295"/>
      <c r="C642" s="295"/>
      <c r="D642" s="295"/>
    </row>
    <row r="643" spans="1:16" x14ac:dyDescent="0.4">
      <c r="B643" s="296" t="s">
        <v>23</v>
      </c>
      <c r="C643" s="296"/>
      <c r="D643" s="296"/>
    </row>
    <row r="644" spans="1:16" x14ac:dyDescent="0.4">
      <c r="B644" s="157"/>
      <c r="C644" s="157"/>
      <c r="D644" s="157"/>
    </row>
    <row r="645" spans="1:16" x14ac:dyDescent="0.4">
      <c r="B645" s="157"/>
      <c r="C645" s="157"/>
      <c r="D645" s="157"/>
    </row>
    <row r="646" spans="1:16" x14ac:dyDescent="0.4">
      <c r="B646" s="105" t="s">
        <v>43</v>
      </c>
      <c r="C646" s="106"/>
      <c r="D646" s="311" t="s">
        <v>1</v>
      </c>
      <c r="E646" s="311"/>
      <c r="F646" s="311"/>
      <c r="G646" s="311"/>
      <c r="H646" s="106"/>
      <c r="I646" s="107" t="s">
        <v>2</v>
      </c>
      <c r="J646" s="136"/>
      <c r="K646" s="107" t="s">
        <v>3</v>
      </c>
    </row>
    <row r="647" spans="1:16" s="4" customFormat="1" ht="30.75" customHeight="1" x14ac:dyDescent="0.3">
      <c r="A647" s="31"/>
      <c r="B647" s="213">
        <f>CATALOGO!B26</f>
        <v>303.08999999999997</v>
      </c>
      <c r="C647" s="71"/>
      <c r="D647" s="312" t="str">
        <f>CATALOGO!C26</f>
        <v xml:space="preserve">LEVANTADO DE MURO DOBLE 0.19m, BLOCK TIPO A (70 Kg/Cm²) </v>
      </c>
      <c r="E647" s="312"/>
      <c r="F647" s="312"/>
      <c r="G647" s="312"/>
      <c r="H647" s="71"/>
      <c r="I647" s="213">
        <f>CATALOGO!D26</f>
        <v>19.100000000000001</v>
      </c>
      <c r="J647" s="109"/>
      <c r="K647" s="227" t="str">
        <f>CATALOGO!E26</f>
        <v>m²</v>
      </c>
      <c r="L647" s="71"/>
      <c r="M647" s="71"/>
      <c r="N647" s="104"/>
      <c r="O647" s="37"/>
      <c r="P647" s="37"/>
    </row>
    <row r="648" spans="1:16" ht="17.399999999999999" thickBot="1" x14ac:dyDescent="0.45"/>
    <row r="649" spans="1:16" ht="17.399999999999999" thickBot="1" x14ac:dyDescent="0.45">
      <c r="B649" s="110" t="s">
        <v>4</v>
      </c>
      <c r="C649" s="300" t="s">
        <v>5</v>
      </c>
      <c r="D649" s="300"/>
      <c r="E649" s="300"/>
      <c r="F649" s="300"/>
      <c r="G649" s="301"/>
    </row>
    <row r="650" spans="1:16" x14ac:dyDescent="0.4">
      <c r="B650" s="111" t="s">
        <v>6</v>
      </c>
      <c r="C650" s="313" t="s">
        <v>1</v>
      </c>
      <c r="D650" s="314"/>
      <c r="E650" s="112" t="s">
        <v>193</v>
      </c>
      <c r="F650" s="113" t="s">
        <v>2</v>
      </c>
      <c r="G650" s="114" t="s">
        <v>3</v>
      </c>
      <c r="H650" s="106"/>
      <c r="I650" s="107" t="s">
        <v>7</v>
      </c>
      <c r="J650" s="136"/>
      <c r="K650" s="228" t="s">
        <v>8</v>
      </c>
      <c r="L650" s="115" t="s">
        <v>194</v>
      </c>
    </row>
    <row r="651" spans="1:16" x14ac:dyDescent="0.4">
      <c r="B651" s="122">
        <v>1</v>
      </c>
      <c r="C651" s="315" t="s">
        <v>575</v>
      </c>
      <c r="D651" s="316"/>
      <c r="E651" s="116">
        <f>I647*27</f>
        <v>515.70000000000005</v>
      </c>
      <c r="F651" s="83">
        <f>ROUND(E651/I647,2)</f>
        <v>27</v>
      </c>
      <c r="G651" s="74" t="str">
        <f>IF(C651=0,0,VLOOKUP(C651,Tabla1[],2,FALSE))</f>
        <v>Unidad</v>
      </c>
      <c r="I651" s="117">
        <f>IF(C651=0,0,VLOOKUP(C651,Tabla1[],3,FALSE))</f>
        <v>9</v>
      </c>
      <c r="K651" s="84">
        <f>+F651*I651</f>
        <v>243</v>
      </c>
      <c r="L651" s="118">
        <f>E651*I651</f>
        <v>4641.3</v>
      </c>
    </row>
    <row r="652" spans="1:16" x14ac:dyDescent="0.4">
      <c r="B652" s="122">
        <v>2</v>
      </c>
      <c r="C652" s="317" t="s">
        <v>214</v>
      </c>
      <c r="D652" s="318"/>
      <c r="E652" s="116">
        <f>I647*0.6</f>
        <v>11.46</v>
      </c>
      <c r="F652" s="83">
        <f>ROUND(E652/I647,2)</f>
        <v>0.6</v>
      </c>
      <c r="G652" s="74" t="str">
        <f>IF(C652=0,0,VLOOKUP(C652,Tabla1[],2,FALSE))</f>
        <v>Saco</v>
      </c>
      <c r="I652" s="117">
        <f>IF(C652=0,0,VLOOKUP(C652,Tabla1[],3,FALSE))</f>
        <v>80</v>
      </c>
      <c r="K652" s="84">
        <f t="shared" ref="K652:K658" si="98">+F652*I652</f>
        <v>48</v>
      </c>
      <c r="L652" s="118">
        <f t="shared" ref="L652:L658" si="99">E652*I652</f>
        <v>916.80000000000007</v>
      </c>
    </row>
    <row r="653" spans="1:16" x14ac:dyDescent="0.4">
      <c r="B653" s="122">
        <v>3</v>
      </c>
      <c r="C653" s="319" t="s">
        <v>73</v>
      </c>
      <c r="D653" s="318"/>
      <c r="E653" s="116">
        <f>I647*0.08</f>
        <v>1.5280000000000002</v>
      </c>
      <c r="F653" s="83">
        <f>ROUND(E653/I647,2)</f>
        <v>0.08</v>
      </c>
      <c r="G653" s="74" t="str">
        <f>IF(C653=0,0,VLOOKUP(C653,Tabla1[],2,FALSE))</f>
        <v>m³</v>
      </c>
      <c r="I653" s="117">
        <f>IF(C653=0,0,VLOOKUP(C653,Tabla1[],3,FALSE))</f>
        <v>250</v>
      </c>
      <c r="K653" s="84">
        <f t="shared" si="98"/>
        <v>20</v>
      </c>
      <c r="L653" s="118">
        <f t="shared" si="99"/>
        <v>382.00000000000006</v>
      </c>
    </row>
    <row r="654" spans="1:16" x14ac:dyDescent="0.4">
      <c r="B654" s="122"/>
      <c r="C654" s="321"/>
      <c r="D654" s="321"/>
      <c r="E654" s="116"/>
      <c r="F654" s="83"/>
      <c r="G654" s="74"/>
      <c r="I654" s="117">
        <f>IF(C654=0,0,VLOOKUP(C654,Tabla1[],3,FALSE))</f>
        <v>0</v>
      </c>
      <c r="K654" s="84">
        <f t="shared" si="98"/>
        <v>0</v>
      </c>
      <c r="L654" s="118">
        <f t="shared" si="99"/>
        <v>0</v>
      </c>
    </row>
    <row r="655" spans="1:16" x14ac:dyDescent="0.4">
      <c r="B655" s="122"/>
      <c r="C655" s="321"/>
      <c r="D655" s="321"/>
      <c r="E655" s="116"/>
      <c r="F655" s="72"/>
      <c r="G655" s="74"/>
      <c r="I655" s="117">
        <f>IF(C655=0,0,VLOOKUP(C655,Tabla1[],3,FALSE))</f>
        <v>0</v>
      </c>
      <c r="K655" s="84">
        <f t="shared" si="98"/>
        <v>0</v>
      </c>
      <c r="L655" s="118">
        <f t="shared" si="99"/>
        <v>0</v>
      </c>
    </row>
    <row r="656" spans="1:16" x14ac:dyDescent="0.4">
      <c r="B656" s="122"/>
      <c r="C656" s="321"/>
      <c r="D656" s="321"/>
      <c r="E656" s="116"/>
      <c r="F656" s="72"/>
      <c r="G656" s="74"/>
      <c r="I656" s="117">
        <f>IF(C656=0,0,VLOOKUP(C656,Tabla1[],3,FALSE))</f>
        <v>0</v>
      </c>
      <c r="K656" s="84">
        <f t="shared" si="98"/>
        <v>0</v>
      </c>
      <c r="L656" s="118">
        <f t="shared" si="99"/>
        <v>0</v>
      </c>
    </row>
    <row r="657" spans="2:12" x14ac:dyDescent="0.4">
      <c r="B657" s="122"/>
      <c r="C657" s="321"/>
      <c r="D657" s="321"/>
      <c r="E657" s="116"/>
      <c r="F657" s="72"/>
      <c r="G657" s="74"/>
      <c r="I657" s="117">
        <f>IF(C657=0,0,VLOOKUP(C657,Tabla1[],3,FALSE))</f>
        <v>0</v>
      </c>
      <c r="K657" s="84">
        <f t="shared" si="98"/>
        <v>0</v>
      </c>
      <c r="L657" s="118">
        <f t="shared" si="99"/>
        <v>0</v>
      </c>
    </row>
    <row r="658" spans="2:12" x14ac:dyDescent="0.4">
      <c r="B658" s="122"/>
      <c r="C658" s="321"/>
      <c r="D658" s="321"/>
      <c r="E658" s="116"/>
      <c r="F658" s="72"/>
      <c r="G658" s="74"/>
      <c r="I658" s="117">
        <f>IF(C658=0,0,VLOOKUP(C658,Tabla1[],3,FALSE))</f>
        <v>0</v>
      </c>
      <c r="K658" s="84">
        <f t="shared" si="98"/>
        <v>0</v>
      </c>
      <c r="L658" s="118">
        <f t="shared" si="99"/>
        <v>0</v>
      </c>
    </row>
    <row r="659" spans="2:12" ht="17.399999999999999" thickBot="1" x14ac:dyDescent="0.45"/>
    <row r="660" spans="2:12" ht="17.399999999999999" thickBot="1" x14ac:dyDescent="0.45">
      <c r="F660" s="292" t="s">
        <v>9</v>
      </c>
      <c r="G660" s="293"/>
      <c r="H660" s="293"/>
      <c r="I660" s="294"/>
      <c r="K660" s="229">
        <f>+SUM(K651:K658)</f>
        <v>311</v>
      </c>
      <c r="L660" s="119">
        <f>+SUM(L651:L658)</f>
        <v>5940.1</v>
      </c>
    </row>
    <row r="661" spans="2:12" ht="17.399999999999999" thickBot="1" x14ac:dyDescent="0.45"/>
    <row r="662" spans="2:12" ht="17.399999999999999" thickBot="1" x14ac:dyDescent="0.45">
      <c r="B662" s="110" t="s">
        <v>10</v>
      </c>
      <c r="C662" s="300" t="s">
        <v>11</v>
      </c>
      <c r="D662" s="300"/>
      <c r="E662" s="300"/>
      <c r="F662" s="300"/>
      <c r="G662" s="301"/>
    </row>
    <row r="663" spans="2:12" x14ac:dyDescent="0.4">
      <c r="B663" s="114" t="s">
        <v>6</v>
      </c>
      <c r="C663" s="302" t="s">
        <v>1</v>
      </c>
      <c r="D663" s="303"/>
      <c r="E663" s="112" t="s">
        <v>193</v>
      </c>
      <c r="F663" s="120" t="s">
        <v>2</v>
      </c>
      <c r="G663" s="114" t="s">
        <v>3</v>
      </c>
      <c r="H663" s="106"/>
      <c r="I663" s="107" t="s">
        <v>7</v>
      </c>
      <c r="J663" s="136"/>
      <c r="K663" s="107" t="s">
        <v>8</v>
      </c>
      <c r="L663" s="115" t="s">
        <v>194</v>
      </c>
    </row>
    <row r="664" spans="2:12" x14ac:dyDescent="0.4">
      <c r="B664" s="122"/>
      <c r="C664" s="306"/>
      <c r="D664" s="306"/>
      <c r="E664" s="116"/>
      <c r="F664" s="83"/>
      <c r="G664" s="74"/>
      <c r="I664" s="117">
        <f>IF(C664=0,0,VLOOKUP(C664,Tabla3[],3,FALSE))</f>
        <v>0</v>
      </c>
      <c r="K664" s="84">
        <f t="shared" ref="K664:K667" si="100">+F664*I664</f>
        <v>0</v>
      </c>
      <c r="L664" s="118">
        <f>E664*I664</f>
        <v>0</v>
      </c>
    </row>
    <row r="665" spans="2:12" x14ac:dyDescent="0.4">
      <c r="B665" s="74"/>
      <c r="C665" s="206"/>
      <c r="D665" s="207"/>
      <c r="E665" s="121"/>
      <c r="F665" s="72"/>
      <c r="G665" s="74"/>
      <c r="I665" s="117">
        <f>IF(C665=0,0,VLOOKUP(C665,Tabla3[],3,FALSE))</f>
        <v>0</v>
      </c>
      <c r="K665" s="84">
        <f t="shared" si="100"/>
        <v>0</v>
      </c>
      <c r="L665" s="118">
        <f t="shared" ref="L665:L667" si="101">E665*I665</f>
        <v>0</v>
      </c>
    </row>
    <row r="666" spans="2:12" x14ac:dyDescent="0.4">
      <c r="B666" s="74"/>
      <c r="C666" s="206"/>
      <c r="D666" s="207"/>
      <c r="E666" s="121"/>
      <c r="F666" s="72"/>
      <c r="G666" s="74"/>
      <c r="I666" s="117">
        <f>IF(C666=0,0,VLOOKUP(C666,Tabla3[],3,FALSE))</f>
        <v>0</v>
      </c>
      <c r="K666" s="84">
        <f t="shared" si="100"/>
        <v>0</v>
      </c>
      <c r="L666" s="118">
        <f t="shared" si="101"/>
        <v>0</v>
      </c>
    </row>
    <row r="667" spans="2:12" x14ac:dyDescent="0.4">
      <c r="B667" s="74"/>
      <c r="C667" s="304"/>
      <c r="D667" s="305"/>
      <c r="E667" s="121"/>
      <c r="F667" s="72"/>
      <c r="G667" s="74"/>
      <c r="I667" s="117">
        <f>IF(C667=0,0,VLOOKUP(C667,Tabla3[],3,FALSE))</f>
        <v>0</v>
      </c>
      <c r="K667" s="84">
        <f t="shared" si="100"/>
        <v>0</v>
      </c>
      <c r="L667" s="118">
        <f t="shared" si="101"/>
        <v>0</v>
      </c>
    </row>
    <row r="668" spans="2:12" ht="17.399999999999999" thickBot="1" x14ac:dyDescent="0.45"/>
    <row r="669" spans="2:12" ht="17.399999999999999" thickBot="1" x14ac:dyDescent="0.45">
      <c r="F669" s="292" t="s">
        <v>12</v>
      </c>
      <c r="G669" s="293"/>
      <c r="H669" s="293"/>
      <c r="I669" s="294"/>
      <c r="K669" s="229">
        <f>+SUM(K664:K667)</f>
        <v>0</v>
      </c>
      <c r="L669" s="119">
        <f>+SUM(L664:L667)</f>
        <v>0</v>
      </c>
    </row>
    <row r="670" spans="2:12" ht="17.399999999999999" thickBot="1" x14ac:dyDescent="0.45"/>
    <row r="671" spans="2:12" ht="17.399999999999999" thickBot="1" x14ac:dyDescent="0.45">
      <c r="B671" s="110" t="s">
        <v>13</v>
      </c>
      <c r="C671" s="300" t="s">
        <v>14</v>
      </c>
      <c r="D671" s="300"/>
      <c r="E671" s="300"/>
      <c r="F671" s="300"/>
      <c r="G671" s="301"/>
    </row>
    <row r="672" spans="2:12" x14ac:dyDescent="0.4">
      <c r="B672" s="114" t="s">
        <v>6</v>
      </c>
      <c r="C672" s="302" t="s">
        <v>1</v>
      </c>
      <c r="D672" s="303"/>
      <c r="E672" s="112" t="s">
        <v>193</v>
      </c>
      <c r="F672" s="120" t="s">
        <v>2</v>
      </c>
      <c r="G672" s="114" t="s">
        <v>3</v>
      </c>
      <c r="H672" s="106"/>
      <c r="I672" s="107" t="s">
        <v>7</v>
      </c>
      <c r="J672" s="136"/>
      <c r="K672" s="107" t="s">
        <v>8</v>
      </c>
      <c r="L672" s="115" t="s">
        <v>194</v>
      </c>
    </row>
    <row r="673" spans="2:12" x14ac:dyDescent="0.4">
      <c r="B673" s="122">
        <v>1</v>
      </c>
      <c r="C673" s="306" t="s">
        <v>466</v>
      </c>
      <c r="D673" s="306"/>
      <c r="E673" s="116">
        <f>I647</f>
        <v>19.100000000000001</v>
      </c>
      <c r="F673" s="83">
        <f>ROUND(E673/I647,2)</f>
        <v>1</v>
      </c>
      <c r="G673" s="74" t="str">
        <f>IF(C673=0,0,VLOOKUP(C673,Tabla2[],2,FALSE))</f>
        <v>m²</v>
      </c>
      <c r="I673" s="117">
        <f>IF(C673=0,0,VLOOKUP(C673,Tabla2[],3,FALSE))</f>
        <v>49</v>
      </c>
      <c r="K673" s="84">
        <f>+F673*I673</f>
        <v>49</v>
      </c>
      <c r="L673" s="118">
        <f>E673*I673</f>
        <v>935.90000000000009</v>
      </c>
    </row>
    <row r="674" spans="2:12" x14ac:dyDescent="0.4">
      <c r="B674" s="122"/>
      <c r="C674" s="306"/>
      <c r="D674" s="306"/>
      <c r="E674" s="116"/>
      <c r="F674" s="83"/>
      <c r="G674" s="74"/>
      <c r="I674" s="117">
        <f>IF(C674=0,0,VLOOKUP(C674,Tabla2[],3,FALSE))</f>
        <v>0</v>
      </c>
      <c r="K674" s="84">
        <f>+F674*I674</f>
        <v>0</v>
      </c>
      <c r="L674" s="118">
        <f>E674*I674</f>
        <v>0</v>
      </c>
    </row>
    <row r="675" spans="2:12" ht="17.399999999999999" thickBot="1" x14ac:dyDescent="0.45">
      <c r="B675" s="123"/>
      <c r="C675" s="307"/>
      <c r="D675" s="308"/>
      <c r="E675" s="124"/>
      <c r="F675" s="125"/>
      <c r="G675" s="74"/>
      <c r="I675" s="117">
        <f>IF(C675=0,0,VLOOKUP(C675,Tabla2[],3,FALSE))</f>
        <v>0</v>
      </c>
      <c r="K675" s="84">
        <f t="shared" ref="K675" si="102">+F675*I675</f>
        <v>0</v>
      </c>
      <c r="L675" s="118">
        <f t="shared" ref="L675:L676" si="103">E675*I675</f>
        <v>0</v>
      </c>
    </row>
    <row r="676" spans="2:12" ht="17.399999999999999" thickBot="1" x14ac:dyDescent="0.45">
      <c r="B676" s="297" t="s">
        <v>15</v>
      </c>
      <c r="C676" s="298"/>
      <c r="D676" s="298"/>
      <c r="E676" s="298"/>
      <c r="F676" s="298"/>
      <c r="G676" s="299"/>
      <c r="I676" s="84">
        <v>0</v>
      </c>
      <c r="K676" s="84">
        <v>0</v>
      </c>
      <c r="L676" s="118">
        <f t="shared" si="103"/>
        <v>0</v>
      </c>
    </row>
    <row r="677" spans="2:12" ht="17.399999999999999" thickBot="1" x14ac:dyDescent="0.45"/>
    <row r="678" spans="2:12" ht="17.399999999999999" thickBot="1" x14ac:dyDescent="0.45">
      <c r="F678" s="292" t="s">
        <v>16</v>
      </c>
      <c r="G678" s="293"/>
      <c r="H678" s="293"/>
      <c r="I678" s="294"/>
      <c r="K678" s="229">
        <f>+SUM(K673:K676)</f>
        <v>49</v>
      </c>
      <c r="L678" s="119">
        <f>+SUM(L673:L676)</f>
        <v>935.90000000000009</v>
      </c>
    </row>
    <row r="679" spans="2:12" ht="17.399999999999999" thickBot="1" x14ac:dyDescent="0.45"/>
    <row r="680" spans="2:12" ht="17.399999999999999" thickBot="1" x14ac:dyDescent="0.45">
      <c r="B680" s="110" t="s">
        <v>17</v>
      </c>
      <c r="C680" s="300" t="s">
        <v>18</v>
      </c>
      <c r="D680" s="300"/>
      <c r="E680" s="300"/>
      <c r="F680" s="300"/>
      <c r="G680" s="301"/>
    </row>
    <row r="681" spans="2:12" x14ac:dyDescent="0.4">
      <c r="B681" s="114" t="s">
        <v>6</v>
      </c>
      <c r="C681" s="302" t="s">
        <v>1</v>
      </c>
      <c r="D681" s="303"/>
      <c r="E681" s="126"/>
      <c r="F681" s="120" t="s">
        <v>2</v>
      </c>
      <c r="G681" s="114" t="s">
        <v>3</v>
      </c>
      <c r="H681" s="106"/>
      <c r="I681" s="107" t="s">
        <v>7</v>
      </c>
      <c r="J681" s="136"/>
      <c r="K681" s="107" t="s">
        <v>8</v>
      </c>
      <c r="L681" s="115" t="s">
        <v>194</v>
      </c>
    </row>
    <row r="682" spans="2:12" x14ac:dyDescent="0.4">
      <c r="B682" s="74"/>
      <c r="C682" s="304"/>
      <c r="D682" s="305"/>
      <c r="E682" s="127"/>
      <c r="F682" s="72"/>
      <c r="G682" s="74"/>
      <c r="I682" s="84">
        <v>0</v>
      </c>
      <c r="K682" s="84">
        <f>+F682*I682</f>
        <v>0</v>
      </c>
      <c r="L682" s="118">
        <f>E682*I682</f>
        <v>0</v>
      </c>
    </row>
    <row r="683" spans="2:12" x14ac:dyDescent="0.4">
      <c r="B683" s="74"/>
      <c r="C683" s="304"/>
      <c r="D683" s="305"/>
      <c r="E683" s="127"/>
      <c r="F683" s="72"/>
      <c r="G683" s="74"/>
      <c r="I683" s="84">
        <v>0</v>
      </c>
      <c r="K683" s="84">
        <f t="shared" ref="K683:K684" si="104">+F683*I683</f>
        <v>0</v>
      </c>
      <c r="L683" s="118">
        <f t="shared" ref="L683:L684" si="105">E683*I683</f>
        <v>0</v>
      </c>
    </row>
    <row r="684" spans="2:12" x14ac:dyDescent="0.4">
      <c r="B684" s="74"/>
      <c r="C684" s="304"/>
      <c r="D684" s="305"/>
      <c r="E684" s="127"/>
      <c r="F684" s="72"/>
      <c r="G684" s="74"/>
      <c r="I684" s="84">
        <v>0</v>
      </c>
      <c r="K684" s="84">
        <f t="shared" si="104"/>
        <v>0</v>
      </c>
      <c r="L684" s="118">
        <f t="shared" si="105"/>
        <v>0</v>
      </c>
    </row>
    <row r="685" spans="2:12" ht="17.399999999999999" thickBot="1" x14ac:dyDescent="0.45">
      <c r="L685" s="118"/>
    </row>
    <row r="686" spans="2:12" ht="17.399999999999999" thickBot="1" x14ac:dyDescent="0.45">
      <c r="F686" s="292" t="s">
        <v>19</v>
      </c>
      <c r="G686" s="293"/>
      <c r="H686" s="293"/>
      <c r="I686" s="294"/>
      <c r="K686" s="229">
        <f>+SUM(K682:K684)</f>
        <v>0</v>
      </c>
      <c r="L686" s="119">
        <f>+SUM(L681:L684)</f>
        <v>0</v>
      </c>
    </row>
    <row r="687" spans="2:12" ht="15" customHeight="1" x14ac:dyDescent="0.4">
      <c r="F687" s="128"/>
      <c r="G687" s="129"/>
      <c r="H687" s="130"/>
      <c r="I687" s="108"/>
      <c r="K687" s="230"/>
    </row>
    <row r="688" spans="2:12" ht="15" customHeight="1" thickBot="1" x14ac:dyDescent="0.45"/>
    <row r="689" spans="1:16" ht="17.399999999999999" thickBot="1" x14ac:dyDescent="0.45">
      <c r="F689" s="292" t="s">
        <v>20</v>
      </c>
      <c r="G689" s="293"/>
      <c r="H689" s="293"/>
      <c r="I689" s="294"/>
      <c r="K689" s="229">
        <f>(+K660+K669+K678+K686)</f>
        <v>360</v>
      </c>
      <c r="L689" s="119">
        <f>(+L660+L669+L678+L686)</f>
        <v>6876</v>
      </c>
      <c r="N689" s="131"/>
      <c r="O689" s="39"/>
      <c r="P689" s="40"/>
    </row>
    <row r="690" spans="1:16" ht="7.5" customHeight="1" thickBot="1" x14ac:dyDescent="0.45">
      <c r="N690" s="131"/>
      <c r="O690" s="41"/>
      <c r="P690" s="40"/>
    </row>
    <row r="691" spans="1:16" ht="17.399999999999999" thickBot="1" x14ac:dyDescent="0.45">
      <c r="F691" s="292" t="s">
        <v>21</v>
      </c>
      <c r="G691" s="293"/>
      <c r="H691" s="293"/>
      <c r="I691" s="294"/>
      <c r="K691" s="229">
        <f>K689*$N$2</f>
        <v>144</v>
      </c>
      <c r="L691" s="119">
        <f>L689*$N$2</f>
        <v>2750.4</v>
      </c>
    </row>
    <row r="692" spans="1:16" ht="7.5" customHeight="1" thickBot="1" x14ac:dyDescent="0.45"/>
    <row r="693" spans="1:16" ht="17.399999999999999" thickBot="1" x14ac:dyDescent="0.45">
      <c r="F693" s="292" t="s">
        <v>22</v>
      </c>
      <c r="G693" s="293"/>
      <c r="H693" s="293"/>
      <c r="I693" s="294"/>
      <c r="K693" s="229">
        <f>+K689+K691</f>
        <v>504</v>
      </c>
      <c r="L693" s="119">
        <f>+L689+L691</f>
        <v>9626.4</v>
      </c>
    </row>
    <row r="694" spans="1:16" ht="17.399999999999999" thickBot="1" x14ac:dyDescent="0.45">
      <c r="F694" s="128"/>
      <c r="G694" s="129"/>
      <c r="H694" s="130"/>
      <c r="I694" s="108"/>
      <c r="K694" s="231"/>
      <c r="L694" s="132">
        <f>L693/I647</f>
        <v>503.99999999999994</v>
      </c>
      <c r="M694" s="133">
        <f>(K693-L694)*I647</f>
        <v>1.0857093002414332E-12</v>
      </c>
    </row>
    <row r="695" spans="1:16" x14ac:dyDescent="0.4">
      <c r="F695" s="128"/>
      <c r="G695" s="129"/>
      <c r="H695" s="130"/>
      <c r="I695" s="108"/>
      <c r="K695" s="232"/>
      <c r="L695" s="131"/>
      <c r="M695" s="134"/>
      <c r="N695" s="135"/>
    </row>
    <row r="696" spans="1:16" ht="17.399999999999999" thickBot="1" x14ac:dyDescent="0.45">
      <c r="B696" s="295"/>
      <c r="C696" s="295"/>
      <c r="D696" s="295"/>
    </row>
    <row r="697" spans="1:16" x14ac:dyDescent="0.4">
      <c r="B697" s="296" t="s">
        <v>23</v>
      </c>
      <c r="C697" s="296"/>
      <c r="D697" s="296"/>
    </row>
    <row r="698" spans="1:16" x14ac:dyDescent="0.4">
      <c r="B698" s="157"/>
      <c r="C698" s="157"/>
      <c r="D698" s="157"/>
    </row>
    <row r="699" spans="1:16" x14ac:dyDescent="0.4">
      <c r="B699" s="157"/>
      <c r="C699" s="157"/>
      <c r="D699" s="157"/>
    </row>
    <row r="700" spans="1:16" x14ac:dyDescent="0.4">
      <c r="B700" s="105" t="s">
        <v>43</v>
      </c>
      <c r="C700" s="106"/>
      <c r="D700" s="311" t="s">
        <v>1</v>
      </c>
      <c r="E700" s="311"/>
      <c r="F700" s="311"/>
      <c r="G700" s="311"/>
      <c r="H700" s="106"/>
      <c r="I700" s="107" t="s">
        <v>2</v>
      </c>
      <c r="J700" s="136"/>
      <c r="K700" s="107" t="s">
        <v>3</v>
      </c>
    </row>
    <row r="701" spans="1:16" s="4" customFormat="1" ht="30.75" customHeight="1" x14ac:dyDescent="0.3">
      <c r="A701" s="31"/>
      <c r="B701" s="213">
        <f>CATALOGO!B27</f>
        <v>304.07</v>
      </c>
      <c r="C701" s="71"/>
      <c r="D701" s="312" t="str">
        <f>CATALOGO!C27</f>
        <v xml:space="preserve">PIN EN BLOCK DE 0.20m </v>
      </c>
      <c r="E701" s="312"/>
      <c r="F701" s="312"/>
      <c r="G701" s="312"/>
      <c r="H701" s="71"/>
      <c r="I701" s="213">
        <f>CATALOGO!D27</f>
        <v>701.4</v>
      </c>
      <c r="J701" s="109"/>
      <c r="K701" s="227" t="str">
        <f>CATALOGO!E27</f>
        <v>ml</v>
      </c>
      <c r="L701" s="71"/>
      <c r="M701" s="71"/>
      <c r="N701" s="104"/>
      <c r="O701" s="37"/>
      <c r="P701" s="37"/>
    </row>
    <row r="702" spans="1:16" ht="17.399999999999999" thickBot="1" x14ac:dyDescent="0.45"/>
    <row r="703" spans="1:16" ht="17.399999999999999" thickBot="1" x14ac:dyDescent="0.45">
      <c r="B703" s="110" t="s">
        <v>4</v>
      </c>
      <c r="C703" s="300" t="s">
        <v>5</v>
      </c>
      <c r="D703" s="300"/>
      <c r="E703" s="300"/>
      <c r="F703" s="300"/>
      <c r="G703" s="301"/>
    </row>
    <row r="704" spans="1:16" x14ac:dyDescent="0.4">
      <c r="B704" s="111" t="s">
        <v>6</v>
      </c>
      <c r="C704" s="313" t="s">
        <v>1</v>
      </c>
      <c r="D704" s="314"/>
      <c r="E704" s="112" t="s">
        <v>193</v>
      </c>
      <c r="F704" s="113" t="s">
        <v>2</v>
      </c>
      <c r="G704" s="114" t="s">
        <v>3</v>
      </c>
      <c r="H704" s="106"/>
      <c r="I704" s="107" t="s">
        <v>7</v>
      </c>
      <c r="J704" s="136"/>
      <c r="K704" s="228" t="s">
        <v>8</v>
      </c>
      <c r="L704" s="115" t="s">
        <v>194</v>
      </c>
    </row>
    <row r="705" spans="2:12" x14ac:dyDescent="0.4">
      <c r="B705" s="122">
        <v>1</v>
      </c>
      <c r="C705" s="315" t="s">
        <v>169</v>
      </c>
      <c r="D705" s="316"/>
      <c r="E705" s="116">
        <f>I701*0.03</f>
        <v>21.041999999999998</v>
      </c>
      <c r="F705" s="83">
        <f>ROUND(E705/I701,2)</f>
        <v>0.03</v>
      </c>
      <c r="G705" s="74" t="str">
        <f>IF(C705=0,0,VLOOKUP(C705,Tabla1[],2,FALSE))</f>
        <v>Varilla</v>
      </c>
      <c r="I705" s="117">
        <f>IF(C705=0,0,VLOOKUP(C705,Tabla1[],3,FALSE))</f>
        <v>40</v>
      </c>
      <c r="K705" s="84">
        <f>+F705*I705</f>
        <v>1.2</v>
      </c>
      <c r="L705" s="118">
        <f>E705*I705</f>
        <v>841.68</v>
      </c>
    </row>
    <row r="706" spans="2:12" ht="16.5" customHeight="1" x14ac:dyDescent="0.4">
      <c r="B706" s="122">
        <v>2</v>
      </c>
      <c r="C706" s="317" t="s">
        <v>214</v>
      </c>
      <c r="D706" s="318"/>
      <c r="E706" s="116">
        <f>I701*0.11</f>
        <v>77.153999999999996</v>
      </c>
      <c r="F706" s="83">
        <f>ROUND(E706/I701,2)</f>
        <v>0.11</v>
      </c>
      <c r="G706" s="74" t="str">
        <f>IF(C706=0,0,VLOOKUP(C706,Tabla1[],2,FALSE))</f>
        <v>Saco</v>
      </c>
      <c r="I706" s="117">
        <f>IF(C706=0,0,VLOOKUP(C706,Tabla1[],3,FALSE))</f>
        <v>80</v>
      </c>
      <c r="K706" s="84">
        <f>+F706*I706</f>
        <v>8.8000000000000007</v>
      </c>
      <c r="L706" s="118">
        <f>E706*I706</f>
        <v>6172.32</v>
      </c>
    </row>
    <row r="707" spans="2:12" x14ac:dyDescent="0.4">
      <c r="B707" s="122">
        <v>3</v>
      </c>
      <c r="C707" s="319" t="s">
        <v>73</v>
      </c>
      <c r="D707" s="318"/>
      <c r="E707" s="116">
        <f>I701*0.01</f>
        <v>7.0140000000000002</v>
      </c>
      <c r="F707" s="83">
        <f>ROUND(E707/I701,2)</f>
        <v>0.01</v>
      </c>
      <c r="G707" s="74" t="str">
        <f>IF(C707=0,0,VLOOKUP(C707,Tabla1[],2,FALSE))</f>
        <v>m³</v>
      </c>
      <c r="I707" s="117">
        <f>IF(C707=0,0,VLOOKUP(C707,Tabla1[],3,FALSE))</f>
        <v>250</v>
      </c>
      <c r="K707" s="84">
        <f t="shared" ref="K707:K714" si="106">+F707*I707</f>
        <v>2.5</v>
      </c>
      <c r="L707" s="118">
        <f t="shared" ref="L707:L714" si="107">E707*I707</f>
        <v>1753.5</v>
      </c>
    </row>
    <row r="708" spans="2:12" x14ac:dyDescent="0.4">
      <c r="B708" s="122">
        <v>4</v>
      </c>
      <c r="C708" s="319" t="s">
        <v>230</v>
      </c>
      <c r="D708" s="318"/>
      <c r="E708" s="116">
        <f>I701*0.01</f>
        <v>7.0140000000000002</v>
      </c>
      <c r="F708" s="83">
        <f>ROUND(E708/I701,2)</f>
        <v>0.01</v>
      </c>
      <c r="G708" s="74" t="str">
        <f>IF(C708=0,0,VLOOKUP(C708,Tabla1[],2,FALSE))</f>
        <v>m³</v>
      </c>
      <c r="I708" s="117">
        <f>IF(C708=0,0,VLOOKUP(C708,Tabla1[],3,FALSE))</f>
        <v>250</v>
      </c>
      <c r="K708" s="84">
        <f t="shared" si="106"/>
        <v>2.5</v>
      </c>
      <c r="L708" s="118">
        <f t="shared" si="107"/>
        <v>1753.5</v>
      </c>
    </row>
    <row r="709" spans="2:12" x14ac:dyDescent="0.4">
      <c r="B709" s="122"/>
      <c r="C709" s="319"/>
      <c r="D709" s="318"/>
      <c r="E709" s="116"/>
      <c r="F709" s="83"/>
      <c r="G709" s="74"/>
      <c r="I709" s="117">
        <f>IF(C709=0,0,VLOOKUP(C709,Tabla1[],3,FALSE))</f>
        <v>0</v>
      </c>
      <c r="K709" s="84">
        <f t="shared" si="106"/>
        <v>0</v>
      </c>
      <c r="L709" s="118">
        <f t="shared" si="107"/>
        <v>0</v>
      </c>
    </row>
    <row r="710" spans="2:12" x14ac:dyDescent="0.4">
      <c r="B710" s="122"/>
      <c r="C710" s="320"/>
      <c r="D710" s="320"/>
      <c r="E710" s="116"/>
      <c r="F710" s="83"/>
      <c r="G710" s="74"/>
      <c r="I710" s="117">
        <f>IF(C710=0,0,VLOOKUP(C710,Tabla1[],3,FALSE))</f>
        <v>0</v>
      </c>
      <c r="K710" s="84">
        <f t="shared" si="106"/>
        <v>0</v>
      </c>
      <c r="L710" s="118">
        <f t="shared" si="107"/>
        <v>0</v>
      </c>
    </row>
    <row r="711" spans="2:12" x14ac:dyDescent="0.4">
      <c r="B711" s="122"/>
      <c r="C711" s="320"/>
      <c r="D711" s="320"/>
      <c r="E711" s="116"/>
      <c r="F711" s="83"/>
      <c r="G711" s="74"/>
      <c r="I711" s="117">
        <f>IF(C711=0,0,VLOOKUP(C711,Tabla1[],3,FALSE))</f>
        <v>0</v>
      </c>
      <c r="K711" s="84">
        <f t="shared" si="106"/>
        <v>0</v>
      </c>
      <c r="L711" s="118">
        <f t="shared" si="107"/>
        <v>0</v>
      </c>
    </row>
    <row r="712" spans="2:12" x14ac:dyDescent="0.4">
      <c r="B712" s="122"/>
      <c r="C712" s="320"/>
      <c r="D712" s="320"/>
      <c r="E712" s="116"/>
      <c r="F712" s="83"/>
      <c r="G712" s="74"/>
      <c r="I712" s="117">
        <f>IF(C712=0,0,VLOOKUP(C712,Tabla1[],3,FALSE))</f>
        <v>0</v>
      </c>
      <c r="K712" s="84">
        <f t="shared" si="106"/>
        <v>0</v>
      </c>
      <c r="L712" s="118">
        <f t="shared" si="107"/>
        <v>0</v>
      </c>
    </row>
    <row r="713" spans="2:12" x14ac:dyDescent="0.4">
      <c r="B713" s="122"/>
      <c r="C713" s="321"/>
      <c r="D713" s="321"/>
      <c r="E713" s="116"/>
      <c r="F713" s="72"/>
      <c r="G713" s="74"/>
      <c r="I713" s="117">
        <f>IF(C713=0,0,VLOOKUP(C713,Tabla1[],3,FALSE))</f>
        <v>0</v>
      </c>
      <c r="K713" s="84">
        <f t="shared" si="106"/>
        <v>0</v>
      </c>
      <c r="L713" s="118">
        <f t="shared" si="107"/>
        <v>0</v>
      </c>
    </row>
    <row r="714" spans="2:12" x14ac:dyDescent="0.4">
      <c r="B714" s="122"/>
      <c r="C714" s="321"/>
      <c r="D714" s="321"/>
      <c r="E714" s="116"/>
      <c r="F714" s="72"/>
      <c r="G714" s="74"/>
      <c r="I714" s="117">
        <f>IF(C714=0,0,VLOOKUP(C714,Tabla1[],3,FALSE))</f>
        <v>0</v>
      </c>
      <c r="K714" s="84">
        <f t="shared" si="106"/>
        <v>0</v>
      </c>
      <c r="L714" s="118">
        <f t="shared" si="107"/>
        <v>0</v>
      </c>
    </row>
    <row r="715" spans="2:12" ht="17.399999999999999" thickBot="1" x14ac:dyDescent="0.45"/>
    <row r="716" spans="2:12" ht="17.399999999999999" thickBot="1" x14ac:dyDescent="0.45">
      <c r="F716" s="292" t="s">
        <v>9</v>
      </c>
      <c r="G716" s="293"/>
      <c r="H716" s="293"/>
      <c r="I716" s="294"/>
      <c r="K716" s="229">
        <f>+SUM(K705:K714)</f>
        <v>15</v>
      </c>
      <c r="L716" s="119">
        <f>+SUM(L705:L714)</f>
        <v>10521</v>
      </c>
    </row>
    <row r="717" spans="2:12" ht="17.399999999999999" thickBot="1" x14ac:dyDescent="0.45"/>
    <row r="718" spans="2:12" ht="17.399999999999999" thickBot="1" x14ac:dyDescent="0.45">
      <c r="B718" s="110" t="s">
        <v>10</v>
      </c>
      <c r="C718" s="300" t="s">
        <v>11</v>
      </c>
      <c r="D718" s="300"/>
      <c r="E718" s="300"/>
      <c r="F718" s="300"/>
      <c r="G718" s="301"/>
    </row>
    <row r="719" spans="2:12" x14ac:dyDescent="0.4">
      <c r="B719" s="114" t="s">
        <v>6</v>
      </c>
      <c r="C719" s="302" t="s">
        <v>1</v>
      </c>
      <c r="D719" s="303"/>
      <c r="E719" s="112" t="s">
        <v>193</v>
      </c>
      <c r="F719" s="120" t="s">
        <v>2</v>
      </c>
      <c r="G719" s="114" t="s">
        <v>3</v>
      </c>
      <c r="H719" s="106"/>
      <c r="I719" s="107" t="s">
        <v>7</v>
      </c>
      <c r="J719" s="136"/>
      <c r="K719" s="107" t="s">
        <v>8</v>
      </c>
      <c r="L719" s="115" t="s">
        <v>194</v>
      </c>
    </row>
    <row r="720" spans="2:12" x14ac:dyDescent="0.4">
      <c r="B720" s="122"/>
      <c r="C720" s="306"/>
      <c r="D720" s="306"/>
      <c r="E720" s="116"/>
      <c r="F720" s="83"/>
      <c r="G720" s="74"/>
      <c r="I720" s="117">
        <f>IF(C720=0,0,VLOOKUP(C720,Tabla3[],3,FALSE))</f>
        <v>0</v>
      </c>
      <c r="K720" s="84">
        <f t="shared" ref="K720:K723" si="108">+F720*I720</f>
        <v>0</v>
      </c>
      <c r="L720" s="118">
        <f>E720*I720</f>
        <v>0</v>
      </c>
    </row>
    <row r="721" spans="2:12" x14ac:dyDescent="0.4">
      <c r="B721" s="74"/>
      <c r="C721" s="206"/>
      <c r="D721" s="207"/>
      <c r="E721" s="121"/>
      <c r="F721" s="72"/>
      <c r="G721" s="74"/>
      <c r="I721" s="117">
        <f>IF(C721=0,0,VLOOKUP(C721,Tabla3[],3,FALSE))</f>
        <v>0</v>
      </c>
      <c r="K721" s="84">
        <f t="shared" si="108"/>
        <v>0</v>
      </c>
      <c r="L721" s="118">
        <f t="shared" ref="L721:L723" si="109">E721*I721</f>
        <v>0</v>
      </c>
    </row>
    <row r="722" spans="2:12" x14ac:dyDescent="0.4">
      <c r="B722" s="74"/>
      <c r="C722" s="206"/>
      <c r="D722" s="207"/>
      <c r="E722" s="121"/>
      <c r="F722" s="72"/>
      <c r="G722" s="74"/>
      <c r="I722" s="117">
        <f>IF(C722=0,0,VLOOKUP(C722,Tabla3[],3,FALSE))</f>
        <v>0</v>
      </c>
      <c r="K722" s="84">
        <f t="shared" si="108"/>
        <v>0</v>
      </c>
      <c r="L722" s="118">
        <f t="shared" si="109"/>
        <v>0</v>
      </c>
    </row>
    <row r="723" spans="2:12" x14ac:dyDescent="0.4">
      <c r="B723" s="74"/>
      <c r="C723" s="304"/>
      <c r="D723" s="305"/>
      <c r="E723" s="121"/>
      <c r="F723" s="72"/>
      <c r="G723" s="74"/>
      <c r="I723" s="117">
        <f>IF(C723=0,0,VLOOKUP(C723,Tabla3[],3,FALSE))</f>
        <v>0</v>
      </c>
      <c r="K723" s="84">
        <f t="shared" si="108"/>
        <v>0</v>
      </c>
      <c r="L723" s="118">
        <f t="shared" si="109"/>
        <v>0</v>
      </c>
    </row>
    <row r="724" spans="2:12" ht="17.399999999999999" thickBot="1" x14ac:dyDescent="0.45"/>
    <row r="725" spans="2:12" ht="17.399999999999999" thickBot="1" x14ac:dyDescent="0.45">
      <c r="F725" s="292" t="s">
        <v>12</v>
      </c>
      <c r="G725" s="293"/>
      <c r="H725" s="293"/>
      <c r="I725" s="294"/>
      <c r="K725" s="229">
        <f>+SUM(K720:K723)</f>
        <v>0</v>
      </c>
      <c r="L725" s="119">
        <f>+SUM(L720:L723)</f>
        <v>0</v>
      </c>
    </row>
    <row r="726" spans="2:12" ht="17.399999999999999" thickBot="1" x14ac:dyDescent="0.45"/>
    <row r="727" spans="2:12" ht="17.399999999999999" thickBot="1" x14ac:dyDescent="0.45">
      <c r="B727" s="110" t="s">
        <v>13</v>
      </c>
      <c r="C727" s="300" t="s">
        <v>14</v>
      </c>
      <c r="D727" s="300"/>
      <c r="E727" s="300"/>
      <c r="F727" s="300"/>
      <c r="G727" s="301"/>
    </row>
    <row r="728" spans="2:12" x14ac:dyDescent="0.4">
      <c r="B728" s="114" t="s">
        <v>6</v>
      </c>
      <c r="C728" s="302" t="s">
        <v>1</v>
      </c>
      <c r="D728" s="303"/>
      <c r="E728" s="112" t="s">
        <v>193</v>
      </c>
      <c r="F728" s="120" t="s">
        <v>2</v>
      </c>
      <c r="G728" s="114" t="s">
        <v>3</v>
      </c>
      <c r="H728" s="106"/>
      <c r="I728" s="107" t="s">
        <v>7</v>
      </c>
      <c r="J728" s="136"/>
      <c r="K728" s="107" t="s">
        <v>8</v>
      </c>
      <c r="L728" s="115" t="s">
        <v>194</v>
      </c>
    </row>
    <row r="729" spans="2:12" x14ac:dyDescent="0.4">
      <c r="B729" s="122">
        <v>1</v>
      </c>
      <c r="C729" s="306" t="s">
        <v>368</v>
      </c>
      <c r="D729" s="306"/>
      <c r="E729" s="116">
        <f>I701*0.04</f>
        <v>28.056000000000001</v>
      </c>
      <c r="F729" s="83">
        <f>ROUND(E729/I701,2)</f>
        <v>0.04</v>
      </c>
      <c r="G729" s="74" t="str">
        <f>IF(C729=0,0,VLOOKUP(C729,Tabla2[],2,FALSE))</f>
        <v>m³</v>
      </c>
      <c r="I729" s="117">
        <f>IF(C729=0,0,VLOOKUP(C729,Tabla2[],3,FALSE))</f>
        <v>500</v>
      </c>
      <c r="K729" s="84">
        <f>+F729*I729</f>
        <v>20</v>
      </c>
      <c r="L729" s="118">
        <f>E729*I729</f>
        <v>14028</v>
      </c>
    </row>
    <row r="730" spans="2:12" x14ac:dyDescent="0.4">
      <c r="B730" s="122"/>
      <c r="C730" s="306"/>
      <c r="D730" s="306"/>
      <c r="E730" s="116"/>
      <c r="F730" s="83"/>
      <c r="G730" s="74"/>
      <c r="I730" s="117">
        <f>IF(C730=0,0,VLOOKUP(C730,Tabla2[],3,FALSE))</f>
        <v>0</v>
      </c>
      <c r="K730" s="84">
        <f>+F730*I730</f>
        <v>0</v>
      </c>
      <c r="L730" s="118">
        <f>E730*I730</f>
        <v>0</v>
      </c>
    </row>
    <row r="731" spans="2:12" ht="17.399999999999999" thickBot="1" x14ac:dyDescent="0.45">
      <c r="B731" s="123"/>
      <c r="C731" s="307"/>
      <c r="D731" s="308"/>
      <c r="E731" s="124"/>
      <c r="F731" s="125"/>
      <c r="G731" s="74"/>
      <c r="I731" s="117">
        <f>IF(C731=0,0,VLOOKUP(C731,Tabla2[],3,FALSE))</f>
        <v>0</v>
      </c>
      <c r="K731" s="84">
        <f t="shared" ref="K731" si="110">+F731*I731</f>
        <v>0</v>
      </c>
      <c r="L731" s="118">
        <f t="shared" ref="L731:L732" si="111">E731*I731</f>
        <v>0</v>
      </c>
    </row>
    <row r="732" spans="2:12" ht="17.399999999999999" thickBot="1" x14ac:dyDescent="0.45">
      <c r="B732" s="297" t="s">
        <v>15</v>
      </c>
      <c r="C732" s="298"/>
      <c r="D732" s="298"/>
      <c r="E732" s="298"/>
      <c r="F732" s="298"/>
      <c r="G732" s="299"/>
      <c r="I732" s="84">
        <v>0</v>
      </c>
      <c r="K732" s="84">
        <v>0</v>
      </c>
      <c r="L732" s="118">
        <f t="shared" si="111"/>
        <v>0</v>
      </c>
    </row>
    <row r="733" spans="2:12" ht="17.399999999999999" thickBot="1" x14ac:dyDescent="0.45"/>
    <row r="734" spans="2:12" ht="17.399999999999999" thickBot="1" x14ac:dyDescent="0.45">
      <c r="F734" s="292" t="s">
        <v>16</v>
      </c>
      <c r="G734" s="293"/>
      <c r="H734" s="293"/>
      <c r="I734" s="294"/>
      <c r="K734" s="229">
        <f>+SUM(K729:K732)</f>
        <v>20</v>
      </c>
      <c r="L734" s="119">
        <f>+SUM(L729:L732)</f>
        <v>14028</v>
      </c>
    </row>
    <row r="735" spans="2:12" ht="17.399999999999999" thickBot="1" x14ac:dyDescent="0.45"/>
    <row r="736" spans="2:12" ht="17.399999999999999" thickBot="1" x14ac:dyDescent="0.45">
      <c r="B736" s="110" t="s">
        <v>17</v>
      </c>
      <c r="C736" s="300" t="s">
        <v>18</v>
      </c>
      <c r="D736" s="300"/>
      <c r="E736" s="300"/>
      <c r="F736" s="300"/>
      <c r="G736" s="301"/>
    </row>
    <row r="737" spans="2:16" x14ac:dyDescent="0.4">
      <c r="B737" s="114" t="s">
        <v>6</v>
      </c>
      <c r="C737" s="302" t="s">
        <v>1</v>
      </c>
      <c r="D737" s="303"/>
      <c r="E737" s="126"/>
      <c r="F737" s="120" t="s">
        <v>2</v>
      </c>
      <c r="G737" s="114" t="s">
        <v>3</v>
      </c>
      <c r="H737" s="106"/>
      <c r="I737" s="107" t="s">
        <v>7</v>
      </c>
      <c r="J737" s="136"/>
      <c r="K737" s="107" t="s">
        <v>8</v>
      </c>
      <c r="L737" s="115" t="s">
        <v>194</v>
      </c>
    </row>
    <row r="738" spans="2:16" x14ac:dyDescent="0.4">
      <c r="B738" s="74"/>
      <c r="C738" s="304"/>
      <c r="D738" s="305"/>
      <c r="E738" s="127"/>
      <c r="F738" s="72"/>
      <c r="G738" s="74"/>
      <c r="I738" s="84">
        <v>0</v>
      </c>
      <c r="K738" s="84">
        <f>+F738*I738</f>
        <v>0</v>
      </c>
      <c r="L738" s="118">
        <f>E738*I738</f>
        <v>0</v>
      </c>
    </row>
    <row r="739" spans="2:16" x14ac:dyDescent="0.4">
      <c r="B739" s="74"/>
      <c r="C739" s="304"/>
      <c r="D739" s="305"/>
      <c r="E739" s="127"/>
      <c r="F739" s="72"/>
      <c r="G739" s="74"/>
      <c r="I739" s="84">
        <v>0</v>
      </c>
      <c r="K739" s="84">
        <f t="shared" ref="K739:K740" si="112">+F739*I739</f>
        <v>0</v>
      </c>
      <c r="L739" s="118">
        <f t="shared" ref="L739:L740" si="113">E739*I739</f>
        <v>0</v>
      </c>
    </row>
    <row r="740" spans="2:16" x14ac:dyDescent="0.4">
      <c r="B740" s="74"/>
      <c r="C740" s="304"/>
      <c r="D740" s="305"/>
      <c r="E740" s="127"/>
      <c r="F740" s="72"/>
      <c r="G740" s="74"/>
      <c r="I740" s="84">
        <v>0</v>
      </c>
      <c r="K740" s="84">
        <f t="shared" si="112"/>
        <v>0</v>
      </c>
      <c r="L740" s="118">
        <f t="shared" si="113"/>
        <v>0</v>
      </c>
    </row>
    <row r="741" spans="2:16" ht="17.399999999999999" thickBot="1" x14ac:dyDescent="0.45">
      <c r="L741" s="118"/>
    </row>
    <row r="742" spans="2:16" ht="17.399999999999999" thickBot="1" x14ac:dyDescent="0.45">
      <c r="F742" s="292" t="s">
        <v>19</v>
      </c>
      <c r="G742" s="293"/>
      <c r="H742" s="293"/>
      <c r="I742" s="294"/>
      <c r="K742" s="229">
        <f>+SUM(K738:K740)</f>
        <v>0</v>
      </c>
      <c r="L742" s="119">
        <f>+SUM(L737:L740)</f>
        <v>0</v>
      </c>
    </row>
    <row r="743" spans="2:16" ht="15" customHeight="1" x14ac:dyDescent="0.4">
      <c r="F743" s="128"/>
      <c r="G743" s="129"/>
      <c r="H743" s="130"/>
      <c r="I743" s="108"/>
      <c r="K743" s="230"/>
    </row>
    <row r="744" spans="2:16" ht="15" customHeight="1" thickBot="1" x14ac:dyDescent="0.45"/>
    <row r="745" spans="2:16" ht="17.399999999999999" thickBot="1" x14ac:dyDescent="0.45">
      <c r="F745" s="292" t="s">
        <v>20</v>
      </c>
      <c r="G745" s="293"/>
      <c r="H745" s="293"/>
      <c r="I745" s="294"/>
      <c r="K745" s="229">
        <f>(+K716+K725+K734+K742)</f>
        <v>35</v>
      </c>
      <c r="L745" s="119">
        <f>(+L716+L725+L734+L742)</f>
        <v>24549</v>
      </c>
      <c r="N745" s="131"/>
      <c r="O745" s="39"/>
      <c r="P745" s="40"/>
    </row>
    <row r="746" spans="2:16" ht="7.5" customHeight="1" thickBot="1" x14ac:dyDescent="0.45">
      <c r="N746" s="131"/>
      <c r="O746" s="41"/>
      <c r="P746" s="40"/>
    </row>
    <row r="747" spans="2:16" ht="17.399999999999999" thickBot="1" x14ac:dyDescent="0.45">
      <c r="F747" s="292" t="s">
        <v>21</v>
      </c>
      <c r="G747" s="293"/>
      <c r="H747" s="293"/>
      <c r="I747" s="294"/>
      <c r="K747" s="229">
        <f>K745*$N$2</f>
        <v>14</v>
      </c>
      <c r="L747" s="119">
        <f>L745*$N$2</f>
        <v>9819.6</v>
      </c>
    </row>
    <row r="748" spans="2:16" ht="7.5" customHeight="1" thickBot="1" x14ac:dyDescent="0.45"/>
    <row r="749" spans="2:16" ht="17.399999999999999" thickBot="1" x14ac:dyDescent="0.45">
      <c r="F749" s="292" t="s">
        <v>22</v>
      </c>
      <c r="G749" s="293"/>
      <c r="H749" s="293"/>
      <c r="I749" s="294"/>
      <c r="K749" s="229">
        <f>+K745+K747</f>
        <v>49</v>
      </c>
      <c r="L749" s="119">
        <f>+L745+L747</f>
        <v>34368.6</v>
      </c>
    </row>
    <row r="750" spans="2:16" ht="17.399999999999999" thickBot="1" x14ac:dyDescent="0.45">
      <c r="F750" s="128"/>
      <c r="G750" s="129"/>
      <c r="H750" s="130"/>
      <c r="I750" s="108"/>
      <c r="K750" s="231"/>
      <c r="L750" s="132">
        <f>L749/I701</f>
        <v>49</v>
      </c>
      <c r="M750" s="133">
        <f>(K749-L750)*I701</f>
        <v>0</v>
      </c>
    </row>
    <row r="751" spans="2:16" x14ac:dyDescent="0.4">
      <c r="F751" s="128"/>
      <c r="G751" s="129"/>
      <c r="H751" s="130"/>
      <c r="I751" s="108"/>
      <c r="K751" s="232"/>
      <c r="L751" s="131"/>
      <c r="M751" s="134"/>
      <c r="N751" s="135"/>
    </row>
    <row r="752" spans="2:16" ht="17.399999999999999" thickBot="1" x14ac:dyDescent="0.45">
      <c r="B752" s="295"/>
      <c r="C752" s="295"/>
      <c r="D752" s="295"/>
    </row>
    <row r="753" spans="1:16" x14ac:dyDescent="0.4">
      <c r="B753" s="296" t="s">
        <v>23</v>
      </c>
      <c r="C753" s="296"/>
      <c r="D753" s="296"/>
    </row>
    <row r="754" spans="1:16" x14ac:dyDescent="0.4">
      <c r="B754" s="157"/>
      <c r="C754" s="157"/>
      <c r="D754" s="157"/>
    </row>
    <row r="755" spans="1:16" x14ac:dyDescent="0.4">
      <c r="B755" s="157"/>
      <c r="C755" s="157"/>
      <c r="D755" s="157"/>
    </row>
    <row r="756" spans="1:16" x14ac:dyDescent="0.4">
      <c r="B756" s="157"/>
      <c r="C756" s="157"/>
      <c r="D756" s="157"/>
    </row>
    <row r="757" spans="1:16" x14ac:dyDescent="0.4">
      <c r="B757" s="105" t="s">
        <v>43</v>
      </c>
      <c r="C757" s="106"/>
      <c r="D757" s="311" t="s">
        <v>1</v>
      </c>
      <c r="E757" s="311"/>
      <c r="F757" s="311"/>
      <c r="G757" s="311"/>
      <c r="H757" s="106"/>
      <c r="I757" s="107" t="s">
        <v>2</v>
      </c>
      <c r="J757" s="136"/>
      <c r="K757" s="107" t="s">
        <v>3</v>
      </c>
    </row>
    <row r="758" spans="1:16" s="4" customFormat="1" ht="30.75" customHeight="1" x14ac:dyDescent="0.3">
      <c r="A758" s="31"/>
      <c r="B758" s="213">
        <f>CATALOGO!B29</f>
        <v>401.35</v>
      </c>
      <c r="C758" s="71"/>
      <c r="D758" s="312" t="str">
        <f>CATALOGO!C29</f>
        <v>COLUMNA (0.20m X 0.40m + 6 NO. 3 + ESL+ EST NO. 3 @ 0.20m)</v>
      </c>
      <c r="E758" s="312"/>
      <c r="F758" s="312"/>
      <c r="G758" s="312"/>
      <c r="H758" s="71"/>
      <c r="I758" s="213">
        <f>CATALOGO!D29</f>
        <v>15</v>
      </c>
      <c r="J758" s="109"/>
      <c r="K758" s="227" t="str">
        <f>CATALOGO!E29</f>
        <v>ml</v>
      </c>
      <c r="L758" s="71"/>
      <c r="M758" s="71"/>
      <c r="N758" s="104"/>
      <c r="O758" s="37"/>
      <c r="P758" s="37"/>
    </row>
    <row r="759" spans="1:16" ht="17.399999999999999" thickBot="1" x14ac:dyDescent="0.45"/>
    <row r="760" spans="1:16" ht="17.399999999999999" thickBot="1" x14ac:dyDescent="0.45">
      <c r="B760" s="110" t="s">
        <v>4</v>
      </c>
      <c r="C760" s="300" t="s">
        <v>5</v>
      </c>
      <c r="D760" s="300"/>
      <c r="E760" s="300"/>
      <c r="F760" s="300"/>
      <c r="G760" s="301"/>
    </row>
    <row r="761" spans="1:16" x14ac:dyDescent="0.4">
      <c r="B761" s="111" t="s">
        <v>6</v>
      </c>
      <c r="C761" s="313" t="s">
        <v>1</v>
      </c>
      <c r="D761" s="314"/>
      <c r="E761" s="112" t="s">
        <v>193</v>
      </c>
      <c r="F761" s="113" t="s">
        <v>2</v>
      </c>
      <c r="G761" s="114" t="s">
        <v>3</v>
      </c>
      <c r="H761" s="106"/>
      <c r="I761" s="107" t="s">
        <v>7</v>
      </c>
      <c r="J761" s="136"/>
      <c r="K761" s="228" t="s">
        <v>8</v>
      </c>
      <c r="L761" s="115" t="s">
        <v>194</v>
      </c>
    </row>
    <row r="762" spans="1:16" x14ac:dyDescent="0.4">
      <c r="B762" s="122">
        <v>1</v>
      </c>
      <c r="C762" s="315" t="s">
        <v>169</v>
      </c>
      <c r="D762" s="316"/>
      <c r="E762" s="116">
        <f>I758*0.8</f>
        <v>12</v>
      </c>
      <c r="F762" s="83">
        <f>ROUND(E762/I758,2)</f>
        <v>0.8</v>
      </c>
      <c r="G762" s="74" t="str">
        <f>IF(C762=0,0,VLOOKUP(C762,Tabla1[],2,FALSE))</f>
        <v>Varilla</v>
      </c>
      <c r="I762" s="117">
        <f>IF(C762=0,0,VLOOKUP(C762,Tabla1[],3,FALSE))</f>
        <v>40</v>
      </c>
      <c r="K762" s="84">
        <f>+F762*I762</f>
        <v>32</v>
      </c>
      <c r="L762" s="118">
        <f>E762*I762</f>
        <v>480</v>
      </c>
    </row>
    <row r="763" spans="1:16" x14ac:dyDescent="0.4">
      <c r="B763" s="122">
        <v>2</v>
      </c>
      <c r="C763" s="315" t="s">
        <v>313</v>
      </c>
      <c r="D763" s="316"/>
      <c r="E763" s="116">
        <f>I758*0.6</f>
        <v>9</v>
      </c>
      <c r="F763" s="83">
        <f>ROUND(E763/I758,2)</f>
        <v>0.6</v>
      </c>
      <c r="G763" s="74" t="str">
        <f>IF(C763=0,0,VLOOKUP(C763,Tabla1[],2,FALSE))</f>
        <v>Varilla</v>
      </c>
      <c r="I763" s="117">
        <f>IF(C763=0,0,VLOOKUP(C763,Tabla1[],3,FALSE))</f>
        <v>20</v>
      </c>
      <c r="K763" s="84">
        <f>+F763*I763</f>
        <v>12</v>
      </c>
      <c r="L763" s="118">
        <f>E763*I763</f>
        <v>180</v>
      </c>
    </row>
    <row r="764" spans="1:16" x14ac:dyDescent="0.4">
      <c r="B764" s="122">
        <v>3</v>
      </c>
      <c r="C764" s="317" t="s">
        <v>214</v>
      </c>
      <c r="D764" s="318"/>
      <c r="E764" s="116">
        <f>I758*0.2</f>
        <v>3</v>
      </c>
      <c r="F764" s="83">
        <f>ROUND(E764/I758,2)</f>
        <v>0.2</v>
      </c>
      <c r="G764" s="74" t="str">
        <f>IF(C764=0,0,VLOOKUP(C764,Tabla1[],2,FALSE))</f>
        <v>Saco</v>
      </c>
      <c r="I764" s="117">
        <f>IF(C764=0,0,VLOOKUP(C764,Tabla1[],3,FALSE))</f>
        <v>80</v>
      </c>
      <c r="K764" s="84">
        <f t="shared" ref="K764:K771" si="114">+F764*I764</f>
        <v>16</v>
      </c>
      <c r="L764" s="118">
        <f t="shared" ref="L764:L771" si="115">E764*I764</f>
        <v>240</v>
      </c>
    </row>
    <row r="765" spans="1:16" x14ac:dyDescent="0.4">
      <c r="B765" s="122">
        <v>4</v>
      </c>
      <c r="C765" s="319" t="s">
        <v>73</v>
      </c>
      <c r="D765" s="318"/>
      <c r="E765" s="116">
        <f>I758*0.02</f>
        <v>0.3</v>
      </c>
      <c r="F765" s="83">
        <f>ROUND(E765/I758,2)</f>
        <v>0.02</v>
      </c>
      <c r="G765" s="74" t="str">
        <f>IF(C765=0,0,VLOOKUP(C765,Tabla1[],2,FALSE))</f>
        <v>m³</v>
      </c>
      <c r="I765" s="117">
        <f>IF(C765=0,0,VLOOKUP(C765,Tabla1[],3,FALSE))</f>
        <v>250</v>
      </c>
      <c r="K765" s="84">
        <f t="shared" si="114"/>
        <v>5</v>
      </c>
      <c r="L765" s="118">
        <f t="shared" si="115"/>
        <v>75</v>
      </c>
    </row>
    <row r="766" spans="1:16" x14ac:dyDescent="0.4">
      <c r="B766" s="122">
        <v>5</v>
      </c>
      <c r="C766" s="319" t="s">
        <v>230</v>
      </c>
      <c r="D766" s="318"/>
      <c r="E766" s="116">
        <f>I758*0.02</f>
        <v>0.3</v>
      </c>
      <c r="F766" s="83">
        <f>ROUND(E766/I758,2)</f>
        <v>0.02</v>
      </c>
      <c r="G766" s="74" t="str">
        <f>IF(C766=0,0,VLOOKUP(C766,Tabla1[],2,FALSE))</f>
        <v>m³</v>
      </c>
      <c r="I766" s="117">
        <f>IF(C766=0,0,VLOOKUP(C766,Tabla1[],3,FALSE))</f>
        <v>250</v>
      </c>
      <c r="K766" s="84">
        <f t="shared" si="114"/>
        <v>5</v>
      </c>
      <c r="L766" s="118">
        <f t="shared" si="115"/>
        <v>75</v>
      </c>
    </row>
    <row r="767" spans="1:16" x14ac:dyDescent="0.4">
      <c r="B767" s="122">
        <v>6</v>
      </c>
      <c r="C767" s="320" t="s">
        <v>369</v>
      </c>
      <c r="D767" s="320"/>
      <c r="E767" s="116">
        <f>I758*0.2</f>
        <v>3</v>
      </c>
      <c r="F767" s="83">
        <f>ROUND(E767/I758,2)</f>
        <v>0.2</v>
      </c>
      <c r="G767" s="74" t="str">
        <f>IF(C767=0,0,VLOOKUP(C767,Tabla1[],2,FALSE))</f>
        <v>Libra</v>
      </c>
      <c r="I767" s="117">
        <f>IF(C767=0,0,VLOOKUP(C767,Tabla1[],3,FALSE))</f>
        <v>8</v>
      </c>
      <c r="K767" s="84">
        <f t="shared" si="114"/>
        <v>1.6</v>
      </c>
      <c r="L767" s="118">
        <f t="shared" si="115"/>
        <v>24</v>
      </c>
    </row>
    <row r="768" spans="1:16" x14ac:dyDescent="0.4">
      <c r="B768" s="122">
        <v>7</v>
      </c>
      <c r="C768" s="320" t="s">
        <v>175</v>
      </c>
      <c r="D768" s="320"/>
      <c r="E768" s="116">
        <f>I758*0.04</f>
        <v>0.6</v>
      </c>
      <c r="F768" s="83">
        <f>ROUND(E768/I758,2)</f>
        <v>0.04</v>
      </c>
      <c r="G768" s="74" t="str">
        <f>IF(C768=0,0,VLOOKUP(C768,Tabla1[],2,FALSE))</f>
        <v>Libra</v>
      </c>
      <c r="I768" s="117">
        <f>IF(C768=0,0,VLOOKUP(C768,Tabla1[],3,FALSE))</f>
        <v>10</v>
      </c>
      <c r="K768" s="84">
        <f t="shared" si="114"/>
        <v>0.4</v>
      </c>
      <c r="L768" s="118">
        <f t="shared" si="115"/>
        <v>6</v>
      </c>
    </row>
    <row r="769" spans="2:12" x14ac:dyDescent="0.4">
      <c r="B769" s="122">
        <v>8</v>
      </c>
      <c r="C769" s="320" t="s">
        <v>180</v>
      </c>
      <c r="D769" s="320"/>
      <c r="E769" s="116">
        <f>I758*12</f>
        <v>180</v>
      </c>
      <c r="F769" s="83">
        <f>ROUND(E769/I758,2)</f>
        <v>12</v>
      </c>
      <c r="G769" s="74" t="str">
        <f>IF(C769=0,0,VLOOKUP(C769,Tabla1[],2,FALSE))</f>
        <v>pt</v>
      </c>
      <c r="I769" s="117">
        <f>IF(C769=0,0,VLOOKUP(C769,Tabla1[],3,FALSE))</f>
        <v>9</v>
      </c>
      <c r="K769" s="84">
        <f t="shared" si="114"/>
        <v>108</v>
      </c>
      <c r="L769" s="118">
        <f t="shared" si="115"/>
        <v>1620</v>
      </c>
    </row>
    <row r="770" spans="2:12" x14ac:dyDescent="0.4">
      <c r="B770" s="122"/>
      <c r="C770" s="321"/>
      <c r="D770" s="321"/>
      <c r="E770" s="116"/>
      <c r="F770" s="72"/>
      <c r="G770" s="74"/>
      <c r="I770" s="117">
        <f>IF(C770=0,0,VLOOKUP(C770,Tabla1[],3,FALSE))</f>
        <v>0</v>
      </c>
      <c r="K770" s="84">
        <f t="shared" si="114"/>
        <v>0</v>
      </c>
      <c r="L770" s="118">
        <f t="shared" si="115"/>
        <v>0</v>
      </c>
    </row>
    <row r="771" spans="2:12" x14ac:dyDescent="0.4">
      <c r="B771" s="122"/>
      <c r="C771" s="321"/>
      <c r="D771" s="321"/>
      <c r="E771" s="116"/>
      <c r="F771" s="72"/>
      <c r="G771" s="74"/>
      <c r="I771" s="117">
        <f>IF(C771=0,0,VLOOKUP(C771,Tabla1[],3,FALSE))</f>
        <v>0</v>
      </c>
      <c r="K771" s="84">
        <f t="shared" si="114"/>
        <v>0</v>
      </c>
      <c r="L771" s="118">
        <f t="shared" si="115"/>
        <v>0</v>
      </c>
    </row>
    <row r="772" spans="2:12" ht="17.399999999999999" thickBot="1" x14ac:dyDescent="0.45"/>
    <row r="773" spans="2:12" ht="17.399999999999999" thickBot="1" x14ac:dyDescent="0.45">
      <c r="F773" s="292" t="s">
        <v>9</v>
      </c>
      <c r="G773" s="293"/>
      <c r="H773" s="293"/>
      <c r="I773" s="294"/>
      <c r="K773" s="229">
        <f>+SUM(K762:K771)</f>
        <v>180</v>
      </c>
      <c r="L773" s="119">
        <f>+SUM(L762:L771)</f>
        <v>2700</v>
      </c>
    </row>
    <row r="774" spans="2:12" ht="17.399999999999999" thickBot="1" x14ac:dyDescent="0.45"/>
    <row r="775" spans="2:12" ht="17.399999999999999" thickBot="1" x14ac:dyDescent="0.45">
      <c r="B775" s="110" t="s">
        <v>10</v>
      </c>
      <c r="C775" s="300" t="s">
        <v>11</v>
      </c>
      <c r="D775" s="300"/>
      <c r="E775" s="300"/>
      <c r="F775" s="300"/>
      <c r="G775" s="301"/>
    </row>
    <row r="776" spans="2:12" x14ac:dyDescent="0.4">
      <c r="B776" s="114" t="s">
        <v>6</v>
      </c>
      <c r="C776" s="302" t="s">
        <v>1</v>
      </c>
      <c r="D776" s="303"/>
      <c r="E776" s="112" t="s">
        <v>193</v>
      </c>
      <c r="F776" s="120" t="s">
        <v>2</v>
      </c>
      <c r="G776" s="114" t="s">
        <v>3</v>
      </c>
      <c r="H776" s="106"/>
      <c r="I776" s="107" t="s">
        <v>7</v>
      </c>
      <c r="J776" s="136"/>
      <c r="K776" s="107" t="s">
        <v>8</v>
      </c>
      <c r="L776" s="115" t="s">
        <v>194</v>
      </c>
    </row>
    <row r="777" spans="2:12" x14ac:dyDescent="0.4">
      <c r="B777" s="122"/>
      <c r="C777" s="306"/>
      <c r="D777" s="306"/>
      <c r="E777" s="116"/>
      <c r="F777" s="83"/>
      <c r="G777" s="74"/>
      <c r="I777" s="117">
        <f>IF(C777=0,0,VLOOKUP(C777,Tabla3[],3,FALSE))</f>
        <v>0</v>
      </c>
      <c r="K777" s="84">
        <f t="shared" ref="K777:K780" si="116">+F777*I777</f>
        <v>0</v>
      </c>
      <c r="L777" s="118">
        <f>E777*I777</f>
        <v>0</v>
      </c>
    </row>
    <row r="778" spans="2:12" x14ac:dyDescent="0.4">
      <c r="B778" s="74"/>
      <c r="C778" s="206"/>
      <c r="D778" s="207"/>
      <c r="E778" s="121"/>
      <c r="F778" s="72"/>
      <c r="G778" s="74"/>
      <c r="I778" s="117">
        <f>IF(C778=0,0,VLOOKUP(C778,Tabla3[],3,FALSE))</f>
        <v>0</v>
      </c>
      <c r="K778" s="84">
        <f t="shared" si="116"/>
        <v>0</v>
      </c>
      <c r="L778" s="118">
        <f t="shared" ref="L778:L780" si="117">E778*I778</f>
        <v>0</v>
      </c>
    </row>
    <row r="779" spans="2:12" x14ac:dyDescent="0.4">
      <c r="B779" s="74"/>
      <c r="C779" s="206"/>
      <c r="D779" s="207"/>
      <c r="E779" s="121"/>
      <c r="F779" s="72"/>
      <c r="G779" s="74"/>
      <c r="I779" s="117">
        <f>IF(C779=0,0,VLOOKUP(C779,Tabla3[],3,FALSE))</f>
        <v>0</v>
      </c>
      <c r="K779" s="84">
        <f t="shared" si="116"/>
        <v>0</v>
      </c>
      <c r="L779" s="118">
        <f t="shared" si="117"/>
        <v>0</v>
      </c>
    </row>
    <row r="780" spans="2:12" x14ac:dyDescent="0.4">
      <c r="B780" s="74"/>
      <c r="C780" s="304"/>
      <c r="D780" s="305"/>
      <c r="E780" s="121"/>
      <c r="F780" s="72"/>
      <c r="G780" s="74"/>
      <c r="I780" s="117">
        <f>IF(C780=0,0,VLOOKUP(C780,Tabla3[],3,FALSE))</f>
        <v>0</v>
      </c>
      <c r="K780" s="84">
        <f t="shared" si="116"/>
        <v>0</v>
      </c>
      <c r="L780" s="118">
        <f t="shared" si="117"/>
        <v>0</v>
      </c>
    </row>
    <row r="781" spans="2:12" ht="17.399999999999999" thickBot="1" x14ac:dyDescent="0.45"/>
    <row r="782" spans="2:12" ht="17.399999999999999" thickBot="1" x14ac:dyDescent="0.45">
      <c r="F782" s="292" t="s">
        <v>12</v>
      </c>
      <c r="G782" s="293"/>
      <c r="H782" s="293"/>
      <c r="I782" s="294"/>
      <c r="K782" s="229">
        <f>+SUM(K777:K780)</f>
        <v>0</v>
      </c>
      <c r="L782" s="119">
        <f>+SUM(L777:L780)</f>
        <v>0</v>
      </c>
    </row>
    <row r="783" spans="2:12" ht="17.399999999999999" thickBot="1" x14ac:dyDescent="0.45"/>
    <row r="784" spans="2:12" ht="17.399999999999999" thickBot="1" x14ac:dyDescent="0.45">
      <c r="B784" s="110" t="s">
        <v>13</v>
      </c>
      <c r="C784" s="300" t="s">
        <v>14</v>
      </c>
      <c r="D784" s="300"/>
      <c r="E784" s="300"/>
      <c r="F784" s="300"/>
      <c r="G784" s="301"/>
    </row>
    <row r="785" spans="2:12" x14ac:dyDescent="0.4">
      <c r="B785" s="114" t="s">
        <v>6</v>
      </c>
      <c r="C785" s="302" t="s">
        <v>1</v>
      </c>
      <c r="D785" s="303"/>
      <c r="E785" s="112" t="s">
        <v>193</v>
      </c>
      <c r="F785" s="120" t="s">
        <v>2</v>
      </c>
      <c r="G785" s="114" t="s">
        <v>3</v>
      </c>
      <c r="H785" s="106"/>
      <c r="I785" s="107" t="s">
        <v>7</v>
      </c>
      <c r="J785" s="136"/>
      <c r="K785" s="107" t="s">
        <v>8</v>
      </c>
      <c r="L785" s="115" t="s">
        <v>194</v>
      </c>
    </row>
    <row r="786" spans="2:12" x14ac:dyDescent="0.4">
      <c r="B786" s="122">
        <v>1</v>
      </c>
      <c r="C786" s="306" t="s">
        <v>421</v>
      </c>
      <c r="D786" s="306"/>
      <c r="E786" s="116">
        <f>I758</f>
        <v>15</v>
      </c>
      <c r="F786" s="83">
        <f>ROUND(E786/I758,2)</f>
        <v>1</v>
      </c>
      <c r="G786" s="74" t="str">
        <f>IF(C786=0,0,VLOOKUP(C786,Tabla2[],2,FALSE))</f>
        <v>ml</v>
      </c>
      <c r="I786" s="117">
        <f>IF(C786=0,0,VLOOKUP(C786,Tabla2[],3,FALSE))</f>
        <v>100</v>
      </c>
      <c r="K786" s="84">
        <f>+F786*I786</f>
        <v>100</v>
      </c>
      <c r="L786" s="118">
        <f>E786*I786</f>
        <v>1500</v>
      </c>
    </row>
    <row r="787" spans="2:12" x14ac:dyDescent="0.4">
      <c r="B787" s="122"/>
      <c r="C787" s="306"/>
      <c r="D787" s="306"/>
      <c r="E787" s="116"/>
      <c r="F787" s="83"/>
      <c r="G787" s="74"/>
      <c r="I787" s="117">
        <f>IF(C787=0,0,VLOOKUP(C787,Tabla2[],3,FALSE))</f>
        <v>0</v>
      </c>
      <c r="K787" s="84">
        <f>+F787*I787</f>
        <v>0</v>
      </c>
      <c r="L787" s="118">
        <f>E787*I787</f>
        <v>0</v>
      </c>
    </row>
    <row r="788" spans="2:12" ht="17.399999999999999" thickBot="1" x14ac:dyDescent="0.45">
      <c r="B788" s="123"/>
      <c r="C788" s="307"/>
      <c r="D788" s="308"/>
      <c r="E788" s="124"/>
      <c r="F788" s="125"/>
      <c r="G788" s="74"/>
      <c r="I788" s="117">
        <f>IF(C788=0,0,VLOOKUP(C788,Tabla2[],3,FALSE))</f>
        <v>0</v>
      </c>
      <c r="K788" s="84">
        <f t="shared" ref="K788" si="118">+F788*I788</f>
        <v>0</v>
      </c>
      <c r="L788" s="118">
        <f t="shared" ref="L788:L789" si="119">E788*I788</f>
        <v>0</v>
      </c>
    </row>
    <row r="789" spans="2:12" ht="17.399999999999999" thickBot="1" x14ac:dyDescent="0.45">
      <c r="B789" s="297" t="s">
        <v>15</v>
      </c>
      <c r="C789" s="298"/>
      <c r="D789" s="298"/>
      <c r="E789" s="298"/>
      <c r="F789" s="298"/>
      <c r="G789" s="299"/>
      <c r="I789" s="84">
        <v>0</v>
      </c>
      <c r="K789" s="84">
        <v>0</v>
      </c>
      <c r="L789" s="118">
        <f t="shared" si="119"/>
        <v>0</v>
      </c>
    </row>
    <row r="790" spans="2:12" ht="17.399999999999999" thickBot="1" x14ac:dyDescent="0.45"/>
    <row r="791" spans="2:12" ht="17.399999999999999" thickBot="1" x14ac:dyDescent="0.45">
      <c r="F791" s="292" t="s">
        <v>16</v>
      </c>
      <c r="G791" s="293"/>
      <c r="H791" s="293"/>
      <c r="I791" s="294"/>
      <c r="K791" s="229">
        <f>+SUM(K786:K789)</f>
        <v>100</v>
      </c>
      <c r="L791" s="119">
        <f>+SUM(L786:L789)</f>
        <v>1500</v>
      </c>
    </row>
    <row r="792" spans="2:12" ht="17.399999999999999" thickBot="1" x14ac:dyDescent="0.45"/>
    <row r="793" spans="2:12" ht="17.399999999999999" thickBot="1" x14ac:dyDescent="0.45">
      <c r="B793" s="110" t="s">
        <v>17</v>
      </c>
      <c r="C793" s="300" t="s">
        <v>18</v>
      </c>
      <c r="D793" s="300"/>
      <c r="E793" s="300"/>
      <c r="F793" s="300"/>
      <c r="G793" s="301"/>
    </row>
    <row r="794" spans="2:12" x14ac:dyDescent="0.4">
      <c r="B794" s="114" t="s">
        <v>6</v>
      </c>
      <c r="C794" s="302" t="s">
        <v>1</v>
      </c>
      <c r="D794" s="303"/>
      <c r="E794" s="126"/>
      <c r="F794" s="120" t="s">
        <v>2</v>
      </c>
      <c r="G794" s="114" t="s">
        <v>3</v>
      </c>
      <c r="H794" s="106"/>
      <c r="I794" s="107" t="s">
        <v>7</v>
      </c>
      <c r="J794" s="136"/>
      <c r="K794" s="107" t="s">
        <v>8</v>
      </c>
      <c r="L794" s="115" t="s">
        <v>194</v>
      </c>
    </row>
    <row r="795" spans="2:12" x14ac:dyDescent="0.4">
      <c r="B795" s="74"/>
      <c r="C795" s="304"/>
      <c r="D795" s="305"/>
      <c r="E795" s="127"/>
      <c r="F795" s="72"/>
      <c r="G795" s="74"/>
      <c r="I795" s="84">
        <v>0</v>
      </c>
      <c r="K795" s="84">
        <f>+F795*I795</f>
        <v>0</v>
      </c>
      <c r="L795" s="118">
        <f>E795*I795</f>
        <v>0</v>
      </c>
    </row>
    <row r="796" spans="2:12" x14ac:dyDescent="0.4">
      <c r="B796" s="74"/>
      <c r="C796" s="304"/>
      <c r="D796" s="305"/>
      <c r="E796" s="127"/>
      <c r="F796" s="72"/>
      <c r="G796" s="74"/>
      <c r="I796" s="84">
        <v>0</v>
      </c>
      <c r="K796" s="84">
        <f t="shared" ref="K796:K797" si="120">+F796*I796</f>
        <v>0</v>
      </c>
      <c r="L796" s="118">
        <f t="shared" ref="L796:L797" si="121">E796*I796</f>
        <v>0</v>
      </c>
    </row>
    <row r="797" spans="2:12" x14ac:dyDescent="0.4">
      <c r="B797" s="74"/>
      <c r="C797" s="304"/>
      <c r="D797" s="305"/>
      <c r="E797" s="127"/>
      <c r="F797" s="72"/>
      <c r="G797" s="74"/>
      <c r="I797" s="84">
        <v>0</v>
      </c>
      <c r="K797" s="84">
        <f t="shared" si="120"/>
        <v>0</v>
      </c>
      <c r="L797" s="118">
        <f t="shared" si="121"/>
        <v>0</v>
      </c>
    </row>
    <row r="798" spans="2:12" ht="17.399999999999999" thickBot="1" x14ac:dyDescent="0.45">
      <c r="L798" s="118"/>
    </row>
    <row r="799" spans="2:12" ht="17.399999999999999" thickBot="1" x14ac:dyDescent="0.45">
      <c r="F799" s="292" t="s">
        <v>19</v>
      </c>
      <c r="G799" s="293"/>
      <c r="H799" s="293"/>
      <c r="I799" s="294"/>
      <c r="K799" s="229">
        <f>+SUM(K795:K797)</f>
        <v>0</v>
      </c>
      <c r="L799" s="119">
        <f>+SUM(L794:L797)</f>
        <v>0</v>
      </c>
    </row>
    <row r="800" spans="2:12" ht="15" customHeight="1" x14ac:dyDescent="0.4">
      <c r="F800" s="128"/>
      <c r="G800" s="129"/>
      <c r="H800" s="130"/>
      <c r="I800" s="108"/>
      <c r="K800" s="230"/>
    </row>
    <row r="801" spans="1:16" ht="15" customHeight="1" thickBot="1" x14ac:dyDescent="0.45"/>
    <row r="802" spans="1:16" ht="17.399999999999999" thickBot="1" x14ac:dyDescent="0.45">
      <c r="F802" s="292" t="s">
        <v>20</v>
      </c>
      <c r="G802" s="293"/>
      <c r="H802" s="293"/>
      <c r="I802" s="294"/>
      <c r="K802" s="229">
        <f>(+K773+K782+K791+K799)</f>
        <v>280</v>
      </c>
      <c r="L802" s="119">
        <f>(+L773+L782+L791+L799)</f>
        <v>4200</v>
      </c>
      <c r="N802" s="131"/>
      <c r="O802" s="39"/>
      <c r="P802" s="40"/>
    </row>
    <row r="803" spans="1:16" ht="7.5" customHeight="1" thickBot="1" x14ac:dyDescent="0.45">
      <c r="N803" s="131"/>
      <c r="O803" s="41"/>
      <c r="P803" s="40"/>
    </row>
    <row r="804" spans="1:16" ht="17.399999999999999" thickBot="1" x14ac:dyDescent="0.45">
      <c r="F804" s="292" t="s">
        <v>21</v>
      </c>
      <c r="G804" s="293"/>
      <c r="H804" s="293"/>
      <c r="I804" s="294"/>
      <c r="K804" s="229">
        <f>K802*$N$2</f>
        <v>112</v>
      </c>
      <c r="L804" s="119">
        <f>L802*$N$2</f>
        <v>1680</v>
      </c>
    </row>
    <row r="805" spans="1:16" ht="7.5" customHeight="1" thickBot="1" x14ac:dyDescent="0.45"/>
    <row r="806" spans="1:16" ht="17.399999999999999" thickBot="1" x14ac:dyDescent="0.45">
      <c r="F806" s="292" t="s">
        <v>22</v>
      </c>
      <c r="G806" s="293"/>
      <c r="H806" s="293"/>
      <c r="I806" s="294"/>
      <c r="K806" s="229">
        <f>+K802+K804</f>
        <v>392</v>
      </c>
      <c r="L806" s="119">
        <f>+L802+L804</f>
        <v>5880</v>
      </c>
    </row>
    <row r="807" spans="1:16" ht="17.399999999999999" thickBot="1" x14ac:dyDescent="0.45">
      <c r="F807" s="128"/>
      <c r="G807" s="129"/>
      <c r="H807" s="130"/>
      <c r="I807" s="108"/>
      <c r="K807" s="231"/>
      <c r="L807" s="132">
        <f>L806/I758</f>
        <v>392</v>
      </c>
      <c r="M807" s="133">
        <f>(K806-L807)*I758</f>
        <v>0</v>
      </c>
    </row>
    <row r="808" spans="1:16" x14ac:dyDescent="0.4">
      <c r="F808" s="128"/>
      <c r="G808" s="129"/>
      <c r="H808" s="130"/>
      <c r="I808" s="108"/>
      <c r="K808" s="232"/>
      <c r="L808" s="131"/>
      <c r="M808" s="134"/>
      <c r="N808" s="135"/>
    </row>
    <row r="809" spans="1:16" ht="17.399999999999999" thickBot="1" x14ac:dyDescent="0.45">
      <c r="B809" s="295"/>
      <c r="C809" s="295"/>
      <c r="D809" s="295"/>
    </row>
    <row r="810" spans="1:16" x14ac:dyDescent="0.4">
      <c r="B810" s="296" t="s">
        <v>23</v>
      </c>
      <c r="C810" s="296"/>
      <c r="D810" s="296"/>
    </row>
    <row r="811" spans="1:16" x14ac:dyDescent="0.4">
      <c r="B811" s="157"/>
      <c r="C811" s="157"/>
      <c r="D811" s="157"/>
    </row>
    <row r="812" spans="1:16" x14ac:dyDescent="0.4">
      <c r="B812" s="157"/>
      <c r="C812" s="157"/>
      <c r="D812" s="157"/>
    </row>
    <row r="813" spans="1:16" x14ac:dyDescent="0.4">
      <c r="B813" s="105" t="s">
        <v>43</v>
      </c>
      <c r="C813" s="106"/>
      <c r="D813" s="311" t="s">
        <v>1</v>
      </c>
      <c r="E813" s="311"/>
      <c r="F813" s="311"/>
      <c r="G813" s="311"/>
      <c r="H813" s="106"/>
      <c r="I813" s="107" t="s">
        <v>2</v>
      </c>
      <c r="J813" s="136"/>
      <c r="K813" s="107" t="s">
        <v>3</v>
      </c>
    </row>
    <row r="814" spans="1:16" s="4" customFormat="1" ht="30.75" customHeight="1" x14ac:dyDescent="0.3">
      <c r="A814" s="31"/>
      <c r="B814" s="213">
        <f>CATALOGO!B30</f>
        <v>401.36</v>
      </c>
      <c r="C814" s="71"/>
      <c r="D814" s="312" t="str">
        <f>CATALOGO!C30</f>
        <v>COLUMNA (0.20m X 0.20m + 4 NO. 3 + EST NO. 3 @ 0.20m)</v>
      </c>
      <c r="E814" s="312"/>
      <c r="F814" s="312"/>
      <c r="G814" s="312"/>
      <c r="H814" s="71"/>
      <c r="I814" s="213">
        <f>CATALOGO!D30</f>
        <v>15</v>
      </c>
      <c r="J814" s="109"/>
      <c r="K814" s="227" t="str">
        <f>CATALOGO!E30</f>
        <v>ml</v>
      </c>
      <c r="L814" s="71"/>
      <c r="M814" s="71"/>
      <c r="N814" s="104"/>
      <c r="O814" s="37"/>
      <c r="P814" s="37"/>
    </row>
    <row r="815" spans="1:16" ht="17.399999999999999" thickBot="1" x14ac:dyDescent="0.45"/>
    <row r="816" spans="1:16" ht="17.399999999999999" thickBot="1" x14ac:dyDescent="0.45">
      <c r="B816" s="110" t="s">
        <v>4</v>
      </c>
      <c r="C816" s="300" t="s">
        <v>5</v>
      </c>
      <c r="D816" s="300"/>
      <c r="E816" s="300"/>
      <c r="F816" s="300"/>
      <c r="G816" s="301"/>
    </row>
    <row r="817" spans="2:12" x14ac:dyDescent="0.4">
      <c r="B817" s="111" t="s">
        <v>6</v>
      </c>
      <c r="C817" s="313" t="s">
        <v>1</v>
      </c>
      <c r="D817" s="314"/>
      <c r="E817" s="112" t="s">
        <v>193</v>
      </c>
      <c r="F817" s="113" t="s">
        <v>2</v>
      </c>
      <c r="G817" s="114" t="s">
        <v>3</v>
      </c>
      <c r="H817" s="106"/>
      <c r="I817" s="107" t="s">
        <v>7</v>
      </c>
      <c r="J817" s="136"/>
      <c r="K817" s="228" t="s">
        <v>8</v>
      </c>
      <c r="L817" s="115" t="s">
        <v>194</v>
      </c>
    </row>
    <row r="818" spans="2:12" x14ac:dyDescent="0.4">
      <c r="B818" s="122">
        <v>1</v>
      </c>
      <c r="C818" s="315" t="s">
        <v>169</v>
      </c>
      <c r="D818" s="316"/>
      <c r="E818" s="116">
        <f>I814*0.2</f>
        <v>3</v>
      </c>
      <c r="F818" s="83">
        <f>ROUND(E818/I814,2)</f>
        <v>0.2</v>
      </c>
      <c r="G818" s="74" t="str">
        <f>IF(C818=0,0,VLOOKUP(C818,Tabla1[],2,FALSE))</f>
        <v>Varilla</v>
      </c>
      <c r="I818" s="117">
        <f>IF(C818=0,0,VLOOKUP(C818,Tabla1[],3,FALSE))</f>
        <v>40</v>
      </c>
      <c r="K818" s="84">
        <f>+F818*I818</f>
        <v>8</v>
      </c>
      <c r="L818" s="118">
        <f>E818*I818</f>
        <v>120</v>
      </c>
    </row>
    <row r="819" spans="2:12" x14ac:dyDescent="0.4">
      <c r="B819" s="122">
        <v>2</v>
      </c>
      <c r="C819" s="315" t="s">
        <v>313</v>
      </c>
      <c r="D819" s="316"/>
      <c r="E819" s="116">
        <f>I814*0.25</f>
        <v>3.75</v>
      </c>
      <c r="F819" s="83">
        <f>ROUND(E819/I814,2)</f>
        <v>0.25</v>
      </c>
      <c r="G819" s="74" t="str">
        <f>IF(C819=0,0,VLOOKUP(C819,Tabla1[],2,FALSE))</f>
        <v>Varilla</v>
      </c>
      <c r="I819" s="117">
        <f>IF(C819=0,0,VLOOKUP(C819,Tabla1[],3,FALSE))</f>
        <v>20</v>
      </c>
      <c r="K819" s="84">
        <f>+F819*I819</f>
        <v>5</v>
      </c>
      <c r="L819" s="118">
        <f>E819*I819</f>
        <v>75</v>
      </c>
    </row>
    <row r="820" spans="2:12" x14ac:dyDescent="0.4">
      <c r="B820" s="122">
        <v>3</v>
      </c>
      <c r="C820" s="317" t="s">
        <v>214</v>
      </c>
      <c r="D820" s="318"/>
      <c r="E820" s="116">
        <f>I814*0.2</f>
        <v>3</v>
      </c>
      <c r="F820" s="83">
        <f>ROUND(E820/I814,2)</f>
        <v>0.2</v>
      </c>
      <c r="G820" s="74" t="str">
        <f>IF(C820=0,0,VLOOKUP(C820,Tabla1[],2,FALSE))</f>
        <v>Saco</v>
      </c>
      <c r="I820" s="117">
        <f>IF(C820=0,0,VLOOKUP(C820,Tabla1[],3,FALSE))</f>
        <v>80</v>
      </c>
      <c r="K820" s="84">
        <f t="shared" ref="K820:K827" si="122">+F820*I820</f>
        <v>16</v>
      </c>
      <c r="L820" s="118">
        <f t="shared" ref="L820:L827" si="123">E820*I820</f>
        <v>240</v>
      </c>
    </row>
    <row r="821" spans="2:12" x14ac:dyDescent="0.4">
      <c r="B821" s="122">
        <v>4</v>
      </c>
      <c r="C821" s="319" t="s">
        <v>73</v>
      </c>
      <c r="D821" s="318"/>
      <c r="E821" s="116">
        <f>I814*0.01</f>
        <v>0.15</v>
      </c>
      <c r="F821" s="83">
        <f>ROUND(E821/I814,2)</f>
        <v>0.01</v>
      </c>
      <c r="G821" s="74" t="str">
        <f>IF(C821=0,0,VLOOKUP(C821,Tabla1[],2,FALSE))</f>
        <v>m³</v>
      </c>
      <c r="I821" s="117">
        <f>IF(C821=0,0,VLOOKUP(C821,Tabla1[],3,FALSE))</f>
        <v>250</v>
      </c>
      <c r="K821" s="84">
        <f t="shared" si="122"/>
        <v>2.5</v>
      </c>
      <c r="L821" s="118">
        <f t="shared" si="123"/>
        <v>37.5</v>
      </c>
    </row>
    <row r="822" spans="2:12" x14ac:dyDescent="0.4">
      <c r="B822" s="122">
        <v>5</v>
      </c>
      <c r="C822" s="319" t="s">
        <v>230</v>
      </c>
      <c r="D822" s="318"/>
      <c r="E822" s="116">
        <f>I814*0.01</f>
        <v>0.15</v>
      </c>
      <c r="F822" s="83">
        <f>ROUND(E822/I814,2)</f>
        <v>0.01</v>
      </c>
      <c r="G822" s="74" t="str">
        <f>IF(C822=0,0,VLOOKUP(C822,Tabla1[],2,FALSE))</f>
        <v>m³</v>
      </c>
      <c r="I822" s="117">
        <f>IF(C822=0,0,VLOOKUP(C822,Tabla1[],3,FALSE))</f>
        <v>250</v>
      </c>
      <c r="K822" s="84">
        <f t="shared" si="122"/>
        <v>2.5</v>
      </c>
      <c r="L822" s="118">
        <f t="shared" si="123"/>
        <v>37.5</v>
      </c>
    </row>
    <row r="823" spans="2:12" x14ac:dyDescent="0.4">
      <c r="B823" s="122">
        <v>6</v>
      </c>
      <c r="C823" s="320" t="s">
        <v>369</v>
      </c>
      <c r="D823" s="320"/>
      <c r="E823" s="116">
        <f>I814*0.1</f>
        <v>1.5</v>
      </c>
      <c r="F823" s="83">
        <f>ROUND(E823/I814,2)</f>
        <v>0.1</v>
      </c>
      <c r="G823" s="74" t="str">
        <f>IF(C823=0,0,VLOOKUP(C823,Tabla1[],2,FALSE))</f>
        <v>Libra</v>
      </c>
      <c r="I823" s="117">
        <f>IF(C823=0,0,VLOOKUP(C823,Tabla1[],3,FALSE))</f>
        <v>8</v>
      </c>
      <c r="K823" s="84">
        <f t="shared" si="122"/>
        <v>0.8</v>
      </c>
      <c r="L823" s="118">
        <f t="shared" si="123"/>
        <v>12</v>
      </c>
    </row>
    <row r="824" spans="2:12" x14ac:dyDescent="0.4">
      <c r="B824" s="122">
        <v>7</v>
      </c>
      <c r="C824" s="320" t="s">
        <v>175</v>
      </c>
      <c r="D824" s="320"/>
      <c r="E824" s="116">
        <f>I814*0.02</f>
        <v>0.3</v>
      </c>
      <c r="F824" s="83">
        <f>ROUND(E824/I814,2)</f>
        <v>0.02</v>
      </c>
      <c r="G824" s="74" t="str">
        <f>IF(C824=0,0,VLOOKUP(C824,Tabla1[],2,FALSE))</f>
        <v>Libra</v>
      </c>
      <c r="I824" s="117">
        <f>IF(C824=0,0,VLOOKUP(C824,Tabla1[],3,FALSE))</f>
        <v>10</v>
      </c>
      <c r="K824" s="84">
        <f t="shared" si="122"/>
        <v>0.2</v>
      </c>
      <c r="L824" s="118">
        <f t="shared" si="123"/>
        <v>3</v>
      </c>
    </row>
    <row r="825" spans="2:12" x14ac:dyDescent="0.4">
      <c r="B825" s="122">
        <v>8</v>
      </c>
      <c r="C825" s="320" t="s">
        <v>180</v>
      </c>
      <c r="D825" s="320"/>
      <c r="E825" s="116">
        <f>I814*5</f>
        <v>75</v>
      </c>
      <c r="F825" s="83">
        <f>ROUND(E825/I814,2)</f>
        <v>5</v>
      </c>
      <c r="G825" s="74" t="str">
        <f>IF(C825=0,0,VLOOKUP(C825,Tabla1[],2,FALSE))</f>
        <v>pt</v>
      </c>
      <c r="I825" s="117">
        <f>IF(C825=0,0,VLOOKUP(C825,Tabla1[],3,FALSE))</f>
        <v>9</v>
      </c>
      <c r="K825" s="84">
        <f t="shared" si="122"/>
        <v>45</v>
      </c>
      <c r="L825" s="118">
        <f t="shared" si="123"/>
        <v>675</v>
      </c>
    </row>
    <row r="826" spans="2:12" x14ac:dyDescent="0.4">
      <c r="B826" s="122"/>
      <c r="C826" s="321"/>
      <c r="D826" s="321"/>
      <c r="E826" s="116"/>
      <c r="F826" s="72"/>
      <c r="G826" s="74"/>
      <c r="I826" s="117">
        <f>IF(C826=0,0,VLOOKUP(C826,Tabla1[],3,FALSE))</f>
        <v>0</v>
      </c>
      <c r="K826" s="84">
        <f t="shared" si="122"/>
        <v>0</v>
      </c>
      <c r="L826" s="118">
        <f t="shared" si="123"/>
        <v>0</v>
      </c>
    </row>
    <row r="827" spans="2:12" x14ac:dyDescent="0.4">
      <c r="B827" s="122"/>
      <c r="C827" s="321"/>
      <c r="D827" s="321"/>
      <c r="E827" s="116"/>
      <c r="F827" s="72"/>
      <c r="G827" s="74"/>
      <c r="I827" s="117">
        <f>IF(C827=0,0,VLOOKUP(C827,Tabla1[],3,FALSE))</f>
        <v>0</v>
      </c>
      <c r="K827" s="84">
        <f t="shared" si="122"/>
        <v>0</v>
      </c>
      <c r="L827" s="118">
        <f t="shared" si="123"/>
        <v>0</v>
      </c>
    </row>
    <row r="828" spans="2:12" ht="17.399999999999999" thickBot="1" x14ac:dyDescent="0.45"/>
    <row r="829" spans="2:12" ht="17.399999999999999" thickBot="1" x14ac:dyDescent="0.45">
      <c r="F829" s="292" t="s">
        <v>9</v>
      </c>
      <c r="G829" s="293"/>
      <c r="H829" s="293"/>
      <c r="I829" s="294"/>
      <c r="K829" s="229">
        <f>+SUM(K818:K827)</f>
        <v>80</v>
      </c>
      <c r="L829" s="119">
        <f>+SUM(L818:L827)</f>
        <v>1200</v>
      </c>
    </row>
    <row r="830" spans="2:12" ht="17.399999999999999" thickBot="1" x14ac:dyDescent="0.45"/>
    <row r="831" spans="2:12" ht="17.399999999999999" thickBot="1" x14ac:dyDescent="0.45">
      <c r="B831" s="110" t="s">
        <v>10</v>
      </c>
      <c r="C831" s="300" t="s">
        <v>11</v>
      </c>
      <c r="D831" s="300"/>
      <c r="E831" s="300"/>
      <c r="F831" s="300"/>
      <c r="G831" s="301"/>
    </row>
    <row r="832" spans="2:12" x14ac:dyDescent="0.4">
      <c r="B832" s="114" t="s">
        <v>6</v>
      </c>
      <c r="C832" s="302" t="s">
        <v>1</v>
      </c>
      <c r="D832" s="303"/>
      <c r="E832" s="112" t="s">
        <v>193</v>
      </c>
      <c r="F832" s="120" t="s">
        <v>2</v>
      </c>
      <c r="G832" s="114" t="s">
        <v>3</v>
      </c>
      <c r="H832" s="106"/>
      <c r="I832" s="107" t="s">
        <v>7</v>
      </c>
      <c r="J832" s="136"/>
      <c r="K832" s="107" t="s">
        <v>8</v>
      </c>
      <c r="L832" s="115" t="s">
        <v>194</v>
      </c>
    </row>
    <row r="833" spans="2:12" x14ac:dyDescent="0.4">
      <c r="B833" s="122"/>
      <c r="C833" s="306"/>
      <c r="D833" s="306"/>
      <c r="E833" s="116"/>
      <c r="F833" s="83"/>
      <c r="G833" s="74"/>
      <c r="I833" s="117">
        <f>IF(C833=0,0,VLOOKUP(C833,Tabla3[],3,FALSE))</f>
        <v>0</v>
      </c>
      <c r="K833" s="84">
        <f t="shared" ref="K833:K836" si="124">+F833*I833</f>
        <v>0</v>
      </c>
      <c r="L833" s="118">
        <f>E833*I833</f>
        <v>0</v>
      </c>
    </row>
    <row r="834" spans="2:12" x14ac:dyDescent="0.4">
      <c r="B834" s="74"/>
      <c r="C834" s="206"/>
      <c r="D834" s="207"/>
      <c r="E834" s="121"/>
      <c r="F834" s="72"/>
      <c r="G834" s="74"/>
      <c r="I834" s="117">
        <f>IF(C834=0,0,VLOOKUP(C834,Tabla3[],3,FALSE))</f>
        <v>0</v>
      </c>
      <c r="K834" s="84">
        <f t="shared" si="124"/>
        <v>0</v>
      </c>
      <c r="L834" s="118">
        <f t="shared" ref="L834:L836" si="125">E834*I834</f>
        <v>0</v>
      </c>
    </row>
    <row r="835" spans="2:12" x14ac:dyDescent="0.4">
      <c r="B835" s="74"/>
      <c r="C835" s="206"/>
      <c r="D835" s="207"/>
      <c r="E835" s="121"/>
      <c r="F835" s="72"/>
      <c r="G835" s="74"/>
      <c r="I835" s="117">
        <f>IF(C835=0,0,VLOOKUP(C835,Tabla3[],3,FALSE))</f>
        <v>0</v>
      </c>
      <c r="K835" s="84">
        <f t="shared" si="124"/>
        <v>0</v>
      </c>
      <c r="L835" s="118">
        <f t="shared" si="125"/>
        <v>0</v>
      </c>
    </row>
    <row r="836" spans="2:12" x14ac:dyDescent="0.4">
      <c r="B836" s="74"/>
      <c r="C836" s="304"/>
      <c r="D836" s="305"/>
      <c r="E836" s="121"/>
      <c r="F836" s="72"/>
      <c r="G836" s="74"/>
      <c r="I836" s="117">
        <f>IF(C836=0,0,VLOOKUP(C836,Tabla3[],3,FALSE))</f>
        <v>0</v>
      </c>
      <c r="K836" s="84">
        <f t="shared" si="124"/>
        <v>0</v>
      </c>
      <c r="L836" s="118">
        <f t="shared" si="125"/>
        <v>0</v>
      </c>
    </row>
    <row r="837" spans="2:12" ht="17.399999999999999" thickBot="1" x14ac:dyDescent="0.45"/>
    <row r="838" spans="2:12" ht="17.399999999999999" thickBot="1" x14ac:dyDescent="0.45">
      <c r="F838" s="292" t="s">
        <v>12</v>
      </c>
      <c r="G838" s="293"/>
      <c r="H838" s="293"/>
      <c r="I838" s="294"/>
      <c r="K838" s="229">
        <f>+SUM(K833:K836)</f>
        <v>0</v>
      </c>
      <c r="L838" s="119">
        <f>+SUM(L833:L836)</f>
        <v>0</v>
      </c>
    </row>
    <row r="839" spans="2:12" ht="17.399999999999999" thickBot="1" x14ac:dyDescent="0.45"/>
    <row r="840" spans="2:12" ht="17.399999999999999" thickBot="1" x14ac:dyDescent="0.45">
      <c r="B840" s="110" t="s">
        <v>13</v>
      </c>
      <c r="C840" s="300" t="s">
        <v>14</v>
      </c>
      <c r="D840" s="300"/>
      <c r="E840" s="300"/>
      <c r="F840" s="300"/>
      <c r="G840" s="301"/>
    </row>
    <row r="841" spans="2:12" x14ac:dyDescent="0.4">
      <c r="B841" s="114" t="s">
        <v>6</v>
      </c>
      <c r="C841" s="302" t="s">
        <v>1</v>
      </c>
      <c r="D841" s="303"/>
      <c r="E841" s="112" t="s">
        <v>193</v>
      </c>
      <c r="F841" s="120" t="s">
        <v>2</v>
      </c>
      <c r="G841" s="114" t="s">
        <v>3</v>
      </c>
      <c r="H841" s="106"/>
      <c r="I841" s="107" t="s">
        <v>7</v>
      </c>
      <c r="J841" s="136"/>
      <c r="K841" s="107" t="s">
        <v>8</v>
      </c>
      <c r="L841" s="115" t="s">
        <v>194</v>
      </c>
    </row>
    <row r="842" spans="2:12" x14ac:dyDescent="0.4">
      <c r="B842" s="122">
        <v>1</v>
      </c>
      <c r="C842" s="306" t="s">
        <v>421</v>
      </c>
      <c r="D842" s="306"/>
      <c r="E842" s="116">
        <f>I814</f>
        <v>15</v>
      </c>
      <c r="F842" s="83">
        <f>ROUND(E842/I814,2)</f>
        <v>1</v>
      </c>
      <c r="G842" s="74" t="str">
        <f>IF(C842=0,0,VLOOKUP(C842,Tabla2[],2,FALSE))</f>
        <v>ml</v>
      </c>
      <c r="I842" s="117">
        <f>IF(C842=0,0,VLOOKUP(C842,Tabla2[],3,FALSE))</f>
        <v>100</v>
      </c>
      <c r="K842" s="84">
        <f>+F842*I842</f>
        <v>100</v>
      </c>
      <c r="L842" s="118">
        <f>E842*I842</f>
        <v>1500</v>
      </c>
    </row>
    <row r="843" spans="2:12" x14ac:dyDescent="0.4">
      <c r="B843" s="122"/>
      <c r="C843" s="306"/>
      <c r="D843" s="306"/>
      <c r="E843" s="116"/>
      <c r="F843" s="83"/>
      <c r="G843" s="74"/>
      <c r="I843" s="117">
        <f>IF(C843=0,0,VLOOKUP(C843,Tabla2[],3,FALSE))</f>
        <v>0</v>
      </c>
      <c r="K843" s="84">
        <f>+F843*I843</f>
        <v>0</v>
      </c>
      <c r="L843" s="118">
        <f>E843*I843</f>
        <v>0</v>
      </c>
    </row>
    <row r="844" spans="2:12" ht="17.399999999999999" thickBot="1" x14ac:dyDescent="0.45">
      <c r="B844" s="123"/>
      <c r="C844" s="307"/>
      <c r="D844" s="308"/>
      <c r="E844" s="124"/>
      <c r="F844" s="125"/>
      <c r="G844" s="74"/>
      <c r="I844" s="117">
        <f>IF(C844=0,0,VLOOKUP(C844,Tabla2[],3,FALSE))</f>
        <v>0</v>
      </c>
      <c r="K844" s="84">
        <f t="shared" ref="K844" si="126">+F844*I844</f>
        <v>0</v>
      </c>
      <c r="L844" s="118">
        <f t="shared" ref="L844:L845" si="127">E844*I844</f>
        <v>0</v>
      </c>
    </row>
    <row r="845" spans="2:12" ht="17.399999999999999" thickBot="1" x14ac:dyDescent="0.45">
      <c r="B845" s="297" t="s">
        <v>15</v>
      </c>
      <c r="C845" s="298"/>
      <c r="D845" s="298"/>
      <c r="E845" s="298"/>
      <c r="F845" s="298"/>
      <c r="G845" s="299"/>
      <c r="I845" s="84">
        <v>0</v>
      </c>
      <c r="K845" s="84">
        <v>0</v>
      </c>
      <c r="L845" s="118">
        <f t="shared" si="127"/>
        <v>0</v>
      </c>
    </row>
    <row r="846" spans="2:12" ht="17.399999999999999" thickBot="1" x14ac:dyDescent="0.45"/>
    <row r="847" spans="2:12" ht="17.399999999999999" thickBot="1" x14ac:dyDescent="0.45">
      <c r="F847" s="292" t="s">
        <v>16</v>
      </c>
      <c r="G847" s="293"/>
      <c r="H847" s="293"/>
      <c r="I847" s="294"/>
      <c r="K847" s="229">
        <f>+SUM(K842:K845)</f>
        <v>100</v>
      </c>
      <c r="L847" s="119">
        <f>+SUM(L842:L845)</f>
        <v>1500</v>
      </c>
    </row>
    <row r="848" spans="2:12" ht="17.399999999999999" thickBot="1" x14ac:dyDescent="0.45"/>
    <row r="849" spans="2:16" ht="17.399999999999999" thickBot="1" x14ac:dyDescent="0.45">
      <c r="B849" s="110" t="s">
        <v>17</v>
      </c>
      <c r="C849" s="300" t="s">
        <v>18</v>
      </c>
      <c r="D849" s="300"/>
      <c r="E849" s="300"/>
      <c r="F849" s="300"/>
      <c r="G849" s="301"/>
    </row>
    <row r="850" spans="2:16" x14ac:dyDescent="0.4">
      <c r="B850" s="114" t="s">
        <v>6</v>
      </c>
      <c r="C850" s="302" t="s">
        <v>1</v>
      </c>
      <c r="D850" s="303"/>
      <c r="E850" s="126"/>
      <c r="F850" s="120" t="s">
        <v>2</v>
      </c>
      <c r="G850" s="114" t="s">
        <v>3</v>
      </c>
      <c r="H850" s="106"/>
      <c r="I850" s="107" t="s">
        <v>7</v>
      </c>
      <c r="J850" s="136"/>
      <c r="K850" s="107" t="s">
        <v>8</v>
      </c>
      <c r="L850" s="115" t="s">
        <v>194</v>
      </c>
    </row>
    <row r="851" spans="2:16" x14ac:dyDescent="0.4">
      <c r="B851" s="74"/>
      <c r="C851" s="304"/>
      <c r="D851" s="305"/>
      <c r="E851" s="127"/>
      <c r="F851" s="72"/>
      <c r="G851" s="74"/>
      <c r="I851" s="84">
        <v>0</v>
      </c>
      <c r="K851" s="84">
        <f>+F851*I851</f>
        <v>0</v>
      </c>
      <c r="L851" s="118">
        <f>E851*I851</f>
        <v>0</v>
      </c>
    </row>
    <row r="852" spans="2:16" x14ac:dyDescent="0.4">
      <c r="B852" s="74"/>
      <c r="C852" s="304"/>
      <c r="D852" s="305"/>
      <c r="E852" s="127"/>
      <c r="F852" s="72"/>
      <c r="G852" s="74"/>
      <c r="I852" s="84">
        <v>0</v>
      </c>
      <c r="K852" s="84">
        <f t="shared" ref="K852:K853" si="128">+F852*I852</f>
        <v>0</v>
      </c>
      <c r="L852" s="118">
        <f t="shared" ref="L852:L853" si="129">E852*I852</f>
        <v>0</v>
      </c>
    </row>
    <row r="853" spans="2:16" x14ac:dyDescent="0.4">
      <c r="B853" s="74"/>
      <c r="C853" s="304"/>
      <c r="D853" s="305"/>
      <c r="E853" s="127"/>
      <c r="F853" s="72"/>
      <c r="G853" s="74"/>
      <c r="I853" s="84">
        <v>0</v>
      </c>
      <c r="K853" s="84">
        <f t="shared" si="128"/>
        <v>0</v>
      </c>
      <c r="L853" s="118">
        <f t="shared" si="129"/>
        <v>0</v>
      </c>
    </row>
    <row r="854" spans="2:16" ht="17.399999999999999" thickBot="1" x14ac:dyDescent="0.45">
      <c r="L854" s="118"/>
    </row>
    <row r="855" spans="2:16" ht="17.399999999999999" thickBot="1" x14ac:dyDescent="0.45">
      <c r="F855" s="292" t="s">
        <v>19</v>
      </c>
      <c r="G855" s="293"/>
      <c r="H855" s="293"/>
      <c r="I855" s="294"/>
      <c r="K855" s="229">
        <f>+SUM(K851:K853)</f>
        <v>0</v>
      </c>
      <c r="L855" s="119">
        <f>+SUM(L850:L853)</f>
        <v>0</v>
      </c>
    </row>
    <row r="856" spans="2:16" ht="15" customHeight="1" x14ac:dyDescent="0.4">
      <c r="F856" s="128"/>
      <c r="G856" s="129"/>
      <c r="H856" s="130"/>
      <c r="I856" s="108"/>
      <c r="K856" s="230"/>
    </row>
    <row r="857" spans="2:16" ht="15" customHeight="1" thickBot="1" x14ac:dyDescent="0.45"/>
    <row r="858" spans="2:16" ht="17.399999999999999" thickBot="1" x14ac:dyDescent="0.45">
      <c r="F858" s="292" t="s">
        <v>20</v>
      </c>
      <c r="G858" s="293"/>
      <c r="H858" s="293"/>
      <c r="I858" s="294"/>
      <c r="K858" s="229">
        <f>(+K829+K838+K847+K855)</f>
        <v>180</v>
      </c>
      <c r="L858" s="119">
        <f>(+L829+L838+L847+L855)</f>
        <v>2700</v>
      </c>
      <c r="N858" s="131"/>
      <c r="O858" s="39"/>
      <c r="P858" s="40"/>
    </row>
    <row r="859" spans="2:16" ht="7.5" customHeight="1" thickBot="1" x14ac:dyDescent="0.45">
      <c r="N859" s="131"/>
      <c r="O859" s="41"/>
      <c r="P859" s="40"/>
    </row>
    <row r="860" spans="2:16" ht="17.399999999999999" thickBot="1" x14ac:dyDescent="0.45">
      <c r="F860" s="292" t="s">
        <v>21</v>
      </c>
      <c r="G860" s="293"/>
      <c r="H860" s="293"/>
      <c r="I860" s="294"/>
      <c r="K860" s="229">
        <f>K858*$N$2</f>
        <v>72</v>
      </c>
      <c r="L860" s="119">
        <f>L858*$N$2</f>
        <v>1080</v>
      </c>
    </row>
    <row r="861" spans="2:16" ht="7.5" customHeight="1" thickBot="1" x14ac:dyDescent="0.45"/>
    <row r="862" spans="2:16" ht="17.399999999999999" thickBot="1" x14ac:dyDescent="0.45">
      <c r="F862" s="292" t="s">
        <v>22</v>
      </c>
      <c r="G862" s="293"/>
      <c r="H862" s="293"/>
      <c r="I862" s="294"/>
      <c r="K862" s="229">
        <f>+K858+K860</f>
        <v>252</v>
      </c>
      <c r="L862" s="119">
        <f>+L858+L860</f>
        <v>3780</v>
      </c>
    </row>
    <row r="863" spans="2:16" ht="17.399999999999999" thickBot="1" x14ac:dyDescent="0.45">
      <c r="F863" s="128"/>
      <c r="G863" s="129"/>
      <c r="H863" s="130"/>
      <c r="I863" s="108"/>
      <c r="K863" s="231"/>
      <c r="L863" s="132">
        <f>L862/I814</f>
        <v>252</v>
      </c>
      <c r="M863" s="133">
        <f>(K862-L863)*I814</f>
        <v>0</v>
      </c>
    </row>
    <row r="864" spans="2:16" x14ac:dyDescent="0.4">
      <c r="F864" s="128"/>
      <c r="G864" s="129"/>
      <c r="H864" s="130"/>
      <c r="I864" s="108"/>
      <c r="K864" s="232"/>
      <c r="L864" s="131"/>
      <c r="M864" s="134"/>
      <c r="N864" s="135"/>
    </row>
    <row r="865" spans="1:16" ht="17.399999999999999" thickBot="1" x14ac:dyDescent="0.45">
      <c r="B865" s="295"/>
      <c r="C865" s="295"/>
      <c r="D865" s="295"/>
    </row>
    <row r="866" spans="1:16" x14ac:dyDescent="0.4">
      <c r="B866" s="296" t="s">
        <v>23</v>
      </c>
      <c r="C866" s="296"/>
      <c r="D866" s="296"/>
    </row>
    <row r="867" spans="1:16" x14ac:dyDescent="0.4">
      <c r="B867" s="157"/>
      <c r="C867" s="157"/>
      <c r="D867" s="157"/>
    </row>
    <row r="868" spans="1:16" x14ac:dyDescent="0.4">
      <c r="B868" s="157"/>
      <c r="C868" s="157"/>
      <c r="D868" s="157"/>
    </row>
    <row r="869" spans="1:16" x14ac:dyDescent="0.4">
      <c r="B869" s="105" t="s">
        <v>43</v>
      </c>
      <c r="C869" s="106"/>
      <c r="D869" s="311" t="s">
        <v>1</v>
      </c>
      <c r="E869" s="311"/>
      <c r="F869" s="311"/>
      <c r="G869" s="311"/>
      <c r="H869" s="106"/>
      <c r="I869" s="107" t="s">
        <v>2</v>
      </c>
      <c r="J869" s="136"/>
      <c r="K869" s="107" t="s">
        <v>3</v>
      </c>
    </row>
    <row r="870" spans="1:16" s="4" customFormat="1" ht="30.75" customHeight="1" x14ac:dyDescent="0.3">
      <c r="A870" s="31"/>
      <c r="B870" s="213">
        <f>CATALOGO!B31</f>
        <v>401.39</v>
      </c>
      <c r="C870" s="71"/>
      <c r="D870" s="312" t="str">
        <f>CATALOGO!C31</f>
        <v>COLUMNA (0.20m X 0.40m + 6 NO. 4 + ESL+ EST NO. 3 @ 0.10m)</v>
      </c>
      <c r="E870" s="312"/>
      <c r="F870" s="312"/>
      <c r="G870" s="312"/>
      <c r="H870" s="71"/>
      <c r="I870" s="213">
        <f>CATALOGO!D31</f>
        <v>21</v>
      </c>
      <c r="J870" s="109"/>
      <c r="K870" s="227" t="str">
        <f>CATALOGO!E31</f>
        <v>ml</v>
      </c>
      <c r="L870" s="71"/>
      <c r="M870" s="71"/>
      <c r="N870" s="104"/>
      <c r="O870" s="37"/>
      <c r="P870" s="37"/>
    </row>
    <row r="871" spans="1:16" ht="17.399999999999999" thickBot="1" x14ac:dyDescent="0.45"/>
    <row r="872" spans="1:16" ht="17.399999999999999" thickBot="1" x14ac:dyDescent="0.45">
      <c r="B872" s="110" t="s">
        <v>4</v>
      </c>
      <c r="C872" s="300" t="s">
        <v>5</v>
      </c>
      <c r="D872" s="300"/>
      <c r="E872" s="300"/>
      <c r="F872" s="300"/>
      <c r="G872" s="301"/>
    </row>
    <row r="873" spans="1:16" x14ac:dyDescent="0.4">
      <c r="B873" s="111" t="s">
        <v>6</v>
      </c>
      <c r="C873" s="313" t="s">
        <v>1</v>
      </c>
      <c r="D873" s="314"/>
      <c r="E873" s="112" t="s">
        <v>193</v>
      </c>
      <c r="F873" s="113" t="s">
        <v>2</v>
      </c>
      <c r="G873" s="114" t="s">
        <v>3</v>
      </c>
      <c r="H873" s="106"/>
      <c r="I873" s="107" t="s">
        <v>7</v>
      </c>
      <c r="J873" s="136"/>
      <c r="K873" s="228" t="s">
        <v>8</v>
      </c>
      <c r="L873" s="115" t="s">
        <v>194</v>
      </c>
    </row>
    <row r="874" spans="1:16" x14ac:dyDescent="0.4">
      <c r="B874" s="122">
        <v>1</v>
      </c>
      <c r="C874" s="315" t="s">
        <v>169</v>
      </c>
      <c r="D874" s="316"/>
      <c r="E874" s="116">
        <f>I870*1</f>
        <v>21</v>
      </c>
      <c r="F874" s="83">
        <f>ROUND(E874/I870,2)</f>
        <v>1</v>
      </c>
      <c r="G874" s="74" t="str">
        <f>IF(C874=0,0,VLOOKUP(C874,Tabla1[],2,FALSE))</f>
        <v>Varilla</v>
      </c>
      <c r="I874" s="117">
        <f>IF(C874=0,0,VLOOKUP(C874,Tabla1[],3,FALSE))</f>
        <v>40</v>
      </c>
      <c r="K874" s="84">
        <f>+F874*I874</f>
        <v>40</v>
      </c>
      <c r="L874" s="118">
        <f>E874*I874</f>
        <v>840</v>
      </c>
    </row>
    <row r="875" spans="1:16" x14ac:dyDescent="0.4">
      <c r="B875" s="122">
        <v>2</v>
      </c>
      <c r="C875" s="315" t="s">
        <v>313</v>
      </c>
      <c r="D875" s="316"/>
      <c r="E875" s="116">
        <f>I870*1.1</f>
        <v>23.1</v>
      </c>
      <c r="F875" s="83">
        <f>ROUND(E875/I870,2)</f>
        <v>1.1000000000000001</v>
      </c>
      <c r="G875" s="74" t="str">
        <f>IF(C875=0,0,VLOOKUP(C875,Tabla1[],2,FALSE))</f>
        <v>Varilla</v>
      </c>
      <c r="I875" s="117">
        <f>IF(C875=0,0,VLOOKUP(C875,Tabla1[],3,FALSE))</f>
        <v>20</v>
      </c>
      <c r="K875" s="84">
        <f>+F875*I875</f>
        <v>22</v>
      </c>
      <c r="L875" s="118">
        <f>E875*I875</f>
        <v>462</v>
      </c>
    </row>
    <row r="876" spans="1:16" x14ac:dyDescent="0.4">
      <c r="B876" s="122">
        <v>3</v>
      </c>
      <c r="C876" s="317" t="s">
        <v>214</v>
      </c>
      <c r="D876" s="318"/>
      <c r="E876" s="116">
        <f>I870*1</f>
        <v>21</v>
      </c>
      <c r="F876" s="83">
        <f>ROUND(E876/I870,2)</f>
        <v>1</v>
      </c>
      <c r="G876" s="74" t="str">
        <f>IF(C876=0,0,VLOOKUP(C876,Tabla1[],2,FALSE))</f>
        <v>Saco</v>
      </c>
      <c r="I876" s="117">
        <f>IF(C876=0,0,VLOOKUP(C876,Tabla1[],3,FALSE))</f>
        <v>80</v>
      </c>
      <c r="K876" s="84">
        <f t="shared" ref="K876:K883" si="130">+F876*I876</f>
        <v>80</v>
      </c>
      <c r="L876" s="118">
        <f t="shared" ref="L876:L883" si="131">E876*I876</f>
        <v>1680</v>
      </c>
    </row>
    <row r="877" spans="1:16" x14ac:dyDescent="0.4">
      <c r="B877" s="122">
        <v>4</v>
      </c>
      <c r="C877" s="319" t="s">
        <v>73</v>
      </c>
      <c r="D877" s="318"/>
      <c r="E877" s="116">
        <f>I870*0.02</f>
        <v>0.42</v>
      </c>
      <c r="F877" s="83">
        <f>ROUND(E877/I870,2)</f>
        <v>0.02</v>
      </c>
      <c r="G877" s="74" t="str">
        <f>IF(C877=0,0,VLOOKUP(C877,Tabla1[],2,FALSE))</f>
        <v>m³</v>
      </c>
      <c r="I877" s="117">
        <f>IF(C877=0,0,VLOOKUP(C877,Tabla1[],3,FALSE))</f>
        <v>250</v>
      </c>
      <c r="K877" s="84">
        <f t="shared" si="130"/>
        <v>5</v>
      </c>
      <c r="L877" s="118">
        <f t="shared" si="131"/>
        <v>105</v>
      </c>
    </row>
    <row r="878" spans="1:16" x14ac:dyDescent="0.4">
      <c r="B878" s="122">
        <v>5</v>
      </c>
      <c r="C878" s="319" t="s">
        <v>230</v>
      </c>
      <c r="D878" s="318"/>
      <c r="E878" s="116">
        <f>I870*0.02</f>
        <v>0.42</v>
      </c>
      <c r="F878" s="83">
        <f>ROUND(E878/I870,2)</f>
        <v>0.02</v>
      </c>
      <c r="G878" s="74" t="str">
        <f>IF(C878=0,0,VLOOKUP(C878,Tabla1[],2,FALSE))</f>
        <v>m³</v>
      </c>
      <c r="I878" s="117">
        <f>IF(C878=0,0,VLOOKUP(C878,Tabla1[],3,FALSE))</f>
        <v>250</v>
      </c>
      <c r="K878" s="84">
        <f t="shared" si="130"/>
        <v>5</v>
      </c>
      <c r="L878" s="118">
        <f t="shared" si="131"/>
        <v>105</v>
      </c>
    </row>
    <row r="879" spans="1:16" x14ac:dyDescent="0.4">
      <c r="B879" s="122">
        <v>6</v>
      </c>
      <c r="C879" s="320" t="s">
        <v>369</v>
      </c>
      <c r="D879" s="320"/>
      <c r="E879" s="116">
        <f>I870*0.2</f>
        <v>4.2</v>
      </c>
      <c r="F879" s="83">
        <f>ROUND(E879/I870,2)</f>
        <v>0.2</v>
      </c>
      <c r="G879" s="74" t="str">
        <f>IF(C879=0,0,VLOOKUP(C879,Tabla1[],2,FALSE))</f>
        <v>Libra</v>
      </c>
      <c r="I879" s="117">
        <f>IF(C879=0,0,VLOOKUP(C879,Tabla1[],3,FALSE))</f>
        <v>8</v>
      </c>
      <c r="K879" s="84">
        <f t="shared" si="130"/>
        <v>1.6</v>
      </c>
      <c r="L879" s="118">
        <f t="shared" si="131"/>
        <v>33.6</v>
      </c>
    </row>
    <row r="880" spans="1:16" x14ac:dyDescent="0.4">
      <c r="B880" s="122">
        <v>7</v>
      </c>
      <c r="C880" s="320" t="s">
        <v>175</v>
      </c>
      <c r="D880" s="320"/>
      <c r="E880" s="116">
        <f>I870*0.04</f>
        <v>0.84</v>
      </c>
      <c r="F880" s="83">
        <f>ROUND(E880/I870,2)</f>
        <v>0.04</v>
      </c>
      <c r="G880" s="74" t="str">
        <f>IF(C880=0,0,VLOOKUP(C880,Tabla1[],2,FALSE))</f>
        <v>Libra</v>
      </c>
      <c r="I880" s="117">
        <f>IF(C880=0,0,VLOOKUP(C880,Tabla1[],3,FALSE))</f>
        <v>10</v>
      </c>
      <c r="K880" s="84">
        <f t="shared" si="130"/>
        <v>0.4</v>
      </c>
      <c r="L880" s="118">
        <f t="shared" si="131"/>
        <v>8.4</v>
      </c>
    </row>
    <row r="881" spans="2:12" x14ac:dyDescent="0.4">
      <c r="B881" s="122">
        <v>8</v>
      </c>
      <c r="C881" s="320" t="s">
        <v>180</v>
      </c>
      <c r="D881" s="320"/>
      <c r="E881" s="116">
        <f>I870*14</f>
        <v>294</v>
      </c>
      <c r="F881" s="83">
        <f>ROUND(E881/I870,2)</f>
        <v>14</v>
      </c>
      <c r="G881" s="74" t="str">
        <f>IF(C881=0,0,VLOOKUP(C881,Tabla1[],2,FALSE))</f>
        <v>pt</v>
      </c>
      <c r="I881" s="117">
        <f>IF(C881=0,0,VLOOKUP(C881,Tabla1[],3,FALSE))</f>
        <v>9</v>
      </c>
      <c r="K881" s="84">
        <f t="shared" si="130"/>
        <v>126</v>
      </c>
      <c r="L881" s="118">
        <f t="shared" si="131"/>
        <v>2646</v>
      </c>
    </row>
    <row r="882" spans="2:12" x14ac:dyDescent="0.4">
      <c r="B882" s="122"/>
      <c r="C882" s="321"/>
      <c r="D882" s="321"/>
      <c r="E882" s="116"/>
      <c r="F882" s="72"/>
      <c r="G882" s="74"/>
      <c r="I882" s="117">
        <f>IF(C882=0,0,VLOOKUP(C882,Tabla1[],3,FALSE))</f>
        <v>0</v>
      </c>
      <c r="K882" s="84">
        <f t="shared" si="130"/>
        <v>0</v>
      </c>
      <c r="L882" s="118">
        <f t="shared" si="131"/>
        <v>0</v>
      </c>
    </row>
    <row r="883" spans="2:12" x14ac:dyDescent="0.4">
      <c r="B883" s="122"/>
      <c r="C883" s="321"/>
      <c r="D883" s="321"/>
      <c r="E883" s="116"/>
      <c r="F883" s="72"/>
      <c r="G883" s="74"/>
      <c r="I883" s="117">
        <f>IF(C883=0,0,VLOOKUP(C883,Tabla1[],3,FALSE))</f>
        <v>0</v>
      </c>
      <c r="K883" s="84">
        <f t="shared" si="130"/>
        <v>0</v>
      </c>
      <c r="L883" s="118">
        <f t="shared" si="131"/>
        <v>0</v>
      </c>
    </row>
    <row r="884" spans="2:12" ht="17.399999999999999" thickBot="1" x14ac:dyDescent="0.45"/>
    <row r="885" spans="2:12" ht="17.399999999999999" thickBot="1" x14ac:dyDescent="0.45">
      <c r="F885" s="292" t="s">
        <v>9</v>
      </c>
      <c r="G885" s="293"/>
      <c r="H885" s="293"/>
      <c r="I885" s="294"/>
      <c r="K885" s="229">
        <f>+SUM(K874:K883)</f>
        <v>280</v>
      </c>
      <c r="L885" s="119">
        <f>+SUM(L874:L883)</f>
        <v>5880</v>
      </c>
    </row>
    <row r="886" spans="2:12" ht="17.399999999999999" thickBot="1" x14ac:dyDescent="0.45"/>
    <row r="887" spans="2:12" ht="17.399999999999999" thickBot="1" x14ac:dyDescent="0.45">
      <c r="B887" s="110" t="s">
        <v>10</v>
      </c>
      <c r="C887" s="300" t="s">
        <v>11</v>
      </c>
      <c r="D887" s="300"/>
      <c r="E887" s="300"/>
      <c r="F887" s="300"/>
      <c r="G887" s="301"/>
    </row>
    <row r="888" spans="2:12" x14ac:dyDescent="0.4">
      <c r="B888" s="114" t="s">
        <v>6</v>
      </c>
      <c r="C888" s="302" t="s">
        <v>1</v>
      </c>
      <c r="D888" s="303"/>
      <c r="E888" s="112" t="s">
        <v>193</v>
      </c>
      <c r="F888" s="120" t="s">
        <v>2</v>
      </c>
      <c r="G888" s="114" t="s">
        <v>3</v>
      </c>
      <c r="H888" s="106"/>
      <c r="I888" s="107" t="s">
        <v>7</v>
      </c>
      <c r="J888" s="136"/>
      <c r="K888" s="107" t="s">
        <v>8</v>
      </c>
      <c r="L888" s="115" t="s">
        <v>194</v>
      </c>
    </row>
    <row r="889" spans="2:12" x14ac:dyDescent="0.4">
      <c r="B889" s="122"/>
      <c r="C889" s="306"/>
      <c r="D889" s="306"/>
      <c r="E889" s="116"/>
      <c r="F889" s="83"/>
      <c r="G889" s="74"/>
      <c r="I889" s="117">
        <f>IF(C889=0,0,VLOOKUP(C889,Tabla3[],3,FALSE))</f>
        <v>0</v>
      </c>
      <c r="K889" s="84">
        <f t="shared" ref="K889:K892" si="132">+F889*I889</f>
        <v>0</v>
      </c>
      <c r="L889" s="118">
        <f>E889*I889</f>
        <v>0</v>
      </c>
    </row>
    <row r="890" spans="2:12" x14ac:dyDescent="0.4">
      <c r="B890" s="74"/>
      <c r="C890" s="206"/>
      <c r="D890" s="207"/>
      <c r="E890" s="121"/>
      <c r="F890" s="72"/>
      <c r="G890" s="74"/>
      <c r="I890" s="117">
        <f>IF(C890=0,0,VLOOKUP(C890,Tabla3[],3,FALSE))</f>
        <v>0</v>
      </c>
      <c r="K890" s="84">
        <f t="shared" si="132"/>
        <v>0</v>
      </c>
      <c r="L890" s="118">
        <f t="shared" ref="L890:L892" si="133">E890*I890</f>
        <v>0</v>
      </c>
    </row>
    <row r="891" spans="2:12" x14ac:dyDescent="0.4">
      <c r="B891" s="74"/>
      <c r="C891" s="206"/>
      <c r="D891" s="207"/>
      <c r="E891" s="121"/>
      <c r="F891" s="72"/>
      <c r="G891" s="74"/>
      <c r="I891" s="117">
        <f>IF(C891=0,0,VLOOKUP(C891,Tabla3[],3,FALSE))</f>
        <v>0</v>
      </c>
      <c r="K891" s="84">
        <f t="shared" si="132"/>
        <v>0</v>
      </c>
      <c r="L891" s="118">
        <f t="shared" si="133"/>
        <v>0</v>
      </c>
    </row>
    <row r="892" spans="2:12" x14ac:dyDescent="0.4">
      <c r="B892" s="74"/>
      <c r="C892" s="304"/>
      <c r="D892" s="305"/>
      <c r="E892" s="121"/>
      <c r="F892" s="72"/>
      <c r="G892" s="74"/>
      <c r="I892" s="117">
        <f>IF(C892=0,0,VLOOKUP(C892,Tabla3[],3,FALSE))</f>
        <v>0</v>
      </c>
      <c r="K892" s="84">
        <f t="shared" si="132"/>
        <v>0</v>
      </c>
      <c r="L892" s="118">
        <f t="shared" si="133"/>
        <v>0</v>
      </c>
    </row>
    <row r="893" spans="2:12" ht="17.399999999999999" thickBot="1" x14ac:dyDescent="0.45"/>
    <row r="894" spans="2:12" ht="17.399999999999999" thickBot="1" x14ac:dyDescent="0.45">
      <c r="F894" s="292" t="s">
        <v>12</v>
      </c>
      <c r="G894" s="293"/>
      <c r="H894" s="293"/>
      <c r="I894" s="294"/>
      <c r="K894" s="229">
        <f>+SUM(K889:K892)</f>
        <v>0</v>
      </c>
      <c r="L894" s="119">
        <f>+SUM(L889:L892)</f>
        <v>0</v>
      </c>
    </row>
    <row r="895" spans="2:12" ht="17.399999999999999" thickBot="1" x14ac:dyDescent="0.45"/>
    <row r="896" spans="2:12" ht="17.399999999999999" thickBot="1" x14ac:dyDescent="0.45">
      <c r="B896" s="110" t="s">
        <v>13</v>
      </c>
      <c r="C896" s="300" t="s">
        <v>14</v>
      </c>
      <c r="D896" s="300"/>
      <c r="E896" s="300"/>
      <c r="F896" s="300"/>
      <c r="G896" s="301"/>
    </row>
    <row r="897" spans="2:12" x14ac:dyDescent="0.4">
      <c r="B897" s="114" t="s">
        <v>6</v>
      </c>
      <c r="C897" s="302" t="s">
        <v>1</v>
      </c>
      <c r="D897" s="303"/>
      <c r="E897" s="112" t="s">
        <v>193</v>
      </c>
      <c r="F897" s="120" t="s">
        <v>2</v>
      </c>
      <c r="G897" s="114" t="s">
        <v>3</v>
      </c>
      <c r="H897" s="106"/>
      <c r="I897" s="107" t="s">
        <v>7</v>
      </c>
      <c r="J897" s="136"/>
      <c r="K897" s="107" t="s">
        <v>8</v>
      </c>
      <c r="L897" s="115" t="s">
        <v>194</v>
      </c>
    </row>
    <row r="898" spans="2:12" x14ac:dyDescent="0.4">
      <c r="B898" s="122">
        <v>1</v>
      </c>
      <c r="C898" s="306" t="s">
        <v>421</v>
      </c>
      <c r="D898" s="306"/>
      <c r="E898" s="116">
        <f>I870</f>
        <v>21</v>
      </c>
      <c r="F898" s="83">
        <f>ROUND(E898/I870,2)</f>
        <v>1</v>
      </c>
      <c r="G898" s="74" t="str">
        <f>IF(C898=0,0,VLOOKUP(C898,Tabla2[],2,FALSE))</f>
        <v>ml</v>
      </c>
      <c r="I898" s="117">
        <f>IF(C898=0,0,VLOOKUP(C898,Tabla2[],3,FALSE))</f>
        <v>100</v>
      </c>
      <c r="K898" s="84">
        <f>+F898*I898</f>
        <v>100</v>
      </c>
      <c r="L898" s="118">
        <f>E898*I898</f>
        <v>2100</v>
      </c>
    </row>
    <row r="899" spans="2:12" x14ac:dyDescent="0.4">
      <c r="B899" s="122"/>
      <c r="C899" s="306"/>
      <c r="D899" s="306"/>
      <c r="E899" s="116"/>
      <c r="F899" s="83"/>
      <c r="G899" s="74"/>
      <c r="I899" s="117">
        <f>IF(C899=0,0,VLOOKUP(C899,Tabla2[],3,FALSE))</f>
        <v>0</v>
      </c>
      <c r="K899" s="84">
        <f>+F899*I899</f>
        <v>0</v>
      </c>
      <c r="L899" s="118">
        <f>E899*I899</f>
        <v>0</v>
      </c>
    </row>
    <row r="900" spans="2:12" ht="17.399999999999999" thickBot="1" x14ac:dyDescent="0.45">
      <c r="B900" s="123"/>
      <c r="C900" s="307"/>
      <c r="D900" s="308"/>
      <c r="E900" s="124"/>
      <c r="F900" s="125"/>
      <c r="G900" s="74"/>
      <c r="I900" s="117">
        <f>IF(C900=0,0,VLOOKUP(C900,Tabla2[],3,FALSE))</f>
        <v>0</v>
      </c>
      <c r="K900" s="84">
        <f t="shared" ref="K900" si="134">+F900*I900</f>
        <v>0</v>
      </c>
      <c r="L900" s="118">
        <f t="shared" ref="L900:L901" si="135">E900*I900</f>
        <v>0</v>
      </c>
    </row>
    <row r="901" spans="2:12" ht="17.399999999999999" thickBot="1" x14ac:dyDescent="0.45">
      <c r="B901" s="297" t="s">
        <v>15</v>
      </c>
      <c r="C901" s="298"/>
      <c r="D901" s="298"/>
      <c r="E901" s="298"/>
      <c r="F901" s="298"/>
      <c r="G901" s="299"/>
      <c r="I901" s="84">
        <v>0</v>
      </c>
      <c r="K901" s="84">
        <v>0</v>
      </c>
      <c r="L901" s="118">
        <f t="shared" si="135"/>
        <v>0</v>
      </c>
    </row>
    <row r="902" spans="2:12" ht="17.399999999999999" thickBot="1" x14ac:dyDescent="0.45"/>
    <row r="903" spans="2:12" ht="17.399999999999999" thickBot="1" x14ac:dyDescent="0.45">
      <c r="F903" s="292" t="s">
        <v>16</v>
      </c>
      <c r="G903" s="293"/>
      <c r="H903" s="293"/>
      <c r="I903" s="294"/>
      <c r="K903" s="229">
        <f>+SUM(K898:K901)</f>
        <v>100</v>
      </c>
      <c r="L903" s="119">
        <f>+SUM(L898:L901)</f>
        <v>2100</v>
      </c>
    </row>
    <row r="904" spans="2:12" ht="17.399999999999999" thickBot="1" x14ac:dyDescent="0.45"/>
    <row r="905" spans="2:12" ht="17.399999999999999" thickBot="1" x14ac:dyDescent="0.45">
      <c r="B905" s="110" t="s">
        <v>17</v>
      </c>
      <c r="C905" s="300" t="s">
        <v>18</v>
      </c>
      <c r="D905" s="300"/>
      <c r="E905" s="300"/>
      <c r="F905" s="300"/>
      <c r="G905" s="301"/>
    </row>
    <row r="906" spans="2:12" x14ac:dyDescent="0.4">
      <c r="B906" s="114" t="s">
        <v>6</v>
      </c>
      <c r="C906" s="302" t="s">
        <v>1</v>
      </c>
      <c r="D906" s="303"/>
      <c r="E906" s="126"/>
      <c r="F906" s="120" t="s">
        <v>2</v>
      </c>
      <c r="G906" s="114" t="s">
        <v>3</v>
      </c>
      <c r="H906" s="106"/>
      <c r="I906" s="107" t="s">
        <v>7</v>
      </c>
      <c r="J906" s="136"/>
      <c r="K906" s="107" t="s">
        <v>8</v>
      </c>
      <c r="L906" s="115" t="s">
        <v>194</v>
      </c>
    </row>
    <row r="907" spans="2:12" x14ac:dyDescent="0.4">
      <c r="B907" s="74"/>
      <c r="C907" s="304"/>
      <c r="D907" s="305"/>
      <c r="E907" s="127"/>
      <c r="F907" s="72"/>
      <c r="G907" s="74"/>
      <c r="I907" s="84">
        <v>0</v>
      </c>
      <c r="K907" s="84">
        <f>+F907*I907</f>
        <v>0</v>
      </c>
      <c r="L907" s="118">
        <f>E907*I907</f>
        <v>0</v>
      </c>
    </row>
    <row r="908" spans="2:12" x14ac:dyDescent="0.4">
      <c r="B908" s="74"/>
      <c r="C908" s="304"/>
      <c r="D908" s="305"/>
      <c r="E908" s="127"/>
      <c r="F908" s="72"/>
      <c r="G908" s="74"/>
      <c r="I908" s="84">
        <v>0</v>
      </c>
      <c r="K908" s="84">
        <f t="shared" ref="K908:K909" si="136">+F908*I908</f>
        <v>0</v>
      </c>
      <c r="L908" s="118">
        <f t="shared" ref="L908:L909" si="137">E908*I908</f>
        <v>0</v>
      </c>
    </row>
    <row r="909" spans="2:12" x14ac:dyDescent="0.4">
      <c r="B909" s="74"/>
      <c r="C909" s="304"/>
      <c r="D909" s="305"/>
      <c r="E909" s="127"/>
      <c r="F909" s="72"/>
      <c r="G909" s="74"/>
      <c r="I909" s="84">
        <v>0</v>
      </c>
      <c r="K909" s="84">
        <f t="shared" si="136"/>
        <v>0</v>
      </c>
      <c r="L909" s="118">
        <f t="shared" si="137"/>
        <v>0</v>
      </c>
    </row>
    <row r="910" spans="2:12" ht="17.399999999999999" thickBot="1" x14ac:dyDescent="0.45">
      <c r="L910" s="118"/>
    </row>
    <row r="911" spans="2:12" ht="17.399999999999999" thickBot="1" x14ac:dyDescent="0.45">
      <c r="F911" s="292" t="s">
        <v>19</v>
      </c>
      <c r="G911" s="293"/>
      <c r="H911" s="293"/>
      <c r="I911" s="294"/>
      <c r="K911" s="229">
        <f>+SUM(K907:K909)</f>
        <v>0</v>
      </c>
      <c r="L911" s="119">
        <f>+SUM(L906:L909)</f>
        <v>0</v>
      </c>
    </row>
    <row r="912" spans="2:12" ht="15" customHeight="1" x14ac:dyDescent="0.4">
      <c r="F912" s="128"/>
      <c r="G912" s="129"/>
      <c r="H912" s="130"/>
      <c r="I912" s="108"/>
      <c r="K912" s="230"/>
    </row>
    <row r="913" spans="1:16" ht="15" customHeight="1" thickBot="1" x14ac:dyDescent="0.45"/>
    <row r="914" spans="1:16" ht="17.399999999999999" thickBot="1" x14ac:dyDescent="0.45">
      <c r="F914" s="292" t="s">
        <v>20</v>
      </c>
      <c r="G914" s="293"/>
      <c r="H914" s="293"/>
      <c r="I914" s="294"/>
      <c r="K914" s="229">
        <f>(+K885+K894+K903+K911)</f>
        <v>380</v>
      </c>
      <c r="L914" s="119">
        <f>(+L885+L894+L903+L911)</f>
        <v>7980</v>
      </c>
      <c r="N914" s="131"/>
      <c r="O914" s="39"/>
      <c r="P914" s="40"/>
    </row>
    <row r="915" spans="1:16" ht="7.5" customHeight="1" thickBot="1" x14ac:dyDescent="0.45">
      <c r="N915" s="131"/>
      <c r="O915" s="41"/>
      <c r="P915" s="40"/>
    </row>
    <row r="916" spans="1:16" ht="17.399999999999999" thickBot="1" x14ac:dyDescent="0.45">
      <c r="F916" s="292" t="s">
        <v>21</v>
      </c>
      <c r="G916" s="293"/>
      <c r="H916" s="293"/>
      <c r="I916" s="294"/>
      <c r="K916" s="229">
        <f>K914*$N$2</f>
        <v>152</v>
      </c>
      <c r="L916" s="119">
        <f>L914*$N$2</f>
        <v>3192</v>
      </c>
    </row>
    <row r="917" spans="1:16" ht="7.5" customHeight="1" thickBot="1" x14ac:dyDescent="0.45"/>
    <row r="918" spans="1:16" ht="17.399999999999999" thickBot="1" x14ac:dyDescent="0.45">
      <c r="F918" s="292" t="s">
        <v>22</v>
      </c>
      <c r="G918" s="293"/>
      <c r="H918" s="293"/>
      <c r="I918" s="294"/>
      <c r="K918" s="229">
        <f>+K914+K916</f>
        <v>532</v>
      </c>
      <c r="L918" s="119">
        <f>+L914+L916</f>
        <v>11172</v>
      </c>
    </row>
    <row r="919" spans="1:16" ht="17.399999999999999" thickBot="1" x14ac:dyDescent="0.45">
      <c r="F919" s="128"/>
      <c r="G919" s="129"/>
      <c r="H919" s="130"/>
      <c r="I919" s="108"/>
      <c r="K919" s="231"/>
      <c r="L919" s="132">
        <f>L918/I870</f>
        <v>532</v>
      </c>
      <c r="M919" s="133">
        <f>(K918-L919)*I870</f>
        <v>0</v>
      </c>
    </row>
    <row r="920" spans="1:16" x14ac:dyDescent="0.4">
      <c r="F920" s="128"/>
      <c r="G920" s="129"/>
      <c r="H920" s="130"/>
      <c r="I920" s="108"/>
      <c r="K920" s="232"/>
      <c r="L920" s="131"/>
      <c r="M920" s="134"/>
      <c r="N920" s="135"/>
    </row>
    <row r="921" spans="1:16" ht="17.399999999999999" thickBot="1" x14ac:dyDescent="0.45">
      <c r="B921" s="295"/>
      <c r="C921" s="295"/>
      <c r="D921" s="295"/>
    </row>
    <row r="922" spans="1:16" x14ac:dyDescent="0.4">
      <c r="B922" s="296" t="s">
        <v>23</v>
      </c>
      <c r="C922" s="296"/>
      <c r="D922" s="296"/>
    </row>
    <row r="923" spans="1:16" x14ac:dyDescent="0.4">
      <c r="B923" s="157"/>
      <c r="C923" s="157"/>
      <c r="D923" s="157"/>
    </row>
    <row r="924" spans="1:16" x14ac:dyDescent="0.4">
      <c r="B924" s="157"/>
      <c r="C924" s="157"/>
      <c r="D924" s="157"/>
    </row>
    <row r="925" spans="1:16" x14ac:dyDescent="0.4">
      <c r="B925" s="105" t="s">
        <v>43</v>
      </c>
      <c r="C925" s="106"/>
      <c r="D925" s="311" t="s">
        <v>1</v>
      </c>
      <c r="E925" s="311"/>
      <c r="F925" s="311"/>
      <c r="G925" s="311"/>
      <c r="H925" s="106"/>
      <c r="I925" s="107" t="s">
        <v>2</v>
      </c>
      <c r="J925" s="136"/>
      <c r="K925" s="107" t="s">
        <v>3</v>
      </c>
    </row>
    <row r="926" spans="1:16" s="4" customFormat="1" ht="30.75" customHeight="1" x14ac:dyDescent="0.3">
      <c r="A926" s="31"/>
      <c r="B926" s="213">
        <f>CATALOGO!B32</f>
        <v>404.01</v>
      </c>
      <c r="C926" s="71"/>
      <c r="D926" s="312" t="str">
        <f>CATALOGO!C32</f>
        <v>PEDESTAL (0.30m X 0.30m + 4 NO. 5 + EST NO.2 @ 0.15m)</v>
      </c>
      <c r="E926" s="312"/>
      <c r="F926" s="312"/>
      <c r="G926" s="312"/>
      <c r="H926" s="71"/>
      <c r="I926" s="213">
        <f>CATALOGO!D32</f>
        <v>1.8</v>
      </c>
      <c r="J926" s="109"/>
      <c r="K926" s="227" t="str">
        <f>CATALOGO!E32</f>
        <v>ml</v>
      </c>
      <c r="L926" s="71"/>
      <c r="M926" s="71"/>
      <c r="N926" s="104"/>
      <c r="O926" s="37"/>
      <c r="P926" s="37"/>
    </row>
    <row r="927" spans="1:16" ht="17.399999999999999" thickBot="1" x14ac:dyDescent="0.45"/>
    <row r="928" spans="1:16" ht="17.399999999999999" thickBot="1" x14ac:dyDescent="0.45">
      <c r="B928" s="110" t="s">
        <v>4</v>
      </c>
      <c r="C928" s="300" t="s">
        <v>5</v>
      </c>
      <c r="D928" s="300"/>
      <c r="E928" s="300"/>
      <c r="F928" s="300"/>
      <c r="G928" s="301"/>
    </row>
    <row r="929" spans="2:12" x14ac:dyDescent="0.4">
      <c r="B929" s="111" t="s">
        <v>6</v>
      </c>
      <c r="C929" s="313" t="s">
        <v>1</v>
      </c>
      <c r="D929" s="314"/>
      <c r="E929" s="112" t="s">
        <v>193</v>
      </c>
      <c r="F929" s="113" t="s">
        <v>2</v>
      </c>
      <c r="G929" s="114" t="s">
        <v>3</v>
      </c>
      <c r="H929" s="106"/>
      <c r="I929" s="107" t="s">
        <v>7</v>
      </c>
      <c r="J929" s="136"/>
      <c r="K929" s="228" t="s">
        <v>8</v>
      </c>
      <c r="L929" s="115" t="s">
        <v>194</v>
      </c>
    </row>
    <row r="930" spans="2:12" x14ac:dyDescent="0.4">
      <c r="B930" s="122">
        <v>1</v>
      </c>
      <c r="C930" s="315" t="s">
        <v>169</v>
      </c>
      <c r="D930" s="316"/>
      <c r="E930" s="116">
        <f>I926*1</f>
        <v>1.8</v>
      </c>
      <c r="F930" s="83">
        <f>ROUND(E930/I926,2)</f>
        <v>1</v>
      </c>
      <c r="G930" s="74" t="str">
        <f>IF(C930=0,0,VLOOKUP(C930,Tabla1[],2,FALSE))</f>
        <v>Varilla</v>
      </c>
      <c r="I930" s="117">
        <f>IF(C930=0,0,VLOOKUP(C930,Tabla1[],3,FALSE))</f>
        <v>40</v>
      </c>
      <c r="K930" s="84">
        <f>+F930*I930</f>
        <v>40</v>
      </c>
      <c r="L930" s="118">
        <f>E930*I930</f>
        <v>72</v>
      </c>
    </row>
    <row r="931" spans="2:12" x14ac:dyDescent="0.4">
      <c r="B931" s="122">
        <v>2</v>
      </c>
      <c r="C931" s="315" t="s">
        <v>313</v>
      </c>
      <c r="D931" s="316"/>
      <c r="E931" s="116">
        <f>I926*3.35</f>
        <v>6.03</v>
      </c>
      <c r="F931" s="83">
        <f>ROUND(E931/I926,2)</f>
        <v>3.35</v>
      </c>
      <c r="G931" s="74" t="str">
        <f>IF(C931=0,0,VLOOKUP(C931,Tabla1[],2,FALSE))</f>
        <v>Varilla</v>
      </c>
      <c r="I931" s="117">
        <f>IF(C931=0,0,VLOOKUP(C931,Tabla1[],3,FALSE))</f>
        <v>20</v>
      </c>
      <c r="K931" s="84">
        <f>+F931*I931</f>
        <v>67</v>
      </c>
      <c r="L931" s="118">
        <f>E931*I931</f>
        <v>120.60000000000001</v>
      </c>
    </row>
    <row r="932" spans="2:12" x14ac:dyDescent="0.4">
      <c r="B932" s="122">
        <v>3</v>
      </c>
      <c r="C932" s="317" t="s">
        <v>214</v>
      </c>
      <c r="D932" s="318"/>
      <c r="E932" s="116">
        <f>I926*1</f>
        <v>1.8</v>
      </c>
      <c r="F932" s="83">
        <f>ROUND(E932/I926,2)</f>
        <v>1</v>
      </c>
      <c r="G932" s="74" t="str">
        <f>IF(C932=0,0,VLOOKUP(C932,Tabla1[],2,FALSE))</f>
        <v>Saco</v>
      </c>
      <c r="I932" s="117">
        <f>IF(C932=0,0,VLOOKUP(C932,Tabla1[],3,FALSE))</f>
        <v>80</v>
      </c>
      <c r="K932" s="84">
        <f t="shared" ref="K932:K939" si="138">+F932*I932</f>
        <v>80</v>
      </c>
      <c r="L932" s="118">
        <f t="shared" ref="L932:L939" si="139">E932*I932</f>
        <v>144</v>
      </c>
    </row>
    <row r="933" spans="2:12" x14ac:dyDescent="0.4">
      <c r="B933" s="122">
        <v>4</v>
      </c>
      <c r="C933" s="319" t="s">
        <v>73</v>
      </c>
      <c r="D933" s="318"/>
      <c r="E933" s="116">
        <f>I926*0.02</f>
        <v>3.6000000000000004E-2</v>
      </c>
      <c r="F933" s="83">
        <f>ROUND(E933/I926,2)</f>
        <v>0.02</v>
      </c>
      <c r="G933" s="74" t="str">
        <f>IF(C933=0,0,VLOOKUP(C933,Tabla1[],2,FALSE))</f>
        <v>m³</v>
      </c>
      <c r="I933" s="117">
        <f>IF(C933=0,0,VLOOKUP(C933,Tabla1[],3,FALSE))</f>
        <v>250</v>
      </c>
      <c r="K933" s="84">
        <f t="shared" si="138"/>
        <v>5</v>
      </c>
      <c r="L933" s="118">
        <f t="shared" si="139"/>
        <v>9.0000000000000018</v>
      </c>
    </row>
    <row r="934" spans="2:12" x14ac:dyDescent="0.4">
      <c r="B934" s="122">
        <v>5</v>
      </c>
      <c r="C934" s="319" t="s">
        <v>230</v>
      </c>
      <c r="D934" s="318"/>
      <c r="E934" s="116">
        <f>I926*0.02</f>
        <v>3.6000000000000004E-2</v>
      </c>
      <c r="F934" s="83">
        <f>ROUND(E934/I926,2)</f>
        <v>0.02</v>
      </c>
      <c r="G934" s="74" t="str">
        <f>IF(C934=0,0,VLOOKUP(C934,Tabla1[],2,FALSE))</f>
        <v>m³</v>
      </c>
      <c r="I934" s="117">
        <f>IF(C934=0,0,VLOOKUP(C934,Tabla1[],3,FALSE))</f>
        <v>250</v>
      </c>
      <c r="K934" s="84">
        <f t="shared" si="138"/>
        <v>5</v>
      </c>
      <c r="L934" s="118">
        <f t="shared" si="139"/>
        <v>9.0000000000000018</v>
      </c>
    </row>
    <row r="935" spans="2:12" x14ac:dyDescent="0.4">
      <c r="B935" s="122">
        <v>6</v>
      </c>
      <c r="C935" s="320" t="s">
        <v>369</v>
      </c>
      <c r="D935" s="320"/>
      <c r="E935" s="116">
        <f>I926*0.2</f>
        <v>0.36000000000000004</v>
      </c>
      <c r="F935" s="83">
        <f>ROUND(E935/I926,2)</f>
        <v>0.2</v>
      </c>
      <c r="G935" s="74" t="str">
        <f>IF(C935=0,0,VLOOKUP(C935,Tabla1[],2,FALSE))</f>
        <v>Libra</v>
      </c>
      <c r="I935" s="117">
        <f>IF(C935=0,0,VLOOKUP(C935,Tabla1[],3,FALSE))</f>
        <v>8</v>
      </c>
      <c r="K935" s="84">
        <f t="shared" si="138"/>
        <v>1.6</v>
      </c>
      <c r="L935" s="118">
        <f t="shared" si="139"/>
        <v>2.8800000000000003</v>
      </c>
    </row>
    <row r="936" spans="2:12" x14ac:dyDescent="0.4">
      <c r="B936" s="122">
        <v>7</v>
      </c>
      <c r="C936" s="320" t="s">
        <v>175</v>
      </c>
      <c r="D936" s="320"/>
      <c r="E936" s="116">
        <f>I926*0.04</f>
        <v>7.2000000000000008E-2</v>
      </c>
      <c r="F936" s="83">
        <f>ROUND(E936/I926,2)</f>
        <v>0.04</v>
      </c>
      <c r="G936" s="74" t="str">
        <f>IF(C936=0,0,VLOOKUP(C936,Tabla1[],2,FALSE))</f>
        <v>Libra</v>
      </c>
      <c r="I936" s="117">
        <f>IF(C936=0,0,VLOOKUP(C936,Tabla1[],3,FALSE))</f>
        <v>10</v>
      </c>
      <c r="K936" s="84">
        <f t="shared" si="138"/>
        <v>0.4</v>
      </c>
      <c r="L936" s="118">
        <f t="shared" si="139"/>
        <v>0.72000000000000008</v>
      </c>
    </row>
    <row r="937" spans="2:12" x14ac:dyDescent="0.4">
      <c r="B937" s="122">
        <v>8</v>
      </c>
      <c r="C937" s="320" t="s">
        <v>180</v>
      </c>
      <c r="D937" s="320"/>
      <c r="E937" s="116">
        <f>I926*14</f>
        <v>25.2</v>
      </c>
      <c r="F937" s="83">
        <f>ROUND(E937/I926,2)</f>
        <v>14</v>
      </c>
      <c r="G937" s="74" t="str">
        <f>IF(C937=0,0,VLOOKUP(C937,Tabla1[],2,FALSE))</f>
        <v>pt</v>
      </c>
      <c r="I937" s="117">
        <f>IF(C937=0,0,VLOOKUP(C937,Tabla1[],3,FALSE))</f>
        <v>9</v>
      </c>
      <c r="K937" s="84">
        <f t="shared" si="138"/>
        <v>126</v>
      </c>
      <c r="L937" s="118">
        <f t="shared" si="139"/>
        <v>226.79999999999998</v>
      </c>
    </row>
    <row r="938" spans="2:12" x14ac:dyDescent="0.4">
      <c r="B938" s="122"/>
      <c r="C938" s="321"/>
      <c r="D938" s="321"/>
      <c r="E938" s="116"/>
      <c r="F938" s="72"/>
      <c r="G938" s="74"/>
      <c r="I938" s="117">
        <f>IF(C938=0,0,VLOOKUP(C938,Tabla1[],3,FALSE))</f>
        <v>0</v>
      </c>
      <c r="K938" s="84">
        <f t="shared" si="138"/>
        <v>0</v>
      </c>
      <c r="L938" s="118">
        <f t="shared" si="139"/>
        <v>0</v>
      </c>
    </row>
    <row r="939" spans="2:12" x14ac:dyDescent="0.4">
      <c r="B939" s="122"/>
      <c r="C939" s="321"/>
      <c r="D939" s="321"/>
      <c r="E939" s="116"/>
      <c r="F939" s="72"/>
      <c r="G939" s="74"/>
      <c r="I939" s="117">
        <f>IF(C939=0,0,VLOOKUP(C939,Tabla1[],3,FALSE))</f>
        <v>0</v>
      </c>
      <c r="K939" s="84">
        <f t="shared" si="138"/>
        <v>0</v>
      </c>
      <c r="L939" s="118">
        <f t="shared" si="139"/>
        <v>0</v>
      </c>
    </row>
    <row r="940" spans="2:12" ht="17.399999999999999" thickBot="1" x14ac:dyDescent="0.45"/>
    <row r="941" spans="2:12" ht="17.399999999999999" thickBot="1" x14ac:dyDescent="0.45">
      <c r="F941" s="292" t="s">
        <v>9</v>
      </c>
      <c r="G941" s="293"/>
      <c r="H941" s="293"/>
      <c r="I941" s="294"/>
      <c r="K941" s="229">
        <f>+SUM(K930:K939)</f>
        <v>325</v>
      </c>
      <c r="L941" s="119">
        <f>+SUM(L930:L939)</f>
        <v>585</v>
      </c>
    </row>
    <row r="942" spans="2:12" ht="17.399999999999999" thickBot="1" x14ac:dyDescent="0.45"/>
    <row r="943" spans="2:12" ht="17.399999999999999" thickBot="1" x14ac:dyDescent="0.45">
      <c r="B943" s="110" t="s">
        <v>10</v>
      </c>
      <c r="C943" s="300" t="s">
        <v>11</v>
      </c>
      <c r="D943" s="300"/>
      <c r="E943" s="300"/>
      <c r="F943" s="300"/>
      <c r="G943" s="301"/>
    </row>
    <row r="944" spans="2:12" x14ac:dyDescent="0.4">
      <c r="B944" s="114" t="s">
        <v>6</v>
      </c>
      <c r="C944" s="302" t="s">
        <v>1</v>
      </c>
      <c r="D944" s="303"/>
      <c r="E944" s="112" t="s">
        <v>193</v>
      </c>
      <c r="F944" s="120" t="s">
        <v>2</v>
      </c>
      <c r="G944" s="114" t="s">
        <v>3</v>
      </c>
      <c r="H944" s="106"/>
      <c r="I944" s="107" t="s">
        <v>7</v>
      </c>
      <c r="J944" s="136"/>
      <c r="K944" s="107" t="s">
        <v>8</v>
      </c>
      <c r="L944" s="115" t="s">
        <v>194</v>
      </c>
    </row>
    <row r="945" spans="2:12" x14ac:dyDescent="0.4">
      <c r="B945" s="122"/>
      <c r="C945" s="306"/>
      <c r="D945" s="306"/>
      <c r="E945" s="116"/>
      <c r="F945" s="83"/>
      <c r="G945" s="74"/>
      <c r="I945" s="117">
        <f>IF(C945=0,0,VLOOKUP(C945,Tabla3[],3,FALSE))</f>
        <v>0</v>
      </c>
      <c r="K945" s="84">
        <f t="shared" ref="K945:K948" si="140">+F945*I945</f>
        <v>0</v>
      </c>
      <c r="L945" s="118">
        <f>E945*I945</f>
        <v>0</v>
      </c>
    </row>
    <row r="946" spans="2:12" x14ac:dyDescent="0.4">
      <c r="B946" s="74"/>
      <c r="C946" s="206"/>
      <c r="D946" s="207"/>
      <c r="E946" s="121"/>
      <c r="F946" s="72"/>
      <c r="G946" s="74"/>
      <c r="I946" s="117">
        <f>IF(C946=0,0,VLOOKUP(C946,Tabla3[],3,FALSE))</f>
        <v>0</v>
      </c>
      <c r="K946" s="84">
        <f t="shared" si="140"/>
        <v>0</v>
      </c>
      <c r="L946" s="118">
        <f t="shared" ref="L946:L948" si="141">E946*I946</f>
        <v>0</v>
      </c>
    </row>
    <row r="947" spans="2:12" x14ac:dyDescent="0.4">
      <c r="B947" s="74"/>
      <c r="C947" s="206"/>
      <c r="D947" s="207"/>
      <c r="E947" s="121"/>
      <c r="F947" s="72"/>
      <c r="G947" s="74"/>
      <c r="I947" s="117">
        <f>IF(C947=0,0,VLOOKUP(C947,Tabla3[],3,FALSE))</f>
        <v>0</v>
      </c>
      <c r="K947" s="84">
        <f t="shared" si="140"/>
        <v>0</v>
      </c>
      <c r="L947" s="118">
        <f t="shared" si="141"/>
        <v>0</v>
      </c>
    </row>
    <row r="948" spans="2:12" x14ac:dyDescent="0.4">
      <c r="B948" s="74"/>
      <c r="C948" s="304"/>
      <c r="D948" s="305"/>
      <c r="E948" s="121"/>
      <c r="F948" s="72"/>
      <c r="G948" s="74"/>
      <c r="I948" s="117">
        <f>IF(C948=0,0,VLOOKUP(C948,Tabla3[],3,FALSE))</f>
        <v>0</v>
      </c>
      <c r="K948" s="84">
        <f t="shared" si="140"/>
        <v>0</v>
      </c>
      <c r="L948" s="118">
        <f t="shared" si="141"/>
        <v>0</v>
      </c>
    </row>
    <row r="949" spans="2:12" ht="17.399999999999999" thickBot="1" x14ac:dyDescent="0.45"/>
    <row r="950" spans="2:12" ht="17.399999999999999" thickBot="1" x14ac:dyDescent="0.45">
      <c r="F950" s="292" t="s">
        <v>12</v>
      </c>
      <c r="G950" s="293"/>
      <c r="H950" s="293"/>
      <c r="I950" s="294"/>
      <c r="K950" s="229">
        <f>+SUM(K945:K948)</f>
        <v>0</v>
      </c>
      <c r="L950" s="119">
        <f>+SUM(L945:L948)</f>
        <v>0</v>
      </c>
    </row>
    <row r="951" spans="2:12" ht="17.399999999999999" thickBot="1" x14ac:dyDescent="0.45"/>
    <row r="952" spans="2:12" ht="17.399999999999999" thickBot="1" x14ac:dyDescent="0.45">
      <c r="B952" s="110" t="s">
        <v>13</v>
      </c>
      <c r="C952" s="300" t="s">
        <v>14</v>
      </c>
      <c r="D952" s="300"/>
      <c r="E952" s="300"/>
      <c r="F952" s="300"/>
      <c r="G952" s="301"/>
    </row>
    <row r="953" spans="2:12" x14ac:dyDescent="0.4">
      <c r="B953" s="114" t="s">
        <v>6</v>
      </c>
      <c r="C953" s="302" t="s">
        <v>1</v>
      </c>
      <c r="D953" s="303"/>
      <c r="E953" s="112" t="s">
        <v>193</v>
      </c>
      <c r="F953" s="120" t="s">
        <v>2</v>
      </c>
      <c r="G953" s="114" t="s">
        <v>3</v>
      </c>
      <c r="H953" s="106"/>
      <c r="I953" s="107" t="s">
        <v>7</v>
      </c>
      <c r="J953" s="136"/>
      <c r="K953" s="107" t="s">
        <v>8</v>
      </c>
      <c r="L953" s="115" t="s">
        <v>194</v>
      </c>
    </row>
    <row r="954" spans="2:12" x14ac:dyDescent="0.4">
      <c r="B954" s="122">
        <v>1</v>
      </c>
      <c r="C954" s="306" t="s">
        <v>421</v>
      </c>
      <c r="D954" s="306"/>
      <c r="E954" s="116">
        <f>I926</f>
        <v>1.8</v>
      </c>
      <c r="F954" s="83">
        <f>ROUND(E954/I926,2)</f>
        <v>1</v>
      </c>
      <c r="G954" s="74" t="str">
        <f>IF(C954=0,0,VLOOKUP(C954,Tabla2[],2,FALSE))</f>
        <v>ml</v>
      </c>
      <c r="I954" s="117">
        <f>IF(C954=0,0,VLOOKUP(C954,Tabla2[],3,FALSE))</f>
        <v>100</v>
      </c>
      <c r="K954" s="84">
        <f>+F954*I954</f>
        <v>100</v>
      </c>
      <c r="L954" s="118">
        <f>E954*I954</f>
        <v>180</v>
      </c>
    </row>
    <row r="955" spans="2:12" x14ac:dyDescent="0.4">
      <c r="B955" s="122"/>
      <c r="C955" s="306"/>
      <c r="D955" s="306"/>
      <c r="E955" s="116"/>
      <c r="F955" s="83"/>
      <c r="G955" s="74"/>
      <c r="I955" s="117">
        <f>IF(C955=0,0,VLOOKUP(C955,Tabla2[],3,FALSE))</f>
        <v>0</v>
      </c>
      <c r="K955" s="84">
        <f>+F955*I955</f>
        <v>0</v>
      </c>
      <c r="L955" s="118">
        <f>E955*I955</f>
        <v>0</v>
      </c>
    </row>
    <row r="956" spans="2:12" ht="17.399999999999999" thickBot="1" x14ac:dyDescent="0.45">
      <c r="B956" s="123"/>
      <c r="C956" s="307"/>
      <c r="D956" s="308"/>
      <c r="E956" s="124"/>
      <c r="F956" s="125"/>
      <c r="G956" s="74"/>
      <c r="I956" s="117">
        <f>IF(C956=0,0,VLOOKUP(C956,Tabla2[],3,FALSE))</f>
        <v>0</v>
      </c>
      <c r="K956" s="84">
        <f t="shared" ref="K956" si="142">+F956*I956</f>
        <v>0</v>
      </c>
      <c r="L956" s="118">
        <f t="shared" ref="L956:L957" si="143">E956*I956</f>
        <v>0</v>
      </c>
    </row>
    <row r="957" spans="2:12" ht="17.399999999999999" thickBot="1" x14ac:dyDescent="0.45">
      <c r="B957" s="297" t="s">
        <v>15</v>
      </c>
      <c r="C957" s="298"/>
      <c r="D957" s="298"/>
      <c r="E957" s="298"/>
      <c r="F957" s="298"/>
      <c r="G957" s="299"/>
      <c r="I957" s="84">
        <v>0</v>
      </c>
      <c r="K957" s="84">
        <v>0</v>
      </c>
      <c r="L957" s="118">
        <f t="shared" si="143"/>
        <v>0</v>
      </c>
    </row>
    <row r="958" spans="2:12" ht="17.399999999999999" thickBot="1" x14ac:dyDescent="0.45"/>
    <row r="959" spans="2:12" ht="17.399999999999999" thickBot="1" x14ac:dyDescent="0.45">
      <c r="F959" s="292" t="s">
        <v>16</v>
      </c>
      <c r="G959" s="293"/>
      <c r="H959" s="293"/>
      <c r="I959" s="294"/>
      <c r="K959" s="229">
        <f>+SUM(K954:K957)</f>
        <v>100</v>
      </c>
      <c r="L959" s="119">
        <f>+SUM(L954:L957)</f>
        <v>180</v>
      </c>
    </row>
    <row r="960" spans="2:12" ht="17.399999999999999" thickBot="1" x14ac:dyDescent="0.45"/>
    <row r="961" spans="2:16" ht="17.399999999999999" thickBot="1" x14ac:dyDescent="0.45">
      <c r="B961" s="110" t="s">
        <v>17</v>
      </c>
      <c r="C961" s="300" t="s">
        <v>18</v>
      </c>
      <c r="D961" s="300"/>
      <c r="E961" s="300"/>
      <c r="F961" s="300"/>
      <c r="G961" s="301"/>
    </row>
    <row r="962" spans="2:16" x14ac:dyDescent="0.4">
      <c r="B962" s="114" t="s">
        <v>6</v>
      </c>
      <c r="C962" s="302" t="s">
        <v>1</v>
      </c>
      <c r="D962" s="303"/>
      <c r="E962" s="126"/>
      <c r="F962" s="120" t="s">
        <v>2</v>
      </c>
      <c r="G962" s="114" t="s">
        <v>3</v>
      </c>
      <c r="H962" s="106"/>
      <c r="I962" s="107" t="s">
        <v>7</v>
      </c>
      <c r="J962" s="136"/>
      <c r="K962" s="107" t="s">
        <v>8</v>
      </c>
      <c r="L962" s="115" t="s">
        <v>194</v>
      </c>
    </row>
    <row r="963" spans="2:16" x14ac:dyDescent="0.4">
      <c r="B963" s="74"/>
      <c r="C963" s="304"/>
      <c r="D963" s="305"/>
      <c r="E963" s="127"/>
      <c r="F963" s="72"/>
      <c r="G963" s="74"/>
      <c r="I963" s="84">
        <v>0</v>
      </c>
      <c r="K963" s="84">
        <f>+F963*I963</f>
        <v>0</v>
      </c>
      <c r="L963" s="118">
        <f>E963*I963</f>
        <v>0</v>
      </c>
    </row>
    <row r="964" spans="2:16" x14ac:dyDescent="0.4">
      <c r="B964" s="74"/>
      <c r="C964" s="304"/>
      <c r="D964" s="305"/>
      <c r="E964" s="127"/>
      <c r="F964" s="72"/>
      <c r="G964" s="74"/>
      <c r="I964" s="84">
        <v>0</v>
      </c>
      <c r="K964" s="84">
        <f t="shared" ref="K964:K965" si="144">+F964*I964</f>
        <v>0</v>
      </c>
      <c r="L964" s="118">
        <f t="shared" ref="L964:L965" si="145">E964*I964</f>
        <v>0</v>
      </c>
    </row>
    <row r="965" spans="2:16" x14ac:dyDescent="0.4">
      <c r="B965" s="74"/>
      <c r="C965" s="304"/>
      <c r="D965" s="305"/>
      <c r="E965" s="127"/>
      <c r="F965" s="72"/>
      <c r="G965" s="74"/>
      <c r="I965" s="84">
        <v>0</v>
      </c>
      <c r="K965" s="84">
        <f t="shared" si="144"/>
        <v>0</v>
      </c>
      <c r="L965" s="118">
        <f t="shared" si="145"/>
        <v>0</v>
      </c>
    </row>
    <row r="966" spans="2:16" ht="17.399999999999999" thickBot="1" x14ac:dyDescent="0.45">
      <c r="L966" s="118"/>
    </row>
    <row r="967" spans="2:16" ht="17.399999999999999" thickBot="1" x14ac:dyDescent="0.45">
      <c r="F967" s="292" t="s">
        <v>19</v>
      </c>
      <c r="G967" s="293"/>
      <c r="H967" s="293"/>
      <c r="I967" s="294"/>
      <c r="K967" s="229">
        <f>+SUM(K963:K965)</f>
        <v>0</v>
      </c>
      <c r="L967" s="119">
        <f>+SUM(L962:L965)</f>
        <v>0</v>
      </c>
    </row>
    <row r="968" spans="2:16" ht="15" customHeight="1" x14ac:dyDescent="0.4">
      <c r="F968" s="128"/>
      <c r="G968" s="129"/>
      <c r="H968" s="130"/>
      <c r="I968" s="108"/>
      <c r="K968" s="230"/>
    </row>
    <row r="969" spans="2:16" ht="15" customHeight="1" thickBot="1" x14ac:dyDescent="0.45"/>
    <row r="970" spans="2:16" ht="17.399999999999999" thickBot="1" x14ac:dyDescent="0.45">
      <c r="F970" s="292" t="s">
        <v>20</v>
      </c>
      <c r="G970" s="293"/>
      <c r="H970" s="293"/>
      <c r="I970" s="294"/>
      <c r="K970" s="229">
        <f>(+K941+K950+K959+K967)</f>
        <v>425</v>
      </c>
      <c r="L970" s="119">
        <f>(+L941+L950+L959+L967)</f>
        <v>765</v>
      </c>
      <c r="N970" s="131"/>
      <c r="O970" s="39"/>
      <c r="P970" s="40"/>
    </row>
    <row r="971" spans="2:16" ht="7.5" customHeight="1" thickBot="1" x14ac:dyDescent="0.45">
      <c r="N971" s="131"/>
      <c r="O971" s="41"/>
      <c r="P971" s="40"/>
    </row>
    <row r="972" spans="2:16" ht="17.399999999999999" thickBot="1" x14ac:dyDescent="0.45">
      <c r="F972" s="292" t="s">
        <v>21</v>
      </c>
      <c r="G972" s="293"/>
      <c r="H972" s="293"/>
      <c r="I972" s="294"/>
      <c r="K972" s="229">
        <f>K970*$N$2</f>
        <v>170</v>
      </c>
      <c r="L972" s="119">
        <f>L970*$N$2</f>
        <v>306</v>
      </c>
    </row>
    <row r="973" spans="2:16" ht="7.5" customHeight="1" thickBot="1" x14ac:dyDescent="0.45"/>
    <row r="974" spans="2:16" ht="17.399999999999999" thickBot="1" x14ac:dyDescent="0.45">
      <c r="F974" s="292" t="s">
        <v>22</v>
      </c>
      <c r="G974" s="293"/>
      <c r="H974" s="293"/>
      <c r="I974" s="294"/>
      <c r="K974" s="229">
        <f>+K970+K972</f>
        <v>595</v>
      </c>
      <c r="L974" s="119">
        <f>+L970+L972</f>
        <v>1071</v>
      </c>
    </row>
    <row r="975" spans="2:16" ht="17.399999999999999" thickBot="1" x14ac:dyDescent="0.45">
      <c r="F975" s="128"/>
      <c r="G975" s="129"/>
      <c r="H975" s="130"/>
      <c r="I975" s="108"/>
      <c r="K975" s="231"/>
      <c r="L975" s="132">
        <f>L974/I926</f>
        <v>595</v>
      </c>
      <c r="M975" s="133">
        <f>(K974-L975)*I926</f>
        <v>0</v>
      </c>
    </row>
    <row r="976" spans="2:16" x14ac:dyDescent="0.4">
      <c r="F976" s="128"/>
      <c r="G976" s="129"/>
      <c r="H976" s="130"/>
      <c r="I976" s="108"/>
      <c r="K976" s="232"/>
      <c r="L976" s="131"/>
      <c r="M976" s="134"/>
      <c r="N976" s="135"/>
    </row>
    <row r="977" spans="1:16" ht="17.399999999999999" thickBot="1" x14ac:dyDescent="0.45">
      <c r="B977" s="295"/>
      <c r="C977" s="295"/>
      <c r="D977" s="295"/>
    </row>
    <row r="978" spans="1:16" x14ac:dyDescent="0.4">
      <c r="B978" s="296" t="s">
        <v>23</v>
      </c>
      <c r="C978" s="296"/>
      <c r="D978" s="296"/>
    </row>
    <row r="979" spans="1:16" x14ac:dyDescent="0.4">
      <c r="B979" s="157"/>
      <c r="C979" s="157"/>
      <c r="D979" s="157"/>
    </row>
    <row r="980" spans="1:16" x14ac:dyDescent="0.4">
      <c r="B980" s="157"/>
      <c r="C980" s="157"/>
      <c r="D980" s="157"/>
    </row>
    <row r="981" spans="1:16" x14ac:dyDescent="0.4">
      <c r="B981" s="105" t="s">
        <v>43</v>
      </c>
      <c r="C981" s="106"/>
      <c r="D981" s="311" t="s">
        <v>1</v>
      </c>
      <c r="E981" s="311"/>
      <c r="F981" s="311"/>
      <c r="G981" s="311"/>
      <c r="H981" s="106"/>
      <c r="I981" s="107" t="s">
        <v>2</v>
      </c>
      <c r="J981" s="136"/>
      <c r="K981" s="107" t="s">
        <v>3</v>
      </c>
    </row>
    <row r="982" spans="1:16" s="4" customFormat="1" ht="30.75" customHeight="1" x14ac:dyDescent="0.3">
      <c r="A982" s="31"/>
      <c r="B982" s="213">
        <f>CATALOGO!B33</f>
        <v>405.23</v>
      </c>
      <c r="C982" s="71"/>
      <c r="D982" s="312" t="str">
        <f>CATALOGO!C33</f>
        <v>SOLERA (0.20m X 0.20m + 4 NO. 3 + EST NO. 3 @ 0.20m)</v>
      </c>
      <c r="E982" s="312"/>
      <c r="F982" s="312"/>
      <c r="G982" s="312"/>
      <c r="H982" s="71"/>
      <c r="I982" s="213">
        <f>CATALOGO!D33</f>
        <v>39.72</v>
      </c>
      <c r="J982" s="109"/>
      <c r="K982" s="227" t="str">
        <f>CATALOGO!E33</f>
        <v>ml</v>
      </c>
      <c r="L982" s="71"/>
      <c r="M982" s="71"/>
      <c r="N982" s="104"/>
      <c r="O982" s="37"/>
      <c r="P982" s="37"/>
    </row>
    <row r="983" spans="1:16" ht="17.399999999999999" thickBot="1" x14ac:dyDescent="0.45"/>
    <row r="984" spans="1:16" ht="17.399999999999999" thickBot="1" x14ac:dyDescent="0.45">
      <c r="B984" s="110" t="s">
        <v>4</v>
      </c>
      <c r="C984" s="300" t="s">
        <v>5</v>
      </c>
      <c r="D984" s="300"/>
      <c r="E984" s="300"/>
      <c r="F984" s="300"/>
      <c r="G984" s="301"/>
    </row>
    <row r="985" spans="1:16" x14ac:dyDescent="0.4">
      <c r="B985" s="111" t="s">
        <v>6</v>
      </c>
      <c r="C985" s="313" t="s">
        <v>1</v>
      </c>
      <c r="D985" s="314"/>
      <c r="E985" s="112" t="s">
        <v>193</v>
      </c>
      <c r="F985" s="113" t="s">
        <v>2</v>
      </c>
      <c r="G985" s="114" t="s">
        <v>3</v>
      </c>
      <c r="H985" s="106"/>
      <c r="I985" s="107" t="s">
        <v>7</v>
      </c>
      <c r="J985" s="136"/>
      <c r="K985" s="228" t="s">
        <v>8</v>
      </c>
      <c r="L985" s="115" t="s">
        <v>194</v>
      </c>
    </row>
    <row r="986" spans="1:16" x14ac:dyDescent="0.4">
      <c r="B986" s="122">
        <v>1</v>
      </c>
      <c r="C986" s="315" t="s">
        <v>169</v>
      </c>
      <c r="D986" s="316"/>
      <c r="E986" s="116">
        <f>I982*0.5</f>
        <v>19.86</v>
      </c>
      <c r="F986" s="83">
        <f>ROUND(E986/I982,2)</f>
        <v>0.5</v>
      </c>
      <c r="G986" s="74" t="str">
        <f>IF(C986=0,0,VLOOKUP(C986,Tabla1[],2,FALSE))</f>
        <v>Varilla</v>
      </c>
      <c r="I986" s="117">
        <f>IF(C986=0,0,VLOOKUP(C986,Tabla1[],3,FALSE))</f>
        <v>40</v>
      </c>
      <c r="K986" s="84">
        <f>+F986*I986</f>
        <v>20</v>
      </c>
      <c r="L986" s="118">
        <f>E986*I986</f>
        <v>794.4</v>
      </c>
    </row>
    <row r="987" spans="1:16" x14ac:dyDescent="0.4">
      <c r="B987" s="122">
        <v>2</v>
      </c>
      <c r="C987" s="315" t="s">
        <v>313</v>
      </c>
      <c r="D987" s="316"/>
      <c r="E987" s="116">
        <f>I982*0.5</f>
        <v>19.86</v>
      </c>
      <c r="F987" s="83">
        <f>ROUND(E987/I982,2)</f>
        <v>0.5</v>
      </c>
      <c r="G987" s="74" t="str">
        <f>IF(C987=0,0,VLOOKUP(C987,Tabla1[],2,FALSE))</f>
        <v>Varilla</v>
      </c>
      <c r="I987" s="117">
        <f>IF(C987=0,0,VLOOKUP(C987,Tabla1[],3,FALSE))</f>
        <v>20</v>
      </c>
      <c r="K987" s="84">
        <f>+F987*I987</f>
        <v>10</v>
      </c>
      <c r="L987" s="118">
        <f>E987*I987</f>
        <v>397.2</v>
      </c>
    </row>
    <row r="988" spans="1:16" x14ac:dyDescent="0.4">
      <c r="B988" s="122">
        <v>3</v>
      </c>
      <c r="C988" s="317" t="s">
        <v>214</v>
      </c>
      <c r="D988" s="318"/>
      <c r="E988" s="116">
        <f>I982*0.5</f>
        <v>19.86</v>
      </c>
      <c r="F988" s="83">
        <f>ROUND(E988/I982,2)</f>
        <v>0.5</v>
      </c>
      <c r="G988" s="74" t="str">
        <f>IF(C988=0,0,VLOOKUP(C988,Tabla1[],2,FALSE))</f>
        <v>Saco</v>
      </c>
      <c r="I988" s="117">
        <f>IF(C988=0,0,VLOOKUP(C988,Tabla1[],3,FALSE))</f>
        <v>80</v>
      </c>
      <c r="K988" s="84">
        <f t="shared" ref="K988:K995" si="146">+F988*I988</f>
        <v>40</v>
      </c>
      <c r="L988" s="118">
        <f t="shared" ref="L988:L995" si="147">E988*I988</f>
        <v>1588.8</v>
      </c>
    </row>
    <row r="989" spans="1:16" x14ac:dyDescent="0.4">
      <c r="B989" s="122">
        <v>4</v>
      </c>
      <c r="C989" s="319" t="s">
        <v>73</v>
      </c>
      <c r="D989" s="318"/>
      <c r="E989" s="116">
        <f>I982*0.01</f>
        <v>0.3972</v>
      </c>
      <c r="F989" s="83">
        <f>ROUND(E989/I982,2)</f>
        <v>0.01</v>
      </c>
      <c r="G989" s="74" t="str">
        <f>IF(C989=0,0,VLOOKUP(C989,Tabla1[],2,FALSE))</f>
        <v>m³</v>
      </c>
      <c r="I989" s="117">
        <f>IF(C989=0,0,VLOOKUP(C989,Tabla1[],3,FALSE))</f>
        <v>250</v>
      </c>
      <c r="K989" s="84">
        <f t="shared" si="146"/>
        <v>2.5</v>
      </c>
      <c r="L989" s="118">
        <f t="shared" si="147"/>
        <v>99.3</v>
      </c>
    </row>
    <row r="990" spans="1:16" x14ac:dyDescent="0.4">
      <c r="B990" s="122">
        <v>5</v>
      </c>
      <c r="C990" s="319" t="s">
        <v>230</v>
      </c>
      <c r="D990" s="318"/>
      <c r="E990" s="116">
        <f>I982*0.01</f>
        <v>0.3972</v>
      </c>
      <c r="F990" s="83">
        <f>ROUND(E990/I982,2)</f>
        <v>0.01</v>
      </c>
      <c r="G990" s="74" t="str">
        <f>IF(C990=0,0,VLOOKUP(C990,Tabla1[],2,FALSE))</f>
        <v>m³</v>
      </c>
      <c r="I990" s="117">
        <f>IF(C990=0,0,VLOOKUP(C990,Tabla1[],3,FALSE))</f>
        <v>250</v>
      </c>
      <c r="K990" s="84">
        <f t="shared" si="146"/>
        <v>2.5</v>
      </c>
      <c r="L990" s="118">
        <f t="shared" si="147"/>
        <v>99.3</v>
      </c>
    </row>
    <row r="991" spans="1:16" x14ac:dyDescent="0.4">
      <c r="B991" s="122">
        <v>6</v>
      </c>
      <c r="C991" s="320" t="s">
        <v>369</v>
      </c>
      <c r="D991" s="320"/>
      <c r="E991" s="116">
        <f>I982*0.1</f>
        <v>3.972</v>
      </c>
      <c r="F991" s="83">
        <f>ROUND(E991/I982,2)</f>
        <v>0.1</v>
      </c>
      <c r="G991" s="74" t="str">
        <f>IF(C991=0,0,VLOOKUP(C991,Tabla1[],2,FALSE))</f>
        <v>Libra</v>
      </c>
      <c r="I991" s="117">
        <f>IF(C991=0,0,VLOOKUP(C991,Tabla1[],3,FALSE))</f>
        <v>8</v>
      </c>
      <c r="K991" s="84">
        <f t="shared" si="146"/>
        <v>0.8</v>
      </c>
      <c r="L991" s="118">
        <f t="shared" si="147"/>
        <v>31.776</v>
      </c>
    </row>
    <row r="992" spans="1:16" x14ac:dyDescent="0.4">
      <c r="B992" s="122">
        <v>7</v>
      </c>
      <c r="C992" s="320" t="s">
        <v>175</v>
      </c>
      <c r="D992" s="320"/>
      <c r="E992" s="116">
        <f>I982*0.02</f>
        <v>0.7944</v>
      </c>
      <c r="F992" s="83">
        <f>ROUND(E992/I982,2)</f>
        <v>0.02</v>
      </c>
      <c r="G992" s="74" t="str">
        <f>IF(C992=0,0,VLOOKUP(C992,Tabla1[],2,FALSE))</f>
        <v>Libra</v>
      </c>
      <c r="I992" s="117">
        <f>IF(C992=0,0,VLOOKUP(C992,Tabla1[],3,FALSE))</f>
        <v>10</v>
      </c>
      <c r="K992" s="84">
        <f t="shared" si="146"/>
        <v>0.2</v>
      </c>
      <c r="L992" s="118">
        <f t="shared" si="147"/>
        <v>7.944</v>
      </c>
    </row>
    <row r="993" spans="2:12" x14ac:dyDescent="0.4">
      <c r="B993" s="122">
        <v>8</v>
      </c>
      <c r="C993" s="320" t="s">
        <v>180</v>
      </c>
      <c r="D993" s="320"/>
      <c r="E993" s="116">
        <f>I982*6</f>
        <v>238.32</v>
      </c>
      <c r="F993" s="83">
        <f>ROUND(E993/I982,2)</f>
        <v>6</v>
      </c>
      <c r="G993" s="74" t="str">
        <f>IF(C993=0,0,VLOOKUP(C993,Tabla1[],2,FALSE))</f>
        <v>pt</v>
      </c>
      <c r="I993" s="117">
        <f>IF(C993=0,0,VLOOKUP(C993,Tabla1[],3,FALSE))</f>
        <v>9</v>
      </c>
      <c r="K993" s="84">
        <f t="shared" si="146"/>
        <v>54</v>
      </c>
      <c r="L993" s="118">
        <f t="shared" si="147"/>
        <v>2144.88</v>
      </c>
    </row>
    <row r="994" spans="2:12" x14ac:dyDescent="0.4">
      <c r="B994" s="122"/>
      <c r="C994" s="321"/>
      <c r="D994" s="321"/>
      <c r="E994" s="116"/>
      <c r="F994" s="72"/>
      <c r="G994" s="74"/>
      <c r="I994" s="117">
        <f>IF(C994=0,0,VLOOKUP(C994,Tabla1[],3,FALSE))</f>
        <v>0</v>
      </c>
      <c r="K994" s="84">
        <f t="shared" si="146"/>
        <v>0</v>
      </c>
      <c r="L994" s="118">
        <f t="shared" si="147"/>
        <v>0</v>
      </c>
    </row>
    <row r="995" spans="2:12" x14ac:dyDescent="0.4">
      <c r="B995" s="122"/>
      <c r="C995" s="321"/>
      <c r="D995" s="321"/>
      <c r="E995" s="116"/>
      <c r="F995" s="72"/>
      <c r="G995" s="74"/>
      <c r="I995" s="117">
        <f>IF(C995=0,0,VLOOKUP(C995,Tabla1[],3,FALSE))</f>
        <v>0</v>
      </c>
      <c r="K995" s="84">
        <f t="shared" si="146"/>
        <v>0</v>
      </c>
      <c r="L995" s="118">
        <f t="shared" si="147"/>
        <v>0</v>
      </c>
    </row>
    <row r="996" spans="2:12" ht="17.399999999999999" thickBot="1" x14ac:dyDescent="0.45"/>
    <row r="997" spans="2:12" ht="17.399999999999999" thickBot="1" x14ac:dyDescent="0.45">
      <c r="F997" s="292" t="s">
        <v>9</v>
      </c>
      <c r="G997" s="293"/>
      <c r="H997" s="293"/>
      <c r="I997" s="294"/>
      <c r="K997" s="229">
        <f>+SUM(K986:K995)</f>
        <v>130</v>
      </c>
      <c r="L997" s="119">
        <f>+SUM(L986:L995)</f>
        <v>5163.6000000000004</v>
      </c>
    </row>
    <row r="998" spans="2:12" ht="17.399999999999999" thickBot="1" x14ac:dyDescent="0.45"/>
    <row r="999" spans="2:12" ht="17.399999999999999" thickBot="1" x14ac:dyDescent="0.45">
      <c r="B999" s="110" t="s">
        <v>10</v>
      </c>
      <c r="C999" s="300" t="s">
        <v>11</v>
      </c>
      <c r="D999" s="300"/>
      <c r="E999" s="300"/>
      <c r="F999" s="300"/>
      <c r="G999" s="301"/>
    </row>
    <row r="1000" spans="2:12" x14ac:dyDescent="0.4">
      <c r="B1000" s="114" t="s">
        <v>6</v>
      </c>
      <c r="C1000" s="302" t="s">
        <v>1</v>
      </c>
      <c r="D1000" s="303"/>
      <c r="E1000" s="112" t="s">
        <v>193</v>
      </c>
      <c r="F1000" s="120" t="s">
        <v>2</v>
      </c>
      <c r="G1000" s="114" t="s">
        <v>3</v>
      </c>
      <c r="H1000" s="106"/>
      <c r="I1000" s="107" t="s">
        <v>7</v>
      </c>
      <c r="J1000" s="136"/>
      <c r="K1000" s="107" t="s">
        <v>8</v>
      </c>
      <c r="L1000" s="115" t="s">
        <v>194</v>
      </c>
    </row>
    <row r="1001" spans="2:12" x14ac:dyDescent="0.4">
      <c r="B1001" s="122"/>
      <c r="C1001" s="306"/>
      <c r="D1001" s="306"/>
      <c r="E1001" s="116"/>
      <c r="F1001" s="83"/>
      <c r="G1001" s="74"/>
      <c r="I1001" s="117">
        <f>IF(C1001=0,0,VLOOKUP(C1001,Tabla3[],3,FALSE))</f>
        <v>0</v>
      </c>
      <c r="K1001" s="84">
        <f t="shared" ref="K1001:K1004" si="148">+F1001*I1001</f>
        <v>0</v>
      </c>
      <c r="L1001" s="118">
        <f>E1001*I1001</f>
        <v>0</v>
      </c>
    </row>
    <row r="1002" spans="2:12" x14ac:dyDescent="0.4">
      <c r="B1002" s="74"/>
      <c r="C1002" s="206"/>
      <c r="D1002" s="207"/>
      <c r="E1002" s="121"/>
      <c r="F1002" s="72"/>
      <c r="G1002" s="74"/>
      <c r="I1002" s="117">
        <f>IF(C1002=0,0,VLOOKUP(C1002,Tabla3[],3,FALSE))</f>
        <v>0</v>
      </c>
      <c r="K1002" s="84">
        <f t="shared" si="148"/>
        <v>0</v>
      </c>
      <c r="L1002" s="118">
        <f t="shared" ref="L1002:L1004" si="149">E1002*I1002</f>
        <v>0</v>
      </c>
    </row>
    <row r="1003" spans="2:12" x14ac:dyDescent="0.4">
      <c r="B1003" s="74"/>
      <c r="C1003" s="206"/>
      <c r="D1003" s="207"/>
      <c r="E1003" s="121"/>
      <c r="F1003" s="72"/>
      <c r="G1003" s="74"/>
      <c r="I1003" s="117">
        <f>IF(C1003=0,0,VLOOKUP(C1003,Tabla3[],3,FALSE))</f>
        <v>0</v>
      </c>
      <c r="K1003" s="84">
        <f t="shared" si="148"/>
        <v>0</v>
      </c>
      <c r="L1003" s="118">
        <f t="shared" si="149"/>
        <v>0</v>
      </c>
    </row>
    <row r="1004" spans="2:12" x14ac:dyDescent="0.4">
      <c r="B1004" s="74"/>
      <c r="C1004" s="304"/>
      <c r="D1004" s="305"/>
      <c r="E1004" s="121"/>
      <c r="F1004" s="72"/>
      <c r="G1004" s="74"/>
      <c r="I1004" s="117">
        <f>IF(C1004=0,0,VLOOKUP(C1004,Tabla3[],3,FALSE))</f>
        <v>0</v>
      </c>
      <c r="K1004" s="84">
        <f t="shared" si="148"/>
        <v>0</v>
      </c>
      <c r="L1004" s="118">
        <f t="shared" si="149"/>
        <v>0</v>
      </c>
    </row>
    <row r="1005" spans="2:12" ht="17.399999999999999" thickBot="1" x14ac:dyDescent="0.45"/>
    <row r="1006" spans="2:12" ht="17.399999999999999" thickBot="1" x14ac:dyDescent="0.45">
      <c r="F1006" s="292" t="s">
        <v>12</v>
      </c>
      <c r="G1006" s="293"/>
      <c r="H1006" s="293"/>
      <c r="I1006" s="294"/>
      <c r="K1006" s="229">
        <f>+SUM(K1001:K1004)</f>
        <v>0</v>
      </c>
      <c r="L1006" s="119">
        <f>+SUM(L1001:L1004)</f>
        <v>0</v>
      </c>
    </row>
    <row r="1007" spans="2:12" ht="17.399999999999999" thickBot="1" x14ac:dyDescent="0.45"/>
    <row r="1008" spans="2:12" ht="17.399999999999999" thickBot="1" x14ac:dyDescent="0.45">
      <c r="B1008" s="110" t="s">
        <v>13</v>
      </c>
      <c r="C1008" s="300" t="s">
        <v>14</v>
      </c>
      <c r="D1008" s="300"/>
      <c r="E1008" s="300"/>
      <c r="F1008" s="300"/>
      <c r="G1008" s="301"/>
    </row>
    <row r="1009" spans="2:12" x14ac:dyDescent="0.4">
      <c r="B1009" s="114" t="s">
        <v>6</v>
      </c>
      <c r="C1009" s="302" t="s">
        <v>1</v>
      </c>
      <c r="D1009" s="303"/>
      <c r="E1009" s="112" t="s">
        <v>193</v>
      </c>
      <c r="F1009" s="120" t="s">
        <v>2</v>
      </c>
      <c r="G1009" s="114" t="s">
        <v>3</v>
      </c>
      <c r="H1009" s="106"/>
      <c r="I1009" s="107" t="s">
        <v>7</v>
      </c>
      <c r="J1009" s="136"/>
      <c r="K1009" s="107" t="s">
        <v>8</v>
      </c>
      <c r="L1009" s="115" t="s">
        <v>194</v>
      </c>
    </row>
    <row r="1010" spans="2:12" x14ac:dyDescent="0.4">
      <c r="B1010" s="122">
        <v>1</v>
      </c>
      <c r="C1010" s="306" t="s">
        <v>424</v>
      </c>
      <c r="D1010" s="306"/>
      <c r="E1010" s="116">
        <f>I982</f>
        <v>39.72</v>
      </c>
      <c r="F1010" s="83">
        <f>ROUND(E1010/I982,2)</f>
        <v>1</v>
      </c>
      <c r="G1010" s="74" t="str">
        <f>IF(C1010=0,0,VLOOKUP(C1010,Tabla2[],2,FALSE))</f>
        <v>ml</v>
      </c>
      <c r="I1010" s="117">
        <f>IF(C1010=0,0,VLOOKUP(C1010,Tabla2[],3,FALSE))</f>
        <v>50</v>
      </c>
      <c r="K1010" s="84">
        <f>+F1010*I1010</f>
        <v>50</v>
      </c>
      <c r="L1010" s="118">
        <f>E1010*I1010</f>
        <v>1986</v>
      </c>
    </row>
    <row r="1011" spans="2:12" x14ac:dyDescent="0.4">
      <c r="B1011" s="122"/>
      <c r="C1011" s="306"/>
      <c r="D1011" s="306"/>
      <c r="E1011" s="116"/>
      <c r="F1011" s="83"/>
      <c r="G1011" s="74"/>
      <c r="I1011" s="117">
        <f>IF(C1011=0,0,VLOOKUP(C1011,Tabla2[],3,FALSE))</f>
        <v>0</v>
      </c>
      <c r="K1011" s="84">
        <f>+F1011*I1011</f>
        <v>0</v>
      </c>
      <c r="L1011" s="118">
        <f>E1011*I1011</f>
        <v>0</v>
      </c>
    </row>
    <row r="1012" spans="2:12" ht="17.399999999999999" thickBot="1" x14ac:dyDescent="0.45">
      <c r="B1012" s="123"/>
      <c r="C1012" s="307"/>
      <c r="D1012" s="308"/>
      <c r="E1012" s="124"/>
      <c r="F1012" s="125"/>
      <c r="G1012" s="74"/>
      <c r="I1012" s="117">
        <f>IF(C1012=0,0,VLOOKUP(C1012,Tabla2[],3,FALSE))</f>
        <v>0</v>
      </c>
      <c r="K1012" s="84">
        <f t="shared" ref="K1012" si="150">+F1012*I1012</f>
        <v>0</v>
      </c>
      <c r="L1012" s="118">
        <f t="shared" ref="L1012:L1013" si="151">E1012*I1012</f>
        <v>0</v>
      </c>
    </row>
    <row r="1013" spans="2:12" ht="17.399999999999999" thickBot="1" x14ac:dyDescent="0.45">
      <c r="B1013" s="297" t="s">
        <v>15</v>
      </c>
      <c r="C1013" s="298"/>
      <c r="D1013" s="298"/>
      <c r="E1013" s="298"/>
      <c r="F1013" s="298"/>
      <c r="G1013" s="299"/>
      <c r="I1013" s="84">
        <v>0</v>
      </c>
      <c r="K1013" s="84">
        <v>0</v>
      </c>
      <c r="L1013" s="118">
        <f t="shared" si="151"/>
        <v>0</v>
      </c>
    </row>
    <row r="1014" spans="2:12" ht="17.399999999999999" thickBot="1" x14ac:dyDescent="0.45"/>
    <row r="1015" spans="2:12" ht="17.399999999999999" thickBot="1" x14ac:dyDescent="0.45">
      <c r="F1015" s="292" t="s">
        <v>16</v>
      </c>
      <c r="G1015" s="293"/>
      <c r="H1015" s="293"/>
      <c r="I1015" s="294"/>
      <c r="K1015" s="229">
        <f>+SUM(K1010:K1013)</f>
        <v>50</v>
      </c>
      <c r="L1015" s="119">
        <f>+SUM(L1010:L1013)</f>
        <v>1986</v>
      </c>
    </row>
    <row r="1016" spans="2:12" ht="17.399999999999999" thickBot="1" x14ac:dyDescent="0.45"/>
    <row r="1017" spans="2:12" ht="17.399999999999999" thickBot="1" x14ac:dyDescent="0.45">
      <c r="B1017" s="110" t="s">
        <v>17</v>
      </c>
      <c r="C1017" s="300" t="s">
        <v>18</v>
      </c>
      <c r="D1017" s="300"/>
      <c r="E1017" s="300"/>
      <c r="F1017" s="300"/>
      <c r="G1017" s="301"/>
    </row>
    <row r="1018" spans="2:12" x14ac:dyDescent="0.4">
      <c r="B1018" s="114" t="s">
        <v>6</v>
      </c>
      <c r="C1018" s="302" t="s">
        <v>1</v>
      </c>
      <c r="D1018" s="303"/>
      <c r="E1018" s="126"/>
      <c r="F1018" s="120" t="s">
        <v>2</v>
      </c>
      <c r="G1018" s="114" t="s">
        <v>3</v>
      </c>
      <c r="H1018" s="106"/>
      <c r="I1018" s="107" t="s">
        <v>7</v>
      </c>
      <c r="J1018" s="136"/>
      <c r="K1018" s="107" t="s">
        <v>8</v>
      </c>
      <c r="L1018" s="115" t="s">
        <v>194</v>
      </c>
    </row>
    <row r="1019" spans="2:12" x14ac:dyDescent="0.4">
      <c r="B1019" s="74"/>
      <c r="C1019" s="304"/>
      <c r="D1019" s="305"/>
      <c r="E1019" s="127"/>
      <c r="F1019" s="72"/>
      <c r="G1019" s="74"/>
      <c r="I1019" s="84">
        <v>0</v>
      </c>
      <c r="K1019" s="84">
        <f>+F1019*I1019</f>
        <v>0</v>
      </c>
      <c r="L1019" s="118">
        <f>E1019*I1019</f>
        <v>0</v>
      </c>
    </row>
    <row r="1020" spans="2:12" x14ac:dyDescent="0.4">
      <c r="B1020" s="74"/>
      <c r="C1020" s="304"/>
      <c r="D1020" s="305"/>
      <c r="E1020" s="127"/>
      <c r="F1020" s="72"/>
      <c r="G1020" s="74"/>
      <c r="I1020" s="84">
        <v>0</v>
      </c>
      <c r="K1020" s="84">
        <f t="shared" ref="K1020:K1021" si="152">+F1020*I1020</f>
        <v>0</v>
      </c>
      <c r="L1020" s="118">
        <f t="shared" ref="L1020:L1021" si="153">E1020*I1020</f>
        <v>0</v>
      </c>
    </row>
    <row r="1021" spans="2:12" x14ac:dyDescent="0.4">
      <c r="B1021" s="74"/>
      <c r="C1021" s="304"/>
      <c r="D1021" s="305"/>
      <c r="E1021" s="127"/>
      <c r="F1021" s="72"/>
      <c r="G1021" s="74"/>
      <c r="I1021" s="84">
        <v>0</v>
      </c>
      <c r="K1021" s="84">
        <f t="shared" si="152"/>
        <v>0</v>
      </c>
      <c r="L1021" s="118">
        <f t="shared" si="153"/>
        <v>0</v>
      </c>
    </row>
    <row r="1022" spans="2:12" ht="17.399999999999999" thickBot="1" x14ac:dyDescent="0.45">
      <c r="L1022" s="118"/>
    </row>
    <row r="1023" spans="2:12" ht="17.399999999999999" thickBot="1" x14ac:dyDescent="0.45">
      <c r="F1023" s="292" t="s">
        <v>19</v>
      </c>
      <c r="G1023" s="293"/>
      <c r="H1023" s="293"/>
      <c r="I1023" s="294"/>
      <c r="K1023" s="229">
        <f>+SUM(K1019:K1021)</f>
        <v>0</v>
      </c>
      <c r="L1023" s="119">
        <f>+SUM(L1018:L1021)</f>
        <v>0</v>
      </c>
    </row>
    <row r="1024" spans="2:12" ht="15" customHeight="1" x14ac:dyDescent="0.4">
      <c r="F1024" s="128"/>
      <c r="G1024" s="129"/>
      <c r="H1024" s="130"/>
      <c r="I1024" s="108"/>
      <c r="K1024" s="230"/>
    </row>
    <row r="1025" spans="1:16" ht="15" customHeight="1" thickBot="1" x14ac:dyDescent="0.45"/>
    <row r="1026" spans="1:16" ht="17.399999999999999" thickBot="1" x14ac:dyDescent="0.45">
      <c r="F1026" s="292" t="s">
        <v>20</v>
      </c>
      <c r="G1026" s="293"/>
      <c r="H1026" s="293"/>
      <c r="I1026" s="294"/>
      <c r="K1026" s="229">
        <f>(+K997+K1006+K1015+K1023)</f>
        <v>180</v>
      </c>
      <c r="L1026" s="119">
        <f>(+L997+L1006+L1015+L1023)</f>
        <v>7149.6</v>
      </c>
      <c r="N1026" s="131"/>
      <c r="O1026" s="39"/>
      <c r="P1026" s="40"/>
    </row>
    <row r="1027" spans="1:16" ht="7.5" customHeight="1" thickBot="1" x14ac:dyDescent="0.45">
      <c r="N1027" s="131"/>
      <c r="O1027" s="41"/>
      <c r="P1027" s="40"/>
    </row>
    <row r="1028" spans="1:16" ht="17.399999999999999" thickBot="1" x14ac:dyDescent="0.45">
      <c r="F1028" s="292" t="s">
        <v>21</v>
      </c>
      <c r="G1028" s="293"/>
      <c r="H1028" s="293"/>
      <c r="I1028" s="294"/>
      <c r="K1028" s="229">
        <f>K1026*$N$2</f>
        <v>72</v>
      </c>
      <c r="L1028" s="119">
        <f>L1026*$N$2</f>
        <v>2859.84</v>
      </c>
    </row>
    <row r="1029" spans="1:16" ht="7.5" customHeight="1" thickBot="1" x14ac:dyDescent="0.45"/>
    <row r="1030" spans="1:16" ht="17.399999999999999" thickBot="1" x14ac:dyDescent="0.45">
      <c r="F1030" s="292" t="s">
        <v>22</v>
      </c>
      <c r="G1030" s="293"/>
      <c r="H1030" s="293"/>
      <c r="I1030" s="294"/>
      <c r="K1030" s="229">
        <f>+K1026+K1028</f>
        <v>252</v>
      </c>
      <c r="L1030" s="119">
        <f>+L1026+L1028</f>
        <v>10009.44</v>
      </c>
    </row>
    <row r="1031" spans="1:16" ht="17.399999999999999" thickBot="1" x14ac:dyDescent="0.45">
      <c r="F1031" s="128"/>
      <c r="G1031" s="129"/>
      <c r="H1031" s="130"/>
      <c r="I1031" s="108"/>
      <c r="K1031" s="231"/>
      <c r="L1031" s="132">
        <f>L1030/I982</f>
        <v>252.00000000000003</v>
      </c>
      <c r="M1031" s="133">
        <f>(K1030-L1031)*I982</f>
        <v>-1.1289102985756471E-12</v>
      </c>
    </row>
    <row r="1032" spans="1:16" x14ac:dyDescent="0.4">
      <c r="F1032" s="128"/>
      <c r="G1032" s="129"/>
      <c r="H1032" s="130"/>
      <c r="I1032" s="108"/>
      <c r="K1032" s="232"/>
      <c r="L1032" s="131"/>
      <c r="M1032" s="134"/>
      <c r="N1032" s="135"/>
    </row>
    <row r="1033" spans="1:16" ht="17.399999999999999" thickBot="1" x14ac:dyDescent="0.45">
      <c r="B1033" s="295"/>
      <c r="C1033" s="295"/>
      <c r="D1033" s="295"/>
    </row>
    <row r="1034" spans="1:16" x14ac:dyDescent="0.4">
      <c r="B1034" s="296" t="s">
        <v>23</v>
      </c>
      <c r="C1034" s="296"/>
      <c r="D1034" s="296"/>
    </row>
    <row r="1035" spans="1:16" x14ac:dyDescent="0.4">
      <c r="B1035" s="157"/>
      <c r="C1035" s="157"/>
      <c r="D1035" s="157"/>
    </row>
    <row r="1036" spans="1:16" x14ac:dyDescent="0.4">
      <c r="B1036" s="157"/>
      <c r="C1036" s="157"/>
      <c r="D1036" s="157"/>
    </row>
    <row r="1037" spans="1:16" x14ac:dyDescent="0.4">
      <c r="B1037" s="105" t="s">
        <v>43</v>
      </c>
      <c r="C1037" s="106"/>
      <c r="D1037" s="311" t="s">
        <v>1</v>
      </c>
      <c r="E1037" s="311"/>
      <c r="F1037" s="311"/>
      <c r="G1037" s="311"/>
      <c r="H1037" s="106"/>
      <c r="I1037" s="107" t="s">
        <v>2</v>
      </c>
      <c r="J1037" s="136"/>
      <c r="K1037" s="107" t="s">
        <v>3</v>
      </c>
    </row>
    <row r="1038" spans="1:16" s="4" customFormat="1" ht="30.75" customHeight="1" x14ac:dyDescent="0.3">
      <c r="A1038" s="31"/>
      <c r="B1038" s="213">
        <f>CATALOGO!B34</f>
        <v>405.27</v>
      </c>
      <c r="C1038" s="71"/>
      <c r="D1038" s="312" t="str">
        <f>CATALOGO!C34</f>
        <v>SOLERA (0.20m X 0.40m + 6 NO. 3 + EST NO. 3 @ 0.20m)</v>
      </c>
      <c r="E1038" s="312"/>
      <c r="F1038" s="312"/>
      <c r="G1038" s="312"/>
      <c r="H1038" s="71"/>
      <c r="I1038" s="213">
        <f>CATALOGO!D34</f>
        <v>73.180000000000007</v>
      </c>
      <c r="J1038" s="109"/>
      <c r="K1038" s="227" t="str">
        <f>CATALOGO!E34</f>
        <v>ml</v>
      </c>
      <c r="L1038" s="71"/>
      <c r="M1038" s="71"/>
      <c r="N1038" s="104"/>
      <c r="O1038" s="37"/>
      <c r="P1038" s="37"/>
    </row>
    <row r="1039" spans="1:16" ht="17.399999999999999" thickBot="1" x14ac:dyDescent="0.45"/>
    <row r="1040" spans="1:16" ht="17.399999999999999" thickBot="1" x14ac:dyDescent="0.45">
      <c r="B1040" s="110" t="s">
        <v>4</v>
      </c>
      <c r="C1040" s="300" t="s">
        <v>5</v>
      </c>
      <c r="D1040" s="300"/>
      <c r="E1040" s="300"/>
      <c r="F1040" s="300"/>
      <c r="G1040" s="301"/>
    </row>
    <row r="1041" spans="2:12" x14ac:dyDescent="0.4">
      <c r="B1041" s="111" t="s">
        <v>6</v>
      </c>
      <c r="C1041" s="313" t="s">
        <v>1</v>
      </c>
      <c r="D1041" s="314"/>
      <c r="E1041" s="112" t="s">
        <v>193</v>
      </c>
      <c r="F1041" s="113" t="s">
        <v>2</v>
      </c>
      <c r="G1041" s="114" t="s">
        <v>3</v>
      </c>
      <c r="H1041" s="106"/>
      <c r="I1041" s="107" t="s">
        <v>7</v>
      </c>
      <c r="J1041" s="136"/>
      <c r="K1041" s="228" t="s">
        <v>8</v>
      </c>
      <c r="L1041" s="115" t="s">
        <v>194</v>
      </c>
    </row>
    <row r="1042" spans="2:12" x14ac:dyDescent="0.4">
      <c r="B1042" s="122">
        <v>1</v>
      </c>
      <c r="C1042" s="315" t="s">
        <v>169</v>
      </c>
      <c r="D1042" s="316"/>
      <c r="E1042" s="116">
        <f>I1038*1</f>
        <v>73.180000000000007</v>
      </c>
      <c r="F1042" s="83">
        <f>ROUND(E1042/I1038,2)</f>
        <v>1</v>
      </c>
      <c r="G1042" s="74" t="str">
        <f>IF(C1042=0,0,VLOOKUP(C1042,Tabla1[],2,FALSE))</f>
        <v>Varilla</v>
      </c>
      <c r="I1042" s="117">
        <f>IF(C1042=0,0,VLOOKUP(C1042,Tabla1[],3,FALSE))</f>
        <v>40</v>
      </c>
      <c r="K1042" s="84">
        <f>+F1042*I1042</f>
        <v>40</v>
      </c>
      <c r="L1042" s="118">
        <f>E1042*I1042</f>
        <v>2927.2000000000003</v>
      </c>
    </row>
    <row r="1043" spans="2:12" x14ac:dyDescent="0.4">
      <c r="B1043" s="122">
        <v>2</v>
      </c>
      <c r="C1043" s="315" t="s">
        <v>313</v>
      </c>
      <c r="D1043" s="316"/>
      <c r="E1043" s="116">
        <f>I1038*1.75</f>
        <v>128.065</v>
      </c>
      <c r="F1043" s="83">
        <f>ROUND(E1043/I1038,2)</f>
        <v>1.75</v>
      </c>
      <c r="G1043" s="74" t="str">
        <f>IF(C1043=0,0,VLOOKUP(C1043,Tabla1[],2,FALSE))</f>
        <v>Varilla</v>
      </c>
      <c r="I1043" s="117">
        <f>IF(C1043=0,0,VLOOKUP(C1043,Tabla1[],3,FALSE))</f>
        <v>20</v>
      </c>
      <c r="K1043" s="84">
        <f>+F1043*I1043</f>
        <v>35</v>
      </c>
      <c r="L1043" s="118">
        <f>E1043*I1043</f>
        <v>2561.3000000000002</v>
      </c>
    </row>
    <row r="1044" spans="2:12" x14ac:dyDescent="0.4">
      <c r="B1044" s="122">
        <v>3</v>
      </c>
      <c r="C1044" s="317" t="s">
        <v>214</v>
      </c>
      <c r="D1044" s="318"/>
      <c r="E1044" s="116">
        <f>I1038*1</f>
        <v>73.180000000000007</v>
      </c>
      <c r="F1044" s="83">
        <f>ROUND(E1044/I1038,2)</f>
        <v>1</v>
      </c>
      <c r="G1044" s="74" t="str">
        <f>IF(C1044=0,0,VLOOKUP(C1044,Tabla1[],2,FALSE))</f>
        <v>Saco</v>
      </c>
      <c r="I1044" s="117">
        <f>IF(C1044=0,0,VLOOKUP(C1044,Tabla1[],3,FALSE))</f>
        <v>80</v>
      </c>
      <c r="K1044" s="84">
        <f t="shared" ref="K1044:K1051" si="154">+F1044*I1044</f>
        <v>80</v>
      </c>
      <c r="L1044" s="118">
        <f t="shared" ref="L1044:L1051" si="155">E1044*I1044</f>
        <v>5854.4000000000005</v>
      </c>
    </row>
    <row r="1045" spans="2:12" x14ac:dyDescent="0.4">
      <c r="B1045" s="122">
        <v>4</v>
      </c>
      <c r="C1045" s="319" t="s">
        <v>73</v>
      </c>
      <c r="D1045" s="318"/>
      <c r="E1045" s="116">
        <f>I1038*0.02</f>
        <v>1.4636000000000002</v>
      </c>
      <c r="F1045" s="83">
        <f>ROUND(E1045/I1038,2)</f>
        <v>0.02</v>
      </c>
      <c r="G1045" s="74" t="str">
        <f>IF(C1045=0,0,VLOOKUP(C1045,Tabla1[],2,FALSE))</f>
        <v>m³</v>
      </c>
      <c r="I1045" s="117">
        <f>IF(C1045=0,0,VLOOKUP(C1045,Tabla1[],3,FALSE))</f>
        <v>250</v>
      </c>
      <c r="K1045" s="84">
        <f t="shared" si="154"/>
        <v>5</v>
      </c>
      <c r="L1045" s="118">
        <f t="shared" si="155"/>
        <v>365.90000000000003</v>
      </c>
    </row>
    <row r="1046" spans="2:12" x14ac:dyDescent="0.4">
      <c r="B1046" s="122">
        <v>5</v>
      </c>
      <c r="C1046" s="319" t="s">
        <v>230</v>
      </c>
      <c r="D1046" s="318"/>
      <c r="E1046" s="116">
        <f>I1038*0.02</f>
        <v>1.4636000000000002</v>
      </c>
      <c r="F1046" s="83">
        <f>ROUND(E1046/I1038,2)</f>
        <v>0.02</v>
      </c>
      <c r="G1046" s="74" t="str">
        <f>IF(C1046=0,0,VLOOKUP(C1046,Tabla1[],2,FALSE))</f>
        <v>m³</v>
      </c>
      <c r="I1046" s="117">
        <f>IF(C1046=0,0,VLOOKUP(C1046,Tabla1[],3,FALSE))</f>
        <v>250</v>
      </c>
      <c r="K1046" s="84">
        <f t="shared" si="154"/>
        <v>5</v>
      </c>
      <c r="L1046" s="118">
        <f t="shared" si="155"/>
        <v>365.90000000000003</v>
      </c>
    </row>
    <row r="1047" spans="2:12" x14ac:dyDescent="0.4">
      <c r="B1047" s="122">
        <v>6</v>
      </c>
      <c r="C1047" s="320" t="s">
        <v>369</v>
      </c>
      <c r="D1047" s="320"/>
      <c r="E1047" s="116">
        <f>I1038*0.2</f>
        <v>14.636000000000003</v>
      </c>
      <c r="F1047" s="83">
        <f>ROUND(E1047/I1038,2)</f>
        <v>0.2</v>
      </c>
      <c r="G1047" s="74" t="str">
        <f>IF(C1047=0,0,VLOOKUP(C1047,Tabla1[],2,FALSE))</f>
        <v>Libra</v>
      </c>
      <c r="I1047" s="117">
        <f>IF(C1047=0,0,VLOOKUP(C1047,Tabla1[],3,FALSE))</f>
        <v>8</v>
      </c>
      <c r="K1047" s="84">
        <f t="shared" si="154"/>
        <v>1.6</v>
      </c>
      <c r="L1047" s="118">
        <f t="shared" si="155"/>
        <v>117.08800000000002</v>
      </c>
    </row>
    <row r="1048" spans="2:12" x14ac:dyDescent="0.4">
      <c r="B1048" s="122">
        <v>7</v>
      </c>
      <c r="C1048" s="320" t="s">
        <v>175</v>
      </c>
      <c r="D1048" s="320"/>
      <c r="E1048" s="116">
        <f>I1038*0.04</f>
        <v>2.9272000000000005</v>
      </c>
      <c r="F1048" s="83">
        <f>ROUND(E1048/I1038,2)</f>
        <v>0.04</v>
      </c>
      <c r="G1048" s="74" t="str">
        <f>IF(C1048=0,0,VLOOKUP(C1048,Tabla1[],2,FALSE))</f>
        <v>Libra</v>
      </c>
      <c r="I1048" s="117">
        <f>IF(C1048=0,0,VLOOKUP(C1048,Tabla1[],3,FALSE))</f>
        <v>10</v>
      </c>
      <c r="K1048" s="84">
        <f t="shared" si="154"/>
        <v>0.4</v>
      </c>
      <c r="L1048" s="118">
        <f t="shared" si="155"/>
        <v>29.272000000000006</v>
      </c>
    </row>
    <row r="1049" spans="2:12" x14ac:dyDescent="0.4">
      <c r="B1049" s="122">
        <v>8</v>
      </c>
      <c r="C1049" s="320" t="s">
        <v>180</v>
      </c>
      <c r="D1049" s="320"/>
      <c r="E1049" s="116">
        <f>I1038*7</f>
        <v>512.26</v>
      </c>
      <c r="F1049" s="83">
        <f>ROUND(E1049/I1038,2)</f>
        <v>7</v>
      </c>
      <c r="G1049" s="74" t="str">
        <f>IF(C1049=0,0,VLOOKUP(C1049,Tabla1[],2,FALSE))</f>
        <v>pt</v>
      </c>
      <c r="I1049" s="117">
        <f>IF(C1049=0,0,VLOOKUP(C1049,Tabla1[],3,FALSE))</f>
        <v>9</v>
      </c>
      <c r="K1049" s="84">
        <f t="shared" si="154"/>
        <v>63</v>
      </c>
      <c r="L1049" s="118">
        <f t="shared" si="155"/>
        <v>4610.34</v>
      </c>
    </row>
    <row r="1050" spans="2:12" x14ac:dyDescent="0.4">
      <c r="B1050" s="122"/>
      <c r="C1050" s="321"/>
      <c r="D1050" s="321"/>
      <c r="E1050" s="116"/>
      <c r="F1050" s="72"/>
      <c r="G1050" s="74"/>
      <c r="I1050" s="117">
        <f>IF(C1050=0,0,VLOOKUP(C1050,Tabla1[],3,FALSE))</f>
        <v>0</v>
      </c>
      <c r="K1050" s="84">
        <f t="shared" si="154"/>
        <v>0</v>
      </c>
      <c r="L1050" s="118">
        <f t="shared" si="155"/>
        <v>0</v>
      </c>
    </row>
    <row r="1051" spans="2:12" x14ac:dyDescent="0.4">
      <c r="B1051" s="122"/>
      <c r="C1051" s="321"/>
      <c r="D1051" s="321"/>
      <c r="E1051" s="116"/>
      <c r="F1051" s="72"/>
      <c r="G1051" s="74"/>
      <c r="I1051" s="117">
        <f>IF(C1051=0,0,VLOOKUP(C1051,Tabla1[],3,FALSE))</f>
        <v>0</v>
      </c>
      <c r="K1051" s="84">
        <f t="shared" si="154"/>
        <v>0</v>
      </c>
      <c r="L1051" s="118">
        <f t="shared" si="155"/>
        <v>0</v>
      </c>
    </row>
    <row r="1052" spans="2:12" ht="17.399999999999999" thickBot="1" x14ac:dyDescent="0.45"/>
    <row r="1053" spans="2:12" ht="17.399999999999999" thickBot="1" x14ac:dyDescent="0.45">
      <c r="F1053" s="292" t="s">
        <v>9</v>
      </c>
      <c r="G1053" s="293"/>
      <c r="H1053" s="293"/>
      <c r="I1053" s="294"/>
      <c r="K1053" s="229">
        <f>+SUM(K1042:K1051)</f>
        <v>230</v>
      </c>
      <c r="L1053" s="119">
        <f>+SUM(L1042:L1051)</f>
        <v>16831.400000000001</v>
      </c>
    </row>
    <row r="1054" spans="2:12" ht="17.399999999999999" thickBot="1" x14ac:dyDescent="0.45"/>
    <row r="1055" spans="2:12" ht="17.399999999999999" thickBot="1" x14ac:dyDescent="0.45">
      <c r="B1055" s="110" t="s">
        <v>10</v>
      </c>
      <c r="C1055" s="300" t="s">
        <v>11</v>
      </c>
      <c r="D1055" s="300"/>
      <c r="E1055" s="300"/>
      <c r="F1055" s="300"/>
      <c r="G1055" s="301"/>
    </row>
    <row r="1056" spans="2:12" x14ac:dyDescent="0.4">
      <c r="B1056" s="114" t="s">
        <v>6</v>
      </c>
      <c r="C1056" s="302" t="s">
        <v>1</v>
      </c>
      <c r="D1056" s="303"/>
      <c r="E1056" s="112" t="s">
        <v>193</v>
      </c>
      <c r="F1056" s="120" t="s">
        <v>2</v>
      </c>
      <c r="G1056" s="114" t="s">
        <v>3</v>
      </c>
      <c r="H1056" s="106"/>
      <c r="I1056" s="107" t="s">
        <v>7</v>
      </c>
      <c r="J1056" s="136"/>
      <c r="K1056" s="107" t="s">
        <v>8</v>
      </c>
      <c r="L1056" s="115" t="s">
        <v>194</v>
      </c>
    </row>
    <row r="1057" spans="2:12" x14ac:dyDescent="0.4">
      <c r="B1057" s="122"/>
      <c r="C1057" s="306"/>
      <c r="D1057" s="306"/>
      <c r="E1057" s="116"/>
      <c r="F1057" s="83"/>
      <c r="G1057" s="74"/>
      <c r="I1057" s="117">
        <f>IF(C1057=0,0,VLOOKUP(C1057,Tabla3[],3,FALSE))</f>
        <v>0</v>
      </c>
      <c r="K1057" s="84">
        <f t="shared" ref="K1057:K1060" si="156">+F1057*I1057</f>
        <v>0</v>
      </c>
      <c r="L1057" s="118">
        <f>E1057*I1057</f>
        <v>0</v>
      </c>
    </row>
    <row r="1058" spans="2:12" x14ac:dyDescent="0.4">
      <c r="B1058" s="74"/>
      <c r="C1058" s="206"/>
      <c r="D1058" s="207"/>
      <c r="E1058" s="121"/>
      <c r="F1058" s="72"/>
      <c r="G1058" s="74"/>
      <c r="I1058" s="117">
        <f>IF(C1058=0,0,VLOOKUP(C1058,Tabla3[],3,FALSE))</f>
        <v>0</v>
      </c>
      <c r="K1058" s="84">
        <f t="shared" si="156"/>
        <v>0</v>
      </c>
      <c r="L1058" s="118">
        <f t="shared" ref="L1058:L1060" si="157">E1058*I1058</f>
        <v>0</v>
      </c>
    </row>
    <row r="1059" spans="2:12" x14ac:dyDescent="0.4">
      <c r="B1059" s="74"/>
      <c r="C1059" s="206"/>
      <c r="D1059" s="207"/>
      <c r="E1059" s="121"/>
      <c r="F1059" s="72"/>
      <c r="G1059" s="74"/>
      <c r="I1059" s="117">
        <f>IF(C1059=0,0,VLOOKUP(C1059,Tabla3[],3,FALSE))</f>
        <v>0</v>
      </c>
      <c r="K1059" s="84">
        <f t="shared" si="156"/>
        <v>0</v>
      </c>
      <c r="L1059" s="118">
        <f t="shared" si="157"/>
        <v>0</v>
      </c>
    </row>
    <row r="1060" spans="2:12" x14ac:dyDescent="0.4">
      <c r="B1060" s="74"/>
      <c r="C1060" s="304"/>
      <c r="D1060" s="305"/>
      <c r="E1060" s="121"/>
      <c r="F1060" s="72"/>
      <c r="G1060" s="74"/>
      <c r="I1060" s="117">
        <f>IF(C1060=0,0,VLOOKUP(C1060,Tabla3[],3,FALSE))</f>
        <v>0</v>
      </c>
      <c r="K1060" s="84">
        <f t="shared" si="156"/>
        <v>0</v>
      </c>
      <c r="L1060" s="118">
        <f t="shared" si="157"/>
        <v>0</v>
      </c>
    </row>
    <row r="1061" spans="2:12" ht="17.399999999999999" thickBot="1" x14ac:dyDescent="0.45"/>
    <row r="1062" spans="2:12" ht="17.399999999999999" thickBot="1" x14ac:dyDescent="0.45">
      <c r="F1062" s="292" t="s">
        <v>12</v>
      </c>
      <c r="G1062" s="293"/>
      <c r="H1062" s="293"/>
      <c r="I1062" s="294"/>
      <c r="K1062" s="229">
        <f>+SUM(K1057:K1060)</f>
        <v>0</v>
      </c>
      <c r="L1062" s="119">
        <f>+SUM(L1057:L1060)</f>
        <v>0</v>
      </c>
    </row>
    <row r="1063" spans="2:12" ht="17.399999999999999" thickBot="1" x14ac:dyDescent="0.45"/>
    <row r="1064" spans="2:12" ht="17.399999999999999" thickBot="1" x14ac:dyDescent="0.45">
      <c r="B1064" s="110" t="s">
        <v>13</v>
      </c>
      <c r="C1064" s="300" t="s">
        <v>14</v>
      </c>
      <c r="D1064" s="300"/>
      <c r="E1064" s="300"/>
      <c r="F1064" s="300"/>
      <c r="G1064" s="301"/>
    </row>
    <row r="1065" spans="2:12" x14ac:dyDescent="0.4">
      <c r="B1065" s="114" t="s">
        <v>6</v>
      </c>
      <c r="C1065" s="302" t="s">
        <v>1</v>
      </c>
      <c r="D1065" s="303"/>
      <c r="E1065" s="112" t="s">
        <v>193</v>
      </c>
      <c r="F1065" s="120" t="s">
        <v>2</v>
      </c>
      <c r="G1065" s="114" t="s">
        <v>3</v>
      </c>
      <c r="H1065" s="106"/>
      <c r="I1065" s="107" t="s">
        <v>7</v>
      </c>
      <c r="J1065" s="136"/>
      <c r="K1065" s="107" t="s">
        <v>8</v>
      </c>
      <c r="L1065" s="115" t="s">
        <v>194</v>
      </c>
    </row>
    <row r="1066" spans="2:12" x14ac:dyDescent="0.4">
      <c r="B1066" s="122">
        <v>1</v>
      </c>
      <c r="C1066" s="306" t="s">
        <v>424</v>
      </c>
      <c r="D1066" s="306"/>
      <c r="E1066" s="116">
        <f>I1038</f>
        <v>73.180000000000007</v>
      </c>
      <c r="F1066" s="83">
        <f>ROUND(E1066/I1038,2)</f>
        <v>1</v>
      </c>
      <c r="G1066" s="74" t="str">
        <f>IF(C1066=0,0,VLOOKUP(C1066,Tabla2[],2,FALSE))</f>
        <v>ml</v>
      </c>
      <c r="I1066" s="117">
        <f>IF(C1066=0,0,VLOOKUP(C1066,Tabla2[],3,FALSE))</f>
        <v>50</v>
      </c>
      <c r="K1066" s="84">
        <f>+F1066*I1066</f>
        <v>50</v>
      </c>
      <c r="L1066" s="118">
        <f>E1066*I1066</f>
        <v>3659.0000000000005</v>
      </c>
    </row>
    <row r="1067" spans="2:12" x14ac:dyDescent="0.4">
      <c r="B1067" s="122"/>
      <c r="C1067" s="306"/>
      <c r="D1067" s="306"/>
      <c r="E1067" s="116"/>
      <c r="F1067" s="83"/>
      <c r="G1067" s="74"/>
      <c r="I1067" s="117">
        <f>IF(C1067=0,0,VLOOKUP(C1067,Tabla2[],3,FALSE))</f>
        <v>0</v>
      </c>
      <c r="K1067" s="84">
        <f>+F1067*I1067</f>
        <v>0</v>
      </c>
      <c r="L1067" s="118">
        <f>E1067*I1067</f>
        <v>0</v>
      </c>
    </row>
    <row r="1068" spans="2:12" ht="17.399999999999999" thickBot="1" x14ac:dyDescent="0.45">
      <c r="B1068" s="123"/>
      <c r="C1068" s="307"/>
      <c r="D1068" s="308"/>
      <c r="E1068" s="124"/>
      <c r="F1068" s="125"/>
      <c r="G1068" s="74"/>
      <c r="I1068" s="117">
        <f>IF(C1068=0,0,VLOOKUP(C1068,Tabla2[],3,FALSE))</f>
        <v>0</v>
      </c>
      <c r="K1068" s="84">
        <f t="shared" ref="K1068" si="158">+F1068*I1068</f>
        <v>0</v>
      </c>
      <c r="L1068" s="118">
        <f t="shared" ref="L1068:L1069" si="159">E1068*I1068</f>
        <v>0</v>
      </c>
    </row>
    <row r="1069" spans="2:12" ht="17.399999999999999" thickBot="1" x14ac:dyDescent="0.45">
      <c r="B1069" s="297" t="s">
        <v>15</v>
      </c>
      <c r="C1069" s="298"/>
      <c r="D1069" s="298"/>
      <c r="E1069" s="298"/>
      <c r="F1069" s="298"/>
      <c r="G1069" s="299"/>
      <c r="I1069" s="84">
        <v>0</v>
      </c>
      <c r="K1069" s="84">
        <v>0</v>
      </c>
      <c r="L1069" s="118">
        <f t="shared" si="159"/>
        <v>0</v>
      </c>
    </row>
    <row r="1070" spans="2:12" ht="17.399999999999999" thickBot="1" x14ac:dyDescent="0.45"/>
    <row r="1071" spans="2:12" ht="17.399999999999999" thickBot="1" x14ac:dyDescent="0.45">
      <c r="F1071" s="292" t="s">
        <v>16</v>
      </c>
      <c r="G1071" s="293"/>
      <c r="H1071" s="293"/>
      <c r="I1071" s="294"/>
      <c r="K1071" s="229">
        <f>+SUM(K1066:K1069)</f>
        <v>50</v>
      </c>
      <c r="L1071" s="119">
        <f>+SUM(L1066:L1069)</f>
        <v>3659.0000000000005</v>
      </c>
    </row>
    <row r="1072" spans="2:12" ht="17.399999999999999" thickBot="1" x14ac:dyDescent="0.45"/>
    <row r="1073" spans="2:16" ht="17.399999999999999" thickBot="1" x14ac:dyDescent="0.45">
      <c r="B1073" s="110" t="s">
        <v>17</v>
      </c>
      <c r="C1073" s="300" t="s">
        <v>18</v>
      </c>
      <c r="D1073" s="300"/>
      <c r="E1073" s="300"/>
      <c r="F1073" s="300"/>
      <c r="G1073" s="301"/>
    </row>
    <row r="1074" spans="2:16" x14ac:dyDescent="0.4">
      <c r="B1074" s="114" t="s">
        <v>6</v>
      </c>
      <c r="C1074" s="302" t="s">
        <v>1</v>
      </c>
      <c r="D1074" s="303"/>
      <c r="E1074" s="126"/>
      <c r="F1074" s="120" t="s">
        <v>2</v>
      </c>
      <c r="G1074" s="114" t="s">
        <v>3</v>
      </c>
      <c r="H1074" s="106"/>
      <c r="I1074" s="107" t="s">
        <v>7</v>
      </c>
      <c r="J1074" s="136"/>
      <c r="K1074" s="107" t="s">
        <v>8</v>
      </c>
      <c r="L1074" s="115" t="s">
        <v>194</v>
      </c>
    </row>
    <row r="1075" spans="2:16" x14ac:dyDescent="0.4">
      <c r="B1075" s="74"/>
      <c r="C1075" s="304"/>
      <c r="D1075" s="305"/>
      <c r="E1075" s="127"/>
      <c r="F1075" s="72"/>
      <c r="G1075" s="74"/>
      <c r="I1075" s="84">
        <v>0</v>
      </c>
      <c r="K1075" s="84">
        <f>+F1075*I1075</f>
        <v>0</v>
      </c>
      <c r="L1075" s="118">
        <f>E1075*I1075</f>
        <v>0</v>
      </c>
    </row>
    <row r="1076" spans="2:16" x14ac:dyDescent="0.4">
      <c r="B1076" s="74"/>
      <c r="C1076" s="304"/>
      <c r="D1076" s="305"/>
      <c r="E1076" s="127"/>
      <c r="F1076" s="72"/>
      <c r="G1076" s="74"/>
      <c r="I1076" s="84">
        <v>0</v>
      </c>
      <c r="K1076" s="84">
        <f t="shared" ref="K1076:K1077" si="160">+F1076*I1076</f>
        <v>0</v>
      </c>
      <c r="L1076" s="118">
        <f t="shared" ref="L1076:L1077" si="161">E1076*I1076</f>
        <v>0</v>
      </c>
    </row>
    <row r="1077" spans="2:16" x14ac:dyDescent="0.4">
      <c r="B1077" s="74"/>
      <c r="C1077" s="304"/>
      <c r="D1077" s="305"/>
      <c r="E1077" s="127"/>
      <c r="F1077" s="72"/>
      <c r="G1077" s="74"/>
      <c r="I1077" s="84">
        <v>0</v>
      </c>
      <c r="K1077" s="84">
        <f t="shared" si="160"/>
        <v>0</v>
      </c>
      <c r="L1077" s="118">
        <f t="shared" si="161"/>
        <v>0</v>
      </c>
    </row>
    <row r="1078" spans="2:16" ht="17.399999999999999" thickBot="1" x14ac:dyDescent="0.45">
      <c r="L1078" s="118"/>
    </row>
    <row r="1079" spans="2:16" ht="17.399999999999999" thickBot="1" x14ac:dyDescent="0.45">
      <c r="F1079" s="292" t="s">
        <v>19</v>
      </c>
      <c r="G1079" s="293"/>
      <c r="H1079" s="293"/>
      <c r="I1079" s="294"/>
      <c r="K1079" s="229">
        <f>+SUM(K1075:K1077)</f>
        <v>0</v>
      </c>
      <c r="L1079" s="119">
        <f>+SUM(L1074:L1077)</f>
        <v>0</v>
      </c>
    </row>
    <row r="1080" spans="2:16" ht="15" customHeight="1" x14ac:dyDescent="0.4">
      <c r="F1080" s="128"/>
      <c r="G1080" s="129"/>
      <c r="H1080" s="130"/>
      <c r="I1080" s="108"/>
      <c r="K1080" s="230"/>
    </row>
    <row r="1081" spans="2:16" ht="15" customHeight="1" thickBot="1" x14ac:dyDescent="0.45"/>
    <row r="1082" spans="2:16" ht="17.399999999999999" thickBot="1" x14ac:dyDescent="0.45">
      <c r="F1082" s="292" t="s">
        <v>20</v>
      </c>
      <c r="G1082" s="293"/>
      <c r="H1082" s="293"/>
      <c r="I1082" s="294"/>
      <c r="K1082" s="229">
        <f>(+K1053+K1062+K1071+K1079)</f>
        <v>280</v>
      </c>
      <c r="L1082" s="119">
        <f>(+L1053+L1062+L1071+L1079)</f>
        <v>20490.400000000001</v>
      </c>
      <c r="N1082" s="131"/>
      <c r="O1082" s="39"/>
      <c r="P1082" s="40"/>
    </row>
    <row r="1083" spans="2:16" ht="7.5" customHeight="1" thickBot="1" x14ac:dyDescent="0.45">
      <c r="N1083" s="131"/>
      <c r="O1083" s="41"/>
      <c r="P1083" s="40"/>
    </row>
    <row r="1084" spans="2:16" ht="17.399999999999999" thickBot="1" x14ac:dyDescent="0.45">
      <c r="F1084" s="292" t="s">
        <v>21</v>
      </c>
      <c r="G1084" s="293"/>
      <c r="H1084" s="293"/>
      <c r="I1084" s="294"/>
      <c r="K1084" s="229">
        <f>K1082*$N$2</f>
        <v>112</v>
      </c>
      <c r="L1084" s="119">
        <f>L1082*$N$2</f>
        <v>8196.1600000000017</v>
      </c>
    </row>
    <row r="1085" spans="2:16" ht="7.5" customHeight="1" thickBot="1" x14ac:dyDescent="0.45"/>
    <row r="1086" spans="2:16" ht="17.399999999999999" thickBot="1" x14ac:dyDescent="0.45">
      <c r="F1086" s="292" t="s">
        <v>22</v>
      </c>
      <c r="G1086" s="293"/>
      <c r="H1086" s="293"/>
      <c r="I1086" s="294"/>
      <c r="K1086" s="229">
        <f>+K1082+K1084</f>
        <v>392</v>
      </c>
      <c r="L1086" s="119">
        <f>+L1082+L1084</f>
        <v>28686.560000000005</v>
      </c>
    </row>
    <row r="1087" spans="2:16" ht="17.399999999999999" thickBot="1" x14ac:dyDescent="0.45">
      <c r="F1087" s="128"/>
      <c r="G1087" s="129"/>
      <c r="H1087" s="130"/>
      <c r="I1087" s="108"/>
      <c r="K1087" s="231"/>
      <c r="L1087" s="132">
        <f>L1086/I1038</f>
        <v>392.00000000000006</v>
      </c>
      <c r="M1087" s="133">
        <f>(K1086-L1087)*I1038</f>
        <v>-4.1598013922339309E-12</v>
      </c>
    </row>
    <row r="1088" spans="2:16" x14ac:dyDescent="0.4">
      <c r="F1088" s="128"/>
      <c r="G1088" s="129"/>
      <c r="H1088" s="130"/>
      <c r="I1088" s="108"/>
      <c r="K1088" s="232"/>
      <c r="L1088" s="131"/>
      <c r="M1088" s="134"/>
      <c r="N1088" s="135"/>
    </row>
    <row r="1089" spans="1:16" ht="17.399999999999999" thickBot="1" x14ac:dyDescent="0.45">
      <c r="B1089" s="295"/>
      <c r="C1089" s="295"/>
      <c r="D1089" s="295"/>
    </row>
    <row r="1090" spans="1:16" x14ac:dyDescent="0.4">
      <c r="B1090" s="296" t="s">
        <v>23</v>
      </c>
      <c r="C1090" s="296"/>
      <c r="D1090" s="296"/>
    </row>
    <row r="1091" spans="1:16" x14ac:dyDescent="0.4">
      <c r="B1091" s="157"/>
      <c r="C1091" s="157"/>
      <c r="D1091" s="157"/>
    </row>
    <row r="1092" spans="1:16" x14ac:dyDescent="0.4">
      <c r="B1092" s="157"/>
      <c r="C1092" s="157"/>
      <c r="D1092" s="157"/>
    </row>
    <row r="1093" spans="1:16" x14ac:dyDescent="0.4">
      <c r="B1093" s="105" t="s">
        <v>43</v>
      </c>
      <c r="C1093" s="106"/>
      <c r="D1093" s="311" t="s">
        <v>1</v>
      </c>
      <c r="E1093" s="311"/>
      <c r="F1093" s="311"/>
      <c r="G1093" s="311"/>
      <c r="H1093" s="106"/>
      <c r="I1093" s="107" t="s">
        <v>2</v>
      </c>
      <c r="J1093" s="136"/>
      <c r="K1093" s="107" t="s">
        <v>3</v>
      </c>
    </row>
    <row r="1094" spans="1:16" s="4" customFormat="1" ht="30.75" customHeight="1" x14ac:dyDescent="0.3">
      <c r="A1094" s="31"/>
      <c r="B1094" s="213">
        <f>CATALOGO!B35</f>
        <v>407.09</v>
      </c>
      <c r="C1094" s="71"/>
      <c r="D1094" s="312" t="str">
        <f>CATALOGO!C35</f>
        <v>VIGA (0.20m X 0.40m + 6 NO. 5 + 3 BAST NO 5 + EST NO. 3 @ 0.10-0.15m)</v>
      </c>
      <c r="E1094" s="312"/>
      <c r="F1094" s="312"/>
      <c r="G1094" s="312"/>
      <c r="H1094" s="71"/>
      <c r="I1094" s="213">
        <f>CATALOGO!D35</f>
        <v>16.649999999999999</v>
      </c>
      <c r="J1094" s="109"/>
      <c r="K1094" s="227" t="str">
        <f>CATALOGO!E35</f>
        <v>ml</v>
      </c>
      <c r="L1094" s="71"/>
      <c r="M1094" s="71"/>
      <c r="N1094" s="104"/>
      <c r="O1094" s="37"/>
      <c r="P1094" s="37"/>
    </row>
    <row r="1095" spans="1:16" ht="17.399999999999999" thickBot="1" x14ac:dyDescent="0.45"/>
    <row r="1096" spans="1:16" ht="17.399999999999999" thickBot="1" x14ac:dyDescent="0.45">
      <c r="B1096" s="110" t="s">
        <v>4</v>
      </c>
      <c r="C1096" s="300" t="s">
        <v>5</v>
      </c>
      <c r="D1096" s="300"/>
      <c r="E1096" s="300"/>
      <c r="F1096" s="300"/>
      <c r="G1096" s="301"/>
    </row>
    <row r="1097" spans="1:16" x14ac:dyDescent="0.4">
      <c r="B1097" s="111" t="s">
        <v>6</v>
      </c>
      <c r="C1097" s="313" t="s">
        <v>1</v>
      </c>
      <c r="D1097" s="314"/>
      <c r="E1097" s="112" t="s">
        <v>193</v>
      </c>
      <c r="F1097" s="113" t="s">
        <v>2</v>
      </c>
      <c r="G1097" s="114" t="s">
        <v>3</v>
      </c>
      <c r="H1097" s="106"/>
      <c r="I1097" s="107" t="s">
        <v>7</v>
      </c>
      <c r="J1097" s="136"/>
      <c r="K1097" s="228" t="s">
        <v>8</v>
      </c>
      <c r="L1097" s="115" t="s">
        <v>194</v>
      </c>
    </row>
    <row r="1098" spans="1:16" x14ac:dyDescent="0.4">
      <c r="B1098" s="122">
        <v>1</v>
      </c>
      <c r="C1098" s="315" t="s">
        <v>169</v>
      </c>
      <c r="D1098" s="316"/>
      <c r="E1098" s="116">
        <f>I1094*1</f>
        <v>16.649999999999999</v>
      </c>
      <c r="F1098" s="83">
        <f>ROUND(E1098/I1094,2)</f>
        <v>1</v>
      </c>
      <c r="G1098" s="74" t="str">
        <f>IF(C1098=0,0,VLOOKUP(C1098,Tabla1[],2,FALSE))</f>
        <v>Varilla</v>
      </c>
      <c r="I1098" s="117">
        <f>IF(C1098=0,0,VLOOKUP(C1098,Tabla1[],3,FALSE))</f>
        <v>40</v>
      </c>
      <c r="K1098" s="84">
        <f>+F1098*I1098</f>
        <v>40</v>
      </c>
      <c r="L1098" s="118">
        <f>E1098*I1098</f>
        <v>666</v>
      </c>
    </row>
    <row r="1099" spans="1:16" x14ac:dyDescent="0.4">
      <c r="B1099" s="122">
        <v>2</v>
      </c>
      <c r="C1099" s="315" t="s">
        <v>313</v>
      </c>
      <c r="D1099" s="316"/>
      <c r="E1099" s="116">
        <f>I1094*1.75</f>
        <v>29.137499999999996</v>
      </c>
      <c r="F1099" s="83">
        <f>ROUND(E1099/I1094,2)</f>
        <v>1.75</v>
      </c>
      <c r="G1099" s="74" t="str">
        <f>IF(C1099=0,0,VLOOKUP(C1099,Tabla1[],2,FALSE))</f>
        <v>Varilla</v>
      </c>
      <c r="I1099" s="117">
        <f>IF(C1099=0,0,VLOOKUP(C1099,Tabla1[],3,FALSE))</f>
        <v>20</v>
      </c>
      <c r="K1099" s="84">
        <f>+F1099*I1099</f>
        <v>35</v>
      </c>
      <c r="L1099" s="118">
        <f>E1099*I1099</f>
        <v>582.74999999999989</v>
      </c>
    </row>
    <row r="1100" spans="1:16" x14ac:dyDescent="0.4">
      <c r="B1100" s="122">
        <v>3</v>
      </c>
      <c r="C1100" s="317" t="s">
        <v>214</v>
      </c>
      <c r="D1100" s="318"/>
      <c r="E1100" s="116">
        <f>I1094*1</f>
        <v>16.649999999999999</v>
      </c>
      <c r="F1100" s="83">
        <f>ROUND(E1100/I1094,2)</f>
        <v>1</v>
      </c>
      <c r="G1100" s="74" t="str">
        <f>IF(C1100=0,0,VLOOKUP(C1100,Tabla1[],2,FALSE))</f>
        <v>Saco</v>
      </c>
      <c r="I1100" s="117">
        <f>IF(C1100=0,0,VLOOKUP(C1100,Tabla1[],3,FALSE))</f>
        <v>80</v>
      </c>
      <c r="K1100" s="84">
        <f t="shared" ref="K1100:K1107" si="162">+F1100*I1100</f>
        <v>80</v>
      </c>
      <c r="L1100" s="118">
        <f t="shared" ref="L1100:L1107" si="163">E1100*I1100</f>
        <v>1332</v>
      </c>
    </row>
    <row r="1101" spans="1:16" x14ac:dyDescent="0.4">
      <c r="B1101" s="122">
        <v>4</v>
      </c>
      <c r="C1101" s="319" t="s">
        <v>73</v>
      </c>
      <c r="D1101" s="318"/>
      <c r="E1101" s="116">
        <f>I1094*0.02</f>
        <v>0.33299999999999996</v>
      </c>
      <c r="F1101" s="83">
        <f>ROUND(E1101/I1094,2)</f>
        <v>0.02</v>
      </c>
      <c r="G1101" s="74" t="str">
        <f>IF(C1101=0,0,VLOOKUP(C1101,Tabla1[],2,FALSE))</f>
        <v>m³</v>
      </c>
      <c r="I1101" s="117">
        <f>IF(C1101=0,0,VLOOKUP(C1101,Tabla1[],3,FALSE))</f>
        <v>250</v>
      </c>
      <c r="K1101" s="84">
        <f t="shared" si="162"/>
        <v>5</v>
      </c>
      <c r="L1101" s="118">
        <f t="shared" si="163"/>
        <v>83.249999999999986</v>
      </c>
    </row>
    <row r="1102" spans="1:16" x14ac:dyDescent="0.4">
      <c r="B1102" s="122">
        <v>5</v>
      </c>
      <c r="C1102" s="319" t="s">
        <v>230</v>
      </c>
      <c r="D1102" s="318"/>
      <c r="E1102" s="116">
        <f>I1094*0.02</f>
        <v>0.33299999999999996</v>
      </c>
      <c r="F1102" s="83">
        <f>ROUND(E1102/I1094,2)</f>
        <v>0.02</v>
      </c>
      <c r="G1102" s="74" t="str">
        <f>IF(C1102=0,0,VLOOKUP(C1102,Tabla1[],2,FALSE))</f>
        <v>m³</v>
      </c>
      <c r="I1102" s="117">
        <f>IF(C1102=0,0,VLOOKUP(C1102,Tabla1[],3,FALSE))</f>
        <v>250</v>
      </c>
      <c r="K1102" s="84">
        <f t="shared" si="162"/>
        <v>5</v>
      </c>
      <c r="L1102" s="118">
        <f t="shared" si="163"/>
        <v>83.249999999999986</v>
      </c>
    </row>
    <row r="1103" spans="1:16" x14ac:dyDescent="0.4">
      <c r="B1103" s="122">
        <v>6</v>
      </c>
      <c r="C1103" s="320" t="s">
        <v>369</v>
      </c>
      <c r="D1103" s="320"/>
      <c r="E1103" s="116">
        <f>I1094*0.2</f>
        <v>3.33</v>
      </c>
      <c r="F1103" s="83">
        <f>ROUND(E1103/I1094,2)</f>
        <v>0.2</v>
      </c>
      <c r="G1103" s="74" t="str">
        <f>IF(C1103=0,0,VLOOKUP(C1103,Tabla1[],2,FALSE))</f>
        <v>Libra</v>
      </c>
      <c r="I1103" s="117">
        <f>IF(C1103=0,0,VLOOKUP(C1103,Tabla1[],3,FALSE))</f>
        <v>8</v>
      </c>
      <c r="K1103" s="84">
        <f t="shared" si="162"/>
        <v>1.6</v>
      </c>
      <c r="L1103" s="118">
        <f t="shared" si="163"/>
        <v>26.64</v>
      </c>
    </row>
    <row r="1104" spans="1:16" x14ac:dyDescent="0.4">
      <c r="B1104" s="122">
        <v>7</v>
      </c>
      <c r="C1104" s="320" t="s">
        <v>175</v>
      </c>
      <c r="D1104" s="320"/>
      <c r="E1104" s="116">
        <f>I1094*0.04</f>
        <v>0.66599999999999993</v>
      </c>
      <c r="F1104" s="83">
        <f>ROUND(E1104/I1094,2)</f>
        <v>0.04</v>
      </c>
      <c r="G1104" s="74" t="str">
        <f>IF(C1104=0,0,VLOOKUP(C1104,Tabla1[],2,FALSE))</f>
        <v>Libra</v>
      </c>
      <c r="I1104" s="117">
        <f>IF(C1104=0,0,VLOOKUP(C1104,Tabla1[],3,FALSE))</f>
        <v>10</v>
      </c>
      <c r="K1104" s="84">
        <f t="shared" si="162"/>
        <v>0.4</v>
      </c>
      <c r="L1104" s="118">
        <f t="shared" si="163"/>
        <v>6.6599999999999993</v>
      </c>
    </row>
    <row r="1105" spans="2:12" x14ac:dyDescent="0.4">
      <c r="B1105" s="122">
        <v>8</v>
      </c>
      <c r="C1105" s="320" t="s">
        <v>180</v>
      </c>
      <c r="D1105" s="320"/>
      <c r="E1105" s="116">
        <f>I1094*7</f>
        <v>116.54999999999998</v>
      </c>
      <c r="F1105" s="83">
        <f>ROUND(E1105/I1094,2)</f>
        <v>7</v>
      </c>
      <c r="G1105" s="74" t="str">
        <f>IF(C1105=0,0,VLOOKUP(C1105,Tabla1[],2,FALSE))</f>
        <v>pt</v>
      </c>
      <c r="I1105" s="117">
        <f>IF(C1105=0,0,VLOOKUP(C1105,Tabla1[],3,FALSE))</f>
        <v>9</v>
      </c>
      <c r="K1105" s="84">
        <f t="shared" si="162"/>
        <v>63</v>
      </c>
      <c r="L1105" s="118">
        <f t="shared" si="163"/>
        <v>1048.9499999999998</v>
      </c>
    </row>
    <row r="1106" spans="2:12" x14ac:dyDescent="0.4">
      <c r="B1106" s="122"/>
      <c r="C1106" s="321"/>
      <c r="D1106" s="321"/>
      <c r="E1106" s="116"/>
      <c r="F1106" s="72"/>
      <c r="G1106" s="74"/>
      <c r="I1106" s="117">
        <f>IF(C1106=0,0,VLOOKUP(C1106,Tabla1[],3,FALSE))</f>
        <v>0</v>
      </c>
      <c r="K1106" s="84">
        <f t="shared" si="162"/>
        <v>0</v>
      </c>
      <c r="L1106" s="118">
        <f t="shared" si="163"/>
        <v>0</v>
      </c>
    </row>
    <row r="1107" spans="2:12" x14ac:dyDescent="0.4">
      <c r="B1107" s="122"/>
      <c r="C1107" s="321"/>
      <c r="D1107" s="321"/>
      <c r="E1107" s="116"/>
      <c r="F1107" s="72"/>
      <c r="G1107" s="74"/>
      <c r="I1107" s="117">
        <f>IF(C1107=0,0,VLOOKUP(C1107,Tabla1[],3,FALSE))</f>
        <v>0</v>
      </c>
      <c r="K1107" s="84">
        <f t="shared" si="162"/>
        <v>0</v>
      </c>
      <c r="L1107" s="118">
        <f t="shared" si="163"/>
        <v>0</v>
      </c>
    </row>
    <row r="1108" spans="2:12" ht="17.399999999999999" thickBot="1" x14ac:dyDescent="0.45"/>
    <row r="1109" spans="2:12" ht="17.399999999999999" thickBot="1" x14ac:dyDescent="0.45">
      <c r="F1109" s="292" t="s">
        <v>9</v>
      </c>
      <c r="G1109" s="293"/>
      <c r="H1109" s="293"/>
      <c r="I1109" s="294"/>
      <c r="K1109" s="229">
        <f>+SUM(K1098:K1107)</f>
        <v>230</v>
      </c>
      <c r="L1109" s="119">
        <f>+SUM(L1098:L1107)</f>
        <v>3829.4999999999995</v>
      </c>
    </row>
    <row r="1110" spans="2:12" ht="17.399999999999999" thickBot="1" x14ac:dyDescent="0.45"/>
    <row r="1111" spans="2:12" ht="17.399999999999999" thickBot="1" x14ac:dyDescent="0.45">
      <c r="B1111" s="110" t="s">
        <v>10</v>
      </c>
      <c r="C1111" s="300" t="s">
        <v>11</v>
      </c>
      <c r="D1111" s="300"/>
      <c r="E1111" s="300"/>
      <c r="F1111" s="300"/>
      <c r="G1111" s="301"/>
    </row>
    <row r="1112" spans="2:12" x14ac:dyDescent="0.4">
      <c r="B1112" s="114" t="s">
        <v>6</v>
      </c>
      <c r="C1112" s="302" t="s">
        <v>1</v>
      </c>
      <c r="D1112" s="303"/>
      <c r="E1112" s="112" t="s">
        <v>193</v>
      </c>
      <c r="F1112" s="120" t="s">
        <v>2</v>
      </c>
      <c r="G1112" s="114" t="s">
        <v>3</v>
      </c>
      <c r="H1112" s="106"/>
      <c r="I1112" s="107" t="s">
        <v>7</v>
      </c>
      <c r="J1112" s="136"/>
      <c r="K1112" s="107" t="s">
        <v>8</v>
      </c>
      <c r="L1112" s="115" t="s">
        <v>194</v>
      </c>
    </row>
    <row r="1113" spans="2:12" x14ac:dyDescent="0.4">
      <c r="B1113" s="122"/>
      <c r="C1113" s="306"/>
      <c r="D1113" s="306"/>
      <c r="E1113" s="116"/>
      <c r="F1113" s="83"/>
      <c r="G1113" s="74"/>
      <c r="I1113" s="117">
        <f>IF(C1113=0,0,VLOOKUP(C1113,Tabla3[],3,FALSE))</f>
        <v>0</v>
      </c>
      <c r="K1113" s="84">
        <f t="shared" ref="K1113:K1116" si="164">+F1113*I1113</f>
        <v>0</v>
      </c>
      <c r="L1113" s="118">
        <f>E1113*I1113</f>
        <v>0</v>
      </c>
    </row>
    <row r="1114" spans="2:12" x14ac:dyDescent="0.4">
      <c r="B1114" s="74"/>
      <c r="C1114" s="206"/>
      <c r="D1114" s="207"/>
      <c r="E1114" s="121"/>
      <c r="F1114" s="72"/>
      <c r="G1114" s="74"/>
      <c r="I1114" s="117">
        <f>IF(C1114=0,0,VLOOKUP(C1114,Tabla3[],3,FALSE))</f>
        <v>0</v>
      </c>
      <c r="K1114" s="84">
        <f t="shared" si="164"/>
        <v>0</v>
      </c>
      <c r="L1114" s="118">
        <f t="shared" ref="L1114:L1116" si="165">E1114*I1114</f>
        <v>0</v>
      </c>
    </row>
    <row r="1115" spans="2:12" x14ac:dyDescent="0.4">
      <c r="B1115" s="74"/>
      <c r="C1115" s="206"/>
      <c r="D1115" s="207"/>
      <c r="E1115" s="121"/>
      <c r="F1115" s="72"/>
      <c r="G1115" s="74"/>
      <c r="I1115" s="117">
        <f>IF(C1115=0,0,VLOOKUP(C1115,Tabla3[],3,FALSE))</f>
        <v>0</v>
      </c>
      <c r="K1115" s="84">
        <f t="shared" si="164"/>
        <v>0</v>
      </c>
      <c r="L1115" s="118">
        <f t="shared" si="165"/>
        <v>0</v>
      </c>
    </row>
    <row r="1116" spans="2:12" x14ac:dyDescent="0.4">
      <c r="B1116" s="74"/>
      <c r="C1116" s="304"/>
      <c r="D1116" s="305"/>
      <c r="E1116" s="121"/>
      <c r="F1116" s="72"/>
      <c r="G1116" s="74"/>
      <c r="I1116" s="117">
        <f>IF(C1116=0,0,VLOOKUP(C1116,Tabla3[],3,FALSE))</f>
        <v>0</v>
      </c>
      <c r="K1116" s="84">
        <f t="shared" si="164"/>
        <v>0</v>
      </c>
      <c r="L1116" s="118">
        <f t="shared" si="165"/>
        <v>0</v>
      </c>
    </row>
    <row r="1117" spans="2:12" ht="17.399999999999999" thickBot="1" x14ac:dyDescent="0.45"/>
    <row r="1118" spans="2:12" ht="17.399999999999999" thickBot="1" x14ac:dyDescent="0.45">
      <c r="F1118" s="292" t="s">
        <v>12</v>
      </c>
      <c r="G1118" s="293"/>
      <c r="H1118" s="293"/>
      <c r="I1118" s="294"/>
      <c r="K1118" s="229">
        <f>+SUM(K1113:K1116)</f>
        <v>0</v>
      </c>
      <c r="L1118" s="119">
        <f>+SUM(L1113:L1116)</f>
        <v>0</v>
      </c>
    </row>
    <row r="1119" spans="2:12" ht="17.399999999999999" thickBot="1" x14ac:dyDescent="0.45"/>
    <row r="1120" spans="2:12" ht="17.399999999999999" thickBot="1" x14ac:dyDescent="0.45">
      <c r="B1120" s="110" t="s">
        <v>13</v>
      </c>
      <c r="C1120" s="300" t="s">
        <v>14</v>
      </c>
      <c r="D1120" s="300"/>
      <c r="E1120" s="300"/>
      <c r="F1120" s="300"/>
      <c r="G1120" s="301"/>
    </row>
    <row r="1121" spans="2:12" x14ac:dyDescent="0.4">
      <c r="B1121" s="114" t="s">
        <v>6</v>
      </c>
      <c r="C1121" s="302" t="s">
        <v>1</v>
      </c>
      <c r="D1121" s="303"/>
      <c r="E1121" s="112" t="s">
        <v>193</v>
      </c>
      <c r="F1121" s="120" t="s">
        <v>2</v>
      </c>
      <c r="G1121" s="114" t="s">
        <v>3</v>
      </c>
      <c r="H1121" s="106"/>
      <c r="I1121" s="107" t="s">
        <v>7</v>
      </c>
      <c r="J1121" s="136"/>
      <c r="K1121" s="107" t="s">
        <v>8</v>
      </c>
      <c r="L1121" s="115" t="s">
        <v>194</v>
      </c>
    </row>
    <row r="1122" spans="2:12" x14ac:dyDescent="0.4">
      <c r="B1122" s="122">
        <v>1</v>
      </c>
      <c r="C1122" s="306" t="s">
        <v>576</v>
      </c>
      <c r="D1122" s="306"/>
      <c r="E1122" s="116">
        <f>I1094</f>
        <v>16.649999999999999</v>
      </c>
      <c r="F1122" s="83">
        <f>ROUND(E1122/I1094,2)</f>
        <v>1</v>
      </c>
      <c r="G1122" s="74" t="str">
        <f>IF(C1122=0,0,VLOOKUP(C1122,Tabla2[],2,FALSE))</f>
        <v>ml</v>
      </c>
      <c r="I1122" s="117">
        <f>IF(C1122=0,0,VLOOKUP(C1122,Tabla2[],3,FALSE))</f>
        <v>70</v>
      </c>
      <c r="K1122" s="84">
        <f>+F1122*I1122</f>
        <v>70</v>
      </c>
      <c r="L1122" s="118">
        <f>E1122*I1122</f>
        <v>1165.5</v>
      </c>
    </row>
    <row r="1123" spans="2:12" x14ac:dyDescent="0.4">
      <c r="B1123" s="122"/>
      <c r="C1123" s="306"/>
      <c r="D1123" s="306"/>
      <c r="E1123" s="116"/>
      <c r="F1123" s="83"/>
      <c r="G1123" s="74"/>
      <c r="I1123" s="117">
        <f>IF(C1123=0,0,VLOOKUP(C1123,Tabla2[],3,FALSE))</f>
        <v>0</v>
      </c>
      <c r="K1123" s="84">
        <f>+F1123*I1123</f>
        <v>0</v>
      </c>
      <c r="L1123" s="118">
        <f>E1123*I1123</f>
        <v>0</v>
      </c>
    </row>
    <row r="1124" spans="2:12" ht="17.399999999999999" thickBot="1" x14ac:dyDescent="0.45">
      <c r="B1124" s="123"/>
      <c r="C1124" s="307"/>
      <c r="D1124" s="308"/>
      <c r="E1124" s="124"/>
      <c r="F1124" s="125"/>
      <c r="G1124" s="74"/>
      <c r="I1124" s="117">
        <f>IF(C1124=0,0,VLOOKUP(C1124,Tabla2[],3,FALSE))</f>
        <v>0</v>
      </c>
      <c r="K1124" s="84">
        <f t="shared" ref="K1124" si="166">+F1124*I1124</f>
        <v>0</v>
      </c>
      <c r="L1124" s="118">
        <f t="shared" ref="L1124:L1125" si="167">E1124*I1124</f>
        <v>0</v>
      </c>
    </row>
    <row r="1125" spans="2:12" ht="17.399999999999999" thickBot="1" x14ac:dyDescent="0.45">
      <c r="B1125" s="297" t="s">
        <v>15</v>
      </c>
      <c r="C1125" s="298"/>
      <c r="D1125" s="298"/>
      <c r="E1125" s="298"/>
      <c r="F1125" s="298"/>
      <c r="G1125" s="299"/>
      <c r="I1125" s="84">
        <v>0</v>
      </c>
      <c r="K1125" s="84">
        <v>0</v>
      </c>
      <c r="L1125" s="118">
        <f t="shared" si="167"/>
        <v>0</v>
      </c>
    </row>
    <row r="1126" spans="2:12" ht="17.399999999999999" thickBot="1" x14ac:dyDescent="0.45"/>
    <row r="1127" spans="2:12" ht="17.399999999999999" thickBot="1" x14ac:dyDescent="0.45">
      <c r="F1127" s="292" t="s">
        <v>16</v>
      </c>
      <c r="G1127" s="293"/>
      <c r="H1127" s="293"/>
      <c r="I1127" s="294"/>
      <c r="K1127" s="229">
        <f>+SUM(K1122:K1125)</f>
        <v>70</v>
      </c>
      <c r="L1127" s="119">
        <f>+SUM(L1122:L1125)</f>
        <v>1165.5</v>
      </c>
    </row>
    <row r="1128" spans="2:12" ht="17.399999999999999" thickBot="1" x14ac:dyDescent="0.45"/>
    <row r="1129" spans="2:12" ht="17.399999999999999" thickBot="1" x14ac:dyDescent="0.45">
      <c r="B1129" s="110" t="s">
        <v>17</v>
      </c>
      <c r="C1129" s="300" t="s">
        <v>18</v>
      </c>
      <c r="D1129" s="300"/>
      <c r="E1129" s="300"/>
      <c r="F1129" s="300"/>
      <c r="G1129" s="301"/>
    </row>
    <row r="1130" spans="2:12" x14ac:dyDescent="0.4">
      <c r="B1130" s="114" t="s">
        <v>6</v>
      </c>
      <c r="C1130" s="302" t="s">
        <v>1</v>
      </c>
      <c r="D1130" s="303"/>
      <c r="E1130" s="126"/>
      <c r="F1130" s="120" t="s">
        <v>2</v>
      </c>
      <c r="G1130" s="114" t="s">
        <v>3</v>
      </c>
      <c r="H1130" s="106"/>
      <c r="I1130" s="107" t="s">
        <v>7</v>
      </c>
      <c r="J1130" s="136"/>
      <c r="K1130" s="107" t="s">
        <v>8</v>
      </c>
      <c r="L1130" s="115" t="s">
        <v>194</v>
      </c>
    </row>
    <row r="1131" spans="2:12" x14ac:dyDescent="0.4">
      <c r="B1131" s="74"/>
      <c r="C1131" s="304"/>
      <c r="D1131" s="305"/>
      <c r="E1131" s="127"/>
      <c r="F1131" s="72"/>
      <c r="G1131" s="74"/>
      <c r="I1131" s="84">
        <v>0</v>
      </c>
      <c r="K1131" s="84">
        <f>+F1131*I1131</f>
        <v>0</v>
      </c>
      <c r="L1131" s="118">
        <f>E1131*I1131</f>
        <v>0</v>
      </c>
    </row>
    <row r="1132" spans="2:12" x14ac:dyDescent="0.4">
      <c r="B1132" s="74"/>
      <c r="C1132" s="304"/>
      <c r="D1132" s="305"/>
      <c r="E1132" s="127"/>
      <c r="F1132" s="72"/>
      <c r="G1132" s="74"/>
      <c r="I1132" s="84">
        <v>0</v>
      </c>
      <c r="K1132" s="84">
        <f t="shared" ref="K1132:K1133" si="168">+F1132*I1132</f>
        <v>0</v>
      </c>
      <c r="L1132" s="118">
        <f t="shared" ref="L1132:L1133" si="169">E1132*I1132</f>
        <v>0</v>
      </c>
    </row>
    <row r="1133" spans="2:12" x14ac:dyDescent="0.4">
      <c r="B1133" s="74"/>
      <c r="C1133" s="304"/>
      <c r="D1133" s="305"/>
      <c r="E1133" s="127"/>
      <c r="F1133" s="72"/>
      <c r="G1133" s="74"/>
      <c r="I1133" s="84">
        <v>0</v>
      </c>
      <c r="K1133" s="84">
        <f t="shared" si="168"/>
        <v>0</v>
      </c>
      <c r="L1133" s="118">
        <f t="shared" si="169"/>
        <v>0</v>
      </c>
    </row>
    <row r="1134" spans="2:12" ht="17.399999999999999" thickBot="1" x14ac:dyDescent="0.45">
      <c r="L1134" s="118"/>
    </row>
    <row r="1135" spans="2:12" ht="17.399999999999999" thickBot="1" x14ac:dyDescent="0.45">
      <c r="F1135" s="292" t="s">
        <v>19</v>
      </c>
      <c r="G1135" s="293"/>
      <c r="H1135" s="293"/>
      <c r="I1135" s="294"/>
      <c r="K1135" s="229">
        <f>+SUM(K1131:K1133)</f>
        <v>0</v>
      </c>
      <c r="L1135" s="119">
        <f>+SUM(L1130:L1133)</f>
        <v>0</v>
      </c>
    </row>
    <row r="1136" spans="2:12" ht="15" customHeight="1" x14ac:dyDescent="0.4">
      <c r="F1136" s="128"/>
      <c r="G1136" s="129"/>
      <c r="H1136" s="130"/>
      <c r="I1136" s="108"/>
      <c r="K1136" s="230"/>
    </row>
    <row r="1137" spans="1:16" ht="15" customHeight="1" thickBot="1" x14ac:dyDescent="0.45"/>
    <row r="1138" spans="1:16" ht="17.399999999999999" thickBot="1" x14ac:dyDescent="0.45">
      <c r="F1138" s="292" t="s">
        <v>20</v>
      </c>
      <c r="G1138" s="293"/>
      <c r="H1138" s="293"/>
      <c r="I1138" s="294"/>
      <c r="K1138" s="229">
        <f>(+K1109+K1118+K1127+K1135)</f>
        <v>300</v>
      </c>
      <c r="L1138" s="119">
        <f>(+L1109+L1118+L1127+L1135)</f>
        <v>4995</v>
      </c>
      <c r="N1138" s="131"/>
      <c r="O1138" s="39"/>
      <c r="P1138" s="40"/>
    </row>
    <row r="1139" spans="1:16" ht="7.5" customHeight="1" thickBot="1" x14ac:dyDescent="0.45">
      <c r="N1139" s="131"/>
      <c r="O1139" s="41"/>
      <c r="P1139" s="40"/>
    </row>
    <row r="1140" spans="1:16" ht="17.399999999999999" thickBot="1" x14ac:dyDescent="0.45">
      <c r="F1140" s="292" t="s">
        <v>21</v>
      </c>
      <c r="G1140" s="293"/>
      <c r="H1140" s="293"/>
      <c r="I1140" s="294"/>
      <c r="K1140" s="229">
        <f>K1138*$N$2</f>
        <v>120</v>
      </c>
      <c r="L1140" s="119">
        <f>L1138*$N$2</f>
        <v>1998</v>
      </c>
    </row>
    <row r="1141" spans="1:16" ht="7.5" customHeight="1" thickBot="1" x14ac:dyDescent="0.45"/>
    <row r="1142" spans="1:16" ht="17.399999999999999" thickBot="1" x14ac:dyDescent="0.45">
      <c r="F1142" s="292" t="s">
        <v>22</v>
      </c>
      <c r="G1142" s="293"/>
      <c r="H1142" s="293"/>
      <c r="I1142" s="294"/>
      <c r="K1142" s="229">
        <f>+K1138+K1140</f>
        <v>420</v>
      </c>
      <c r="L1142" s="119">
        <f>+L1138+L1140</f>
        <v>6993</v>
      </c>
    </row>
    <row r="1143" spans="1:16" ht="17.399999999999999" thickBot="1" x14ac:dyDescent="0.45">
      <c r="F1143" s="128"/>
      <c r="G1143" s="129"/>
      <c r="H1143" s="130"/>
      <c r="I1143" s="108"/>
      <c r="K1143" s="231"/>
      <c r="L1143" s="132">
        <f>L1142/I1094</f>
        <v>420.00000000000006</v>
      </c>
      <c r="M1143" s="133">
        <f>(K1142-L1143)*I1094</f>
        <v>-9.4644292403245337E-13</v>
      </c>
    </row>
    <row r="1144" spans="1:16" x14ac:dyDescent="0.4">
      <c r="F1144" s="128"/>
      <c r="G1144" s="129"/>
      <c r="H1144" s="130"/>
      <c r="I1144" s="108"/>
      <c r="K1144" s="232"/>
      <c r="L1144" s="131"/>
      <c r="M1144" s="134"/>
      <c r="N1144" s="135"/>
    </row>
    <row r="1145" spans="1:16" ht="17.399999999999999" thickBot="1" x14ac:dyDescent="0.45">
      <c r="B1145" s="295"/>
      <c r="C1145" s="295"/>
      <c r="D1145" s="295"/>
    </row>
    <row r="1146" spans="1:16" x14ac:dyDescent="0.4">
      <c r="B1146" s="296" t="s">
        <v>23</v>
      </c>
      <c r="C1146" s="296"/>
      <c r="D1146" s="296"/>
    </row>
    <row r="1147" spans="1:16" x14ac:dyDescent="0.4">
      <c r="B1147" s="157"/>
      <c r="C1147" s="157"/>
      <c r="D1147" s="157"/>
    </row>
    <row r="1148" spans="1:16" x14ac:dyDescent="0.4">
      <c r="B1148" s="157"/>
      <c r="C1148" s="157"/>
      <c r="D1148" s="157"/>
    </row>
    <row r="1149" spans="1:16" x14ac:dyDescent="0.4">
      <c r="B1149" s="105" t="s">
        <v>43</v>
      </c>
      <c r="C1149" s="106"/>
      <c r="D1149" s="311" t="s">
        <v>1</v>
      </c>
      <c r="E1149" s="311"/>
      <c r="F1149" s="311"/>
      <c r="G1149" s="311"/>
      <c r="H1149" s="106"/>
      <c r="I1149" s="107" t="s">
        <v>2</v>
      </c>
      <c r="J1149" s="136"/>
      <c r="K1149" s="107" t="s">
        <v>3</v>
      </c>
    </row>
    <row r="1150" spans="1:16" s="4" customFormat="1" ht="30.75" customHeight="1" x14ac:dyDescent="0.3">
      <c r="A1150" s="31"/>
      <c r="B1150" s="213">
        <f>CATALOGO!B36</f>
        <v>407.27</v>
      </c>
      <c r="C1150" s="71"/>
      <c r="D1150" s="312" t="str">
        <f>CATALOGO!C36</f>
        <v>VIGA (0.15m X 0.40m + 4 NO. 4 + EST NO. 3 @ 0.20m)</v>
      </c>
      <c r="E1150" s="312"/>
      <c r="F1150" s="312"/>
      <c r="G1150" s="312"/>
      <c r="H1150" s="71"/>
      <c r="I1150" s="213">
        <f>CATALOGO!D36</f>
        <v>4.3</v>
      </c>
      <c r="J1150" s="109"/>
      <c r="K1150" s="227" t="str">
        <f>CATALOGO!E36</f>
        <v>ml</v>
      </c>
      <c r="L1150" s="71"/>
      <c r="M1150" s="71"/>
      <c r="N1150" s="104"/>
      <c r="O1150" s="37"/>
      <c r="P1150" s="37"/>
    </row>
    <row r="1151" spans="1:16" ht="17.399999999999999" thickBot="1" x14ac:dyDescent="0.45"/>
    <row r="1152" spans="1:16" ht="17.399999999999999" thickBot="1" x14ac:dyDescent="0.45">
      <c r="B1152" s="110" t="s">
        <v>4</v>
      </c>
      <c r="C1152" s="300" t="s">
        <v>5</v>
      </c>
      <c r="D1152" s="300"/>
      <c r="E1152" s="300"/>
      <c r="F1152" s="300"/>
      <c r="G1152" s="301"/>
    </row>
    <row r="1153" spans="2:12" x14ac:dyDescent="0.4">
      <c r="B1153" s="111" t="s">
        <v>6</v>
      </c>
      <c r="C1153" s="313" t="s">
        <v>1</v>
      </c>
      <c r="D1153" s="314"/>
      <c r="E1153" s="112" t="s">
        <v>193</v>
      </c>
      <c r="F1153" s="113" t="s">
        <v>2</v>
      </c>
      <c r="G1153" s="114" t="s">
        <v>3</v>
      </c>
      <c r="H1153" s="106"/>
      <c r="I1153" s="107" t="s">
        <v>7</v>
      </c>
      <c r="J1153" s="136"/>
      <c r="K1153" s="228" t="s">
        <v>8</v>
      </c>
      <c r="L1153" s="115" t="s">
        <v>194</v>
      </c>
    </row>
    <row r="1154" spans="2:12" x14ac:dyDescent="0.4">
      <c r="B1154" s="122">
        <v>1</v>
      </c>
      <c r="C1154" s="315" t="s">
        <v>170</v>
      </c>
      <c r="D1154" s="316"/>
      <c r="E1154" s="116">
        <f>I1150*0.5</f>
        <v>2.15</v>
      </c>
      <c r="F1154" s="83">
        <f>ROUND(E1154/I1150,2)</f>
        <v>0.5</v>
      </c>
      <c r="G1154" s="74" t="str">
        <f>IF(C1154=0,0,VLOOKUP(C1154,Tabla1[],2,FALSE))</f>
        <v>Varilla</v>
      </c>
      <c r="I1154" s="117">
        <f>IF(C1154=0,0,VLOOKUP(C1154,Tabla1[],3,FALSE))</f>
        <v>70</v>
      </c>
      <c r="K1154" s="84">
        <f>+F1154*I1154</f>
        <v>35</v>
      </c>
      <c r="L1154" s="118">
        <f>E1154*I1154</f>
        <v>150.5</v>
      </c>
    </row>
    <row r="1155" spans="2:12" ht="16.5" customHeight="1" x14ac:dyDescent="0.4">
      <c r="B1155" s="122">
        <v>2</v>
      </c>
      <c r="C1155" s="315" t="s">
        <v>169</v>
      </c>
      <c r="D1155" s="316"/>
      <c r="E1155" s="116">
        <f>I1150*0.45</f>
        <v>1.9350000000000001</v>
      </c>
      <c r="F1155" s="83">
        <f>ROUND(E1155/I1150,2)</f>
        <v>0.45</v>
      </c>
      <c r="G1155" s="74" t="str">
        <f>IF(C1155=0,0,VLOOKUP(C1155,Tabla1[],2,FALSE))</f>
        <v>Varilla</v>
      </c>
      <c r="I1155" s="117">
        <f>IF(C1155=0,0,VLOOKUP(C1155,Tabla1[],3,FALSE))</f>
        <v>40</v>
      </c>
      <c r="K1155" s="84">
        <f>+F1155*I1155</f>
        <v>18</v>
      </c>
      <c r="L1155" s="118">
        <f>E1155*I1155</f>
        <v>77.400000000000006</v>
      </c>
    </row>
    <row r="1156" spans="2:12" x14ac:dyDescent="0.4">
      <c r="B1156" s="122">
        <v>3</v>
      </c>
      <c r="C1156" s="317" t="s">
        <v>214</v>
      </c>
      <c r="D1156" s="318"/>
      <c r="E1156" s="116">
        <f>I1150*0.5</f>
        <v>2.15</v>
      </c>
      <c r="F1156" s="83">
        <f>ROUND(E1156/I1150,2)</f>
        <v>0.5</v>
      </c>
      <c r="G1156" s="74" t="str">
        <f>IF(C1156=0,0,VLOOKUP(C1156,Tabla1[],2,FALSE))</f>
        <v>Saco</v>
      </c>
      <c r="I1156" s="117">
        <f>IF(C1156=0,0,VLOOKUP(C1156,Tabla1[],3,FALSE))</f>
        <v>80</v>
      </c>
      <c r="K1156" s="84">
        <f t="shared" ref="K1156:K1163" si="170">+F1156*I1156</f>
        <v>40</v>
      </c>
      <c r="L1156" s="118">
        <f t="shared" ref="L1156:L1163" si="171">E1156*I1156</f>
        <v>172</v>
      </c>
    </row>
    <row r="1157" spans="2:12" x14ac:dyDescent="0.4">
      <c r="B1157" s="122">
        <v>4</v>
      </c>
      <c r="C1157" s="319" t="s">
        <v>73</v>
      </c>
      <c r="D1157" s="318"/>
      <c r="E1157" s="116">
        <f>I1150*0.01</f>
        <v>4.2999999999999997E-2</v>
      </c>
      <c r="F1157" s="83">
        <f>ROUND(E1157/I1150,2)</f>
        <v>0.01</v>
      </c>
      <c r="G1157" s="74" t="str">
        <f>IF(C1157=0,0,VLOOKUP(C1157,Tabla1[],2,FALSE))</f>
        <v>m³</v>
      </c>
      <c r="I1157" s="117">
        <f>IF(C1157=0,0,VLOOKUP(C1157,Tabla1[],3,FALSE))</f>
        <v>250</v>
      </c>
      <c r="K1157" s="84">
        <f t="shared" si="170"/>
        <v>2.5</v>
      </c>
      <c r="L1157" s="118">
        <f t="shared" si="171"/>
        <v>10.75</v>
      </c>
    </row>
    <row r="1158" spans="2:12" x14ac:dyDescent="0.4">
      <c r="B1158" s="122">
        <v>5</v>
      </c>
      <c r="C1158" s="319" t="s">
        <v>230</v>
      </c>
      <c r="D1158" s="318"/>
      <c r="E1158" s="116">
        <f>I1150*0.01</f>
        <v>4.2999999999999997E-2</v>
      </c>
      <c r="F1158" s="83">
        <f>ROUND(E1158/I1150,2)</f>
        <v>0.01</v>
      </c>
      <c r="G1158" s="74" t="str">
        <f>IF(C1158=0,0,VLOOKUP(C1158,Tabla1[],2,FALSE))</f>
        <v>m³</v>
      </c>
      <c r="I1158" s="117">
        <f>IF(C1158=0,0,VLOOKUP(C1158,Tabla1[],3,FALSE))</f>
        <v>250</v>
      </c>
      <c r="K1158" s="84">
        <f t="shared" si="170"/>
        <v>2.5</v>
      </c>
      <c r="L1158" s="118">
        <f t="shared" si="171"/>
        <v>10.75</v>
      </c>
    </row>
    <row r="1159" spans="2:12" x14ac:dyDescent="0.4">
      <c r="B1159" s="122">
        <v>6</v>
      </c>
      <c r="C1159" s="320" t="s">
        <v>369</v>
      </c>
      <c r="D1159" s="320"/>
      <c r="E1159" s="116">
        <f>I1150*0.1</f>
        <v>0.43</v>
      </c>
      <c r="F1159" s="83">
        <f>ROUND(E1159/I1150,2)</f>
        <v>0.1</v>
      </c>
      <c r="G1159" s="74" t="str">
        <f>IF(C1159=0,0,VLOOKUP(C1159,Tabla1[],2,FALSE))</f>
        <v>Libra</v>
      </c>
      <c r="I1159" s="117">
        <f>IF(C1159=0,0,VLOOKUP(C1159,Tabla1[],3,FALSE))</f>
        <v>8</v>
      </c>
      <c r="K1159" s="84">
        <f t="shared" si="170"/>
        <v>0.8</v>
      </c>
      <c r="L1159" s="118">
        <f t="shared" si="171"/>
        <v>3.44</v>
      </c>
    </row>
    <row r="1160" spans="2:12" x14ac:dyDescent="0.4">
      <c r="B1160" s="122">
        <v>7</v>
      </c>
      <c r="C1160" s="320" t="s">
        <v>175</v>
      </c>
      <c r="D1160" s="320"/>
      <c r="E1160" s="116">
        <f>I1150*0.02</f>
        <v>8.5999999999999993E-2</v>
      </c>
      <c r="F1160" s="83">
        <f>ROUND(E1160/I1150,2)</f>
        <v>0.02</v>
      </c>
      <c r="G1160" s="74" t="str">
        <f>IF(C1160=0,0,VLOOKUP(C1160,Tabla1[],2,FALSE))</f>
        <v>Libra</v>
      </c>
      <c r="I1160" s="117">
        <f>IF(C1160=0,0,VLOOKUP(C1160,Tabla1[],3,FALSE))</f>
        <v>10</v>
      </c>
      <c r="K1160" s="84">
        <f t="shared" si="170"/>
        <v>0.2</v>
      </c>
      <c r="L1160" s="118">
        <f t="shared" si="171"/>
        <v>0.85999999999999988</v>
      </c>
    </row>
    <row r="1161" spans="2:12" x14ac:dyDescent="0.4">
      <c r="B1161" s="122">
        <v>8</v>
      </c>
      <c r="C1161" s="320" t="s">
        <v>180</v>
      </c>
      <c r="D1161" s="320"/>
      <c r="E1161" s="116">
        <f>I1150*4</f>
        <v>17.2</v>
      </c>
      <c r="F1161" s="83">
        <f>ROUND(E1161/I1150,2)</f>
        <v>4</v>
      </c>
      <c r="G1161" s="74" t="str">
        <f>IF(C1161=0,0,VLOOKUP(C1161,Tabla1[],2,FALSE))</f>
        <v>pt</v>
      </c>
      <c r="I1161" s="117">
        <f>IF(C1161=0,0,VLOOKUP(C1161,Tabla1[],3,FALSE))</f>
        <v>9</v>
      </c>
      <c r="K1161" s="84">
        <f t="shared" si="170"/>
        <v>36</v>
      </c>
      <c r="L1161" s="118">
        <f t="shared" si="171"/>
        <v>154.79999999999998</v>
      </c>
    </row>
    <row r="1162" spans="2:12" x14ac:dyDescent="0.4">
      <c r="B1162" s="122"/>
      <c r="C1162" s="321"/>
      <c r="D1162" s="321"/>
      <c r="E1162" s="116"/>
      <c r="F1162" s="72"/>
      <c r="G1162" s="74"/>
      <c r="I1162" s="117">
        <f>IF(C1162=0,0,VLOOKUP(C1162,Tabla1[],3,FALSE))</f>
        <v>0</v>
      </c>
      <c r="K1162" s="84">
        <f t="shared" si="170"/>
        <v>0</v>
      </c>
      <c r="L1162" s="118">
        <f t="shared" si="171"/>
        <v>0</v>
      </c>
    </row>
    <row r="1163" spans="2:12" x14ac:dyDescent="0.4">
      <c r="B1163" s="122"/>
      <c r="C1163" s="321"/>
      <c r="D1163" s="321"/>
      <c r="E1163" s="116"/>
      <c r="F1163" s="72"/>
      <c r="G1163" s="74"/>
      <c r="I1163" s="117">
        <f>IF(C1163=0,0,VLOOKUP(C1163,Tabla1[],3,FALSE))</f>
        <v>0</v>
      </c>
      <c r="K1163" s="84">
        <f t="shared" si="170"/>
        <v>0</v>
      </c>
      <c r="L1163" s="118">
        <f t="shared" si="171"/>
        <v>0</v>
      </c>
    </row>
    <row r="1164" spans="2:12" ht="17.399999999999999" thickBot="1" x14ac:dyDescent="0.45"/>
    <row r="1165" spans="2:12" ht="17.399999999999999" thickBot="1" x14ac:dyDescent="0.45">
      <c r="F1165" s="292" t="s">
        <v>9</v>
      </c>
      <c r="G1165" s="293"/>
      <c r="H1165" s="293"/>
      <c r="I1165" s="294"/>
      <c r="K1165" s="229">
        <f>+SUM(K1154:K1163)</f>
        <v>135</v>
      </c>
      <c r="L1165" s="119">
        <f>+SUM(L1154:L1163)</f>
        <v>580.5</v>
      </c>
    </row>
    <row r="1166" spans="2:12" ht="17.399999999999999" thickBot="1" x14ac:dyDescent="0.45"/>
    <row r="1167" spans="2:12" ht="17.399999999999999" thickBot="1" x14ac:dyDescent="0.45">
      <c r="B1167" s="110" t="s">
        <v>10</v>
      </c>
      <c r="C1167" s="300" t="s">
        <v>11</v>
      </c>
      <c r="D1167" s="300"/>
      <c r="E1167" s="300"/>
      <c r="F1167" s="300"/>
      <c r="G1167" s="301"/>
    </row>
    <row r="1168" spans="2:12" x14ac:dyDescent="0.4">
      <c r="B1168" s="114" t="s">
        <v>6</v>
      </c>
      <c r="C1168" s="302" t="s">
        <v>1</v>
      </c>
      <c r="D1168" s="303"/>
      <c r="E1168" s="112" t="s">
        <v>193</v>
      </c>
      <c r="F1168" s="120" t="s">
        <v>2</v>
      </c>
      <c r="G1168" s="114" t="s">
        <v>3</v>
      </c>
      <c r="H1168" s="106"/>
      <c r="I1168" s="107" t="s">
        <v>7</v>
      </c>
      <c r="J1168" s="136"/>
      <c r="K1168" s="107" t="s">
        <v>8</v>
      </c>
      <c r="L1168" s="115" t="s">
        <v>194</v>
      </c>
    </row>
    <row r="1169" spans="2:12" x14ac:dyDescent="0.4">
      <c r="B1169" s="122"/>
      <c r="C1169" s="306"/>
      <c r="D1169" s="306"/>
      <c r="E1169" s="116"/>
      <c r="F1169" s="83"/>
      <c r="G1169" s="74"/>
      <c r="I1169" s="117">
        <f>IF(C1169=0,0,VLOOKUP(C1169,Tabla3[],3,FALSE))</f>
        <v>0</v>
      </c>
      <c r="K1169" s="84">
        <f t="shared" ref="K1169:K1172" si="172">+F1169*I1169</f>
        <v>0</v>
      </c>
      <c r="L1169" s="118">
        <f>E1169*I1169</f>
        <v>0</v>
      </c>
    </row>
    <row r="1170" spans="2:12" x14ac:dyDescent="0.4">
      <c r="B1170" s="74"/>
      <c r="C1170" s="206"/>
      <c r="D1170" s="207"/>
      <c r="E1170" s="121"/>
      <c r="F1170" s="72"/>
      <c r="G1170" s="74"/>
      <c r="I1170" s="117">
        <f>IF(C1170=0,0,VLOOKUP(C1170,Tabla3[],3,FALSE))</f>
        <v>0</v>
      </c>
      <c r="K1170" s="84">
        <f t="shared" si="172"/>
        <v>0</v>
      </c>
      <c r="L1170" s="118">
        <f t="shared" ref="L1170:L1172" si="173">E1170*I1170</f>
        <v>0</v>
      </c>
    </row>
    <row r="1171" spans="2:12" x14ac:dyDescent="0.4">
      <c r="B1171" s="74"/>
      <c r="C1171" s="206"/>
      <c r="D1171" s="207"/>
      <c r="E1171" s="121"/>
      <c r="F1171" s="72"/>
      <c r="G1171" s="74"/>
      <c r="I1171" s="117">
        <f>IF(C1171=0,0,VLOOKUP(C1171,Tabla3[],3,FALSE))</f>
        <v>0</v>
      </c>
      <c r="K1171" s="84">
        <f t="shared" si="172"/>
        <v>0</v>
      </c>
      <c r="L1171" s="118">
        <f t="shared" si="173"/>
        <v>0</v>
      </c>
    </row>
    <row r="1172" spans="2:12" x14ac:dyDescent="0.4">
      <c r="B1172" s="74"/>
      <c r="C1172" s="304"/>
      <c r="D1172" s="305"/>
      <c r="E1172" s="121"/>
      <c r="F1172" s="72"/>
      <c r="G1172" s="74"/>
      <c r="I1172" s="117">
        <f>IF(C1172=0,0,VLOOKUP(C1172,Tabla3[],3,FALSE))</f>
        <v>0</v>
      </c>
      <c r="K1172" s="84">
        <f t="shared" si="172"/>
        <v>0</v>
      </c>
      <c r="L1172" s="118">
        <f t="shared" si="173"/>
        <v>0</v>
      </c>
    </row>
    <row r="1173" spans="2:12" ht="17.399999999999999" thickBot="1" x14ac:dyDescent="0.45"/>
    <row r="1174" spans="2:12" ht="17.399999999999999" thickBot="1" x14ac:dyDescent="0.45">
      <c r="F1174" s="292" t="s">
        <v>12</v>
      </c>
      <c r="G1174" s="293"/>
      <c r="H1174" s="293"/>
      <c r="I1174" s="294"/>
      <c r="K1174" s="229">
        <f>+SUM(K1169:K1172)</f>
        <v>0</v>
      </c>
      <c r="L1174" s="119">
        <f>+SUM(L1169:L1172)</f>
        <v>0</v>
      </c>
    </row>
    <row r="1175" spans="2:12" ht="17.399999999999999" thickBot="1" x14ac:dyDescent="0.45"/>
    <row r="1176" spans="2:12" ht="17.399999999999999" thickBot="1" x14ac:dyDescent="0.45">
      <c r="B1176" s="110" t="s">
        <v>13</v>
      </c>
      <c r="C1176" s="300" t="s">
        <v>14</v>
      </c>
      <c r="D1176" s="300"/>
      <c r="E1176" s="300"/>
      <c r="F1176" s="300"/>
      <c r="G1176" s="301"/>
    </row>
    <row r="1177" spans="2:12" x14ac:dyDescent="0.4">
      <c r="B1177" s="114" t="s">
        <v>6</v>
      </c>
      <c r="C1177" s="302" t="s">
        <v>1</v>
      </c>
      <c r="D1177" s="303"/>
      <c r="E1177" s="112" t="s">
        <v>193</v>
      </c>
      <c r="F1177" s="120" t="s">
        <v>2</v>
      </c>
      <c r="G1177" s="114" t="s">
        <v>3</v>
      </c>
      <c r="H1177" s="106"/>
      <c r="I1177" s="107" t="s">
        <v>7</v>
      </c>
      <c r="J1177" s="136"/>
      <c r="K1177" s="107" t="s">
        <v>8</v>
      </c>
      <c r="L1177" s="115" t="s">
        <v>194</v>
      </c>
    </row>
    <row r="1178" spans="2:12" x14ac:dyDescent="0.4">
      <c r="B1178" s="122">
        <v>1</v>
      </c>
      <c r="C1178" s="306" t="s">
        <v>576</v>
      </c>
      <c r="D1178" s="306"/>
      <c r="E1178" s="116">
        <f>I1150</f>
        <v>4.3</v>
      </c>
      <c r="F1178" s="83">
        <f>ROUND(E1178/I1150,2)</f>
        <v>1</v>
      </c>
      <c r="G1178" s="74" t="str">
        <f>IF(C1178=0,0,VLOOKUP(C1178,Tabla2[],2,FALSE))</f>
        <v>ml</v>
      </c>
      <c r="I1178" s="117">
        <f>IF(C1178=0,0,VLOOKUP(C1178,Tabla2[],3,FALSE))</f>
        <v>70</v>
      </c>
      <c r="K1178" s="84">
        <f>+F1178*I1178</f>
        <v>70</v>
      </c>
      <c r="L1178" s="118">
        <f>E1178*I1178</f>
        <v>301</v>
      </c>
    </row>
    <row r="1179" spans="2:12" x14ac:dyDescent="0.4">
      <c r="B1179" s="122"/>
      <c r="C1179" s="306"/>
      <c r="D1179" s="306"/>
      <c r="E1179" s="116"/>
      <c r="F1179" s="83"/>
      <c r="G1179" s="74"/>
      <c r="I1179" s="117">
        <f>IF(C1179=0,0,VLOOKUP(C1179,Tabla2[],3,FALSE))</f>
        <v>0</v>
      </c>
      <c r="K1179" s="84">
        <f>+F1179*I1179</f>
        <v>0</v>
      </c>
      <c r="L1179" s="118">
        <f>E1179*I1179</f>
        <v>0</v>
      </c>
    </row>
    <row r="1180" spans="2:12" ht="17.399999999999999" thickBot="1" x14ac:dyDescent="0.45">
      <c r="B1180" s="123"/>
      <c r="C1180" s="307"/>
      <c r="D1180" s="308"/>
      <c r="E1180" s="124"/>
      <c r="F1180" s="125"/>
      <c r="G1180" s="74"/>
      <c r="I1180" s="117">
        <f>IF(C1180=0,0,VLOOKUP(C1180,Tabla2[],3,FALSE))</f>
        <v>0</v>
      </c>
      <c r="K1180" s="84">
        <f t="shared" ref="K1180" si="174">+F1180*I1180</f>
        <v>0</v>
      </c>
      <c r="L1180" s="118">
        <f t="shared" ref="L1180:L1181" si="175">E1180*I1180</f>
        <v>0</v>
      </c>
    </row>
    <row r="1181" spans="2:12" ht="17.399999999999999" thickBot="1" x14ac:dyDescent="0.45">
      <c r="B1181" s="297" t="s">
        <v>15</v>
      </c>
      <c r="C1181" s="298"/>
      <c r="D1181" s="298"/>
      <c r="E1181" s="298"/>
      <c r="F1181" s="298"/>
      <c r="G1181" s="299"/>
      <c r="I1181" s="84">
        <v>0</v>
      </c>
      <c r="K1181" s="84">
        <v>0</v>
      </c>
      <c r="L1181" s="118">
        <f t="shared" si="175"/>
        <v>0</v>
      </c>
    </row>
    <row r="1182" spans="2:12" ht="17.399999999999999" thickBot="1" x14ac:dyDescent="0.45"/>
    <row r="1183" spans="2:12" ht="17.399999999999999" thickBot="1" x14ac:dyDescent="0.45">
      <c r="F1183" s="292" t="s">
        <v>16</v>
      </c>
      <c r="G1183" s="293"/>
      <c r="H1183" s="293"/>
      <c r="I1183" s="294"/>
      <c r="K1183" s="229">
        <f>+SUM(K1178:K1181)</f>
        <v>70</v>
      </c>
      <c r="L1183" s="119">
        <f>+SUM(L1178:L1181)</f>
        <v>301</v>
      </c>
    </row>
    <row r="1184" spans="2:12" ht="17.399999999999999" thickBot="1" x14ac:dyDescent="0.45"/>
    <row r="1185" spans="2:16" ht="17.399999999999999" thickBot="1" x14ac:dyDescent="0.45">
      <c r="B1185" s="110" t="s">
        <v>17</v>
      </c>
      <c r="C1185" s="300" t="s">
        <v>18</v>
      </c>
      <c r="D1185" s="300"/>
      <c r="E1185" s="300"/>
      <c r="F1185" s="300"/>
      <c r="G1185" s="301"/>
    </row>
    <row r="1186" spans="2:16" x14ac:dyDescent="0.4">
      <c r="B1186" s="114" t="s">
        <v>6</v>
      </c>
      <c r="C1186" s="302" t="s">
        <v>1</v>
      </c>
      <c r="D1186" s="303"/>
      <c r="E1186" s="126"/>
      <c r="F1186" s="120" t="s">
        <v>2</v>
      </c>
      <c r="G1186" s="114" t="s">
        <v>3</v>
      </c>
      <c r="H1186" s="106"/>
      <c r="I1186" s="107" t="s">
        <v>7</v>
      </c>
      <c r="J1186" s="136"/>
      <c r="K1186" s="107" t="s">
        <v>8</v>
      </c>
      <c r="L1186" s="115" t="s">
        <v>194</v>
      </c>
    </row>
    <row r="1187" spans="2:16" x14ac:dyDescent="0.4">
      <c r="B1187" s="74"/>
      <c r="C1187" s="304"/>
      <c r="D1187" s="305"/>
      <c r="E1187" s="127"/>
      <c r="F1187" s="72"/>
      <c r="G1187" s="74"/>
      <c r="I1187" s="84">
        <v>0</v>
      </c>
      <c r="K1187" s="84">
        <f>+F1187*I1187</f>
        <v>0</v>
      </c>
      <c r="L1187" s="118">
        <f>E1187*I1187</f>
        <v>0</v>
      </c>
    </row>
    <row r="1188" spans="2:16" x14ac:dyDescent="0.4">
      <c r="B1188" s="74"/>
      <c r="C1188" s="304"/>
      <c r="D1188" s="305"/>
      <c r="E1188" s="127"/>
      <c r="F1188" s="72"/>
      <c r="G1188" s="74"/>
      <c r="I1188" s="84">
        <v>0</v>
      </c>
      <c r="K1188" s="84">
        <f t="shared" ref="K1188:K1189" si="176">+F1188*I1188</f>
        <v>0</v>
      </c>
      <c r="L1188" s="118">
        <f t="shared" ref="L1188:L1189" si="177">E1188*I1188</f>
        <v>0</v>
      </c>
    </row>
    <row r="1189" spans="2:16" x14ac:dyDescent="0.4">
      <c r="B1189" s="74"/>
      <c r="C1189" s="304"/>
      <c r="D1189" s="305"/>
      <c r="E1189" s="127"/>
      <c r="F1189" s="72"/>
      <c r="G1189" s="74"/>
      <c r="I1189" s="84">
        <v>0</v>
      </c>
      <c r="K1189" s="84">
        <f t="shared" si="176"/>
        <v>0</v>
      </c>
      <c r="L1189" s="118">
        <f t="shared" si="177"/>
        <v>0</v>
      </c>
    </row>
    <row r="1190" spans="2:16" ht="17.399999999999999" thickBot="1" x14ac:dyDescent="0.45">
      <c r="L1190" s="118"/>
    </row>
    <row r="1191" spans="2:16" ht="17.399999999999999" thickBot="1" x14ac:dyDescent="0.45">
      <c r="F1191" s="292" t="s">
        <v>19</v>
      </c>
      <c r="G1191" s="293"/>
      <c r="H1191" s="293"/>
      <c r="I1191" s="294"/>
      <c r="K1191" s="229">
        <f>+SUM(K1187:K1189)</f>
        <v>0</v>
      </c>
      <c r="L1191" s="119">
        <f>+SUM(L1186:L1189)</f>
        <v>0</v>
      </c>
    </row>
    <row r="1192" spans="2:16" ht="15" customHeight="1" x14ac:dyDescent="0.4">
      <c r="F1192" s="128"/>
      <c r="G1192" s="129"/>
      <c r="H1192" s="130"/>
      <c r="I1192" s="108"/>
      <c r="K1192" s="230"/>
    </row>
    <row r="1193" spans="2:16" ht="15" customHeight="1" thickBot="1" x14ac:dyDescent="0.45"/>
    <row r="1194" spans="2:16" ht="17.399999999999999" thickBot="1" x14ac:dyDescent="0.45">
      <c r="F1194" s="292" t="s">
        <v>20</v>
      </c>
      <c r="G1194" s="293"/>
      <c r="H1194" s="293"/>
      <c r="I1194" s="294"/>
      <c r="K1194" s="229">
        <f>(+K1165+K1174+K1183+K1191)</f>
        <v>205</v>
      </c>
      <c r="L1194" s="119">
        <f>(+L1165+L1174+L1183+L1191)</f>
        <v>881.5</v>
      </c>
      <c r="N1194" s="131"/>
      <c r="O1194" s="39"/>
      <c r="P1194" s="40"/>
    </row>
    <row r="1195" spans="2:16" ht="7.5" customHeight="1" thickBot="1" x14ac:dyDescent="0.45">
      <c r="N1195" s="131"/>
      <c r="O1195" s="41"/>
      <c r="P1195" s="40"/>
    </row>
    <row r="1196" spans="2:16" ht="17.399999999999999" thickBot="1" x14ac:dyDescent="0.45">
      <c r="F1196" s="292" t="s">
        <v>21</v>
      </c>
      <c r="G1196" s="293"/>
      <c r="H1196" s="293"/>
      <c r="I1196" s="294"/>
      <c r="K1196" s="229">
        <f>K1194*$N$2</f>
        <v>82</v>
      </c>
      <c r="L1196" s="119">
        <f>L1194*$N$2</f>
        <v>352.6</v>
      </c>
    </row>
    <row r="1197" spans="2:16" ht="7.5" customHeight="1" thickBot="1" x14ac:dyDescent="0.45"/>
    <row r="1198" spans="2:16" ht="17.399999999999999" thickBot="1" x14ac:dyDescent="0.45">
      <c r="F1198" s="292" t="s">
        <v>22</v>
      </c>
      <c r="G1198" s="293"/>
      <c r="H1198" s="293"/>
      <c r="I1198" s="294"/>
      <c r="K1198" s="229">
        <f>+K1194+K1196</f>
        <v>287</v>
      </c>
      <c r="L1198" s="119">
        <f>+L1194+L1196</f>
        <v>1234.0999999999999</v>
      </c>
    </row>
    <row r="1199" spans="2:16" ht="17.399999999999999" thickBot="1" x14ac:dyDescent="0.45">
      <c r="F1199" s="128"/>
      <c r="G1199" s="129"/>
      <c r="H1199" s="130"/>
      <c r="I1199" s="108"/>
      <c r="K1199" s="231"/>
      <c r="L1199" s="132">
        <f>L1198/I1150</f>
        <v>287</v>
      </c>
      <c r="M1199" s="133">
        <f>(K1198-L1199)*I1150</f>
        <v>0</v>
      </c>
    </row>
    <row r="1200" spans="2:16" x14ac:dyDescent="0.4">
      <c r="F1200" s="128"/>
      <c r="G1200" s="129"/>
      <c r="H1200" s="130"/>
      <c r="I1200" s="108"/>
      <c r="K1200" s="232"/>
      <c r="L1200" s="131"/>
      <c r="M1200" s="134"/>
      <c r="N1200" s="135"/>
    </row>
    <row r="1201" spans="1:16" ht="17.399999999999999" thickBot="1" x14ac:dyDescent="0.45">
      <c r="B1201" s="295"/>
      <c r="C1201" s="295"/>
      <c r="D1201" s="295"/>
    </row>
    <row r="1202" spans="1:16" x14ac:dyDescent="0.4">
      <c r="B1202" s="296" t="s">
        <v>23</v>
      </c>
      <c r="C1202" s="296"/>
      <c r="D1202" s="296"/>
    </row>
    <row r="1203" spans="1:16" x14ac:dyDescent="0.4">
      <c r="B1203" s="157"/>
      <c r="C1203" s="157"/>
      <c r="D1203" s="157"/>
    </row>
    <row r="1204" spans="1:16" x14ac:dyDescent="0.4">
      <c r="B1204" s="157"/>
      <c r="C1204" s="157"/>
      <c r="D1204" s="157"/>
    </row>
    <row r="1205" spans="1:16" x14ac:dyDescent="0.4">
      <c r="B1205" s="105" t="s">
        <v>43</v>
      </c>
      <c r="C1205" s="106"/>
      <c r="D1205" s="311" t="s">
        <v>1</v>
      </c>
      <c r="E1205" s="311"/>
      <c r="F1205" s="311"/>
      <c r="G1205" s="311"/>
      <c r="H1205" s="106"/>
      <c r="I1205" s="107" t="s">
        <v>2</v>
      </c>
      <c r="J1205" s="136"/>
      <c r="K1205" s="107" t="s">
        <v>3</v>
      </c>
    </row>
    <row r="1206" spans="1:16" s="4" customFormat="1" ht="30.75" customHeight="1" x14ac:dyDescent="0.3">
      <c r="A1206" s="31"/>
      <c r="B1206" s="213">
        <f>CATALOGO!B37</f>
        <v>407.28</v>
      </c>
      <c r="C1206" s="71"/>
      <c r="D1206" s="312" t="str">
        <f>CATALOGO!C37</f>
        <v>VIGA (0.40m X 0.40m + 4 NO. 5 + 2 NO.4 + EST NO. 3 @ 0.15m)</v>
      </c>
      <c r="E1206" s="312"/>
      <c r="F1206" s="312"/>
      <c r="G1206" s="312"/>
      <c r="H1206" s="71"/>
      <c r="I1206" s="213">
        <f>CATALOGO!D37</f>
        <v>15.6</v>
      </c>
      <c r="J1206" s="109"/>
      <c r="K1206" s="227" t="str">
        <f>CATALOGO!E37</f>
        <v>ml</v>
      </c>
      <c r="L1206" s="71"/>
      <c r="M1206" s="71"/>
      <c r="N1206" s="104"/>
      <c r="O1206" s="37"/>
      <c r="P1206" s="37"/>
    </row>
    <row r="1207" spans="1:16" ht="17.399999999999999" thickBot="1" x14ac:dyDescent="0.45"/>
    <row r="1208" spans="1:16" ht="17.399999999999999" thickBot="1" x14ac:dyDescent="0.45">
      <c r="B1208" s="110" t="s">
        <v>4</v>
      </c>
      <c r="C1208" s="300" t="s">
        <v>5</v>
      </c>
      <c r="D1208" s="300"/>
      <c r="E1208" s="300"/>
      <c r="F1208" s="300"/>
      <c r="G1208" s="301"/>
    </row>
    <row r="1209" spans="1:16" x14ac:dyDescent="0.4">
      <c r="B1209" s="111" t="s">
        <v>6</v>
      </c>
      <c r="C1209" s="313" t="s">
        <v>1</v>
      </c>
      <c r="D1209" s="314"/>
      <c r="E1209" s="112" t="s">
        <v>193</v>
      </c>
      <c r="F1209" s="113" t="s">
        <v>2</v>
      </c>
      <c r="G1209" s="114" t="s">
        <v>3</v>
      </c>
      <c r="H1209" s="106"/>
      <c r="I1209" s="107" t="s">
        <v>7</v>
      </c>
      <c r="J1209" s="136"/>
      <c r="K1209" s="228" t="s">
        <v>8</v>
      </c>
      <c r="L1209" s="115" t="s">
        <v>194</v>
      </c>
    </row>
    <row r="1210" spans="1:16" x14ac:dyDescent="0.4">
      <c r="B1210" s="122">
        <v>1</v>
      </c>
      <c r="C1210" s="315" t="s">
        <v>401</v>
      </c>
      <c r="D1210" s="316"/>
      <c r="E1210" s="116">
        <f>I1206*1.05</f>
        <v>16.38</v>
      </c>
      <c r="F1210" s="83">
        <f>ROUND(E1210/I1206,2)</f>
        <v>1.05</v>
      </c>
      <c r="G1210" s="74" t="str">
        <f>IF(C1210=0,0,VLOOKUP(C1210,Tabla1[],2,FALSE))</f>
        <v>Varilla</v>
      </c>
      <c r="I1210" s="117">
        <f>IF(C1210=0,0,VLOOKUP(C1210,Tabla1[],3,FALSE))</f>
        <v>100</v>
      </c>
      <c r="K1210" s="84">
        <f>+F1210*I1210</f>
        <v>105</v>
      </c>
      <c r="L1210" s="118">
        <f>E1210*I1210</f>
        <v>1638</v>
      </c>
    </row>
    <row r="1211" spans="1:16" ht="16.5" customHeight="1" x14ac:dyDescent="0.4">
      <c r="B1211" s="122">
        <v>2</v>
      </c>
      <c r="C1211" s="315" t="s">
        <v>169</v>
      </c>
      <c r="D1211" s="316"/>
      <c r="E1211" s="116">
        <f>I1206*1.75</f>
        <v>27.3</v>
      </c>
      <c r="F1211" s="83">
        <f>ROUND(E1211/I1206,2)</f>
        <v>1.75</v>
      </c>
      <c r="G1211" s="74" t="str">
        <f>IF(C1211=0,0,VLOOKUP(C1211,Tabla1[],2,FALSE))</f>
        <v>Varilla</v>
      </c>
      <c r="I1211" s="117">
        <f>IF(C1211=0,0,VLOOKUP(C1211,Tabla1[],3,FALSE))</f>
        <v>40</v>
      </c>
      <c r="K1211" s="84">
        <f>+F1211*I1211</f>
        <v>70</v>
      </c>
      <c r="L1211" s="118">
        <f>E1211*I1211</f>
        <v>1092</v>
      </c>
    </row>
    <row r="1212" spans="1:16" x14ac:dyDescent="0.4">
      <c r="B1212" s="122">
        <v>3</v>
      </c>
      <c r="C1212" s="317" t="s">
        <v>214</v>
      </c>
      <c r="D1212" s="318"/>
      <c r="E1212" s="116">
        <f>I1206*1</f>
        <v>15.6</v>
      </c>
      <c r="F1212" s="83">
        <f>ROUND(E1212/I1206,2)</f>
        <v>1</v>
      </c>
      <c r="G1212" s="74" t="str">
        <f>IF(C1212=0,0,VLOOKUP(C1212,Tabla1[],2,FALSE))</f>
        <v>Saco</v>
      </c>
      <c r="I1212" s="117">
        <f>IF(C1212=0,0,VLOOKUP(C1212,Tabla1[],3,FALSE))</f>
        <v>80</v>
      </c>
      <c r="K1212" s="84">
        <f t="shared" ref="K1212:K1219" si="178">+F1212*I1212</f>
        <v>80</v>
      </c>
      <c r="L1212" s="118">
        <f t="shared" ref="L1212:L1219" si="179">E1212*I1212</f>
        <v>1248</v>
      </c>
    </row>
    <row r="1213" spans="1:16" x14ac:dyDescent="0.4">
      <c r="B1213" s="122">
        <v>4</v>
      </c>
      <c r="C1213" s="319" t="s">
        <v>73</v>
      </c>
      <c r="D1213" s="318"/>
      <c r="E1213" s="116">
        <f>I1206*0.02</f>
        <v>0.312</v>
      </c>
      <c r="F1213" s="83">
        <f>ROUND(E1213/I1206,2)</f>
        <v>0.02</v>
      </c>
      <c r="G1213" s="74" t="str">
        <f>IF(C1213=0,0,VLOOKUP(C1213,Tabla1[],2,FALSE))</f>
        <v>m³</v>
      </c>
      <c r="I1213" s="117">
        <f>IF(C1213=0,0,VLOOKUP(C1213,Tabla1[],3,FALSE))</f>
        <v>250</v>
      </c>
      <c r="K1213" s="84">
        <f t="shared" si="178"/>
        <v>5</v>
      </c>
      <c r="L1213" s="118">
        <f t="shared" si="179"/>
        <v>78</v>
      </c>
    </row>
    <row r="1214" spans="1:16" x14ac:dyDescent="0.4">
      <c r="B1214" s="122">
        <v>5</v>
      </c>
      <c r="C1214" s="319" t="s">
        <v>230</v>
      </c>
      <c r="D1214" s="318"/>
      <c r="E1214" s="116">
        <f>I1206*0.02</f>
        <v>0.312</v>
      </c>
      <c r="F1214" s="83">
        <f>ROUND(E1214/I1206,2)</f>
        <v>0.02</v>
      </c>
      <c r="G1214" s="74" t="str">
        <f>IF(C1214=0,0,VLOOKUP(C1214,Tabla1[],2,FALSE))</f>
        <v>m³</v>
      </c>
      <c r="I1214" s="117">
        <f>IF(C1214=0,0,VLOOKUP(C1214,Tabla1[],3,FALSE))</f>
        <v>250</v>
      </c>
      <c r="K1214" s="84">
        <f t="shared" si="178"/>
        <v>5</v>
      </c>
      <c r="L1214" s="118">
        <f t="shared" si="179"/>
        <v>78</v>
      </c>
    </row>
    <row r="1215" spans="1:16" x14ac:dyDescent="0.4">
      <c r="B1215" s="122">
        <v>6</v>
      </c>
      <c r="C1215" s="320" t="s">
        <v>369</v>
      </c>
      <c r="D1215" s="320"/>
      <c r="E1215" s="116">
        <f>I1206*0.2</f>
        <v>3.12</v>
      </c>
      <c r="F1215" s="83">
        <f>ROUND(E1215/I1206,2)</f>
        <v>0.2</v>
      </c>
      <c r="G1215" s="74" t="str">
        <f>IF(C1215=0,0,VLOOKUP(C1215,Tabla1[],2,FALSE))</f>
        <v>Libra</v>
      </c>
      <c r="I1215" s="117">
        <f>IF(C1215=0,0,VLOOKUP(C1215,Tabla1[],3,FALSE))</f>
        <v>8</v>
      </c>
      <c r="K1215" s="84">
        <f t="shared" si="178"/>
        <v>1.6</v>
      </c>
      <c r="L1215" s="118">
        <f t="shared" si="179"/>
        <v>24.96</v>
      </c>
    </row>
    <row r="1216" spans="1:16" x14ac:dyDescent="0.4">
      <c r="B1216" s="122">
        <v>7</v>
      </c>
      <c r="C1216" s="320" t="s">
        <v>175</v>
      </c>
      <c r="D1216" s="320"/>
      <c r="E1216" s="116">
        <f>I1206*0.04</f>
        <v>0.624</v>
      </c>
      <c r="F1216" s="83">
        <f>ROUND(E1216/I1206,2)</f>
        <v>0.04</v>
      </c>
      <c r="G1216" s="74" t="str">
        <f>IF(C1216=0,0,VLOOKUP(C1216,Tabla1[],2,FALSE))</f>
        <v>Libra</v>
      </c>
      <c r="I1216" s="117">
        <f>IF(C1216=0,0,VLOOKUP(C1216,Tabla1[],3,FALSE))</f>
        <v>10</v>
      </c>
      <c r="K1216" s="84">
        <f t="shared" si="178"/>
        <v>0.4</v>
      </c>
      <c r="L1216" s="118">
        <f t="shared" si="179"/>
        <v>6.24</v>
      </c>
    </row>
    <row r="1217" spans="2:12" x14ac:dyDescent="0.4">
      <c r="B1217" s="122">
        <v>8</v>
      </c>
      <c r="C1217" s="320" t="s">
        <v>180</v>
      </c>
      <c r="D1217" s="320"/>
      <c r="E1217" s="116">
        <f>I1206*7</f>
        <v>109.2</v>
      </c>
      <c r="F1217" s="83">
        <f>ROUND(E1217/I1206,2)</f>
        <v>7</v>
      </c>
      <c r="G1217" s="74" t="str">
        <f>IF(C1217=0,0,VLOOKUP(C1217,Tabla1[],2,FALSE))</f>
        <v>pt</v>
      </c>
      <c r="I1217" s="117">
        <f>IF(C1217=0,0,VLOOKUP(C1217,Tabla1[],3,FALSE))</f>
        <v>9</v>
      </c>
      <c r="K1217" s="84">
        <f t="shared" si="178"/>
        <v>63</v>
      </c>
      <c r="L1217" s="118">
        <f t="shared" si="179"/>
        <v>982.80000000000007</v>
      </c>
    </row>
    <row r="1218" spans="2:12" x14ac:dyDescent="0.4">
      <c r="B1218" s="122">
        <v>9</v>
      </c>
      <c r="C1218" s="315" t="s">
        <v>313</v>
      </c>
      <c r="D1218" s="316"/>
      <c r="E1218" s="116">
        <f>I1213*1.75</f>
        <v>437.5</v>
      </c>
      <c r="F1218" s="83">
        <f>ROUND(E1218/I1213,2)</f>
        <v>1.75</v>
      </c>
      <c r="G1218" s="74" t="str">
        <f>IF(C1218=0,0,VLOOKUP(C1218,Tabla1[],2,FALSE))</f>
        <v>Varilla</v>
      </c>
      <c r="I1218" s="117">
        <f>IF(C1218=0,0,VLOOKUP(C1218,Tabla1[],3,FALSE))</f>
        <v>20</v>
      </c>
      <c r="K1218" s="84">
        <f>+F1218*I1218</f>
        <v>35</v>
      </c>
      <c r="L1218" s="118">
        <f>E1218*I1218</f>
        <v>8750</v>
      </c>
    </row>
    <row r="1219" spans="2:12" x14ac:dyDescent="0.4">
      <c r="B1219" s="122"/>
      <c r="C1219" s="321"/>
      <c r="D1219" s="321"/>
      <c r="E1219" s="116"/>
      <c r="F1219" s="72"/>
      <c r="G1219" s="74"/>
      <c r="I1219" s="117">
        <f>IF(C1219=0,0,VLOOKUP(C1219,Tabla1[],3,FALSE))</f>
        <v>0</v>
      </c>
      <c r="K1219" s="84">
        <f t="shared" si="178"/>
        <v>0</v>
      </c>
      <c r="L1219" s="118">
        <f t="shared" si="179"/>
        <v>0</v>
      </c>
    </row>
    <row r="1220" spans="2:12" ht="17.399999999999999" thickBot="1" x14ac:dyDescent="0.45"/>
    <row r="1221" spans="2:12" ht="17.399999999999999" thickBot="1" x14ac:dyDescent="0.45">
      <c r="F1221" s="292" t="s">
        <v>9</v>
      </c>
      <c r="G1221" s="293"/>
      <c r="H1221" s="293"/>
      <c r="I1221" s="294"/>
      <c r="K1221" s="229">
        <f>+SUM(K1210:K1219)</f>
        <v>365</v>
      </c>
      <c r="L1221" s="119">
        <f>+SUM(L1210:L1219)</f>
        <v>13898</v>
      </c>
    </row>
    <row r="1222" spans="2:12" ht="17.399999999999999" thickBot="1" x14ac:dyDescent="0.45"/>
    <row r="1223" spans="2:12" ht="17.399999999999999" thickBot="1" x14ac:dyDescent="0.45">
      <c r="B1223" s="110" t="s">
        <v>10</v>
      </c>
      <c r="C1223" s="300" t="s">
        <v>11</v>
      </c>
      <c r="D1223" s="300"/>
      <c r="E1223" s="300"/>
      <c r="F1223" s="300"/>
      <c r="G1223" s="301"/>
    </row>
    <row r="1224" spans="2:12" x14ac:dyDescent="0.4">
      <c r="B1224" s="114" t="s">
        <v>6</v>
      </c>
      <c r="C1224" s="302" t="s">
        <v>1</v>
      </c>
      <c r="D1224" s="303"/>
      <c r="E1224" s="112" t="s">
        <v>193</v>
      </c>
      <c r="F1224" s="120" t="s">
        <v>2</v>
      </c>
      <c r="G1224" s="114" t="s">
        <v>3</v>
      </c>
      <c r="H1224" s="106"/>
      <c r="I1224" s="107" t="s">
        <v>7</v>
      </c>
      <c r="J1224" s="136"/>
      <c r="K1224" s="107" t="s">
        <v>8</v>
      </c>
      <c r="L1224" s="115" t="s">
        <v>194</v>
      </c>
    </row>
    <row r="1225" spans="2:12" x14ac:dyDescent="0.4">
      <c r="B1225" s="122"/>
      <c r="C1225" s="306"/>
      <c r="D1225" s="306"/>
      <c r="E1225" s="116"/>
      <c r="F1225" s="83"/>
      <c r="G1225" s="74"/>
      <c r="I1225" s="117">
        <f>IF(C1225=0,0,VLOOKUP(C1225,Tabla3[],3,FALSE))</f>
        <v>0</v>
      </c>
      <c r="K1225" s="84">
        <f t="shared" ref="K1225:K1228" si="180">+F1225*I1225</f>
        <v>0</v>
      </c>
      <c r="L1225" s="118">
        <f>E1225*I1225</f>
        <v>0</v>
      </c>
    </row>
    <row r="1226" spans="2:12" x14ac:dyDescent="0.4">
      <c r="B1226" s="74"/>
      <c r="C1226" s="206"/>
      <c r="D1226" s="207"/>
      <c r="E1226" s="121"/>
      <c r="F1226" s="72"/>
      <c r="G1226" s="74"/>
      <c r="I1226" s="117">
        <f>IF(C1226=0,0,VLOOKUP(C1226,Tabla3[],3,FALSE))</f>
        <v>0</v>
      </c>
      <c r="K1226" s="84">
        <f t="shared" si="180"/>
        <v>0</v>
      </c>
      <c r="L1226" s="118">
        <f t="shared" ref="L1226:L1228" si="181">E1226*I1226</f>
        <v>0</v>
      </c>
    </row>
    <row r="1227" spans="2:12" x14ac:dyDescent="0.4">
      <c r="B1227" s="74"/>
      <c r="C1227" s="206"/>
      <c r="D1227" s="207"/>
      <c r="E1227" s="121"/>
      <c r="F1227" s="72"/>
      <c r="G1227" s="74"/>
      <c r="I1227" s="117">
        <f>IF(C1227=0,0,VLOOKUP(C1227,Tabla3[],3,FALSE))</f>
        <v>0</v>
      </c>
      <c r="K1227" s="84">
        <f t="shared" si="180"/>
        <v>0</v>
      </c>
      <c r="L1227" s="118">
        <f t="shared" si="181"/>
        <v>0</v>
      </c>
    </row>
    <row r="1228" spans="2:12" x14ac:dyDescent="0.4">
      <c r="B1228" s="74"/>
      <c r="C1228" s="304"/>
      <c r="D1228" s="305"/>
      <c r="E1228" s="121"/>
      <c r="F1228" s="72"/>
      <c r="G1228" s="74"/>
      <c r="I1228" s="117">
        <f>IF(C1228=0,0,VLOOKUP(C1228,Tabla3[],3,FALSE))</f>
        <v>0</v>
      </c>
      <c r="K1228" s="84">
        <f t="shared" si="180"/>
        <v>0</v>
      </c>
      <c r="L1228" s="118">
        <f t="shared" si="181"/>
        <v>0</v>
      </c>
    </row>
    <row r="1229" spans="2:12" ht="17.399999999999999" thickBot="1" x14ac:dyDescent="0.45"/>
    <row r="1230" spans="2:12" ht="17.399999999999999" thickBot="1" x14ac:dyDescent="0.45">
      <c r="F1230" s="292" t="s">
        <v>12</v>
      </c>
      <c r="G1230" s="293"/>
      <c r="H1230" s="293"/>
      <c r="I1230" s="294"/>
      <c r="K1230" s="229">
        <f>+SUM(K1225:K1228)</f>
        <v>0</v>
      </c>
      <c r="L1230" s="119">
        <f>+SUM(L1225:L1228)</f>
        <v>0</v>
      </c>
    </row>
    <row r="1231" spans="2:12" ht="17.399999999999999" thickBot="1" x14ac:dyDescent="0.45"/>
    <row r="1232" spans="2:12" ht="17.399999999999999" thickBot="1" x14ac:dyDescent="0.45">
      <c r="B1232" s="110" t="s">
        <v>13</v>
      </c>
      <c r="C1232" s="300" t="s">
        <v>14</v>
      </c>
      <c r="D1232" s="300"/>
      <c r="E1232" s="300"/>
      <c r="F1232" s="300"/>
      <c r="G1232" s="301"/>
    </row>
    <row r="1233" spans="2:12" x14ac:dyDescent="0.4">
      <c r="B1233" s="114" t="s">
        <v>6</v>
      </c>
      <c r="C1233" s="302" t="s">
        <v>1</v>
      </c>
      <c r="D1233" s="303"/>
      <c r="E1233" s="112" t="s">
        <v>193</v>
      </c>
      <c r="F1233" s="120" t="s">
        <v>2</v>
      </c>
      <c r="G1233" s="114" t="s">
        <v>3</v>
      </c>
      <c r="H1233" s="106"/>
      <c r="I1233" s="107" t="s">
        <v>7</v>
      </c>
      <c r="J1233" s="136"/>
      <c r="K1233" s="107" t="s">
        <v>8</v>
      </c>
      <c r="L1233" s="115" t="s">
        <v>194</v>
      </c>
    </row>
    <row r="1234" spans="2:12" x14ac:dyDescent="0.4">
      <c r="B1234" s="122">
        <v>1</v>
      </c>
      <c r="C1234" s="306" t="s">
        <v>576</v>
      </c>
      <c r="D1234" s="306"/>
      <c r="E1234" s="116">
        <f>I1206</f>
        <v>15.6</v>
      </c>
      <c r="F1234" s="83">
        <f>ROUND(E1234/I1206,2)</f>
        <v>1</v>
      </c>
      <c r="G1234" s="74" t="str">
        <f>IF(C1234=0,0,VLOOKUP(C1234,Tabla2[],2,FALSE))</f>
        <v>ml</v>
      </c>
      <c r="I1234" s="117">
        <f>IF(C1234=0,0,VLOOKUP(C1234,Tabla2[],3,FALSE))</f>
        <v>70</v>
      </c>
      <c r="K1234" s="84">
        <f>+F1234*I1234</f>
        <v>70</v>
      </c>
      <c r="L1234" s="118">
        <f>E1234*I1234</f>
        <v>1092</v>
      </c>
    </row>
    <row r="1235" spans="2:12" x14ac:dyDescent="0.4">
      <c r="B1235" s="122"/>
      <c r="C1235" s="306"/>
      <c r="D1235" s="306"/>
      <c r="E1235" s="116"/>
      <c r="F1235" s="83"/>
      <c r="G1235" s="74"/>
      <c r="I1235" s="117">
        <f>IF(C1235=0,0,VLOOKUP(C1235,Tabla2[],3,FALSE))</f>
        <v>0</v>
      </c>
      <c r="K1235" s="84">
        <f>+F1235*I1235</f>
        <v>0</v>
      </c>
      <c r="L1235" s="118">
        <f>E1235*I1235</f>
        <v>0</v>
      </c>
    </row>
    <row r="1236" spans="2:12" ht="17.399999999999999" thickBot="1" x14ac:dyDescent="0.45">
      <c r="B1236" s="123"/>
      <c r="C1236" s="307"/>
      <c r="D1236" s="308"/>
      <c r="E1236" s="124"/>
      <c r="F1236" s="125"/>
      <c r="G1236" s="74"/>
      <c r="I1236" s="117">
        <f>IF(C1236=0,0,VLOOKUP(C1236,Tabla2[],3,FALSE))</f>
        <v>0</v>
      </c>
      <c r="K1236" s="84">
        <f t="shared" ref="K1236" si="182">+F1236*I1236</f>
        <v>0</v>
      </c>
      <c r="L1236" s="118">
        <f t="shared" ref="L1236:L1237" si="183">E1236*I1236</f>
        <v>0</v>
      </c>
    </row>
    <row r="1237" spans="2:12" ht="17.399999999999999" thickBot="1" x14ac:dyDescent="0.45">
      <c r="B1237" s="297" t="s">
        <v>15</v>
      </c>
      <c r="C1237" s="298"/>
      <c r="D1237" s="298"/>
      <c r="E1237" s="298"/>
      <c r="F1237" s="298"/>
      <c r="G1237" s="299"/>
      <c r="I1237" s="84">
        <v>0</v>
      </c>
      <c r="K1237" s="84">
        <v>0</v>
      </c>
      <c r="L1237" s="118">
        <f t="shared" si="183"/>
        <v>0</v>
      </c>
    </row>
    <row r="1238" spans="2:12" ht="17.399999999999999" thickBot="1" x14ac:dyDescent="0.45"/>
    <row r="1239" spans="2:12" ht="17.399999999999999" thickBot="1" x14ac:dyDescent="0.45">
      <c r="F1239" s="292" t="s">
        <v>16</v>
      </c>
      <c r="G1239" s="293"/>
      <c r="H1239" s="293"/>
      <c r="I1239" s="294"/>
      <c r="K1239" s="229">
        <f>+SUM(K1234:K1237)</f>
        <v>70</v>
      </c>
      <c r="L1239" s="119">
        <f>+SUM(L1234:L1237)</f>
        <v>1092</v>
      </c>
    </row>
    <row r="1240" spans="2:12" ht="17.399999999999999" thickBot="1" x14ac:dyDescent="0.45"/>
    <row r="1241" spans="2:12" ht="17.399999999999999" thickBot="1" x14ac:dyDescent="0.45">
      <c r="B1241" s="110" t="s">
        <v>17</v>
      </c>
      <c r="C1241" s="300" t="s">
        <v>18</v>
      </c>
      <c r="D1241" s="300"/>
      <c r="E1241" s="300"/>
      <c r="F1241" s="300"/>
      <c r="G1241" s="301"/>
    </row>
    <row r="1242" spans="2:12" x14ac:dyDescent="0.4">
      <c r="B1242" s="114" t="s">
        <v>6</v>
      </c>
      <c r="C1242" s="302" t="s">
        <v>1</v>
      </c>
      <c r="D1242" s="303"/>
      <c r="E1242" s="126"/>
      <c r="F1242" s="120" t="s">
        <v>2</v>
      </c>
      <c r="G1242" s="114" t="s">
        <v>3</v>
      </c>
      <c r="H1242" s="106"/>
      <c r="I1242" s="107" t="s">
        <v>7</v>
      </c>
      <c r="J1242" s="136"/>
      <c r="K1242" s="107" t="s">
        <v>8</v>
      </c>
      <c r="L1242" s="115" t="s">
        <v>194</v>
      </c>
    </row>
    <row r="1243" spans="2:12" x14ac:dyDescent="0.4">
      <c r="B1243" s="74"/>
      <c r="C1243" s="304"/>
      <c r="D1243" s="305"/>
      <c r="E1243" s="127"/>
      <c r="F1243" s="72"/>
      <c r="G1243" s="74"/>
      <c r="I1243" s="84">
        <v>0</v>
      </c>
      <c r="K1243" s="84">
        <f>+F1243*I1243</f>
        <v>0</v>
      </c>
      <c r="L1243" s="118">
        <f>E1243*I1243</f>
        <v>0</v>
      </c>
    </row>
    <row r="1244" spans="2:12" x14ac:dyDescent="0.4">
      <c r="B1244" s="74"/>
      <c r="C1244" s="304"/>
      <c r="D1244" s="305"/>
      <c r="E1244" s="127"/>
      <c r="F1244" s="72"/>
      <c r="G1244" s="74"/>
      <c r="I1244" s="84">
        <v>0</v>
      </c>
      <c r="K1244" s="84">
        <f t="shared" ref="K1244:K1245" si="184">+F1244*I1244</f>
        <v>0</v>
      </c>
      <c r="L1244" s="118">
        <f t="shared" ref="L1244:L1245" si="185">E1244*I1244</f>
        <v>0</v>
      </c>
    </row>
    <row r="1245" spans="2:12" x14ac:dyDescent="0.4">
      <c r="B1245" s="74"/>
      <c r="C1245" s="304"/>
      <c r="D1245" s="305"/>
      <c r="E1245" s="127"/>
      <c r="F1245" s="72"/>
      <c r="G1245" s="74"/>
      <c r="I1245" s="84">
        <v>0</v>
      </c>
      <c r="K1245" s="84">
        <f t="shared" si="184"/>
        <v>0</v>
      </c>
      <c r="L1245" s="118">
        <f t="shared" si="185"/>
        <v>0</v>
      </c>
    </row>
    <row r="1246" spans="2:12" ht="17.399999999999999" thickBot="1" x14ac:dyDescent="0.45">
      <c r="L1246" s="118"/>
    </row>
    <row r="1247" spans="2:12" ht="17.399999999999999" thickBot="1" x14ac:dyDescent="0.45">
      <c r="F1247" s="292" t="s">
        <v>19</v>
      </c>
      <c r="G1247" s="293"/>
      <c r="H1247" s="293"/>
      <c r="I1247" s="294"/>
      <c r="K1247" s="229">
        <f>+SUM(K1243:K1245)</f>
        <v>0</v>
      </c>
      <c r="L1247" s="119">
        <f>+SUM(L1242:L1245)</f>
        <v>0</v>
      </c>
    </row>
    <row r="1248" spans="2:12" ht="15" customHeight="1" x14ac:dyDescent="0.4">
      <c r="F1248" s="128"/>
      <c r="G1248" s="129"/>
      <c r="H1248" s="130"/>
      <c r="I1248" s="108"/>
      <c r="K1248" s="230"/>
    </row>
    <row r="1249" spans="1:16" ht="15" customHeight="1" thickBot="1" x14ac:dyDescent="0.45"/>
    <row r="1250" spans="1:16" ht="17.399999999999999" thickBot="1" x14ac:dyDescent="0.45">
      <c r="F1250" s="292" t="s">
        <v>20</v>
      </c>
      <c r="G1250" s="293"/>
      <c r="H1250" s="293"/>
      <c r="I1250" s="294"/>
      <c r="K1250" s="229">
        <f>(+K1221+K1230+K1239+K1247)</f>
        <v>435</v>
      </c>
      <c r="L1250" s="119">
        <f>(+L1221+L1230+L1239+L1247)</f>
        <v>14990</v>
      </c>
      <c r="N1250" s="131"/>
      <c r="O1250" s="39"/>
      <c r="P1250" s="40"/>
    </row>
    <row r="1251" spans="1:16" ht="7.5" customHeight="1" thickBot="1" x14ac:dyDescent="0.45">
      <c r="N1251" s="131"/>
      <c r="O1251" s="41"/>
      <c r="P1251" s="40"/>
    </row>
    <row r="1252" spans="1:16" ht="17.399999999999999" thickBot="1" x14ac:dyDescent="0.45">
      <c r="F1252" s="292" t="s">
        <v>21</v>
      </c>
      <c r="G1252" s="293"/>
      <c r="H1252" s="293"/>
      <c r="I1252" s="294"/>
      <c r="K1252" s="229">
        <f>K1250*$N$2</f>
        <v>174</v>
      </c>
      <c r="L1252" s="119">
        <f>L1250*$N$2</f>
        <v>5996</v>
      </c>
    </row>
    <row r="1253" spans="1:16" ht="7.5" customHeight="1" thickBot="1" x14ac:dyDescent="0.45"/>
    <row r="1254" spans="1:16" ht="17.399999999999999" thickBot="1" x14ac:dyDescent="0.45">
      <c r="F1254" s="292" t="s">
        <v>22</v>
      </c>
      <c r="G1254" s="293"/>
      <c r="H1254" s="293"/>
      <c r="I1254" s="294"/>
      <c r="K1254" s="229">
        <f>+K1250+K1252</f>
        <v>609</v>
      </c>
      <c r="L1254" s="119">
        <f>+L1250+L1252</f>
        <v>20986</v>
      </c>
    </row>
    <row r="1255" spans="1:16" ht="17.399999999999999" thickBot="1" x14ac:dyDescent="0.45">
      <c r="F1255" s="128"/>
      <c r="G1255" s="129"/>
      <c r="H1255" s="130"/>
      <c r="I1255" s="108"/>
      <c r="K1255" s="231"/>
      <c r="L1255" s="132">
        <f>L1254/I1206</f>
        <v>1345.2564102564104</v>
      </c>
      <c r="M1255" s="133">
        <f>(K1254-L1255)*I1206</f>
        <v>-11485.600000000002</v>
      </c>
    </row>
    <row r="1256" spans="1:16" x14ac:dyDescent="0.4">
      <c r="F1256" s="128"/>
      <c r="G1256" s="129"/>
      <c r="H1256" s="130"/>
      <c r="I1256" s="108"/>
      <c r="K1256" s="232"/>
      <c r="L1256" s="131"/>
      <c r="M1256" s="134"/>
      <c r="N1256" s="135"/>
    </row>
    <row r="1257" spans="1:16" ht="17.399999999999999" thickBot="1" x14ac:dyDescent="0.45">
      <c r="B1257" s="295"/>
      <c r="C1257" s="295"/>
      <c r="D1257" s="295"/>
    </row>
    <row r="1258" spans="1:16" x14ac:dyDescent="0.4">
      <c r="B1258" s="296" t="s">
        <v>23</v>
      </c>
      <c r="C1258" s="296"/>
      <c r="D1258" s="296"/>
    </row>
    <row r="1259" spans="1:16" x14ac:dyDescent="0.4">
      <c r="B1259" s="157"/>
      <c r="C1259" s="157"/>
      <c r="D1259" s="157"/>
    </row>
    <row r="1260" spans="1:16" x14ac:dyDescent="0.4">
      <c r="B1260" s="157"/>
      <c r="C1260" s="157"/>
      <c r="D1260" s="157"/>
    </row>
    <row r="1261" spans="1:16" x14ac:dyDescent="0.4">
      <c r="B1261" s="105" t="s">
        <v>43</v>
      </c>
      <c r="C1261" s="106"/>
      <c r="D1261" s="311" t="s">
        <v>1</v>
      </c>
      <c r="E1261" s="311"/>
      <c r="F1261" s="311"/>
      <c r="G1261" s="311"/>
      <c r="H1261" s="106"/>
      <c r="I1261" s="107" t="s">
        <v>2</v>
      </c>
      <c r="J1261" s="136"/>
      <c r="K1261" s="107" t="s">
        <v>3</v>
      </c>
    </row>
    <row r="1262" spans="1:16" s="4" customFormat="1" ht="30.75" customHeight="1" x14ac:dyDescent="0.3">
      <c r="A1262" s="31"/>
      <c r="B1262" s="213">
        <f>CATALOGO!B38</f>
        <v>408.01</v>
      </c>
      <c r="C1262" s="71"/>
      <c r="D1262" s="324" t="str">
        <f>CATALOGO!C38</f>
        <v>LOSA TRADICIONAL (E = 0.10m + REFUERZO NO. 3 - S = 0.18m X 0.18m + BASTONES NO 3 - S = 0.18m X 0.18m)</v>
      </c>
      <c r="E1262" s="324"/>
      <c r="F1262" s="324"/>
      <c r="G1262" s="324"/>
      <c r="H1262" s="71"/>
      <c r="I1262" s="213">
        <f>CATALOGO!D38</f>
        <v>32.57</v>
      </c>
      <c r="J1262" s="109"/>
      <c r="K1262" s="227" t="str">
        <f>CATALOGO!E38</f>
        <v>m²</v>
      </c>
      <c r="L1262" s="71"/>
      <c r="M1262" s="71"/>
      <c r="N1262" s="104"/>
      <c r="O1262" s="37"/>
      <c r="P1262" s="37"/>
    </row>
    <row r="1263" spans="1:16" ht="17.399999999999999" thickBot="1" x14ac:dyDescent="0.45"/>
    <row r="1264" spans="1:16" ht="17.399999999999999" thickBot="1" x14ac:dyDescent="0.45">
      <c r="B1264" s="110" t="s">
        <v>4</v>
      </c>
      <c r="C1264" s="300" t="s">
        <v>5</v>
      </c>
      <c r="D1264" s="300"/>
      <c r="E1264" s="300"/>
      <c r="F1264" s="300"/>
      <c r="G1264" s="301"/>
    </row>
    <row r="1265" spans="2:12" x14ac:dyDescent="0.4">
      <c r="B1265" s="111" t="s">
        <v>6</v>
      </c>
      <c r="C1265" s="313" t="s">
        <v>1</v>
      </c>
      <c r="D1265" s="314"/>
      <c r="E1265" s="112" t="s">
        <v>193</v>
      </c>
      <c r="F1265" s="113" t="s">
        <v>2</v>
      </c>
      <c r="G1265" s="114" t="s">
        <v>3</v>
      </c>
      <c r="H1265" s="106"/>
      <c r="I1265" s="107" t="s">
        <v>7</v>
      </c>
      <c r="J1265" s="136"/>
      <c r="K1265" s="228" t="s">
        <v>8</v>
      </c>
      <c r="L1265" s="115" t="s">
        <v>194</v>
      </c>
    </row>
    <row r="1266" spans="2:12" x14ac:dyDescent="0.4">
      <c r="B1266" s="122">
        <v>1</v>
      </c>
      <c r="C1266" s="315" t="s">
        <v>169</v>
      </c>
      <c r="D1266" s="316"/>
      <c r="E1266" s="116">
        <f>I1262*1.05</f>
        <v>34.198500000000003</v>
      </c>
      <c r="F1266" s="83">
        <f>ROUND(E1266/I1262,2)</f>
        <v>1.05</v>
      </c>
      <c r="G1266" s="74" t="str">
        <f>IF(C1266=0,0,VLOOKUP(C1266,Tabla1[],2,FALSE))</f>
        <v>Varilla</v>
      </c>
      <c r="I1266" s="117">
        <f>IF(C1266=0,0,VLOOKUP(C1266,Tabla1[],3,FALSE))</f>
        <v>40</v>
      </c>
      <c r="K1266" s="84">
        <f>+F1266*I1266</f>
        <v>42</v>
      </c>
      <c r="L1266" s="118">
        <f>E1266*I1266</f>
        <v>1367.94</v>
      </c>
    </row>
    <row r="1267" spans="2:12" x14ac:dyDescent="0.4">
      <c r="B1267" s="122">
        <v>3</v>
      </c>
      <c r="C1267" s="317" t="s">
        <v>214</v>
      </c>
      <c r="D1267" s="318"/>
      <c r="E1267" s="116">
        <f>I1262*1.85</f>
        <v>60.2545</v>
      </c>
      <c r="F1267" s="83">
        <f>ROUND(E1267/I1262,2)</f>
        <v>1.85</v>
      </c>
      <c r="G1267" s="74" t="str">
        <f>IF(C1267=0,0,VLOOKUP(C1267,Tabla1[],2,FALSE))</f>
        <v>Saco</v>
      </c>
      <c r="I1267" s="117">
        <f>IF(C1267=0,0,VLOOKUP(C1267,Tabla1[],3,FALSE))</f>
        <v>80</v>
      </c>
      <c r="K1267" s="84">
        <f t="shared" ref="K1267:K1272" si="186">+F1267*I1267</f>
        <v>148</v>
      </c>
      <c r="L1267" s="118">
        <f t="shared" ref="L1267:L1272" si="187">E1267*I1267</f>
        <v>4820.3599999999997</v>
      </c>
    </row>
    <row r="1268" spans="2:12" x14ac:dyDescent="0.4">
      <c r="B1268" s="122">
        <v>4</v>
      </c>
      <c r="C1268" s="319" t="s">
        <v>73</v>
      </c>
      <c r="D1268" s="318"/>
      <c r="E1268" s="116">
        <f>I1262*0.04</f>
        <v>1.3028</v>
      </c>
      <c r="F1268" s="83">
        <f>ROUND(E1268/I1262,2)</f>
        <v>0.04</v>
      </c>
      <c r="G1268" s="74" t="str">
        <f>IF(C1268=0,0,VLOOKUP(C1268,Tabla1[],2,FALSE))</f>
        <v>m³</v>
      </c>
      <c r="I1268" s="117">
        <f>IF(C1268=0,0,VLOOKUP(C1268,Tabla1[],3,FALSE))</f>
        <v>250</v>
      </c>
      <c r="K1268" s="84">
        <f t="shared" si="186"/>
        <v>10</v>
      </c>
      <c r="L1268" s="118">
        <f t="shared" si="187"/>
        <v>325.7</v>
      </c>
    </row>
    <row r="1269" spans="2:12" x14ac:dyDescent="0.4">
      <c r="B1269" s="122">
        <v>5</v>
      </c>
      <c r="C1269" s="319" t="s">
        <v>230</v>
      </c>
      <c r="D1269" s="318"/>
      <c r="E1269" s="116">
        <f>I1262*0.04</f>
        <v>1.3028</v>
      </c>
      <c r="F1269" s="83">
        <f>ROUND(E1269/I1262,2)</f>
        <v>0.04</v>
      </c>
      <c r="G1269" s="74" t="str">
        <f>IF(C1269=0,0,VLOOKUP(C1269,Tabla1[],2,FALSE))</f>
        <v>m³</v>
      </c>
      <c r="I1269" s="117">
        <f>IF(C1269=0,0,VLOOKUP(C1269,Tabla1[],3,FALSE))</f>
        <v>250</v>
      </c>
      <c r="K1269" s="84">
        <f t="shared" si="186"/>
        <v>10</v>
      </c>
      <c r="L1269" s="118">
        <f t="shared" si="187"/>
        <v>325.7</v>
      </c>
    </row>
    <row r="1270" spans="2:12" x14ac:dyDescent="0.4">
      <c r="B1270" s="122">
        <v>6</v>
      </c>
      <c r="C1270" s="320" t="s">
        <v>369</v>
      </c>
      <c r="D1270" s="320"/>
      <c r="E1270" s="116">
        <f>I1262*0.2</f>
        <v>6.5140000000000002</v>
      </c>
      <c r="F1270" s="83">
        <f>ROUND(E1270/I1262,2)</f>
        <v>0.2</v>
      </c>
      <c r="G1270" s="74" t="str">
        <f>IF(C1270=0,0,VLOOKUP(C1270,Tabla1[],2,FALSE))</f>
        <v>Libra</v>
      </c>
      <c r="I1270" s="117">
        <f>IF(C1270=0,0,VLOOKUP(C1270,Tabla1[],3,FALSE))</f>
        <v>8</v>
      </c>
      <c r="K1270" s="84">
        <f t="shared" si="186"/>
        <v>1.6</v>
      </c>
      <c r="L1270" s="118">
        <f t="shared" si="187"/>
        <v>52.112000000000002</v>
      </c>
    </row>
    <row r="1271" spans="2:12" x14ac:dyDescent="0.4">
      <c r="B1271" s="122">
        <v>7</v>
      </c>
      <c r="C1271" s="320" t="s">
        <v>175</v>
      </c>
      <c r="D1271" s="320"/>
      <c r="E1271" s="116">
        <f>I1262*0.04</f>
        <v>1.3028</v>
      </c>
      <c r="F1271" s="83">
        <f>ROUND(E1271/I1262,2)</f>
        <v>0.04</v>
      </c>
      <c r="G1271" s="74" t="str">
        <f>IF(C1271=0,0,VLOOKUP(C1271,Tabla1[],2,FALSE))</f>
        <v>Libra</v>
      </c>
      <c r="I1271" s="117">
        <f>IF(C1271=0,0,VLOOKUP(C1271,Tabla1[],3,FALSE))</f>
        <v>10</v>
      </c>
      <c r="K1271" s="84">
        <f t="shared" si="186"/>
        <v>0.4</v>
      </c>
      <c r="L1271" s="118">
        <f t="shared" si="187"/>
        <v>13.027999999999999</v>
      </c>
    </row>
    <row r="1272" spans="2:12" x14ac:dyDescent="0.4">
      <c r="B1272" s="122">
        <v>8</v>
      </c>
      <c r="C1272" s="320" t="s">
        <v>180</v>
      </c>
      <c r="D1272" s="320"/>
      <c r="E1272" s="116">
        <f>I1262*7</f>
        <v>227.99</v>
      </c>
      <c r="F1272" s="83">
        <f>ROUND(E1272/I1262,2)</f>
        <v>7</v>
      </c>
      <c r="G1272" s="74" t="str">
        <f>IF(C1272=0,0,VLOOKUP(C1272,Tabla1[],2,FALSE))</f>
        <v>pt</v>
      </c>
      <c r="I1272" s="117">
        <f>IF(C1272=0,0,VLOOKUP(C1272,Tabla1[],3,FALSE))</f>
        <v>9</v>
      </c>
      <c r="K1272" s="84">
        <f t="shared" si="186"/>
        <v>63</v>
      </c>
      <c r="L1272" s="118">
        <f t="shared" si="187"/>
        <v>2051.91</v>
      </c>
    </row>
    <row r="1273" spans="2:12" x14ac:dyDescent="0.4">
      <c r="B1273" s="122"/>
      <c r="C1273" s="315"/>
      <c r="D1273" s="316"/>
      <c r="E1273" s="116"/>
      <c r="F1273" s="83"/>
      <c r="G1273" s="74"/>
      <c r="I1273" s="117">
        <f>IF(C1273=0,0,VLOOKUP(C1273,Tabla1[],3,FALSE))</f>
        <v>0</v>
      </c>
      <c r="K1273" s="84">
        <f>+F1273*I1273</f>
        <v>0</v>
      </c>
      <c r="L1273" s="118">
        <f>E1273*I1273</f>
        <v>0</v>
      </c>
    </row>
    <row r="1274" spans="2:12" x14ac:dyDescent="0.4">
      <c r="B1274" s="122"/>
      <c r="C1274" s="211"/>
      <c r="D1274" s="212"/>
      <c r="E1274" s="116"/>
      <c r="F1274" s="83"/>
      <c r="G1274" s="74"/>
      <c r="I1274" s="117"/>
      <c r="K1274" s="84"/>
      <c r="L1274" s="118"/>
    </row>
    <row r="1275" spans="2:12" x14ac:dyDescent="0.4">
      <c r="B1275" s="122"/>
      <c r="C1275" s="321"/>
      <c r="D1275" s="321"/>
      <c r="E1275" s="116"/>
      <c r="F1275" s="72"/>
      <c r="G1275" s="74"/>
      <c r="I1275" s="117">
        <f>IF(C1275=0,0,VLOOKUP(C1275,Tabla1[],3,FALSE))</f>
        <v>0</v>
      </c>
      <c r="K1275" s="84">
        <f t="shared" ref="K1275" si="188">+F1275*I1275</f>
        <v>0</v>
      </c>
      <c r="L1275" s="118">
        <f t="shared" ref="L1275" si="189">E1275*I1275</f>
        <v>0</v>
      </c>
    </row>
    <row r="1276" spans="2:12" ht="17.399999999999999" thickBot="1" x14ac:dyDescent="0.45"/>
    <row r="1277" spans="2:12" ht="17.399999999999999" thickBot="1" x14ac:dyDescent="0.45">
      <c r="F1277" s="292" t="s">
        <v>9</v>
      </c>
      <c r="G1277" s="293"/>
      <c r="H1277" s="293"/>
      <c r="I1277" s="294"/>
      <c r="K1277" s="229">
        <f>+SUM(K1266:K1275)</f>
        <v>275</v>
      </c>
      <c r="L1277" s="119">
        <f>+SUM(L1266:L1275)</f>
        <v>8956.75</v>
      </c>
    </row>
    <row r="1278" spans="2:12" ht="17.399999999999999" thickBot="1" x14ac:dyDescent="0.45"/>
    <row r="1279" spans="2:12" ht="17.399999999999999" thickBot="1" x14ac:dyDescent="0.45">
      <c r="B1279" s="110" t="s">
        <v>10</v>
      </c>
      <c r="C1279" s="300" t="s">
        <v>11</v>
      </c>
      <c r="D1279" s="300"/>
      <c r="E1279" s="300"/>
      <c r="F1279" s="300"/>
      <c r="G1279" s="301"/>
    </row>
    <row r="1280" spans="2:12" x14ac:dyDescent="0.4">
      <c r="B1280" s="114" t="s">
        <v>6</v>
      </c>
      <c r="C1280" s="302" t="s">
        <v>1</v>
      </c>
      <c r="D1280" s="303"/>
      <c r="E1280" s="112" t="s">
        <v>193</v>
      </c>
      <c r="F1280" s="120" t="s">
        <v>2</v>
      </c>
      <c r="G1280" s="114" t="s">
        <v>3</v>
      </c>
      <c r="H1280" s="106"/>
      <c r="I1280" s="107" t="s">
        <v>7</v>
      </c>
      <c r="J1280" s="136"/>
      <c r="K1280" s="107" t="s">
        <v>8</v>
      </c>
      <c r="L1280" s="115" t="s">
        <v>194</v>
      </c>
    </row>
    <row r="1281" spans="2:12" x14ac:dyDescent="0.4">
      <c r="B1281" s="122"/>
      <c r="C1281" s="306"/>
      <c r="D1281" s="306"/>
      <c r="E1281" s="116"/>
      <c r="F1281" s="83"/>
      <c r="G1281" s="74"/>
      <c r="I1281" s="117">
        <f>IF(C1281=0,0,VLOOKUP(C1281,Tabla3[],3,FALSE))</f>
        <v>0</v>
      </c>
      <c r="K1281" s="84">
        <f t="shared" ref="K1281:K1284" si="190">+F1281*I1281</f>
        <v>0</v>
      </c>
      <c r="L1281" s="118">
        <f>E1281*I1281</f>
        <v>0</v>
      </c>
    </row>
    <row r="1282" spans="2:12" x14ac:dyDescent="0.4">
      <c r="B1282" s="74"/>
      <c r="C1282" s="206"/>
      <c r="D1282" s="207"/>
      <c r="E1282" s="121"/>
      <c r="F1282" s="72"/>
      <c r="G1282" s="74"/>
      <c r="I1282" s="117">
        <f>IF(C1282=0,0,VLOOKUP(C1282,Tabla3[],3,FALSE))</f>
        <v>0</v>
      </c>
      <c r="K1282" s="84">
        <f t="shared" si="190"/>
        <v>0</v>
      </c>
      <c r="L1282" s="118">
        <f t="shared" ref="L1282:L1284" si="191">E1282*I1282</f>
        <v>0</v>
      </c>
    </row>
    <row r="1283" spans="2:12" x14ac:dyDescent="0.4">
      <c r="B1283" s="74"/>
      <c r="C1283" s="206"/>
      <c r="D1283" s="207"/>
      <c r="E1283" s="121"/>
      <c r="F1283" s="72"/>
      <c r="G1283" s="74"/>
      <c r="I1283" s="117">
        <f>IF(C1283=0,0,VLOOKUP(C1283,Tabla3[],3,FALSE))</f>
        <v>0</v>
      </c>
      <c r="K1283" s="84">
        <f t="shared" si="190"/>
        <v>0</v>
      </c>
      <c r="L1283" s="118">
        <f t="shared" si="191"/>
        <v>0</v>
      </c>
    </row>
    <row r="1284" spans="2:12" x14ac:dyDescent="0.4">
      <c r="B1284" s="74"/>
      <c r="C1284" s="304"/>
      <c r="D1284" s="305"/>
      <c r="E1284" s="121"/>
      <c r="F1284" s="72"/>
      <c r="G1284" s="74"/>
      <c r="I1284" s="117">
        <f>IF(C1284=0,0,VLOOKUP(C1284,Tabla3[],3,FALSE))</f>
        <v>0</v>
      </c>
      <c r="K1284" s="84">
        <f t="shared" si="190"/>
        <v>0</v>
      </c>
      <c r="L1284" s="118">
        <f t="shared" si="191"/>
        <v>0</v>
      </c>
    </row>
    <row r="1285" spans="2:12" ht="17.399999999999999" thickBot="1" x14ac:dyDescent="0.45"/>
    <row r="1286" spans="2:12" ht="17.399999999999999" thickBot="1" x14ac:dyDescent="0.45">
      <c r="F1286" s="292" t="s">
        <v>12</v>
      </c>
      <c r="G1286" s="293"/>
      <c r="H1286" s="293"/>
      <c r="I1286" s="294"/>
      <c r="K1286" s="229">
        <f>+SUM(K1281:K1284)</f>
        <v>0</v>
      </c>
      <c r="L1286" s="119">
        <f>+SUM(L1281:L1284)</f>
        <v>0</v>
      </c>
    </row>
    <row r="1287" spans="2:12" ht="17.399999999999999" thickBot="1" x14ac:dyDescent="0.45"/>
    <row r="1288" spans="2:12" ht="17.399999999999999" thickBot="1" x14ac:dyDescent="0.45">
      <c r="B1288" s="110" t="s">
        <v>13</v>
      </c>
      <c r="C1288" s="300" t="s">
        <v>14</v>
      </c>
      <c r="D1288" s="300"/>
      <c r="E1288" s="300"/>
      <c r="F1288" s="300"/>
      <c r="G1288" s="301"/>
    </row>
    <row r="1289" spans="2:12" x14ac:dyDescent="0.4">
      <c r="B1289" s="114" t="s">
        <v>6</v>
      </c>
      <c r="C1289" s="302" t="s">
        <v>1</v>
      </c>
      <c r="D1289" s="303"/>
      <c r="E1289" s="112" t="s">
        <v>193</v>
      </c>
      <c r="F1289" s="120" t="s">
        <v>2</v>
      </c>
      <c r="G1289" s="114" t="s">
        <v>3</v>
      </c>
      <c r="H1289" s="106"/>
      <c r="I1289" s="107" t="s">
        <v>7</v>
      </c>
      <c r="J1289" s="136"/>
      <c r="K1289" s="107" t="s">
        <v>8</v>
      </c>
      <c r="L1289" s="115" t="s">
        <v>194</v>
      </c>
    </row>
    <row r="1290" spans="2:12" x14ac:dyDescent="0.4">
      <c r="B1290" s="122">
        <v>1</v>
      </c>
      <c r="C1290" s="306" t="s">
        <v>577</v>
      </c>
      <c r="D1290" s="306"/>
      <c r="E1290" s="116">
        <f>I1262</f>
        <v>32.57</v>
      </c>
      <c r="F1290" s="83">
        <f>ROUND(E1290/I1262,2)</f>
        <v>1</v>
      </c>
      <c r="G1290" s="74" t="str">
        <f>IF(C1290=0,0,VLOOKUP(C1290,Tabla2[],2,FALSE))</f>
        <v>m²</v>
      </c>
      <c r="I1290" s="117">
        <f>IF(C1290=0,0,VLOOKUP(C1290,Tabla2[],3,FALSE))</f>
        <v>120</v>
      </c>
      <c r="K1290" s="84">
        <f>+F1290*I1290</f>
        <v>120</v>
      </c>
      <c r="L1290" s="118">
        <f>E1290*I1290</f>
        <v>3908.4</v>
      </c>
    </row>
    <row r="1291" spans="2:12" x14ac:dyDescent="0.4">
      <c r="B1291" s="122"/>
      <c r="C1291" s="306"/>
      <c r="D1291" s="306"/>
      <c r="E1291" s="116"/>
      <c r="F1291" s="83"/>
      <c r="G1291" s="74"/>
      <c r="I1291" s="117">
        <f>IF(C1291=0,0,VLOOKUP(C1291,Tabla2[],3,FALSE))</f>
        <v>0</v>
      </c>
      <c r="K1291" s="84">
        <f>+F1291*I1291</f>
        <v>0</v>
      </c>
      <c r="L1291" s="118">
        <f>E1291*I1291</f>
        <v>0</v>
      </c>
    </row>
    <row r="1292" spans="2:12" ht="17.399999999999999" thickBot="1" x14ac:dyDescent="0.45">
      <c r="B1292" s="123"/>
      <c r="C1292" s="307"/>
      <c r="D1292" s="308"/>
      <c r="E1292" s="124"/>
      <c r="F1292" s="125"/>
      <c r="G1292" s="74"/>
      <c r="I1292" s="117">
        <f>IF(C1292=0,0,VLOOKUP(C1292,Tabla2[],3,FALSE))</f>
        <v>0</v>
      </c>
      <c r="K1292" s="84">
        <f t="shared" ref="K1292" si="192">+F1292*I1292</f>
        <v>0</v>
      </c>
      <c r="L1292" s="118">
        <f t="shared" ref="L1292:L1293" si="193">E1292*I1292</f>
        <v>0</v>
      </c>
    </row>
    <row r="1293" spans="2:12" ht="17.399999999999999" thickBot="1" x14ac:dyDescent="0.45">
      <c r="B1293" s="297" t="s">
        <v>15</v>
      </c>
      <c r="C1293" s="298"/>
      <c r="D1293" s="298"/>
      <c r="E1293" s="298"/>
      <c r="F1293" s="298"/>
      <c r="G1293" s="299"/>
      <c r="I1293" s="84">
        <v>0</v>
      </c>
      <c r="K1293" s="84">
        <v>0</v>
      </c>
      <c r="L1293" s="118">
        <f t="shared" si="193"/>
        <v>0</v>
      </c>
    </row>
    <row r="1294" spans="2:12" ht="17.399999999999999" thickBot="1" x14ac:dyDescent="0.45"/>
    <row r="1295" spans="2:12" ht="17.399999999999999" thickBot="1" x14ac:dyDescent="0.45">
      <c r="F1295" s="292" t="s">
        <v>16</v>
      </c>
      <c r="G1295" s="293"/>
      <c r="H1295" s="293"/>
      <c r="I1295" s="294"/>
      <c r="K1295" s="229">
        <f>+SUM(K1290:K1293)</f>
        <v>120</v>
      </c>
      <c r="L1295" s="119">
        <f>+SUM(L1290:L1293)</f>
        <v>3908.4</v>
      </c>
    </row>
    <row r="1296" spans="2:12" ht="17.399999999999999" thickBot="1" x14ac:dyDescent="0.45"/>
    <row r="1297" spans="2:16" ht="17.399999999999999" thickBot="1" x14ac:dyDescent="0.45">
      <c r="B1297" s="110" t="s">
        <v>17</v>
      </c>
      <c r="C1297" s="300" t="s">
        <v>18</v>
      </c>
      <c r="D1297" s="300"/>
      <c r="E1297" s="300"/>
      <c r="F1297" s="300"/>
      <c r="G1297" s="301"/>
    </row>
    <row r="1298" spans="2:16" x14ac:dyDescent="0.4">
      <c r="B1298" s="114" t="s">
        <v>6</v>
      </c>
      <c r="C1298" s="302" t="s">
        <v>1</v>
      </c>
      <c r="D1298" s="303"/>
      <c r="E1298" s="126"/>
      <c r="F1298" s="120" t="s">
        <v>2</v>
      </c>
      <c r="G1298" s="114" t="s">
        <v>3</v>
      </c>
      <c r="H1298" s="106"/>
      <c r="I1298" s="107" t="s">
        <v>7</v>
      </c>
      <c r="J1298" s="136"/>
      <c r="K1298" s="107" t="s">
        <v>8</v>
      </c>
      <c r="L1298" s="115" t="s">
        <v>194</v>
      </c>
    </row>
    <row r="1299" spans="2:16" x14ac:dyDescent="0.4">
      <c r="B1299" s="74"/>
      <c r="C1299" s="304"/>
      <c r="D1299" s="305"/>
      <c r="E1299" s="127"/>
      <c r="F1299" s="72"/>
      <c r="G1299" s="74"/>
      <c r="I1299" s="84">
        <v>0</v>
      </c>
      <c r="K1299" s="84">
        <f>+F1299*I1299</f>
        <v>0</v>
      </c>
      <c r="L1299" s="118">
        <f>E1299*I1299</f>
        <v>0</v>
      </c>
    </row>
    <row r="1300" spans="2:16" x14ac:dyDescent="0.4">
      <c r="B1300" s="74"/>
      <c r="C1300" s="304"/>
      <c r="D1300" s="305"/>
      <c r="E1300" s="127"/>
      <c r="F1300" s="72"/>
      <c r="G1300" s="74"/>
      <c r="I1300" s="84">
        <v>0</v>
      </c>
      <c r="K1300" s="84">
        <f t="shared" ref="K1300:K1301" si="194">+F1300*I1300</f>
        <v>0</v>
      </c>
      <c r="L1300" s="118">
        <f t="shared" ref="L1300:L1301" si="195">E1300*I1300</f>
        <v>0</v>
      </c>
    </row>
    <row r="1301" spans="2:16" x14ac:dyDescent="0.4">
      <c r="B1301" s="74"/>
      <c r="C1301" s="304"/>
      <c r="D1301" s="305"/>
      <c r="E1301" s="127"/>
      <c r="F1301" s="72"/>
      <c r="G1301" s="74"/>
      <c r="I1301" s="84">
        <v>0</v>
      </c>
      <c r="K1301" s="84">
        <f t="shared" si="194"/>
        <v>0</v>
      </c>
      <c r="L1301" s="118">
        <f t="shared" si="195"/>
        <v>0</v>
      </c>
    </row>
    <row r="1302" spans="2:16" ht="17.399999999999999" thickBot="1" x14ac:dyDescent="0.45">
      <c r="L1302" s="118"/>
    </row>
    <row r="1303" spans="2:16" ht="17.399999999999999" thickBot="1" x14ac:dyDescent="0.45">
      <c r="F1303" s="292" t="s">
        <v>19</v>
      </c>
      <c r="G1303" s="293"/>
      <c r="H1303" s="293"/>
      <c r="I1303" s="294"/>
      <c r="K1303" s="229">
        <f>+SUM(K1299:K1301)</f>
        <v>0</v>
      </c>
      <c r="L1303" s="119">
        <f>+SUM(L1298:L1301)</f>
        <v>0</v>
      </c>
    </row>
    <row r="1304" spans="2:16" ht="15" customHeight="1" x14ac:dyDescent="0.4">
      <c r="F1304" s="128"/>
      <c r="G1304" s="129"/>
      <c r="H1304" s="130"/>
      <c r="I1304" s="108"/>
      <c r="K1304" s="230"/>
    </row>
    <row r="1305" spans="2:16" ht="15" customHeight="1" thickBot="1" x14ac:dyDescent="0.45"/>
    <row r="1306" spans="2:16" ht="17.399999999999999" thickBot="1" x14ac:dyDescent="0.45">
      <c r="F1306" s="292" t="s">
        <v>20</v>
      </c>
      <c r="G1306" s="293"/>
      <c r="H1306" s="293"/>
      <c r="I1306" s="294"/>
      <c r="K1306" s="229">
        <f>(+K1277+K1286+K1295+K1303)</f>
        <v>395</v>
      </c>
      <c r="L1306" s="119">
        <f>(+L1277+L1286+L1295+L1303)</f>
        <v>12865.15</v>
      </c>
      <c r="N1306" s="131"/>
      <c r="O1306" s="39"/>
      <c r="P1306" s="40"/>
    </row>
    <row r="1307" spans="2:16" ht="7.5" customHeight="1" thickBot="1" x14ac:dyDescent="0.45">
      <c r="N1307" s="131"/>
      <c r="O1307" s="41"/>
      <c r="P1307" s="40"/>
    </row>
    <row r="1308" spans="2:16" ht="17.399999999999999" thickBot="1" x14ac:dyDescent="0.45">
      <c r="F1308" s="292" t="s">
        <v>21</v>
      </c>
      <c r="G1308" s="293"/>
      <c r="H1308" s="293"/>
      <c r="I1308" s="294"/>
      <c r="K1308" s="229">
        <f>K1306*$N$2</f>
        <v>158</v>
      </c>
      <c r="L1308" s="119">
        <f>L1306*$N$2</f>
        <v>5146.0600000000004</v>
      </c>
    </row>
    <row r="1309" spans="2:16" ht="7.5" customHeight="1" thickBot="1" x14ac:dyDescent="0.45"/>
    <row r="1310" spans="2:16" ht="17.399999999999999" thickBot="1" x14ac:dyDescent="0.45">
      <c r="F1310" s="292" t="s">
        <v>22</v>
      </c>
      <c r="G1310" s="293"/>
      <c r="H1310" s="293"/>
      <c r="I1310" s="294"/>
      <c r="K1310" s="229">
        <f>+K1306+K1308</f>
        <v>553</v>
      </c>
      <c r="L1310" s="119">
        <f>+L1306+L1308</f>
        <v>18011.21</v>
      </c>
    </row>
    <row r="1311" spans="2:16" ht="17.399999999999999" thickBot="1" x14ac:dyDescent="0.45">
      <c r="F1311" s="128"/>
      <c r="G1311" s="129"/>
      <c r="H1311" s="130"/>
      <c r="I1311" s="108"/>
      <c r="K1311" s="231"/>
      <c r="L1311" s="132">
        <f>L1310/I1262</f>
        <v>553</v>
      </c>
      <c r="M1311" s="133">
        <f>(K1310-L1311)*I1262</f>
        <v>0</v>
      </c>
    </row>
    <row r="1312" spans="2:16" x14ac:dyDescent="0.4">
      <c r="F1312" s="128"/>
      <c r="G1312" s="129"/>
      <c r="H1312" s="130"/>
      <c r="I1312" s="108"/>
      <c r="K1312" s="232"/>
      <c r="L1312" s="131"/>
      <c r="M1312" s="134"/>
      <c r="N1312" s="135"/>
    </row>
    <row r="1313" spans="1:16" ht="17.399999999999999" thickBot="1" x14ac:dyDescent="0.45">
      <c r="B1313" s="295"/>
      <c r="C1313" s="295"/>
      <c r="D1313" s="295"/>
    </row>
    <row r="1314" spans="1:16" x14ac:dyDescent="0.4">
      <c r="B1314" s="296" t="s">
        <v>23</v>
      </c>
      <c r="C1314" s="296"/>
      <c r="D1314" s="296"/>
    </row>
    <row r="1315" spans="1:16" x14ac:dyDescent="0.4">
      <c r="B1315" s="157"/>
      <c r="C1315" s="157"/>
      <c r="D1315" s="157"/>
    </row>
    <row r="1316" spans="1:16" x14ac:dyDescent="0.4">
      <c r="B1316" s="157"/>
      <c r="C1316" s="157"/>
      <c r="D1316" s="157"/>
    </row>
    <row r="1317" spans="1:16" x14ac:dyDescent="0.4">
      <c r="B1317" s="105" t="s">
        <v>43</v>
      </c>
      <c r="C1317" s="106"/>
      <c r="D1317" s="311" t="s">
        <v>1</v>
      </c>
      <c r="E1317" s="311"/>
      <c r="F1317" s="311"/>
      <c r="G1317" s="311"/>
      <c r="H1317" s="106"/>
      <c r="I1317" s="107" t="s">
        <v>2</v>
      </c>
      <c r="J1317" s="136"/>
      <c r="K1317" s="107" t="s">
        <v>3</v>
      </c>
    </row>
    <row r="1318" spans="1:16" s="4" customFormat="1" ht="30.75" customHeight="1" x14ac:dyDescent="0.3">
      <c r="A1318" s="31"/>
      <c r="B1318" s="213">
        <f>CATALOGO!B39</f>
        <v>411.04</v>
      </c>
      <c r="C1318" s="71"/>
      <c r="D1318" s="312" t="str">
        <f>CATALOGO!C39</f>
        <v>CENEFA (0.40m X 0.10m, NO.3 EN AMBOS SENTIDOS @ 0.20m - FORMA L)</v>
      </c>
      <c r="E1318" s="312"/>
      <c r="F1318" s="312"/>
      <c r="G1318" s="312"/>
      <c r="H1318" s="71"/>
      <c r="I1318" s="213">
        <f>CATALOGO!D39</f>
        <v>13.97</v>
      </c>
      <c r="J1318" s="109"/>
      <c r="K1318" s="227" t="str">
        <f>CATALOGO!E39</f>
        <v>ml</v>
      </c>
      <c r="L1318" s="71"/>
      <c r="M1318" s="71"/>
      <c r="N1318" s="104"/>
      <c r="O1318" s="37"/>
      <c r="P1318" s="37"/>
    </row>
    <row r="1319" spans="1:16" ht="17.399999999999999" thickBot="1" x14ac:dyDescent="0.45"/>
    <row r="1320" spans="1:16" ht="17.399999999999999" thickBot="1" x14ac:dyDescent="0.45">
      <c r="B1320" s="110" t="s">
        <v>4</v>
      </c>
      <c r="C1320" s="300" t="s">
        <v>5</v>
      </c>
      <c r="D1320" s="300"/>
      <c r="E1320" s="300"/>
      <c r="F1320" s="300"/>
      <c r="G1320" s="301"/>
    </row>
    <row r="1321" spans="1:16" x14ac:dyDescent="0.4">
      <c r="B1321" s="111" t="s">
        <v>6</v>
      </c>
      <c r="C1321" s="313" t="s">
        <v>1</v>
      </c>
      <c r="D1321" s="314"/>
      <c r="E1321" s="112" t="s">
        <v>193</v>
      </c>
      <c r="F1321" s="113" t="s">
        <v>2</v>
      </c>
      <c r="G1321" s="114" t="s">
        <v>3</v>
      </c>
      <c r="H1321" s="106"/>
      <c r="I1321" s="107" t="s">
        <v>7</v>
      </c>
      <c r="J1321" s="136"/>
      <c r="K1321" s="228" t="s">
        <v>8</v>
      </c>
      <c r="L1321" s="115" t="s">
        <v>194</v>
      </c>
    </row>
    <row r="1322" spans="1:16" x14ac:dyDescent="0.4">
      <c r="B1322" s="122">
        <v>1</v>
      </c>
      <c r="C1322" s="315" t="s">
        <v>169</v>
      </c>
      <c r="D1322" s="316"/>
      <c r="E1322" s="116">
        <f>I1318*0.05</f>
        <v>0.69850000000000012</v>
      </c>
      <c r="F1322" s="83">
        <f>ROUND(E1322/I1318,2)</f>
        <v>0.05</v>
      </c>
      <c r="G1322" s="74" t="str">
        <f>IF(C1322=0,0,VLOOKUP(C1322,Tabla1[],2,FALSE))</f>
        <v>Varilla</v>
      </c>
      <c r="I1322" s="117">
        <f>IF(C1322=0,0,VLOOKUP(C1322,Tabla1[],3,FALSE))</f>
        <v>40</v>
      </c>
      <c r="K1322" s="84">
        <f>+F1322*I1322</f>
        <v>2</v>
      </c>
      <c r="L1322" s="118">
        <f>E1322*I1322</f>
        <v>27.940000000000005</v>
      </c>
    </row>
    <row r="1323" spans="1:16" x14ac:dyDescent="0.4">
      <c r="B1323" s="122">
        <v>2</v>
      </c>
      <c r="C1323" s="317" t="s">
        <v>214</v>
      </c>
      <c r="D1323" s="318"/>
      <c r="E1323" s="116">
        <f>I1318*1</f>
        <v>13.97</v>
      </c>
      <c r="F1323" s="83">
        <f>ROUND(E1323/I1318,2)</f>
        <v>1</v>
      </c>
      <c r="G1323" s="74" t="str">
        <f>IF(C1323=0,0,VLOOKUP(C1323,Tabla1[],2,FALSE))</f>
        <v>Saco</v>
      </c>
      <c r="I1323" s="117">
        <f>IF(C1323=0,0,VLOOKUP(C1323,Tabla1[],3,FALSE))</f>
        <v>80</v>
      </c>
      <c r="K1323" s="84">
        <f t="shared" ref="K1323:K1328" si="196">+F1323*I1323</f>
        <v>80</v>
      </c>
      <c r="L1323" s="118">
        <f t="shared" ref="L1323:L1328" si="197">E1323*I1323</f>
        <v>1117.6000000000001</v>
      </c>
    </row>
    <row r="1324" spans="1:16" x14ac:dyDescent="0.4">
      <c r="B1324" s="122">
        <v>3</v>
      </c>
      <c r="C1324" s="319" t="s">
        <v>73</v>
      </c>
      <c r="D1324" s="318"/>
      <c r="E1324" s="116">
        <f>I1318*0.02</f>
        <v>0.27940000000000004</v>
      </c>
      <c r="F1324" s="83">
        <f>ROUND(E1324/I1318,2)</f>
        <v>0.02</v>
      </c>
      <c r="G1324" s="74" t="str">
        <f>IF(C1324=0,0,VLOOKUP(C1324,Tabla1[],2,FALSE))</f>
        <v>m³</v>
      </c>
      <c r="I1324" s="117">
        <f>IF(C1324=0,0,VLOOKUP(C1324,Tabla1[],3,FALSE))</f>
        <v>250</v>
      </c>
      <c r="K1324" s="84">
        <f t="shared" si="196"/>
        <v>5</v>
      </c>
      <c r="L1324" s="118">
        <f t="shared" si="197"/>
        <v>69.850000000000009</v>
      </c>
    </row>
    <row r="1325" spans="1:16" x14ac:dyDescent="0.4">
      <c r="B1325" s="122">
        <v>4</v>
      </c>
      <c r="C1325" s="319" t="s">
        <v>230</v>
      </c>
      <c r="D1325" s="318"/>
      <c r="E1325" s="116">
        <f>I1318*0.02</f>
        <v>0.27940000000000004</v>
      </c>
      <c r="F1325" s="83">
        <f>ROUND(E1325/I1318,2)</f>
        <v>0.02</v>
      </c>
      <c r="G1325" s="74" t="str">
        <f>IF(C1325=0,0,VLOOKUP(C1325,Tabla1[],2,FALSE))</f>
        <v>m³</v>
      </c>
      <c r="I1325" s="117">
        <f>IF(C1325=0,0,VLOOKUP(C1325,Tabla1[],3,FALSE))</f>
        <v>250</v>
      </c>
      <c r="K1325" s="84">
        <f t="shared" si="196"/>
        <v>5</v>
      </c>
      <c r="L1325" s="118">
        <f t="shared" si="197"/>
        <v>69.850000000000009</v>
      </c>
    </row>
    <row r="1326" spans="1:16" x14ac:dyDescent="0.4">
      <c r="B1326" s="122">
        <v>5</v>
      </c>
      <c r="C1326" s="320" t="s">
        <v>369</v>
      </c>
      <c r="D1326" s="320"/>
      <c r="E1326" s="116">
        <f>I1318*0.1</f>
        <v>1.3970000000000002</v>
      </c>
      <c r="F1326" s="83">
        <f>ROUND(E1326/I1318,2)</f>
        <v>0.1</v>
      </c>
      <c r="G1326" s="74" t="str">
        <f>IF(C1326=0,0,VLOOKUP(C1326,Tabla1[],2,FALSE))</f>
        <v>Libra</v>
      </c>
      <c r="I1326" s="117">
        <f>IF(C1326=0,0,VLOOKUP(C1326,Tabla1[],3,FALSE))</f>
        <v>8</v>
      </c>
      <c r="K1326" s="84">
        <f t="shared" si="196"/>
        <v>0.8</v>
      </c>
      <c r="L1326" s="118">
        <f t="shared" si="197"/>
        <v>11.176000000000002</v>
      </c>
    </row>
    <row r="1327" spans="1:16" x14ac:dyDescent="0.4">
      <c r="B1327" s="122">
        <v>6</v>
      </c>
      <c r="C1327" s="320" t="s">
        <v>175</v>
      </c>
      <c r="D1327" s="320"/>
      <c r="E1327" s="116">
        <f>I1318*0.02</f>
        <v>0.27940000000000004</v>
      </c>
      <c r="F1327" s="83">
        <f>ROUND(E1327/I1318,2)</f>
        <v>0.02</v>
      </c>
      <c r="G1327" s="74" t="str">
        <f>IF(C1327=0,0,VLOOKUP(C1327,Tabla1[],2,FALSE))</f>
        <v>Libra</v>
      </c>
      <c r="I1327" s="117">
        <f>IF(C1327=0,0,VLOOKUP(C1327,Tabla1[],3,FALSE))</f>
        <v>10</v>
      </c>
      <c r="K1327" s="84">
        <f t="shared" si="196"/>
        <v>0.2</v>
      </c>
      <c r="L1327" s="118">
        <f t="shared" si="197"/>
        <v>2.7940000000000005</v>
      </c>
    </row>
    <row r="1328" spans="1:16" x14ac:dyDescent="0.4">
      <c r="B1328" s="122">
        <v>7</v>
      </c>
      <c r="C1328" s="320" t="s">
        <v>180</v>
      </c>
      <c r="D1328" s="320"/>
      <c r="E1328" s="116">
        <f>I1318*3</f>
        <v>41.910000000000004</v>
      </c>
      <c r="F1328" s="83">
        <f>ROUND(E1328/I1318,2)</f>
        <v>3</v>
      </c>
      <c r="G1328" s="74" t="str">
        <f>IF(C1328=0,0,VLOOKUP(C1328,Tabla1[],2,FALSE))</f>
        <v>pt</v>
      </c>
      <c r="I1328" s="117">
        <f>IF(C1328=0,0,VLOOKUP(C1328,Tabla1[],3,FALSE))</f>
        <v>9</v>
      </c>
      <c r="K1328" s="84">
        <f t="shared" si="196"/>
        <v>27</v>
      </c>
      <c r="L1328" s="118">
        <f t="shared" si="197"/>
        <v>377.19000000000005</v>
      </c>
    </row>
    <row r="1329" spans="2:12" x14ac:dyDescent="0.4">
      <c r="B1329" s="122"/>
      <c r="C1329" s="315"/>
      <c r="D1329" s="316"/>
      <c r="E1329" s="116"/>
      <c r="F1329" s="83"/>
      <c r="G1329" s="74"/>
      <c r="I1329" s="117">
        <f>IF(C1329=0,0,VLOOKUP(C1329,Tabla1[],3,FALSE))</f>
        <v>0</v>
      </c>
      <c r="K1329" s="84">
        <f>+F1329*I1329</f>
        <v>0</v>
      </c>
      <c r="L1329" s="118">
        <f>E1329*I1329</f>
        <v>0</v>
      </c>
    </row>
    <row r="1330" spans="2:12" x14ac:dyDescent="0.4">
      <c r="B1330" s="122"/>
      <c r="C1330" s="211"/>
      <c r="D1330" s="212"/>
      <c r="E1330" s="116"/>
      <c r="F1330" s="83"/>
      <c r="G1330" s="74"/>
      <c r="I1330" s="117">
        <f>IF(C1330=0,0,VLOOKUP(C1330,Tabla1[],3,FALSE))</f>
        <v>0</v>
      </c>
      <c r="K1330" s="84">
        <f>+F1330*I1330</f>
        <v>0</v>
      </c>
      <c r="L1330" s="118">
        <f>E1330*I1330</f>
        <v>0</v>
      </c>
    </row>
    <row r="1331" spans="2:12" x14ac:dyDescent="0.4">
      <c r="B1331" s="122"/>
      <c r="C1331" s="321"/>
      <c r="D1331" s="321"/>
      <c r="E1331" s="116"/>
      <c r="F1331" s="72"/>
      <c r="G1331" s="74"/>
      <c r="I1331" s="117">
        <f>IF(C1331=0,0,VLOOKUP(C1331,Tabla1[],3,FALSE))</f>
        <v>0</v>
      </c>
      <c r="K1331" s="84">
        <f t="shared" ref="K1331" si="198">+F1331*I1331</f>
        <v>0</v>
      </c>
      <c r="L1331" s="118">
        <f t="shared" ref="L1331" si="199">E1331*I1331</f>
        <v>0</v>
      </c>
    </row>
    <row r="1332" spans="2:12" ht="17.399999999999999" thickBot="1" x14ac:dyDescent="0.45"/>
    <row r="1333" spans="2:12" ht="17.399999999999999" thickBot="1" x14ac:dyDescent="0.45">
      <c r="F1333" s="292" t="s">
        <v>9</v>
      </c>
      <c r="G1333" s="293"/>
      <c r="H1333" s="293"/>
      <c r="I1333" s="294"/>
      <c r="K1333" s="229">
        <f>+SUM(K1322:K1331)</f>
        <v>120</v>
      </c>
      <c r="L1333" s="119">
        <f>+SUM(L1322:L1331)</f>
        <v>1676.4</v>
      </c>
    </row>
    <row r="1334" spans="2:12" ht="17.399999999999999" thickBot="1" x14ac:dyDescent="0.45"/>
    <row r="1335" spans="2:12" ht="17.399999999999999" thickBot="1" x14ac:dyDescent="0.45">
      <c r="B1335" s="110" t="s">
        <v>10</v>
      </c>
      <c r="C1335" s="300" t="s">
        <v>11</v>
      </c>
      <c r="D1335" s="300"/>
      <c r="E1335" s="300"/>
      <c r="F1335" s="300"/>
      <c r="G1335" s="301"/>
    </row>
    <row r="1336" spans="2:12" x14ac:dyDescent="0.4">
      <c r="B1336" s="114" t="s">
        <v>6</v>
      </c>
      <c r="C1336" s="302" t="s">
        <v>1</v>
      </c>
      <c r="D1336" s="303"/>
      <c r="E1336" s="112" t="s">
        <v>193</v>
      </c>
      <c r="F1336" s="120" t="s">
        <v>2</v>
      </c>
      <c r="G1336" s="114" t="s">
        <v>3</v>
      </c>
      <c r="H1336" s="106"/>
      <c r="I1336" s="107" t="s">
        <v>7</v>
      </c>
      <c r="J1336" s="136"/>
      <c r="K1336" s="107" t="s">
        <v>8</v>
      </c>
      <c r="L1336" s="115" t="s">
        <v>194</v>
      </c>
    </row>
    <row r="1337" spans="2:12" x14ac:dyDescent="0.4">
      <c r="B1337" s="122"/>
      <c r="C1337" s="306"/>
      <c r="D1337" s="306"/>
      <c r="E1337" s="116"/>
      <c r="F1337" s="83"/>
      <c r="G1337" s="74"/>
      <c r="I1337" s="117">
        <f>IF(C1337=0,0,VLOOKUP(C1337,Tabla3[],3,FALSE))</f>
        <v>0</v>
      </c>
      <c r="K1337" s="84">
        <f t="shared" ref="K1337:K1340" si="200">+F1337*I1337</f>
        <v>0</v>
      </c>
      <c r="L1337" s="118">
        <f>E1337*I1337</f>
        <v>0</v>
      </c>
    </row>
    <row r="1338" spans="2:12" x14ac:dyDescent="0.4">
      <c r="B1338" s="74"/>
      <c r="C1338" s="206"/>
      <c r="D1338" s="207"/>
      <c r="E1338" s="121"/>
      <c r="F1338" s="72"/>
      <c r="G1338" s="74"/>
      <c r="I1338" s="117">
        <f>IF(C1338=0,0,VLOOKUP(C1338,Tabla3[],3,FALSE))</f>
        <v>0</v>
      </c>
      <c r="K1338" s="84">
        <f t="shared" si="200"/>
        <v>0</v>
      </c>
      <c r="L1338" s="118">
        <f t="shared" ref="L1338:L1340" si="201">E1338*I1338</f>
        <v>0</v>
      </c>
    </row>
    <row r="1339" spans="2:12" x14ac:dyDescent="0.4">
      <c r="B1339" s="74"/>
      <c r="C1339" s="206"/>
      <c r="D1339" s="207"/>
      <c r="E1339" s="121"/>
      <c r="F1339" s="72"/>
      <c r="G1339" s="74"/>
      <c r="I1339" s="117">
        <f>IF(C1339=0,0,VLOOKUP(C1339,Tabla3[],3,FALSE))</f>
        <v>0</v>
      </c>
      <c r="K1339" s="84">
        <f t="shared" si="200"/>
        <v>0</v>
      </c>
      <c r="L1339" s="118">
        <f t="shared" si="201"/>
        <v>0</v>
      </c>
    </row>
    <row r="1340" spans="2:12" x14ac:dyDescent="0.4">
      <c r="B1340" s="74"/>
      <c r="C1340" s="304"/>
      <c r="D1340" s="305"/>
      <c r="E1340" s="121"/>
      <c r="F1340" s="72"/>
      <c r="G1340" s="74"/>
      <c r="I1340" s="117">
        <f>IF(C1340=0,0,VLOOKUP(C1340,Tabla3[],3,FALSE))</f>
        <v>0</v>
      </c>
      <c r="K1340" s="84">
        <f t="shared" si="200"/>
        <v>0</v>
      </c>
      <c r="L1340" s="118">
        <f t="shared" si="201"/>
        <v>0</v>
      </c>
    </row>
    <row r="1341" spans="2:12" ht="17.399999999999999" thickBot="1" x14ac:dyDescent="0.45"/>
    <row r="1342" spans="2:12" ht="17.399999999999999" thickBot="1" x14ac:dyDescent="0.45">
      <c r="F1342" s="292" t="s">
        <v>12</v>
      </c>
      <c r="G1342" s="293"/>
      <c r="H1342" s="293"/>
      <c r="I1342" s="294"/>
      <c r="K1342" s="229">
        <f>+SUM(K1337:K1340)</f>
        <v>0</v>
      </c>
      <c r="L1342" s="119">
        <f>+SUM(L1337:L1340)</f>
        <v>0</v>
      </c>
    </row>
    <row r="1343" spans="2:12" ht="17.399999999999999" thickBot="1" x14ac:dyDescent="0.45"/>
    <row r="1344" spans="2:12" ht="17.399999999999999" thickBot="1" x14ac:dyDescent="0.45">
      <c r="B1344" s="110" t="s">
        <v>13</v>
      </c>
      <c r="C1344" s="300" t="s">
        <v>14</v>
      </c>
      <c r="D1344" s="300"/>
      <c r="E1344" s="300"/>
      <c r="F1344" s="300"/>
      <c r="G1344" s="301"/>
    </row>
    <row r="1345" spans="2:12" x14ac:dyDescent="0.4">
      <c r="B1345" s="114" t="s">
        <v>6</v>
      </c>
      <c r="C1345" s="302" t="s">
        <v>1</v>
      </c>
      <c r="D1345" s="303"/>
      <c r="E1345" s="112" t="s">
        <v>193</v>
      </c>
      <c r="F1345" s="120" t="s">
        <v>2</v>
      </c>
      <c r="G1345" s="114" t="s">
        <v>3</v>
      </c>
      <c r="H1345" s="106"/>
      <c r="I1345" s="107" t="s">
        <v>7</v>
      </c>
      <c r="J1345" s="136"/>
      <c r="K1345" s="107" t="s">
        <v>8</v>
      </c>
      <c r="L1345" s="115" t="s">
        <v>194</v>
      </c>
    </row>
    <row r="1346" spans="2:12" x14ac:dyDescent="0.4">
      <c r="B1346" s="122">
        <v>1</v>
      </c>
      <c r="C1346" s="306" t="s">
        <v>578</v>
      </c>
      <c r="D1346" s="306"/>
      <c r="E1346" s="116">
        <f>I1318</f>
        <v>13.97</v>
      </c>
      <c r="F1346" s="83">
        <f>ROUND(E1346/I1318,2)</f>
        <v>1</v>
      </c>
      <c r="G1346" s="74" t="str">
        <f>IF(C1346=0,0,VLOOKUP(C1346,Tabla2[],2,FALSE))</f>
        <v>ml</v>
      </c>
      <c r="I1346" s="117">
        <f>IF(C1346=0,0,VLOOKUP(C1346,Tabla2[],3,FALSE))</f>
        <v>100</v>
      </c>
      <c r="K1346" s="84">
        <f>+F1346*I1346</f>
        <v>100</v>
      </c>
      <c r="L1346" s="118">
        <f>E1346*I1346</f>
        <v>1397</v>
      </c>
    </row>
    <row r="1347" spans="2:12" x14ac:dyDescent="0.4">
      <c r="B1347" s="122"/>
      <c r="C1347" s="306"/>
      <c r="D1347" s="306"/>
      <c r="E1347" s="116"/>
      <c r="F1347" s="83"/>
      <c r="G1347" s="74"/>
      <c r="I1347" s="117">
        <f>IF(C1347=0,0,VLOOKUP(C1347,Tabla2[],3,FALSE))</f>
        <v>0</v>
      </c>
      <c r="K1347" s="84">
        <f>+F1347*I1347</f>
        <v>0</v>
      </c>
      <c r="L1347" s="118">
        <f>E1347*I1347</f>
        <v>0</v>
      </c>
    </row>
    <row r="1348" spans="2:12" ht="17.399999999999999" thickBot="1" x14ac:dyDescent="0.45">
      <c r="B1348" s="123"/>
      <c r="C1348" s="307"/>
      <c r="D1348" s="308"/>
      <c r="E1348" s="124"/>
      <c r="F1348" s="125"/>
      <c r="G1348" s="74"/>
      <c r="I1348" s="117">
        <f>IF(C1348=0,0,VLOOKUP(C1348,Tabla2[],3,FALSE))</f>
        <v>0</v>
      </c>
      <c r="K1348" s="84">
        <f t="shared" ref="K1348" si="202">+F1348*I1348</f>
        <v>0</v>
      </c>
      <c r="L1348" s="118">
        <f t="shared" ref="L1348:L1349" si="203">E1348*I1348</f>
        <v>0</v>
      </c>
    </row>
    <row r="1349" spans="2:12" ht="17.399999999999999" thickBot="1" x14ac:dyDescent="0.45">
      <c r="B1349" s="297" t="s">
        <v>15</v>
      </c>
      <c r="C1349" s="298"/>
      <c r="D1349" s="298"/>
      <c r="E1349" s="298"/>
      <c r="F1349" s="298"/>
      <c r="G1349" s="299"/>
      <c r="I1349" s="84">
        <v>0</v>
      </c>
      <c r="K1349" s="84">
        <v>0</v>
      </c>
      <c r="L1349" s="118">
        <f t="shared" si="203"/>
        <v>0</v>
      </c>
    </row>
    <row r="1350" spans="2:12" ht="17.399999999999999" thickBot="1" x14ac:dyDescent="0.45"/>
    <row r="1351" spans="2:12" ht="17.399999999999999" thickBot="1" x14ac:dyDescent="0.45">
      <c r="F1351" s="292" t="s">
        <v>16</v>
      </c>
      <c r="G1351" s="293"/>
      <c r="H1351" s="293"/>
      <c r="I1351" s="294"/>
      <c r="K1351" s="229">
        <f>+SUM(K1346:K1349)</f>
        <v>100</v>
      </c>
      <c r="L1351" s="119">
        <f>+SUM(L1346:L1349)</f>
        <v>1397</v>
      </c>
    </row>
    <row r="1352" spans="2:12" ht="17.399999999999999" thickBot="1" x14ac:dyDescent="0.45"/>
    <row r="1353" spans="2:12" ht="17.399999999999999" thickBot="1" x14ac:dyDescent="0.45">
      <c r="B1353" s="110" t="s">
        <v>17</v>
      </c>
      <c r="C1353" s="300" t="s">
        <v>18</v>
      </c>
      <c r="D1353" s="300"/>
      <c r="E1353" s="300"/>
      <c r="F1353" s="300"/>
      <c r="G1353" s="301"/>
    </row>
    <row r="1354" spans="2:12" x14ac:dyDescent="0.4">
      <c r="B1354" s="114" t="s">
        <v>6</v>
      </c>
      <c r="C1354" s="302" t="s">
        <v>1</v>
      </c>
      <c r="D1354" s="303"/>
      <c r="E1354" s="126"/>
      <c r="F1354" s="120" t="s">
        <v>2</v>
      </c>
      <c r="G1354" s="114" t="s">
        <v>3</v>
      </c>
      <c r="H1354" s="106"/>
      <c r="I1354" s="107" t="s">
        <v>7</v>
      </c>
      <c r="J1354" s="136"/>
      <c r="K1354" s="107" t="s">
        <v>8</v>
      </c>
      <c r="L1354" s="115" t="s">
        <v>194</v>
      </c>
    </row>
    <row r="1355" spans="2:12" x14ac:dyDescent="0.4">
      <c r="B1355" s="74"/>
      <c r="C1355" s="304"/>
      <c r="D1355" s="305"/>
      <c r="E1355" s="127"/>
      <c r="F1355" s="72"/>
      <c r="G1355" s="74"/>
      <c r="I1355" s="84">
        <v>0</v>
      </c>
      <c r="K1355" s="84">
        <f>+F1355*I1355</f>
        <v>0</v>
      </c>
      <c r="L1355" s="118">
        <f>E1355*I1355</f>
        <v>0</v>
      </c>
    </row>
    <row r="1356" spans="2:12" x14ac:dyDescent="0.4">
      <c r="B1356" s="74"/>
      <c r="C1356" s="304"/>
      <c r="D1356" s="305"/>
      <c r="E1356" s="127"/>
      <c r="F1356" s="72"/>
      <c r="G1356" s="74"/>
      <c r="I1356" s="84">
        <v>0</v>
      </c>
      <c r="K1356" s="84">
        <f t="shared" ref="K1356:K1357" si="204">+F1356*I1356</f>
        <v>0</v>
      </c>
      <c r="L1356" s="118">
        <f t="shared" ref="L1356:L1357" si="205">E1356*I1356</f>
        <v>0</v>
      </c>
    </row>
    <row r="1357" spans="2:12" x14ac:dyDescent="0.4">
      <c r="B1357" s="74"/>
      <c r="C1357" s="304"/>
      <c r="D1357" s="305"/>
      <c r="E1357" s="127"/>
      <c r="F1357" s="72"/>
      <c r="G1357" s="74"/>
      <c r="I1357" s="84">
        <v>0</v>
      </c>
      <c r="K1357" s="84">
        <f t="shared" si="204"/>
        <v>0</v>
      </c>
      <c r="L1357" s="118">
        <f t="shared" si="205"/>
        <v>0</v>
      </c>
    </row>
    <row r="1358" spans="2:12" ht="17.399999999999999" thickBot="1" x14ac:dyDescent="0.45">
      <c r="L1358" s="118"/>
    </row>
    <row r="1359" spans="2:12" ht="17.399999999999999" thickBot="1" x14ac:dyDescent="0.45">
      <c r="F1359" s="292" t="s">
        <v>19</v>
      </c>
      <c r="G1359" s="293"/>
      <c r="H1359" s="293"/>
      <c r="I1359" s="294"/>
      <c r="K1359" s="229">
        <f>+SUM(K1355:K1357)</f>
        <v>0</v>
      </c>
      <c r="L1359" s="119">
        <f>+SUM(L1354:L1357)</f>
        <v>0</v>
      </c>
    </row>
    <row r="1360" spans="2:12" ht="15" customHeight="1" x14ac:dyDescent="0.4">
      <c r="F1360" s="128"/>
      <c r="G1360" s="129"/>
      <c r="H1360" s="130"/>
      <c r="I1360" s="108"/>
      <c r="K1360" s="230"/>
    </row>
    <row r="1361" spans="1:16" ht="15" customHeight="1" thickBot="1" x14ac:dyDescent="0.45"/>
    <row r="1362" spans="1:16" ht="17.399999999999999" thickBot="1" x14ac:dyDescent="0.45">
      <c r="F1362" s="292" t="s">
        <v>20</v>
      </c>
      <c r="G1362" s="293"/>
      <c r="H1362" s="293"/>
      <c r="I1362" s="294"/>
      <c r="K1362" s="229">
        <f>(+K1333+K1342+K1351+K1359)</f>
        <v>220</v>
      </c>
      <c r="L1362" s="119">
        <f>(+L1333+L1342+L1351+L1359)</f>
        <v>3073.4</v>
      </c>
      <c r="N1362" s="131"/>
      <c r="O1362" s="39"/>
      <c r="P1362" s="40"/>
    </row>
    <row r="1363" spans="1:16" ht="7.5" customHeight="1" thickBot="1" x14ac:dyDescent="0.45">
      <c r="N1363" s="131"/>
      <c r="O1363" s="41"/>
      <c r="P1363" s="40"/>
    </row>
    <row r="1364" spans="1:16" ht="17.399999999999999" thickBot="1" x14ac:dyDescent="0.45">
      <c r="F1364" s="292" t="s">
        <v>21</v>
      </c>
      <c r="G1364" s="293"/>
      <c r="H1364" s="293"/>
      <c r="I1364" s="294"/>
      <c r="K1364" s="229">
        <f>K1362*$N$2</f>
        <v>88</v>
      </c>
      <c r="L1364" s="119">
        <f>L1362*$N$2</f>
        <v>1229.3600000000001</v>
      </c>
    </row>
    <row r="1365" spans="1:16" ht="7.5" customHeight="1" thickBot="1" x14ac:dyDescent="0.45"/>
    <row r="1366" spans="1:16" ht="17.399999999999999" thickBot="1" x14ac:dyDescent="0.45">
      <c r="F1366" s="292" t="s">
        <v>22</v>
      </c>
      <c r="G1366" s="293"/>
      <c r="H1366" s="293"/>
      <c r="I1366" s="294"/>
      <c r="K1366" s="229">
        <f>+K1362+K1364</f>
        <v>308</v>
      </c>
      <c r="L1366" s="119">
        <f>+L1362+L1364</f>
        <v>4302.76</v>
      </c>
    </row>
    <row r="1367" spans="1:16" ht="17.399999999999999" thickBot="1" x14ac:dyDescent="0.45">
      <c r="F1367" s="128"/>
      <c r="G1367" s="129"/>
      <c r="H1367" s="130"/>
      <c r="I1367" s="108"/>
      <c r="K1367" s="231"/>
      <c r="L1367" s="132">
        <f>L1366/I1318</f>
        <v>308</v>
      </c>
      <c r="M1367" s="133">
        <f>(K1366-L1367)*I1318</f>
        <v>0</v>
      </c>
    </row>
    <row r="1368" spans="1:16" x14ac:dyDescent="0.4">
      <c r="F1368" s="128"/>
      <c r="G1368" s="129"/>
      <c r="H1368" s="130"/>
      <c r="I1368" s="108"/>
      <c r="K1368" s="232"/>
      <c r="L1368" s="131"/>
      <c r="M1368" s="134"/>
      <c r="N1368" s="135"/>
    </row>
    <row r="1369" spans="1:16" ht="17.399999999999999" thickBot="1" x14ac:dyDescent="0.45">
      <c r="B1369" s="295"/>
      <c r="C1369" s="295"/>
      <c r="D1369" s="295"/>
    </row>
    <row r="1370" spans="1:16" x14ac:dyDescent="0.4">
      <c r="B1370" s="296" t="s">
        <v>23</v>
      </c>
      <c r="C1370" s="296"/>
      <c r="D1370" s="296"/>
    </row>
    <row r="1371" spans="1:16" x14ac:dyDescent="0.4">
      <c r="B1371" s="157"/>
      <c r="C1371" s="157"/>
      <c r="D1371" s="157"/>
    </row>
    <row r="1372" spans="1:16" x14ac:dyDescent="0.4">
      <c r="B1372" s="157"/>
      <c r="C1372" s="157"/>
      <c r="D1372" s="157"/>
    </row>
    <row r="1373" spans="1:16" x14ac:dyDescent="0.4">
      <c r="B1373" s="105" t="s">
        <v>43</v>
      </c>
      <c r="C1373" s="106"/>
      <c r="D1373" s="311" t="s">
        <v>1</v>
      </c>
      <c r="E1373" s="311"/>
      <c r="F1373" s="311"/>
      <c r="G1373" s="311"/>
      <c r="H1373" s="106"/>
      <c r="I1373" s="107" t="s">
        <v>2</v>
      </c>
      <c r="J1373" s="136"/>
      <c r="K1373" s="107" t="s">
        <v>3</v>
      </c>
    </row>
    <row r="1374" spans="1:16" s="4" customFormat="1" ht="30.75" customHeight="1" x14ac:dyDescent="0.3">
      <c r="A1374" s="31"/>
      <c r="B1374" s="213">
        <f>CATALOGO!B41</f>
        <v>503.02</v>
      </c>
      <c r="C1374" s="71"/>
      <c r="D1374" s="312" t="str">
        <f>CATALOGO!C41</f>
        <v xml:space="preserve">COSTANERA DE 2" X 4" X 1/16" </v>
      </c>
      <c r="E1374" s="312"/>
      <c r="F1374" s="312"/>
      <c r="G1374" s="312"/>
      <c r="H1374" s="71"/>
      <c r="I1374" s="213">
        <f>CATALOGO!D41</f>
        <v>9.6</v>
      </c>
      <c r="J1374" s="109"/>
      <c r="K1374" s="227" t="str">
        <f>CATALOGO!E41</f>
        <v>ml</v>
      </c>
      <c r="L1374" s="71"/>
      <c r="M1374" s="71"/>
      <c r="N1374" s="104"/>
      <c r="O1374" s="37"/>
      <c r="P1374" s="37"/>
    </row>
    <row r="1375" spans="1:16" ht="17.399999999999999" thickBot="1" x14ac:dyDescent="0.45"/>
    <row r="1376" spans="1:16" ht="17.399999999999999" thickBot="1" x14ac:dyDescent="0.45">
      <c r="B1376" s="110" t="s">
        <v>4</v>
      </c>
      <c r="C1376" s="300" t="s">
        <v>5</v>
      </c>
      <c r="D1376" s="300"/>
      <c r="E1376" s="300"/>
      <c r="F1376" s="300"/>
      <c r="G1376" s="301"/>
    </row>
    <row r="1377" spans="2:12" x14ac:dyDescent="0.4">
      <c r="B1377" s="111" t="s">
        <v>6</v>
      </c>
      <c r="C1377" s="313" t="s">
        <v>1</v>
      </c>
      <c r="D1377" s="314"/>
      <c r="E1377" s="112" t="s">
        <v>193</v>
      </c>
      <c r="F1377" s="113" t="s">
        <v>2</v>
      </c>
      <c r="G1377" s="114" t="s">
        <v>3</v>
      </c>
      <c r="H1377" s="106"/>
      <c r="I1377" s="107" t="s">
        <v>7</v>
      </c>
      <c r="J1377" s="136"/>
      <c r="K1377" s="228" t="s">
        <v>8</v>
      </c>
      <c r="L1377" s="115" t="s">
        <v>194</v>
      </c>
    </row>
    <row r="1378" spans="2:12" x14ac:dyDescent="0.4">
      <c r="B1378" s="122">
        <v>1</v>
      </c>
      <c r="C1378" s="349" t="s">
        <v>198</v>
      </c>
      <c r="D1378" s="350"/>
      <c r="E1378" s="116">
        <f>I1374*0.02</f>
        <v>0.192</v>
      </c>
      <c r="F1378" s="83">
        <f>ROUND(E1378/I1374,2)</f>
        <v>0.02</v>
      </c>
      <c r="G1378" s="74" t="str">
        <f>IF(C1378=0,0,VLOOKUP(C1378,Tabla1[],2,FALSE))</f>
        <v>Unidad</v>
      </c>
      <c r="I1378" s="117">
        <f>IF(C1378=0,0,VLOOKUP(C1378,Tabla1[],3,FALSE))</f>
        <v>300</v>
      </c>
      <c r="K1378" s="84">
        <f>+F1378*I1378</f>
        <v>6</v>
      </c>
      <c r="L1378" s="118">
        <f>E1378*I1378</f>
        <v>57.6</v>
      </c>
    </row>
    <row r="1379" spans="2:12" x14ac:dyDescent="0.4">
      <c r="B1379" s="122">
        <v>2</v>
      </c>
      <c r="C1379" s="317" t="s">
        <v>78</v>
      </c>
      <c r="D1379" s="318"/>
      <c r="E1379" s="116">
        <f>I1374*0.02</f>
        <v>0.192</v>
      </c>
      <c r="F1379" s="83">
        <f>ROUND(E1379/I1374,2)</f>
        <v>0.02</v>
      </c>
      <c r="G1379" s="74" t="str">
        <f>IF(C1379=0,0,VLOOKUP(C1379,Tabla1[],2,FALSE))</f>
        <v>Unidad</v>
      </c>
      <c r="I1379" s="117">
        <f>IF(C1379=0,0,VLOOKUP(C1379,Tabla1[],3,FALSE))</f>
        <v>25</v>
      </c>
      <c r="K1379" s="84">
        <f t="shared" ref="K1379:K1387" si="206">+F1379*I1379</f>
        <v>0.5</v>
      </c>
      <c r="L1379" s="118">
        <f t="shared" ref="L1379:L1387" si="207">E1379*I1379</f>
        <v>4.8</v>
      </c>
    </row>
    <row r="1380" spans="2:12" x14ac:dyDescent="0.4">
      <c r="B1380" s="122">
        <v>3</v>
      </c>
      <c r="C1380" s="317" t="s">
        <v>196</v>
      </c>
      <c r="D1380" s="318"/>
      <c r="E1380" s="116">
        <f>I1374*0.02</f>
        <v>0.192</v>
      </c>
      <c r="F1380" s="83">
        <f>ROUND(E1380/I1374,2)</f>
        <v>0.02</v>
      </c>
      <c r="G1380" s="74" t="str">
        <f>IF(C1380=0,0,VLOOKUP(C1380,Tabla1[],2,FALSE))</f>
        <v>Galón</v>
      </c>
      <c r="I1380" s="117">
        <f>IF(C1380=0,0,VLOOKUP(C1380,Tabla1[],3,FALSE))</f>
        <v>200</v>
      </c>
      <c r="K1380" s="84">
        <f t="shared" si="206"/>
        <v>4</v>
      </c>
      <c r="L1380" s="118">
        <f t="shared" si="207"/>
        <v>38.4</v>
      </c>
    </row>
    <row r="1381" spans="2:12" x14ac:dyDescent="0.4">
      <c r="B1381" s="122">
        <v>4</v>
      </c>
      <c r="C1381" s="317" t="s">
        <v>184</v>
      </c>
      <c r="D1381" s="318"/>
      <c r="E1381" s="116">
        <f>I1374*0.02</f>
        <v>0.192</v>
      </c>
      <c r="F1381" s="83">
        <f>ROUND(E1381/I1374,2)</f>
        <v>0.02</v>
      </c>
      <c r="G1381" s="74" t="str">
        <f>IF(C1381=0,0,VLOOKUP(C1381,Tabla1[],2,FALSE))</f>
        <v>Libra</v>
      </c>
      <c r="I1381" s="117">
        <f>IF(C1381=0,0,VLOOKUP(C1381,Tabla1[],3,FALSE))</f>
        <v>25</v>
      </c>
      <c r="K1381" s="84">
        <f t="shared" si="206"/>
        <v>0.5</v>
      </c>
      <c r="L1381" s="118">
        <f t="shared" si="207"/>
        <v>4.8</v>
      </c>
    </row>
    <row r="1382" spans="2:12" x14ac:dyDescent="0.4">
      <c r="B1382" s="122">
        <v>5</v>
      </c>
      <c r="C1382" s="318" t="s">
        <v>200</v>
      </c>
      <c r="D1382" s="306"/>
      <c r="E1382" s="116">
        <f>I1374*0.1</f>
        <v>0.96</v>
      </c>
      <c r="F1382" s="83">
        <f>ROUND(E1382/I1374,2)</f>
        <v>0.1</v>
      </c>
      <c r="G1382" s="74" t="str">
        <f>IF(C1382=0,0,VLOOKUP(C1382,Tabla1[],2,FALSE))</f>
        <v>Libra</v>
      </c>
      <c r="I1382" s="117">
        <f>IF(C1382=0,0,VLOOKUP(C1382,Tabla1[],3,FALSE))</f>
        <v>20</v>
      </c>
      <c r="K1382" s="84">
        <f t="shared" si="206"/>
        <v>2</v>
      </c>
      <c r="L1382" s="118">
        <f t="shared" si="207"/>
        <v>19.2</v>
      </c>
    </row>
    <row r="1383" spans="2:12" x14ac:dyDescent="0.4">
      <c r="B1383" s="122">
        <v>6</v>
      </c>
      <c r="C1383" s="318" t="s">
        <v>182</v>
      </c>
      <c r="D1383" s="306"/>
      <c r="E1383" s="116">
        <f>I1374*0.04</f>
        <v>0.38400000000000001</v>
      </c>
      <c r="F1383" s="83">
        <f>ROUND(E1383/I1374,2)</f>
        <v>0.04</v>
      </c>
      <c r="G1383" s="74" t="str">
        <f>IF(C1383=0,0,VLOOKUP(C1383,Tabla1[],2,FALSE))</f>
        <v>Galón</v>
      </c>
      <c r="I1383" s="117">
        <f>IF(C1383=0,0,VLOOKUP(C1383,Tabla1[],3,FALSE))</f>
        <v>50</v>
      </c>
      <c r="K1383" s="84">
        <f t="shared" si="206"/>
        <v>2</v>
      </c>
      <c r="L1383" s="118">
        <f t="shared" si="207"/>
        <v>19.2</v>
      </c>
    </row>
    <row r="1384" spans="2:12" x14ac:dyDescent="0.4">
      <c r="B1384" s="122"/>
      <c r="C1384" s="318"/>
      <c r="D1384" s="306"/>
      <c r="E1384" s="116"/>
      <c r="F1384" s="83"/>
      <c r="G1384" s="74"/>
      <c r="I1384" s="117">
        <f>IF(C1384=0,0,VLOOKUP(C1384,Tabla1[],3,FALSE))</f>
        <v>0</v>
      </c>
      <c r="K1384" s="84">
        <f t="shared" si="206"/>
        <v>0</v>
      </c>
      <c r="L1384" s="118">
        <f t="shared" si="207"/>
        <v>0</v>
      </c>
    </row>
    <row r="1385" spans="2:12" x14ac:dyDescent="0.4">
      <c r="B1385" s="122"/>
      <c r="C1385" s="318"/>
      <c r="D1385" s="306"/>
      <c r="E1385" s="116"/>
      <c r="F1385" s="83"/>
      <c r="G1385" s="74"/>
      <c r="I1385" s="117">
        <f>IF(C1385=0,0,VLOOKUP(C1385,Tabla1[],3,FALSE))</f>
        <v>0</v>
      </c>
      <c r="K1385" s="84">
        <f t="shared" si="206"/>
        <v>0</v>
      </c>
      <c r="L1385" s="118">
        <f t="shared" si="207"/>
        <v>0</v>
      </c>
    </row>
    <row r="1386" spans="2:12" x14ac:dyDescent="0.4">
      <c r="B1386" s="122"/>
      <c r="C1386" s="349"/>
      <c r="D1386" s="350"/>
      <c r="E1386" s="116"/>
      <c r="F1386" s="83"/>
      <c r="G1386" s="74"/>
      <c r="I1386" s="117">
        <f>IF(C1386=0,0,VLOOKUP(C1386,Tabla1[],3,FALSE))</f>
        <v>0</v>
      </c>
      <c r="K1386" s="84">
        <f t="shared" si="206"/>
        <v>0</v>
      </c>
      <c r="L1386" s="118">
        <f t="shared" si="207"/>
        <v>0</v>
      </c>
    </row>
    <row r="1387" spans="2:12" x14ac:dyDescent="0.4">
      <c r="B1387" s="122"/>
      <c r="C1387" s="349"/>
      <c r="D1387" s="350"/>
      <c r="E1387" s="116"/>
      <c r="F1387" s="83"/>
      <c r="G1387" s="74"/>
      <c r="I1387" s="117">
        <f>IF(C1387=0,0,VLOOKUP(C1387,Tabla1[],3,FALSE))</f>
        <v>0</v>
      </c>
      <c r="K1387" s="84">
        <f t="shared" si="206"/>
        <v>0</v>
      </c>
      <c r="L1387" s="118">
        <f t="shared" si="207"/>
        <v>0</v>
      </c>
    </row>
    <row r="1388" spans="2:12" ht="17.399999999999999" thickBot="1" x14ac:dyDescent="0.45"/>
    <row r="1389" spans="2:12" ht="17.399999999999999" thickBot="1" x14ac:dyDescent="0.45">
      <c r="F1389" s="292" t="s">
        <v>9</v>
      </c>
      <c r="G1389" s="293"/>
      <c r="H1389" s="293"/>
      <c r="I1389" s="294"/>
      <c r="K1389" s="229">
        <f>+SUM(K1378:K1387)</f>
        <v>15</v>
      </c>
      <c r="L1389" s="119">
        <f>+SUM(L1378:L1387)</f>
        <v>144</v>
      </c>
    </row>
    <row r="1390" spans="2:12" ht="17.399999999999999" thickBot="1" x14ac:dyDescent="0.45"/>
    <row r="1391" spans="2:12" ht="17.399999999999999" thickBot="1" x14ac:dyDescent="0.45">
      <c r="B1391" s="110" t="s">
        <v>10</v>
      </c>
      <c r="C1391" s="300" t="s">
        <v>11</v>
      </c>
      <c r="D1391" s="300"/>
      <c r="E1391" s="300"/>
      <c r="F1391" s="300"/>
      <c r="G1391" s="301"/>
    </row>
    <row r="1392" spans="2:12" x14ac:dyDescent="0.4">
      <c r="B1392" s="114" t="s">
        <v>6</v>
      </c>
      <c r="C1392" s="302" t="s">
        <v>1</v>
      </c>
      <c r="D1392" s="303"/>
      <c r="E1392" s="112" t="s">
        <v>193</v>
      </c>
      <c r="F1392" s="120" t="s">
        <v>2</v>
      </c>
      <c r="G1392" s="114" t="s">
        <v>3</v>
      </c>
      <c r="H1392" s="106"/>
      <c r="I1392" s="107" t="s">
        <v>7</v>
      </c>
      <c r="J1392" s="136"/>
      <c r="K1392" s="107" t="s">
        <v>8</v>
      </c>
      <c r="L1392" s="115" t="s">
        <v>194</v>
      </c>
    </row>
    <row r="1393" spans="2:12" x14ac:dyDescent="0.4">
      <c r="B1393" s="122"/>
      <c r="C1393" s="306"/>
      <c r="D1393" s="306"/>
      <c r="E1393" s="116"/>
      <c r="F1393" s="83"/>
      <c r="G1393" s="74"/>
      <c r="I1393" s="117">
        <f>IF(C1393=0,0,VLOOKUP(C1393,Tabla3[],3,FALSE))</f>
        <v>0</v>
      </c>
      <c r="K1393" s="84">
        <f t="shared" ref="K1393" si="208">+F1393*I1393</f>
        <v>0</v>
      </c>
      <c r="L1393" s="118">
        <f>E1393*I1393</f>
        <v>0</v>
      </c>
    </row>
    <row r="1394" spans="2:12" x14ac:dyDescent="0.4">
      <c r="B1394" s="74"/>
      <c r="C1394" s="306"/>
      <c r="D1394" s="306"/>
      <c r="E1394" s="121"/>
      <c r="F1394" s="72"/>
      <c r="G1394" s="74"/>
      <c r="I1394" s="117">
        <f>IF(C1394=0,0,VLOOKUP(C1394,Tabla3[],3,FALSE))</f>
        <v>0</v>
      </c>
      <c r="K1394" s="84">
        <f t="shared" ref="K1394:K1396" si="209">+F1394*I1394</f>
        <v>0</v>
      </c>
      <c r="L1394" s="118">
        <f t="shared" ref="L1394:L1396" si="210">E1394*I1394</f>
        <v>0</v>
      </c>
    </row>
    <row r="1395" spans="2:12" x14ac:dyDescent="0.4">
      <c r="B1395" s="74"/>
      <c r="C1395" s="306"/>
      <c r="D1395" s="306"/>
      <c r="E1395" s="121"/>
      <c r="F1395" s="72"/>
      <c r="G1395" s="74"/>
      <c r="I1395" s="117">
        <f>IF(C1395=0,0,VLOOKUP(C1395,Tabla3[],3,FALSE))</f>
        <v>0</v>
      </c>
      <c r="K1395" s="84">
        <f t="shared" si="209"/>
        <v>0</v>
      </c>
      <c r="L1395" s="118">
        <f t="shared" si="210"/>
        <v>0</v>
      </c>
    </row>
    <row r="1396" spans="2:12" x14ac:dyDescent="0.4">
      <c r="B1396" s="74"/>
      <c r="C1396" s="304"/>
      <c r="D1396" s="305"/>
      <c r="E1396" s="121"/>
      <c r="F1396" s="72"/>
      <c r="G1396" s="74"/>
      <c r="I1396" s="117">
        <f>IF(C1396=0,0,VLOOKUP(C1396,Tabla3[],3,FALSE))</f>
        <v>0</v>
      </c>
      <c r="K1396" s="84">
        <f t="shared" si="209"/>
        <v>0</v>
      </c>
      <c r="L1396" s="118">
        <f t="shared" si="210"/>
        <v>0</v>
      </c>
    </row>
    <row r="1397" spans="2:12" ht="17.399999999999999" thickBot="1" x14ac:dyDescent="0.45"/>
    <row r="1398" spans="2:12" ht="17.399999999999999" thickBot="1" x14ac:dyDescent="0.45">
      <c r="F1398" s="292" t="s">
        <v>12</v>
      </c>
      <c r="G1398" s="293"/>
      <c r="H1398" s="293"/>
      <c r="I1398" s="294"/>
      <c r="K1398" s="229">
        <f>+SUM(K1393:K1396)</f>
        <v>0</v>
      </c>
      <c r="L1398" s="119">
        <f>+SUM(L1393:L1396)</f>
        <v>0</v>
      </c>
    </row>
    <row r="1399" spans="2:12" ht="17.399999999999999" thickBot="1" x14ac:dyDescent="0.45"/>
    <row r="1400" spans="2:12" ht="17.399999999999999" thickBot="1" x14ac:dyDescent="0.45">
      <c r="B1400" s="110" t="s">
        <v>13</v>
      </c>
      <c r="C1400" s="300" t="s">
        <v>14</v>
      </c>
      <c r="D1400" s="300"/>
      <c r="E1400" s="300"/>
      <c r="F1400" s="300"/>
      <c r="G1400" s="301"/>
    </row>
    <row r="1401" spans="2:12" x14ac:dyDescent="0.4">
      <c r="B1401" s="114" t="s">
        <v>6</v>
      </c>
      <c r="C1401" s="302" t="s">
        <v>1</v>
      </c>
      <c r="D1401" s="303"/>
      <c r="E1401" s="112" t="s">
        <v>193</v>
      </c>
      <c r="F1401" s="120" t="s">
        <v>2</v>
      </c>
      <c r="G1401" s="114" t="s">
        <v>3</v>
      </c>
      <c r="H1401" s="106"/>
      <c r="I1401" s="107" t="s">
        <v>7</v>
      </c>
      <c r="J1401" s="136"/>
      <c r="K1401" s="107" t="s">
        <v>8</v>
      </c>
      <c r="L1401" s="115" t="s">
        <v>194</v>
      </c>
    </row>
    <row r="1402" spans="2:12" ht="16.5" customHeight="1" x14ac:dyDescent="0.4">
      <c r="B1402" s="122">
        <v>1</v>
      </c>
      <c r="C1402" s="325" t="s">
        <v>579</v>
      </c>
      <c r="D1402" s="325"/>
      <c r="E1402" s="116">
        <f>I1374</f>
        <v>9.6</v>
      </c>
      <c r="F1402" s="83">
        <f>ROUND(E1402/I1374,2)</f>
        <v>1</v>
      </c>
      <c r="G1402" s="74" t="str">
        <f>IF(C1402=0,0,VLOOKUP(C1402,Tabla2[],2,FALSE))</f>
        <v>ml</v>
      </c>
      <c r="I1402" s="117">
        <f>IF(C1402=0,0,VLOOKUP(C1402,Tabla2[],3,FALSE))</f>
        <v>75</v>
      </c>
      <c r="K1402" s="84">
        <f>+F1402*I1402</f>
        <v>75</v>
      </c>
      <c r="L1402" s="118">
        <f>E1402*I1402</f>
        <v>720</v>
      </c>
    </row>
    <row r="1403" spans="2:12" x14ac:dyDescent="0.4">
      <c r="B1403" s="122"/>
      <c r="C1403" s="325"/>
      <c r="D1403" s="325"/>
      <c r="E1403" s="116"/>
      <c r="F1403" s="83"/>
      <c r="G1403" s="74"/>
      <c r="I1403" s="117">
        <f>IF(C1403=0,0,VLOOKUP(C1403,Tabla2[],3,FALSE))</f>
        <v>0</v>
      </c>
      <c r="K1403" s="84">
        <f>+F1403*I1403</f>
        <v>0</v>
      </c>
      <c r="L1403" s="118">
        <f>E1403*I1403</f>
        <v>0</v>
      </c>
    </row>
    <row r="1404" spans="2:12" ht="17.399999999999999" thickBot="1" x14ac:dyDescent="0.45">
      <c r="B1404" s="123"/>
      <c r="C1404" s="307"/>
      <c r="D1404" s="308"/>
      <c r="E1404" s="124"/>
      <c r="F1404" s="125"/>
      <c r="G1404" s="74"/>
      <c r="I1404" s="117">
        <f>IF(C1404=0,0,VLOOKUP(C1404,Tabla2[],3,FALSE))</f>
        <v>0</v>
      </c>
      <c r="K1404" s="84">
        <f t="shared" ref="K1404" si="211">+F1404*I1404</f>
        <v>0</v>
      </c>
      <c r="L1404" s="118">
        <f t="shared" ref="L1404:L1405" si="212">E1404*I1404</f>
        <v>0</v>
      </c>
    </row>
    <row r="1405" spans="2:12" ht="17.399999999999999" thickBot="1" x14ac:dyDescent="0.45">
      <c r="B1405" s="297" t="s">
        <v>15</v>
      </c>
      <c r="C1405" s="298"/>
      <c r="D1405" s="298"/>
      <c r="E1405" s="298"/>
      <c r="F1405" s="298"/>
      <c r="G1405" s="299"/>
      <c r="I1405" s="84">
        <v>0</v>
      </c>
      <c r="K1405" s="84">
        <v>0</v>
      </c>
      <c r="L1405" s="118">
        <f t="shared" si="212"/>
        <v>0</v>
      </c>
    </row>
    <row r="1406" spans="2:12" ht="17.399999999999999" thickBot="1" x14ac:dyDescent="0.45"/>
    <row r="1407" spans="2:12" ht="17.399999999999999" thickBot="1" x14ac:dyDescent="0.45">
      <c r="F1407" s="292" t="s">
        <v>16</v>
      </c>
      <c r="G1407" s="293"/>
      <c r="H1407" s="293"/>
      <c r="I1407" s="294"/>
      <c r="K1407" s="229">
        <f>+SUM(K1402:K1405)</f>
        <v>75</v>
      </c>
      <c r="L1407" s="119">
        <f>+SUM(L1402:L1405)</f>
        <v>720</v>
      </c>
    </row>
    <row r="1408" spans="2:12" ht="17.399999999999999" thickBot="1" x14ac:dyDescent="0.45"/>
    <row r="1409" spans="2:16" ht="17.399999999999999" thickBot="1" x14ac:dyDescent="0.45">
      <c r="B1409" s="110" t="s">
        <v>17</v>
      </c>
      <c r="C1409" s="300" t="s">
        <v>18</v>
      </c>
      <c r="D1409" s="300"/>
      <c r="E1409" s="300"/>
      <c r="F1409" s="300"/>
      <c r="G1409" s="301"/>
    </row>
    <row r="1410" spans="2:16" x14ac:dyDescent="0.4">
      <c r="B1410" s="114" t="s">
        <v>6</v>
      </c>
      <c r="C1410" s="302" t="s">
        <v>1</v>
      </c>
      <c r="D1410" s="303"/>
      <c r="E1410" s="126"/>
      <c r="F1410" s="120" t="s">
        <v>2</v>
      </c>
      <c r="G1410" s="114" t="s">
        <v>3</v>
      </c>
      <c r="H1410" s="106"/>
      <c r="I1410" s="107" t="s">
        <v>7</v>
      </c>
      <c r="J1410" s="136"/>
      <c r="K1410" s="107" t="s">
        <v>8</v>
      </c>
      <c r="L1410" s="115" t="s">
        <v>194</v>
      </c>
    </row>
    <row r="1411" spans="2:16" x14ac:dyDescent="0.4">
      <c r="B1411" s="74"/>
      <c r="C1411" s="304"/>
      <c r="D1411" s="305"/>
      <c r="E1411" s="127"/>
      <c r="F1411" s="72"/>
      <c r="G1411" s="74"/>
      <c r="I1411" s="84">
        <v>0</v>
      </c>
      <c r="K1411" s="84">
        <f>+F1411*I1411</f>
        <v>0</v>
      </c>
      <c r="L1411" s="118">
        <f>E1411*I1411</f>
        <v>0</v>
      </c>
    </row>
    <row r="1412" spans="2:16" x14ac:dyDescent="0.4">
      <c r="B1412" s="74"/>
      <c r="C1412" s="304"/>
      <c r="D1412" s="305"/>
      <c r="E1412" s="127"/>
      <c r="F1412" s="72"/>
      <c r="G1412" s="74"/>
      <c r="I1412" s="84">
        <v>0</v>
      </c>
      <c r="K1412" s="84">
        <f t="shared" ref="K1412:K1413" si="213">+F1412*I1412</f>
        <v>0</v>
      </c>
      <c r="L1412" s="118">
        <f t="shared" ref="L1412:L1413" si="214">E1412*I1412</f>
        <v>0</v>
      </c>
    </row>
    <row r="1413" spans="2:16" x14ac:dyDescent="0.4">
      <c r="B1413" s="74"/>
      <c r="C1413" s="304"/>
      <c r="D1413" s="305"/>
      <c r="E1413" s="127"/>
      <c r="F1413" s="72"/>
      <c r="G1413" s="74"/>
      <c r="I1413" s="84">
        <v>0</v>
      </c>
      <c r="K1413" s="84">
        <f t="shared" si="213"/>
        <v>0</v>
      </c>
      <c r="L1413" s="118">
        <f t="shared" si="214"/>
        <v>0</v>
      </c>
    </row>
    <row r="1414" spans="2:16" ht="17.399999999999999" thickBot="1" x14ac:dyDescent="0.45">
      <c r="L1414" s="118"/>
    </row>
    <row r="1415" spans="2:16" ht="17.399999999999999" thickBot="1" x14ac:dyDescent="0.45">
      <c r="F1415" s="292" t="s">
        <v>19</v>
      </c>
      <c r="G1415" s="293"/>
      <c r="H1415" s="293"/>
      <c r="I1415" s="294"/>
      <c r="K1415" s="229">
        <f>+SUM(K1411:K1413)</f>
        <v>0</v>
      </c>
      <c r="L1415" s="119">
        <f>+SUM(L1410:L1413)</f>
        <v>0</v>
      </c>
    </row>
    <row r="1416" spans="2:16" ht="15" customHeight="1" x14ac:dyDescent="0.4">
      <c r="F1416" s="128"/>
      <c r="G1416" s="129"/>
      <c r="H1416" s="130"/>
      <c r="I1416" s="108"/>
      <c r="K1416" s="230"/>
    </row>
    <row r="1417" spans="2:16" ht="15" customHeight="1" thickBot="1" x14ac:dyDescent="0.45"/>
    <row r="1418" spans="2:16" ht="17.399999999999999" thickBot="1" x14ac:dyDescent="0.45">
      <c r="F1418" s="292" t="s">
        <v>20</v>
      </c>
      <c r="G1418" s="293"/>
      <c r="H1418" s="293"/>
      <c r="I1418" s="294"/>
      <c r="K1418" s="229">
        <f>(+K1389+K1398+K1407+K1415)</f>
        <v>90</v>
      </c>
      <c r="L1418" s="119">
        <f>(+L1389+L1398+L1407+L1415)</f>
        <v>864</v>
      </c>
      <c r="N1418" s="131"/>
      <c r="O1418" s="39"/>
      <c r="P1418" s="40"/>
    </row>
    <row r="1419" spans="2:16" ht="7.5" customHeight="1" thickBot="1" x14ac:dyDescent="0.45">
      <c r="N1419" s="131"/>
      <c r="O1419" s="41"/>
      <c r="P1419" s="40"/>
    </row>
    <row r="1420" spans="2:16" ht="17.399999999999999" thickBot="1" x14ac:dyDescent="0.45">
      <c r="F1420" s="292" t="s">
        <v>21</v>
      </c>
      <c r="G1420" s="293"/>
      <c r="H1420" s="293"/>
      <c r="I1420" s="294"/>
      <c r="K1420" s="229">
        <f>K1418*$N$2</f>
        <v>36</v>
      </c>
      <c r="L1420" s="119">
        <f>L1418*$N$2</f>
        <v>345.6</v>
      </c>
    </row>
    <row r="1421" spans="2:16" ht="7.5" customHeight="1" thickBot="1" x14ac:dyDescent="0.45"/>
    <row r="1422" spans="2:16" ht="17.399999999999999" thickBot="1" x14ac:dyDescent="0.45">
      <c r="F1422" s="292" t="s">
        <v>22</v>
      </c>
      <c r="G1422" s="293"/>
      <c r="H1422" s="293"/>
      <c r="I1422" s="294"/>
      <c r="K1422" s="229">
        <f>+K1418+K1420</f>
        <v>126</v>
      </c>
      <c r="L1422" s="119">
        <f>+L1418+L1420</f>
        <v>1209.5999999999999</v>
      </c>
    </row>
    <row r="1423" spans="2:16" ht="17.399999999999999" thickBot="1" x14ac:dyDescent="0.45">
      <c r="F1423" s="128"/>
      <c r="G1423" s="129"/>
      <c r="H1423" s="130"/>
      <c r="I1423" s="108"/>
      <c r="K1423" s="231"/>
      <c r="L1423" s="132">
        <f>L1422/I1374</f>
        <v>126</v>
      </c>
      <c r="M1423" s="133">
        <f>(K1422-L1423)*I1374</f>
        <v>0</v>
      </c>
    </row>
    <row r="1424" spans="2:16" x14ac:dyDescent="0.4">
      <c r="F1424" s="128"/>
      <c r="G1424" s="129"/>
      <c r="H1424" s="130"/>
      <c r="I1424" s="108"/>
      <c r="K1424" s="232"/>
      <c r="L1424" s="131"/>
      <c r="M1424" s="134"/>
      <c r="N1424" s="135"/>
    </row>
    <row r="1425" spans="1:16" ht="17.399999999999999" thickBot="1" x14ac:dyDescent="0.45">
      <c r="B1425" s="295"/>
      <c r="C1425" s="295"/>
      <c r="D1425" s="295"/>
    </row>
    <row r="1426" spans="1:16" x14ac:dyDescent="0.4">
      <c r="B1426" s="296" t="s">
        <v>23</v>
      </c>
      <c r="C1426" s="296"/>
      <c r="D1426" s="296"/>
    </row>
    <row r="1427" spans="1:16" x14ac:dyDescent="0.4">
      <c r="B1427" s="157"/>
      <c r="C1427" s="157"/>
      <c r="D1427" s="157"/>
    </row>
    <row r="1428" spans="1:16" x14ac:dyDescent="0.4">
      <c r="B1428" s="157"/>
      <c r="C1428" s="157"/>
      <c r="D1428" s="157"/>
      <c r="F1428" s="77"/>
      <c r="J1428" s="78"/>
      <c r="N1428" s="146"/>
    </row>
    <row r="1429" spans="1:16" x14ac:dyDescent="0.4">
      <c r="B1429" s="105" t="s">
        <v>43</v>
      </c>
      <c r="C1429" s="106"/>
      <c r="D1429" s="311" t="s">
        <v>1</v>
      </c>
      <c r="E1429" s="311"/>
      <c r="F1429" s="311"/>
      <c r="G1429" s="311"/>
      <c r="H1429" s="106"/>
      <c r="I1429" s="107" t="s">
        <v>2</v>
      </c>
      <c r="J1429" s="108"/>
      <c r="K1429" s="107" t="s">
        <v>3</v>
      </c>
      <c r="N1429" s="146"/>
    </row>
    <row r="1430" spans="1:16" s="4" customFormat="1" ht="30.75" customHeight="1" x14ac:dyDescent="0.3">
      <c r="A1430" s="31"/>
      <c r="B1430" s="213">
        <f>CATALOGO!B42</f>
        <v>505.02</v>
      </c>
      <c r="C1430" s="71"/>
      <c r="D1430" s="312" t="str">
        <f>CATALOGO!C42</f>
        <v>CUBIERTA DE LÁMINA TERMOACÚSTICA (INCLUYE CANAL Y BAP Ѳ=3")</v>
      </c>
      <c r="E1430" s="312"/>
      <c r="F1430" s="312"/>
      <c r="G1430" s="312"/>
      <c r="H1430" s="71"/>
      <c r="I1430" s="213">
        <f>CATALOGO!D42</f>
        <v>6</v>
      </c>
      <c r="J1430" s="109"/>
      <c r="K1430" s="227" t="str">
        <f>CATALOGO!E42</f>
        <v>m²</v>
      </c>
      <c r="L1430" s="71"/>
      <c r="M1430" s="71"/>
      <c r="N1430" s="147"/>
      <c r="O1430" s="37"/>
      <c r="P1430" s="37"/>
    </row>
    <row r="1431" spans="1:16" ht="17.399999999999999" thickBot="1" x14ac:dyDescent="0.45">
      <c r="F1431" s="77"/>
      <c r="J1431" s="78"/>
      <c r="N1431" s="146"/>
    </row>
    <row r="1432" spans="1:16" ht="17.399999999999999" thickBot="1" x14ac:dyDescent="0.45">
      <c r="B1432" s="110" t="s">
        <v>4</v>
      </c>
      <c r="C1432" s="300" t="s">
        <v>5</v>
      </c>
      <c r="D1432" s="300"/>
      <c r="E1432" s="300"/>
      <c r="F1432" s="300"/>
      <c r="G1432" s="301"/>
      <c r="J1432" s="78"/>
      <c r="N1432" s="146"/>
    </row>
    <row r="1433" spans="1:16" s="20" customFormat="1" x14ac:dyDescent="0.4">
      <c r="A1433" s="53"/>
      <c r="B1433" s="111" t="s">
        <v>6</v>
      </c>
      <c r="C1433" s="313" t="s">
        <v>1</v>
      </c>
      <c r="D1433" s="314"/>
      <c r="E1433" s="112" t="s">
        <v>193</v>
      </c>
      <c r="F1433" s="111" t="s">
        <v>2</v>
      </c>
      <c r="G1433" s="114" t="s">
        <v>3</v>
      </c>
      <c r="H1433" s="106"/>
      <c r="I1433" s="107" t="s">
        <v>7</v>
      </c>
      <c r="J1433" s="108"/>
      <c r="K1433" s="228" t="s">
        <v>8</v>
      </c>
      <c r="L1433" s="115" t="s">
        <v>194</v>
      </c>
      <c r="M1433" s="17"/>
      <c r="N1433" s="146"/>
      <c r="O1433" s="36"/>
      <c r="P1433" s="36"/>
    </row>
    <row r="1434" spans="1:16" s="20" customFormat="1" x14ac:dyDescent="0.4">
      <c r="A1434" s="53"/>
      <c r="B1434" s="122">
        <v>1</v>
      </c>
      <c r="C1434" s="317" t="s">
        <v>170</v>
      </c>
      <c r="D1434" s="318"/>
      <c r="E1434" s="116">
        <f>I1430*0.5</f>
        <v>3</v>
      </c>
      <c r="F1434" s="148">
        <f>ROUND(E1434/I1430,2)</f>
        <v>0.5</v>
      </c>
      <c r="G1434" s="74" t="str">
        <f>IF(C1434=0,0,VLOOKUP(C1434,Tabla1[],2,FALSE))</f>
        <v>Varilla</v>
      </c>
      <c r="H1434" s="17"/>
      <c r="I1434" s="117">
        <f>IF(C1434=0,0,VLOOKUP(C1434,Tabla1[],3,FALSE))</f>
        <v>70</v>
      </c>
      <c r="J1434" s="97"/>
      <c r="K1434" s="84">
        <f>+F1434*I1434</f>
        <v>35</v>
      </c>
      <c r="L1434" s="118">
        <f>E1434*I1434</f>
        <v>210</v>
      </c>
      <c r="M1434" s="17"/>
      <c r="N1434" s="146"/>
      <c r="O1434" s="36"/>
      <c r="P1434" s="36"/>
    </row>
    <row r="1435" spans="1:16" s="20" customFormat="1" x14ac:dyDescent="0.4">
      <c r="A1435" s="53"/>
      <c r="B1435" s="122">
        <v>2</v>
      </c>
      <c r="C1435" s="319" t="s">
        <v>211</v>
      </c>
      <c r="D1435" s="318"/>
      <c r="E1435" s="116">
        <f>I1430*0.5</f>
        <v>3</v>
      </c>
      <c r="F1435" s="148">
        <f>ROUND(E1435/I1430,2)</f>
        <v>0.5</v>
      </c>
      <c r="G1435" s="74" t="str">
        <f>IF(C1435=0,0,VLOOKUP(C1435,Tabla1[],2,FALSE))</f>
        <v>Unidad</v>
      </c>
      <c r="H1435" s="17"/>
      <c r="I1435" s="117">
        <f>IF(C1435=0,0,VLOOKUP(C1435,Tabla1[],3,FALSE))</f>
        <v>7</v>
      </c>
      <c r="J1435" s="97"/>
      <c r="K1435" s="84">
        <f t="shared" ref="K1435:K1443" si="215">+F1435*I1435</f>
        <v>3.5</v>
      </c>
      <c r="L1435" s="118">
        <f t="shared" ref="L1435:L1443" si="216">E1435*I1435</f>
        <v>21</v>
      </c>
      <c r="M1435" s="17"/>
      <c r="N1435" s="146"/>
      <c r="O1435" s="36"/>
      <c r="P1435" s="36"/>
    </row>
    <row r="1436" spans="1:16" s="20" customFormat="1" x14ac:dyDescent="0.4">
      <c r="A1436" s="53"/>
      <c r="B1436" s="122">
        <v>3</v>
      </c>
      <c r="C1436" s="319" t="s">
        <v>238</v>
      </c>
      <c r="D1436" s="318"/>
      <c r="E1436" s="116">
        <f>I1430*0.4</f>
        <v>2.4000000000000004</v>
      </c>
      <c r="F1436" s="148">
        <f>ROUND(E1436/I1430,2)</f>
        <v>0.4</v>
      </c>
      <c r="G1436" s="74" t="str">
        <f>IF(C1436=0,0,VLOOKUP(C1436,Tabla1[],2,FALSE))</f>
        <v>Unidad</v>
      </c>
      <c r="H1436" s="17"/>
      <c r="I1436" s="117">
        <f>IF(C1436=0,0,VLOOKUP(C1436,Tabla1[],3,FALSE))</f>
        <v>50</v>
      </c>
      <c r="J1436" s="97"/>
      <c r="K1436" s="84">
        <f t="shared" si="215"/>
        <v>20</v>
      </c>
      <c r="L1436" s="118">
        <f t="shared" si="216"/>
        <v>120.00000000000001</v>
      </c>
      <c r="M1436" s="17"/>
      <c r="N1436" s="146"/>
      <c r="O1436" s="36"/>
      <c r="P1436" s="36"/>
    </row>
    <row r="1437" spans="1:16" s="20" customFormat="1" x14ac:dyDescent="0.4">
      <c r="A1437" s="53"/>
      <c r="B1437" s="122">
        <v>4</v>
      </c>
      <c r="C1437" s="319" t="s">
        <v>206</v>
      </c>
      <c r="D1437" s="318"/>
      <c r="E1437" s="116">
        <f>I1430*0.05</f>
        <v>0.30000000000000004</v>
      </c>
      <c r="F1437" s="148">
        <f>ROUND(E1437/I1430,2)</f>
        <v>0.05</v>
      </c>
      <c r="G1437" s="74" t="str">
        <f>IF(C1437=0,0,VLOOKUP(C1437,Tabla1[],2,FALSE))</f>
        <v>Unidad</v>
      </c>
      <c r="H1437" s="17"/>
      <c r="I1437" s="117">
        <f>IF(C1437=0,0,VLOOKUP(C1437,Tabla1[],3,FALSE))</f>
        <v>250</v>
      </c>
      <c r="J1437" s="97"/>
      <c r="K1437" s="84">
        <f t="shared" si="215"/>
        <v>12.5</v>
      </c>
      <c r="L1437" s="118">
        <f t="shared" si="216"/>
        <v>75.000000000000014</v>
      </c>
      <c r="M1437" s="17"/>
      <c r="N1437" s="146"/>
      <c r="O1437" s="36"/>
      <c r="P1437" s="36"/>
    </row>
    <row r="1438" spans="1:16" s="20" customFormat="1" x14ac:dyDescent="0.4">
      <c r="A1438" s="53"/>
      <c r="B1438" s="122">
        <v>5</v>
      </c>
      <c r="C1438" s="319" t="s">
        <v>237</v>
      </c>
      <c r="D1438" s="318"/>
      <c r="E1438" s="116">
        <f>I1430*0.1</f>
        <v>0.60000000000000009</v>
      </c>
      <c r="F1438" s="148">
        <f>ROUND(E1438/I1430,2)</f>
        <v>0.1</v>
      </c>
      <c r="G1438" s="74" t="str">
        <f>IF(C1438=0,0,VLOOKUP(C1438,Tabla1[],2,FALSE))</f>
        <v>ml</v>
      </c>
      <c r="H1438" s="17"/>
      <c r="I1438" s="117">
        <f>IF(C1438=0,0,VLOOKUP(C1438,Tabla1[],3,FALSE))</f>
        <v>300</v>
      </c>
      <c r="J1438" s="97"/>
      <c r="K1438" s="84">
        <f t="shared" si="215"/>
        <v>30</v>
      </c>
      <c r="L1438" s="118">
        <f t="shared" si="216"/>
        <v>180.00000000000003</v>
      </c>
      <c r="M1438" s="17"/>
      <c r="N1438" s="146"/>
      <c r="O1438" s="36"/>
      <c r="P1438" s="36"/>
    </row>
    <row r="1439" spans="1:16" s="20" customFormat="1" x14ac:dyDescent="0.4">
      <c r="A1439" s="53"/>
      <c r="B1439" s="122">
        <v>6</v>
      </c>
      <c r="C1439" s="319" t="s">
        <v>242</v>
      </c>
      <c r="D1439" s="318"/>
      <c r="E1439" s="116">
        <f>I1430*0.1</f>
        <v>0.60000000000000009</v>
      </c>
      <c r="F1439" s="148">
        <f>ROUND(E1439/I1430,2)</f>
        <v>0.1</v>
      </c>
      <c r="G1439" s="74" t="str">
        <f>IF(C1439=0,0,VLOOKUP(C1439,Tabla1[],2,FALSE))</f>
        <v>Unidad</v>
      </c>
      <c r="H1439" s="17"/>
      <c r="I1439" s="117">
        <f>IF(C1439=0,0,VLOOKUP(C1439,Tabla1[],3,FALSE))</f>
        <v>75</v>
      </c>
      <c r="J1439" s="97"/>
      <c r="K1439" s="84">
        <f t="shared" si="215"/>
        <v>7.5</v>
      </c>
      <c r="L1439" s="118">
        <f t="shared" si="216"/>
        <v>45.000000000000007</v>
      </c>
      <c r="M1439" s="17"/>
      <c r="N1439" s="146"/>
      <c r="O1439" s="36"/>
      <c r="P1439" s="36"/>
    </row>
    <row r="1440" spans="1:16" s="20" customFormat="1" x14ac:dyDescent="0.4">
      <c r="A1440" s="53"/>
      <c r="B1440" s="122">
        <v>7</v>
      </c>
      <c r="C1440" s="319" t="s">
        <v>205</v>
      </c>
      <c r="D1440" s="318"/>
      <c r="E1440" s="116">
        <f>I1430*0.5</f>
        <v>3</v>
      </c>
      <c r="F1440" s="148">
        <f>ROUND(E1440/I1430,2)</f>
        <v>0.5</v>
      </c>
      <c r="G1440" s="74" t="str">
        <f>IF(C1440=0,0,VLOOKUP(C1440,Tabla1[],2,FALSE))</f>
        <v>m²</v>
      </c>
      <c r="H1440" s="17"/>
      <c r="I1440" s="117">
        <f>IF(C1440=0,0,VLOOKUP(C1440,Tabla1[],3,FALSE))</f>
        <v>150</v>
      </c>
      <c r="J1440" s="97"/>
      <c r="K1440" s="84">
        <f t="shared" si="215"/>
        <v>75</v>
      </c>
      <c r="L1440" s="118">
        <f t="shared" si="216"/>
        <v>450</v>
      </c>
      <c r="M1440" s="17"/>
      <c r="N1440" s="146"/>
      <c r="O1440" s="36"/>
      <c r="P1440" s="36"/>
    </row>
    <row r="1441" spans="1:16" s="20" customFormat="1" x14ac:dyDescent="0.4">
      <c r="A1441" s="53"/>
      <c r="B1441" s="122">
        <v>8</v>
      </c>
      <c r="C1441" s="319" t="s">
        <v>239</v>
      </c>
      <c r="D1441" s="318"/>
      <c r="E1441" s="116">
        <f>I1430*0.06</f>
        <v>0.36</v>
      </c>
      <c r="F1441" s="148">
        <f>ROUND(E1441/I1430,2)</f>
        <v>0.06</v>
      </c>
      <c r="G1441" s="74" t="str">
        <f>IF(C1441=0,0,VLOOKUP(C1441,Tabla1[],2,FALSE))</f>
        <v>Unidad</v>
      </c>
      <c r="H1441" s="17"/>
      <c r="I1441" s="117">
        <f>IF(C1441=0,0,VLOOKUP(C1441,Tabla1[],3,FALSE))</f>
        <v>25</v>
      </c>
      <c r="J1441" s="97"/>
      <c r="K1441" s="84">
        <f t="shared" si="215"/>
        <v>1.5</v>
      </c>
      <c r="L1441" s="118">
        <f t="shared" si="216"/>
        <v>9</v>
      </c>
      <c r="M1441" s="17"/>
      <c r="N1441" s="146"/>
      <c r="O1441" s="36"/>
      <c r="P1441" s="36"/>
    </row>
    <row r="1442" spans="1:16" s="20" customFormat="1" x14ac:dyDescent="0.4">
      <c r="A1442" s="53"/>
      <c r="B1442" s="122">
        <v>9</v>
      </c>
      <c r="C1442" s="319" t="s">
        <v>227</v>
      </c>
      <c r="D1442" s="318"/>
      <c r="E1442" s="116">
        <f>I1430*2.5</f>
        <v>15</v>
      </c>
      <c r="F1442" s="148">
        <f>ROUND(E1442/I1430,2)</f>
        <v>2.5</v>
      </c>
      <c r="G1442" s="74" t="str">
        <f>IF(C1442=0,0,VLOOKUP(C1442,Tabla1[],2,FALSE))</f>
        <v>Unidad</v>
      </c>
      <c r="H1442" s="17"/>
      <c r="I1442" s="117">
        <f>IF(C1442=0,0,VLOOKUP(C1442,Tabla1[],3,FALSE))</f>
        <v>4</v>
      </c>
      <c r="J1442" s="97"/>
      <c r="K1442" s="84">
        <f t="shared" si="215"/>
        <v>10</v>
      </c>
      <c r="L1442" s="118">
        <f t="shared" si="216"/>
        <v>60</v>
      </c>
      <c r="M1442" s="17"/>
      <c r="N1442" s="146"/>
      <c r="O1442" s="36"/>
      <c r="P1442" s="36"/>
    </row>
    <row r="1443" spans="1:16" s="20" customFormat="1" x14ac:dyDescent="0.4">
      <c r="A1443" s="53"/>
      <c r="B1443" s="122">
        <v>10</v>
      </c>
      <c r="C1443" s="319" t="s">
        <v>240</v>
      </c>
      <c r="D1443" s="318"/>
      <c r="E1443" s="116">
        <f>I1430*0.02</f>
        <v>0.12</v>
      </c>
      <c r="F1443" s="148">
        <f>ROUND(E1443/I1430,2)</f>
        <v>0.02</v>
      </c>
      <c r="G1443" s="74" t="str">
        <f>IF(C1443=0,0,VLOOKUP(C1443,Tabla1[],2,FALSE))</f>
        <v>Unidad</v>
      </c>
      <c r="H1443" s="17"/>
      <c r="I1443" s="117">
        <f>IF(C1443=0,0,VLOOKUP(C1443,Tabla1[],3,FALSE))</f>
        <v>250</v>
      </c>
      <c r="J1443" s="97"/>
      <c r="K1443" s="84">
        <f t="shared" si="215"/>
        <v>5</v>
      </c>
      <c r="L1443" s="118">
        <f t="shared" si="216"/>
        <v>30</v>
      </c>
      <c r="M1443" s="17"/>
      <c r="N1443" s="146"/>
      <c r="O1443" s="36"/>
      <c r="P1443" s="36"/>
    </row>
    <row r="1444" spans="1:16" s="20" customFormat="1" ht="17.399999999999999" thickBot="1" x14ac:dyDescent="0.45">
      <c r="A1444" s="53"/>
      <c r="B1444" s="77"/>
      <c r="C1444" s="17"/>
      <c r="D1444" s="17"/>
      <c r="E1444" s="76"/>
      <c r="F1444" s="77"/>
      <c r="G1444" s="77"/>
      <c r="H1444" s="17"/>
      <c r="I1444" s="78"/>
      <c r="J1444" s="78"/>
      <c r="K1444" s="78"/>
      <c r="L1444" s="17"/>
      <c r="M1444" s="17"/>
      <c r="N1444" s="146"/>
      <c r="O1444" s="36"/>
      <c r="P1444" s="36"/>
    </row>
    <row r="1445" spans="1:16" s="20" customFormat="1" ht="17.399999999999999" thickBot="1" x14ac:dyDescent="0.45">
      <c r="A1445" s="53"/>
      <c r="B1445" s="77"/>
      <c r="C1445" s="17"/>
      <c r="D1445" s="17"/>
      <c r="E1445" s="76"/>
      <c r="F1445" s="292" t="s">
        <v>9</v>
      </c>
      <c r="G1445" s="293"/>
      <c r="H1445" s="293"/>
      <c r="I1445" s="294"/>
      <c r="J1445" s="78"/>
      <c r="K1445" s="229">
        <f>+SUM(K1434:K1443)</f>
        <v>200</v>
      </c>
      <c r="L1445" s="119">
        <f>+SUM(L1434:L1443)</f>
        <v>1200</v>
      </c>
      <c r="M1445" s="17"/>
      <c r="N1445" s="146"/>
      <c r="O1445" s="36"/>
      <c r="P1445" s="36"/>
    </row>
    <row r="1446" spans="1:16" s="20" customFormat="1" ht="17.399999999999999" thickBot="1" x14ac:dyDescent="0.45">
      <c r="A1446" s="53"/>
      <c r="B1446" s="77"/>
      <c r="C1446" s="17"/>
      <c r="D1446" s="17"/>
      <c r="E1446" s="76"/>
      <c r="F1446" s="77"/>
      <c r="G1446" s="77"/>
      <c r="H1446" s="17"/>
      <c r="I1446" s="78"/>
      <c r="J1446" s="78"/>
      <c r="K1446" s="78"/>
      <c r="L1446" s="17"/>
      <c r="M1446" s="17"/>
      <c r="N1446" s="146"/>
      <c r="O1446" s="36"/>
      <c r="P1446" s="36"/>
    </row>
    <row r="1447" spans="1:16" s="20" customFormat="1" ht="17.399999999999999" thickBot="1" x14ac:dyDescent="0.45">
      <c r="A1447" s="53"/>
      <c r="B1447" s="110" t="s">
        <v>10</v>
      </c>
      <c r="C1447" s="300" t="s">
        <v>11</v>
      </c>
      <c r="D1447" s="300"/>
      <c r="E1447" s="300"/>
      <c r="F1447" s="300"/>
      <c r="G1447" s="301"/>
      <c r="H1447" s="17"/>
      <c r="I1447" s="78"/>
      <c r="J1447" s="78"/>
      <c r="K1447" s="78"/>
      <c r="L1447" s="17"/>
      <c r="M1447" s="17"/>
      <c r="N1447" s="146"/>
      <c r="O1447" s="36"/>
      <c r="P1447" s="36"/>
    </row>
    <row r="1448" spans="1:16" s="20" customFormat="1" x14ac:dyDescent="0.4">
      <c r="A1448" s="53"/>
      <c r="B1448" s="114" t="s">
        <v>6</v>
      </c>
      <c r="C1448" s="302" t="s">
        <v>1</v>
      </c>
      <c r="D1448" s="303"/>
      <c r="E1448" s="112" t="s">
        <v>193</v>
      </c>
      <c r="F1448" s="114" t="s">
        <v>2</v>
      </c>
      <c r="G1448" s="114" t="s">
        <v>3</v>
      </c>
      <c r="H1448" s="106"/>
      <c r="I1448" s="107" t="s">
        <v>7</v>
      </c>
      <c r="J1448" s="108"/>
      <c r="K1448" s="107" t="s">
        <v>8</v>
      </c>
      <c r="L1448" s="115" t="s">
        <v>194</v>
      </c>
      <c r="M1448" s="17"/>
      <c r="N1448" s="146"/>
      <c r="O1448" s="36"/>
      <c r="P1448" s="36"/>
    </row>
    <row r="1449" spans="1:16" s="20" customFormat="1" x14ac:dyDescent="0.4">
      <c r="A1449" s="53"/>
      <c r="B1449" s="122"/>
      <c r="C1449" s="306"/>
      <c r="D1449" s="306"/>
      <c r="E1449" s="116"/>
      <c r="F1449" s="148"/>
      <c r="G1449" s="74"/>
      <c r="H1449" s="17"/>
      <c r="I1449" s="117">
        <f>IF(C1449=0,0,VLOOKUP(C1449,Tabla3[],3,FALSE))</f>
        <v>0</v>
      </c>
      <c r="J1449" s="97"/>
      <c r="K1449" s="84">
        <f t="shared" ref="K1449" si="217">+F1449*I1449</f>
        <v>0</v>
      </c>
      <c r="L1449" s="118">
        <f>E1449*I1449</f>
        <v>0</v>
      </c>
      <c r="M1449" s="17"/>
      <c r="N1449" s="146"/>
      <c r="O1449" s="36"/>
      <c r="P1449" s="36"/>
    </row>
    <row r="1450" spans="1:16" s="20" customFormat="1" x14ac:dyDescent="0.4">
      <c r="A1450" s="53"/>
      <c r="B1450" s="74"/>
      <c r="C1450" s="309"/>
      <c r="D1450" s="310"/>
      <c r="E1450" s="121"/>
      <c r="F1450" s="74"/>
      <c r="G1450" s="74"/>
      <c r="H1450" s="17"/>
      <c r="I1450" s="117">
        <f>IF(C1450=0,0,VLOOKUP(C1450,Tabla3[],3,FALSE))</f>
        <v>0</v>
      </c>
      <c r="J1450" s="97"/>
      <c r="K1450" s="84">
        <f t="shared" ref="K1450:K1452" si="218">+F1450*I1450</f>
        <v>0</v>
      </c>
      <c r="L1450" s="118">
        <f t="shared" ref="L1450:L1452" si="219">E1450*I1450</f>
        <v>0</v>
      </c>
      <c r="M1450" s="17"/>
      <c r="N1450" s="146"/>
      <c r="O1450" s="36"/>
      <c r="P1450" s="36"/>
    </row>
    <row r="1451" spans="1:16" s="20" customFormat="1" x14ac:dyDescent="0.4">
      <c r="A1451" s="53"/>
      <c r="B1451" s="74"/>
      <c r="C1451" s="309"/>
      <c r="D1451" s="310"/>
      <c r="E1451" s="121"/>
      <c r="F1451" s="74"/>
      <c r="G1451" s="74"/>
      <c r="H1451" s="17"/>
      <c r="I1451" s="117">
        <f>IF(C1451=0,0,VLOOKUP(C1451,Tabla3[],3,FALSE))</f>
        <v>0</v>
      </c>
      <c r="J1451" s="97"/>
      <c r="K1451" s="84">
        <f t="shared" si="218"/>
        <v>0</v>
      </c>
      <c r="L1451" s="118">
        <f t="shared" si="219"/>
        <v>0</v>
      </c>
      <c r="M1451" s="17"/>
      <c r="N1451" s="146"/>
      <c r="O1451" s="36"/>
      <c r="P1451" s="36"/>
    </row>
    <row r="1452" spans="1:16" s="20" customFormat="1" x14ac:dyDescent="0.4">
      <c r="A1452" s="53"/>
      <c r="B1452" s="74"/>
      <c r="C1452" s="304"/>
      <c r="D1452" s="305"/>
      <c r="E1452" s="121"/>
      <c r="F1452" s="74"/>
      <c r="G1452" s="74"/>
      <c r="H1452" s="17"/>
      <c r="I1452" s="117">
        <f>IF(C1452=0,0,VLOOKUP(C1452,Tabla3[],3,FALSE))</f>
        <v>0</v>
      </c>
      <c r="J1452" s="97"/>
      <c r="K1452" s="84">
        <f t="shared" si="218"/>
        <v>0</v>
      </c>
      <c r="L1452" s="118">
        <f t="shared" si="219"/>
        <v>0</v>
      </c>
      <c r="M1452" s="17"/>
      <c r="N1452" s="146"/>
      <c r="O1452" s="36"/>
      <c r="P1452" s="36"/>
    </row>
    <row r="1453" spans="1:16" s="20" customFormat="1" ht="17.399999999999999" thickBot="1" x14ac:dyDescent="0.45">
      <c r="A1453" s="53"/>
      <c r="B1453" s="77"/>
      <c r="C1453" s="17"/>
      <c r="D1453" s="17"/>
      <c r="E1453" s="76"/>
      <c r="F1453" s="77"/>
      <c r="G1453" s="77"/>
      <c r="H1453" s="17"/>
      <c r="I1453" s="78"/>
      <c r="J1453" s="78"/>
      <c r="K1453" s="78"/>
      <c r="L1453" s="17"/>
      <c r="M1453" s="17"/>
      <c r="N1453" s="146"/>
      <c r="O1453" s="36"/>
      <c r="P1453" s="36"/>
    </row>
    <row r="1454" spans="1:16" s="20" customFormat="1" ht="17.399999999999999" thickBot="1" x14ac:dyDescent="0.45">
      <c r="A1454" s="53"/>
      <c r="B1454" s="77"/>
      <c r="C1454" s="17"/>
      <c r="D1454" s="17"/>
      <c r="E1454" s="76"/>
      <c r="F1454" s="292" t="s">
        <v>12</v>
      </c>
      <c r="G1454" s="293"/>
      <c r="H1454" s="293"/>
      <c r="I1454" s="294"/>
      <c r="J1454" s="78"/>
      <c r="K1454" s="229">
        <f>+SUM(K1449:K1452)</f>
        <v>0</v>
      </c>
      <c r="L1454" s="119">
        <f>+SUM(L1449:L1452)</f>
        <v>0</v>
      </c>
      <c r="M1454" s="17"/>
      <c r="N1454" s="146"/>
      <c r="O1454" s="36"/>
      <c r="P1454" s="36"/>
    </row>
    <row r="1455" spans="1:16" s="20" customFormat="1" ht="17.399999999999999" thickBot="1" x14ac:dyDescent="0.45">
      <c r="A1455" s="53"/>
      <c r="B1455" s="77"/>
      <c r="C1455" s="17"/>
      <c r="D1455" s="17"/>
      <c r="E1455" s="76"/>
      <c r="F1455" s="77"/>
      <c r="G1455" s="77"/>
      <c r="H1455" s="17"/>
      <c r="I1455" s="78"/>
      <c r="J1455" s="78"/>
      <c r="K1455" s="78"/>
      <c r="L1455" s="17"/>
      <c r="M1455" s="17"/>
      <c r="N1455" s="146"/>
      <c r="O1455" s="36"/>
      <c r="P1455" s="36"/>
    </row>
    <row r="1456" spans="1:16" s="20" customFormat="1" ht="17.399999999999999" thickBot="1" x14ac:dyDescent="0.45">
      <c r="A1456" s="53"/>
      <c r="B1456" s="110" t="s">
        <v>13</v>
      </c>
      <c r="C1456" s="300" t="s">
        <v>14</v>
      </c>
      <c r="D1456" s="300"/>
      <c r="E1456" s="300"/>
      <c r="F1456" s="300"/>
      <c r="G1456" s="301"/>
      <c r="H1456" s="17"/>
      <c r="I1456" s="78"/>
      <c r="J1456" s="78"/>
      <c r="K1456" s="78"/>
      <c r="L1456" s="17"/>
      <c r="M1456" s="17"/>
      <c r="N1456" s="146"/>
      <c r="O1456" s="36"/>
      <c r="P1456" s="36"/>
    </row>
    <row r="1457" spans="1:16" s="20" customFormat="1" x14ac:dyDescent="0.4">
      <c r="A1457" s="53"/>
      <c r="B1457" s="114" t="s">
        <v>6</v>
      </c>
      <c r="C1457" s="302" t="s">
        <v>1</v>
      </c>
      <c r="D1457" s="303"/>
      <c r="E1457" s="112" t="s">
        <v>193</v>
      </c>
      <c r="F1457" s="114" t="s">
        <v>2</v>
      </c>
      <c r="G1457" s="114" t="s">
        <v>3</v>
      </c>
      <c r="H1457" s="106"/>
      <c r="I1457" s="107" t="s">
        <v>7</v>
      </c>
      <c r="J1457" s="108"/>
      <c r="K1457" s="107" t="s">
        <v>8</v>
      </c>
      <c r="L1457" s="115" t="s">
        <v>194</v>
      </c>
      <c r="M1457" s="17"/>
      <c r="N1457" s="146"/>
      <c r="O1457" s="36"/>
      <c r="P1457" s="36"/>
    </row>
    <row r="1458" spans="1:16" s="20" customFormat="1" x14ac:dyDescent="0.4">
      <c r="A1458" s="53"/>
      <c r="B1458" s="122">
        <v>1</v>
      </c>
      <c r="C1458" s="306" t="s">
        <v>208</v>
      </c>
      <c r="D1458" s="306"/>
      <c r="E1458" s="116">
        <f>I1430</f>
        <v>6</v>
      </c>
      <c r="F1458" s="148">
        <f>ROUND(E1458/I1430,2)</f>
        <v>1</v>
      </c>
      <c r="G1458" s="74" t="str">
        <f>IF(C1458=0,0,VLOOKUP(C1458,Tabla2[],2,FALSE))</f>
        <v>m²</v>
      </c>
      <c r="H1458" s="17"/>
      <c r="I1458" s="117">
        <f>IF(C1458=0,0,VLOOKUP(C1458,Tabla2[],3,FALSE))</f>
        <v>100</v>
      </c>
      <c r="J1458" s="97"/>
      <c r="K1458" s="84">
        <f>+F1458*I1458</f>
        <v>100</v>
      </c>
      <c r="L1458" s="118">
        <f>E1458*I1458</f>
        <v>600</v>
      </c>
      <c r="M1458" s="17"/>
      <c r="N1458" s="146"/>
      <c r="O1458" s="36"/>
      <c r="P1458" s="36"/>
    </row>
    <row r="1459" spans="1:16" s="20" customFormat="1" x14ac:dyDescent="0.4">
      <c r="A1459" s="53"/>
      <c r="B1459" s="122"/>
      <c r="C1459" s="306"/>
      <c r="D1459" s="306"/>
      <c r="E1459" s="116"/>
      <c r="F1459" s="148"/>
      <c r="G1459" s="74"/>
      <c r="H1459" s="17"/>
      <c r="I1459" s="117">
        <f>IF(C1459=0,0,VLOOKUP(C1459,Tabla2[],3,FALSE))</f>
        <v>0</v>
      </c>
      <c r="J1459" s="97"/>
      <c r="K1459" s="84">
        <f t="shared" ref="K1459:K1460" si="220">+F1459*I1459</f>
        <v>0</v>
      </c>
      <c r="L1459" s="118">
        <f t="shared" ref="L1459:L1460" si="221">E1459*I1459</f>
        <v>0</v>
      </c>
      <c r="M1459" s="17"/>
      <c r="N1459" s="146"/>
      <c r="O1459" s="36"/>
      <c r="P1459" s="36"/>
    </row>
    <row r="1460" spans="1:16" s="20" customFormat="1" ht="17.399999999999999" thickBot="1" x14ac:dyDescent="0.45">
      <c r="A1460" s="53"/>
      <c r="B1460" s="123"/>
      <c r="C1460" s="307"/>
      <c r="D1460" s="308"/>
      <c r="E1460" s="124"/>
      <c r="F1460" s="123"/>
      <c r="G1460" s="74"/>
      <c r="H1460" s="17"/>
      <c r="I1460" s="117">
        <f>IF(C1460=0,0,VLOOKUP(C1460,Tabla2[],3,FALSE))</f>
        <v>0</v>
      </c>
      <c r="J1460" s="97"/>
      <c r="K1460" s="84">
        <f t="shared" si="220"/>
        <v>0</v>
      </c>
      <c r="L1460" s="118">
        <f t="shared" si="221"/>
        <v>0</v>
      </c>
      <c r="M1460" s="17"/>
      <c r="N1460" s="146"/>
      <c r="O1460" s="36"/>
      <c r="P1460" s="36"/>
    </row>
    <row r="1461" spans="1:16" s="20" customFormat="1" ht="17.399999999999999" thickBot="1" x14ac:dyDescent="0.45">
      <c r="A1461" s="53"/>
      <c r="B1461" s="297" t="s">
        <v>15</v>
      </c>
      <c r="C1461" s="298"/>
      <c r="D1461" s="298"/>
      <c r="E1461" s="298"/>
      <c r="F1461" s="298"/>
      <c r="G1461" s="299"/>
      <c r="H1461" s="17"/>
      <c r="I1461" s="84">
        <v>0</v>
      </c>
      <c r="J1461" s="78"/>
      <c r="K1461" s="84">
        <v>0</v>
      </c>
      <c r="L1461" s="118">
        <f t="shared" ref="L1461" si="222">E1461*I1461</f>
        <v>0</v>
      </c>
      <c r="M1461" s="17"/>
      <c r="N1461" s="146"/>
      <c r="O1461" s="36"/>
      <c r="P1461" s="36"/>
    </row>
    <row r="1462" spans="1:16" s="20" customFormat="1" ht="17.399999999999999" thickBot="1" x14ac:dyDescent="0.45">
      <c r="A1462" s="53"/>
      <c r="B1462" s="77"/>
      <c r="C1462" s="17"/>
      <c r="D1462" s="17"/>
      <c r="E1462" s="76"/>
      <c r="F1462" s="77"/>
      <c r="G1462" s="77"/>
      <c r="H1462" s="17"/>
      <c r="I1462" s="78"/>
      <c r="J1462" s="78"/>
      <c r="K1462" s="78"/>
      <c r="L1462" s="17"/>
      <c r="M1462" s="17"/>
      <c r="N1462" s="146"/>
      <c r="O1462" s="36"/>
      <c r="P1462" s="36"/>
    </row>
    <row r="1463" spans="1:16" s="20" customFormat="1" ht="17.399999999999999" thickBot="1" x14ac:dyDescent="0.45">
      <c r="A1463" s="53"/>
      <c r="B1463" s="77"/>
      <c r="C1463" s="17"/>
      <c r="D1463" s="17"/>
      <c r="E1463" s="76"/>
      <c r="F1463" s="292" t="s">
        <v>16</v>
      </c>
      <c r="G1463" s="293"/>
      <c r="H1463" s="293"/>
      <c r="I1463" s="294"/>
      <c r="J1463" s="78"/>
      <c r="K1463" s="229">
        <f>+SUM(K1458:K1461)</f>
        <v>100</v>
      </c>
      <c r="L1463" s="119">
        <f>+SUM(L1458:L1461)</f>
        <v>600</v>
      </c>
      <c r="M1463" s="17"/>
      <c r="N1463" s="146"/>
      <c r="O1463" s="36"/>
      <c r="P1463" s="36"/>
    </row>
    <row r="1464" spans="1:16" ht="17.399999999999999" thickBot="1" x14ac:dyDescent="0.45">
      <c r="F1464" s="77"/>
      <c r="J1464" s="78"/>
      <c r="N1464" s="146"/>
    </row>
    <row r="1465" spans="1:16" ht="17.399999999999999" thickBot="1" x14ac:dyDescent="0.45">
      <c r="B1465" s="110" t="s">
        <v>17</v>
      </c>
      <c r="C1465" s="300" t="s">
        <v>18</v>
      </c>
      <c r="D1465" s="300"/>
      <c r="E1465" s="300"/>
      <c r="F1465" s="300"/>
      <c r="G1465" s="301"/>
      <c r="J1465" s="78"/>
      <c r="N1465" s="146"/>
    </row>
    <row r="1466" spans="1:16" x14ac:dyDescent="0.4">
      <c r="B1466" s="114" t="s">
        <v>6</v>
      </c>
      <c r="C1466" s="302" t="s">
        <v>1</v>
      </c>
      <c r="D1466" s="303"/>
      <c r="E1466" s="126"/>
      <c r="F1466" s="114" t="s">
        <v>2</v>
      </c>
      <c r="G1466" s="114" t="s">
        <v>3</v>
      </c>
      <c r="H1466" s="106"/>
      <c r="I1466" s="107" t="s">
        <v>7</v>
      </c>
      <c r="J1466" s="108"/>
      <c r="K1466" s="107" t="s">
        <v>8</v>
      </c>
      <c r="L1466" s="115" t="s">
        <v>194</v>
      </c>
      <c r="N1466" s="146"/>
    </row>
    <row r="1467" spans="1:16" x14ac:dyDescent="0.4">
      <c r="B1467" s="74"/>
      <c r="C1467" s="304"/>
      <c r="D1467" s="305"/>
      <c r="E1467" s="127"/>
      <c r="F1467" s="74"/>
      <c r="G1467" s="74"/>
      <c r="I1467" s="84">
        <v>0</v>
      </c>
      <c r="J1467" s="78"/>
      <c r="K1467" s="84">
        <f>+F1467*I1467</f>
        <v>0</v>
      </c>
      <c r="L1467" s="118">
        <f>E1467*I1467</f>
        <v>0</v>
      </c>
      <c r="N1467" s="146"/>
    </row>
    <row r="1468" spans="1:16" x14ac:dyDescent="0.4">
      <c r="B1468" s="74"/>
      <c r="C1468" s="304"/>
      <c r="D1468" s="305"/>
      <c r="E1468" s="127"/>
      <c r="F1468" s="74"/>
      <c r="G1468" s="74"/>
      <c r="I1468" s="84">
        <v>0</v>
      </c>
      <c r="J1468" s="78"/>
      <c r="K1468" s="84">
        <f t="shared" ref="K1468:K1469" si="223">+F1468*I1468</f>
        <v>0</v>
      </c>
      <c r="L1468" s="118">
        <f t="shared" ref="L1468:L1469" si="224">E1468*I1468</f>
        <v>0</v>
      </c>
      <c r="N1468" s="146"/>
    </row>
    <row r="1469" spans="1:16" x14ac:dyDescent="0.4">
      <c r="B1469" s="74"/>
      <c r="C1469" s="304"/>
      <c r="D1469" s="305"/>
      <c r="E1469" s="127"/>
      <c r="F1469" s="74"/>
      <c r="G1469" s="74"/>
      <c r="I1469" s="84">
        <v>0</v>
      </c>
      <c r="J1469" s="78"/>
      <c r="K1469" s="84">
        <f t="shared" si="223"/>
        <v>0</v>
      </c>
      <c r="L1469" s="118">
        <f t="shared" si="224"/>
        <v>0</v>
      </c>
      <c r="N1469" s="146"/>
    </row>
    <row r="1470" spans="1:16" ht="17.399999999999999" thickBot="1" x14ac:dyDescent="0.45">
      <c r="F1470" s="77"/>
      <c r="J1470" s="78"/>
      <c r="L1470" s="118"/>
      <c r="N1470" s="146"/>
    </row>
    <row r="1471" spans="1:16" ht="17.399999999999999" thickBot="1" x14ac:dyDescent="0.45">
      <c r="F1471" s="292" t="s">
        <v>19</v>
      </c>
      <c r="G1471" s="293"/>
      <c r="H1471" s="293"/>
      <c r="I1471" s="294"/>
      <c r="J1471" s="78"/>
      <c r="K1471" s="229">
        <f>+SUM(K1467:K1469)</f>
        <v>0</v>
      </c>
      <c r="L1471" s="119">
        <f>+SUM(L1466:L1469)</f>
        <v>0</v>
      </c>
      <c r="N1471" s="146"/>
    </row>
    <row r="1472" spans="1:16" ht="15" customHeight="1" x14ac:dyDescent="0.4">
      <c r="F1472" s="129"/>
      <c r="G1472" s="129"/>
      <c r="H1472" s="130"/>
      <c r="I1472" s="108"/>
      <c r="J1472" s="78"/>
      <c r="K1472" s="230"/>
      <c r="N1472" s="146"/>
    </row>
    <row r="1473" spans="1:16" ht="15" customHeight="1" thickBot="1" x14ac:dyDescent="0.45">
      <c r="F1473" s="77"/>
      <c r="J1473" s="78"/>
      <c r="N1473" s="146"/>
    </row>
    <row r="1474" spans="1:16" ht="17.399999999999999" thickBot="1" x14ac:dyDescent="0.45">
      <c r="F1474" s="292" t="s">
        <v>20</v>
      </c>
      <c r="G1474" s="293"/>
      <c r="H1474" s="293"/>
      <c r="I1474" s="294"/>
      <c r="J1474" s="78"/>
      <c r="K1474" s="229">
        <f>(+K1445+K1454+K1463+K1471)</f>
        <v>300</v>
      </c>
      <c r="L1474" s="119">
        <f>(+L1445+L1454+L1463+L1471)</f>
        <v>1800</v>
      </c>
      <c r="N1474" s="149"/>
      <c r="O1474" s="39"/>
      <c r="P1474" s="40"/>
    </row>
    <row r="1475" spans="1:16" ht="7.5" customHeight="1" thickBot="1" x14ac:dyDescent="0.45">
      <c r="F1475" s="77"/>
      <c r="J1475" s="78"/>
      <c r="N1475" s="149"/>
      <c r="O1475" s="41"/>
      <c r="P1475" s="40"/>
    </row>
    <row r="1476" spans="1:16" ht="17.399999999999999" thickBot="1" x14ac:dyDescent="0.45">
      <c r="F1476" s="292" t="s">
        <v>21</v>
      </c>
      <c r="G1476" s="293"/>
      <c r="H1476" s="293"/>
      <c r="I1476" s="294"/>
      <c r="J1476" s="78"/>
      <c r="K1476" s="229">
        <f>K1474*$N$2</f>
        <v>120</v>
      </c>
      <c r="L1476" s="119">
        <f>L1474*$N$2</f>
        <v>720</v>
      </c>
      <c r="N1476" s="146"/>
    </row>
    <row r="1477" spans="1:16" ht="7.5" customHeight="1" thickBot="1" x14ac:dyDescent="0.45">
      <c r="F1477" s="77"/>
      <c r="J1477" s="78"/>
      <c r="N1477" s="146"/>
    </row>
    <row r="1478" spans="1:16" ht="17.399999999999999" thickBot="1" x14ac:dyDescent="0.45">
      <c r="F1478" s="292" t="s">
        <v>22</v>
      </c>
      <c r="G1478" s="293"/>
      <c r="H1478" s="293"/>
      <c r="I1478" s="294"/>
      <c r="J1478" s="78"/>
      <c r="K1478" s="229">
        <f>+K1474+K1476</f>
        <v>420</v>
      </c>
      <c r="L1478" s="119">
        <f>+L1474+L1476</f>
        <v>2520</v>
      </c>
      <c r="N1478" s="146"/>
    </row>
    <row r="1479" spans="1:16" ht="17.399999999999999" thickBot="1" x14ac:dyDescent="0.45">
      <c r="F1479" s="129"/>
      <c r="G1479" s="129"/>
      <c r="H1479" s="130"/>
      <c r="I1479" s="108"/>
      <c r="J1479" s="78"/>
      <c r="K1479" s="231"/>
      <c r="L1479" s="132">
        <f>L1478/I1430</f>
        <v>420</v>
      </c>
      <c r="M1479" s="133">
        <f>(K1478-L1479)*I1430</f>
        <v>0</v>
      </c>
      <c r="N1479" s="146"/>
    </row>
    <row r="1480" spans="1:16" x14ac:dyDescent="0.4">
      <c r="F1480" s="129"/>
      <c r="G1480" s="129"/>
      <c r="H1480" s="130"/>
      <c r="I1480" s="108"/>
      <c r="J1480" s="78"/>
      <c r="K1480" s="232"/>
      <c r="L1480" s="131"/>
      <c r="M1480" s="134"/>
      <c r="N1480" s="150"/>
    </row>
    <row r="1481" spans="1:16" ht="17.399999999999999" thickBot="1" x14ac:dyDescent="0.45">
      <c r="B1481" s="295"/>
      <c r="C1481" s="295"/>
      <c r="D1481" s="295"/>
      <c r="F1481" s="77"/>
      <c r="J1481" s="78"/>
      <c r="N1481" s="146"/>
    </row>
    <row r="1482" spans="1:16" x14ac:dyDescent="0.4">
      <c r="B1482" s="296" t="s">
        <v>23</v>
      </c>
      <c r="C1482" s="296"/>
      <c r="D1482" s="296"/>
      <c r="F1482" s="77"/>
      <c r="J1482" s="78"/>
      <c r="N1482" s="146"/>
    </row>
    <row r="1483" spans="1:16" x14ac:dyDescent="0.4">
      <c r="B1483" s="157"/>
      <c r="C1483" s="157"/>
      <c r="D1483" s="157"/>
      <c r="F1483" s="77"/>
      <c r="J1483" s="78"/>
      <c r="N1483" s="146"/>
    </row>
    <row r="1484" spans="1:16" x14ac:dyDescent="0.4">
      <c r="B1484" s="157"/>
      <c r="C1484" s="157"/>
      <c r="D1484" s="157"/>
      <c r="F1484" s="77"/>
      <c r="J1484" s="78"/>
      <c r="N1484" s="146"/>
    </row>
    <row r="1485" spans="1:16" x14ac:dyDescent="0.4">
      <c r="B1485" s="105" t="s">
        <v>43</v>
      </c>
      <c r="C1485" s="106"/>
      <c r="D1485" s="311" t="s">
        <v>1</v>
      </c>
      <c r="E1485" s="311"/>
      <c r="F1485" s="311"/>
      <c r="G1485" s="311"/>
      <c r="H1485" s="106"/>
      <c r="I1485" s="107" t="s">
        <v>2</v>
      </c>
      <c r="J1485" s="108"/>
      <c r="K1485" s="107" t="s">
        <v>3</v>
      </c>
      <c r="N1485" s="146"/>
    </row>
    <row r="1486" spans="1:16" s="4" customFormat="1" ht="30.75" customHeight="1" x14ac:dyDescent="0.3">
      <c r="A1486" s="31"/>
      <c r="B1486" s="213">
        <f>CATALOGO!B43</f>
        <v>511.01</v>
      </c>
      <c r="C1486" s="71"/>
      <c r="D1486" s="312" t="str">
        <f>CATALOGO!C43</f>
        <v>COLUMNA METÁLICA DE TUBO 4" X 4", CH 14</v>
      </c>
      <c r="E1486" s="312"/>
      <c r="F1486" s="312"/>
      <c r="G1486" s="312"/>
      <c r="H1486" s="71"/>
      <c r="I1486" s="213">
        <f>CATALOGO!D43</f>
        <v>5.6</v>
      </c>
      <c r="J1486" s="109"/>
      <c r="K1486" s="227" t="str">
        <f>CATALOGO!E43</f>
        <v>ml</v>
      </c>
      <c r="L1486" s="71"/>
      <c r="M1486" s="71"/>
      <c r="N1486" s="147"/>
      <c r="O1486" s="37"/>
      <c r="P1486" s="37"/>
    </row>
    <row r="1487" spans="1:16" ht="17.399999999999999" thickBot="1" x14ac:dyDescent="0.45">
      <c r="F1487" s="77"/>
      <c r="J1487" s="78"/>
      <c r="N1487" s="146"/>
    </row>
    <row r="1488" spans="1:16" ht="17.399999999999999" thickBot="1" x14ac:dyDescent="0.45">
      <c r="B1488" s="110" t="s">
        <v>4</v>
      </c>
      <c r="C1488" s="300" t="s">
        <v>5</v>
      </c>
      <c r="D1488" s="300"/>
      <c r="E1488" s="300"/>
      <c r="F1488" s="300"/>
      <c r="G1488" s="301"/>
      <c r="J1488" s="78"/>
      <c r="N1488" s="146"/>
    </row>
    <row r="1489" spans="1:16" s="20" customFormat="1" x14ac:dyDescent="0.4">
      <c r="A1489" s="53"/>
      <c r="B1489" s="111" t="s">
        <v>6</v>
      </c>
      <c r="C1489" s="313" t="s">
        <v>1</v>
      </c>
      <c r="D1489" s="314"/>
      <c r="E1489" s="112" t="s">
        <v>193</v>
      </c>
      <c r="F1489" s="111" t="s">
        <v>2</v>
      </c>
      <c r="G1489" s="114" t="s">
        <v>3</v>
      </c>
      <c r="H1489" s="106"/>
      <c r="I1489" s="107" t="s">
        <v>7</v>
      </c>
      <c r="J1489" s="108"/>
      <c r="K1489" s="228" t="s">
        <v>8</v>
      </c>
      <c r="L1489" s="115" t="s">
        <v>194</v>
      </c>
      <c r="M1489" s="17"/>
      <c r="N1489" s="146"/>
      <c r="O1489" s="36"/>
      <c r="P1489" s="36"/>
    </row>
    <row r="1490" spans="1:16" s="20" customFormat="1" x14ac:dyDescent="0.4">
      <c r="A1490" s="53"/>
      <c r="B1490" s="122">
        <v>1</v>
      </c>
      <c r="C1490" s="315" t="s">
        <v>402</v>
      </c>
      <c r="D1490" s="316"/>
      <c r="E1490" s="116">
        <f>I1486*0.3</f>
        <v>1.68</v>
      </c>
      <c r="F1490" s="83">
        <f>ROUND(E1490/I1486,2)</f>
        <v>0.3</v>
      </c>
      <c r="G1490" s="74" t="str">
        <f>IF(C1490=0,0,VLOOKUP(C1490,Tabla1[],2,FALSE))</f>
        <v>Unidad</v>
      </c>
      <c r="H1490" s="17"/>
      <c r="I1490" s="117">
        <f>IF(C1490=0,0,VLOOKUP(C1490,Tabla1[],3,FALSE))</f>
        <v>550</v>
      </c>
      <c r="J1490" s="97"/>
      <c r="K1490" s="84">
        <f>+F1490*I1490</f>
        <v>165</v>
      </c>
      <c r="L1490" s="118">
        <f>E1490*I1490</f>
        <v>924</v>
      </c>
      <c r="M1490" s="17"/>
      <c r="N1490" s="146"/>
      <c r="O1490" s="36"/>
      <c r="P1490" s="36"/>
    </row>
    <row r="1491" spans="1:16" s="20" customFormat="1" x14ac:dyDescent="0.4">
      <c r="A1491" s="53"/>
      <c r="B1491" s="122">
        <v>2</v>
      </c>
      <c r="C1491" s="319" t="s">
        <v>582</v>
      </c>
      <c r="D1491" s="318"/>
      <c r="E1491" s="116">
        <f>I1486*0.1</f>
        <v>0.55999999999999994</v>
      </c>
      <c r="F1491" s="83">
        <f>ROUND(E1491/I1486,2)</f>
        <v>0.1</v>
      </c>
      <c r="G1491" s="74" t="str">
        <f>IF(C1491=0,0,VLOOKUP(C1491,Tabla1[],2,FALSE))</f>
        <v>Unidad</v>
      </c>
      <c r="H1491" s="17"/>
      <c r="I1491" s="117">
        <f>IF(C1491=0,0,VLOOKUP(C1491,Tabla1[],3,FALSE))</f>
        <v>20</v>
      </c>
      <c r="J1491" s="97"/>
      <c r="K1491" s="84">
        <f t="shared" ref="K1491:K1499" si="225">+F1491*I1491</f>
        <v>2</v>
      </c>
      <c r="L1491" s="118">
        <f t="shared" ref="L1491:L1499" si="226">E1491*I1491</f>
        <v>11.2</v>
      </c>
      <c r="M1491" s="17"/>
      <c r="N1491" s="146"/>
      <c r="O1491" s="36"/>
      <c r="P1491" s="36"/>
    </row>
    <row r="1492" spans="1:16" s="20" customFormat="1" x14ac:dyDescent="0.4">
      <c r="A1492" s="53"/>
      <c r="B1492" s="122">
        <v>3</v>
      </c>
      <c r="C1492" s="319" t="s">
        <v>583</v>
      </c>
      <c r="D1492" s="318"/>
      <c r="E1492" s="116">
        <f>I1486*0.1</f>
        <v>0.55999999999999994</v>
      </c>
      <c r="F1492" s="83">
        <f>ROUND(E1492/I1486,2)</f>
        <v>0.1</v>
      </c>
      <c r="G1492" s="74" t="str">
        <f>IF(C1492=0,0,VLOOKUP(C1492,Tabla1[],2,FALSE))</f>
        <v>Unidad</v>
      </c>
      <c r="H1492" s="17"/>
      <c r="I1492" s="117">
        <f>IF(C1492=0,0,VLOOKUP(C1492,Tabla1[],3,FALSE))</f>
        <v>10</v>
      </c>
      <c r="J1492" s="97"/>
      <c r="K1492" s="84">
        <f t="shared" si="225"/>
        <v>1</v>
      </c>
      <c r="L1492" s="118">
        <f t="shared" si="226"/>
        <v>5.6</v>
      </c>
      <c r="M1492" s="17"/>
      <c r="N1492" s="146"/>
      <c r="O1492" s="36"/>
      <c r="P1492" s="36"/>
    </row>
    <row r="1493" spans="1:16" s="20" customFormat="1" x14ac:dyDescent="0.4">
      <c r="A1493" s="53"/>
      <c r="B1493" s="122">
        <v>4</v>
      </c>
      <c r="C1493" s="319" t="s">
        <v>584</v>
      </c>
      <c r="D1493" s="318"/>
      <c r="E1493" s="116">
        <f>I1486*0.05</f>
        <v>0.27999999999999997</v>
      </c>
      <c r="F1493" s="83">
        <f>ROUND(E1493/I1486,2)</f>
        <v>0.05</v>
      </c>
      <c r="G1493" s="74" t="str">
        <f>IF(C1493=0,0,VLOOKUP(C1493,Tabla1[],2,FALSE))</f>
        <v>Unidad</v>
      </c>
      <c r="H1493" s="17"/>
      <c r="I1493" s="117">
        <f>IF(C1493=0,0,VLOOKUP(C1493,Tabla1[],3,FALSE))</f>
        <v>20</v>
      </c>
      <c r="J1493" s="97"/>
      <c r="K1493" s="84">
        <f t="shared" si="225"/>
        <v>1</v>
      </c>
      <c r="L1493" s="118">
        <f t="shared" si="226"/>
        <v>5.6</v>
      </c>
      <c r="M1493" s="17"/>
      <c r="N1493" s="146"/>
      <c r="O1493" s="36"/>
      <c r="P1493" s="36"/>
    </row>
    <row r="1494" spans="1:16" s="20" customFormat="1" x14ac:dyDescent="0.4">
      <c r="A1494" s="53"/>
      <c r="B1494" s="122">
        <v>5</v>
      </c>
      <c r="C1494" s="319" t="s">
        <v>200</v>
      </c>
      <c r="D1494" s="318"/>
      <c r="E1494" s="116">
        <f>I1486*0.3</f>
        <v>1.68</v>
      </c>
      <c r="F1494" s="83">
        <f>ROUND(E1494/I1486,2)</f>
        <v>0.3</v>
      </c>
      <c r="G1494" s="74" t="str">
        <f>IF(C1494=0,0,VLOOKUP(C1494,Tabla1[],2,FALSE))</f>
        <v>Libra</v>
      </c>
      <c r="H1494" s="17"/>
      <c r="I1494" s="117">
        <f>IF(C1494=0,0,VLOOKUP(C1494,Tabla1[],3,FALSE))</f>
        <v>20</v>
      </c>
      <c r="J1494" s="97"/>
      <c r="K1494" s="84">
        <f t="shared" si="225"/>
        <v>6</v>
      </c>
      <c r="L1494" s="118">
        <f t="shared" si="226"/>
        <v>33.6</v>
      </c>
      <c r="M1494" s="17"/>
      <c r="N1494" s="146"/>
      <c r="O1494" s="36"/>
      <c r="P1494" s="36"/>
    </row>
    <row r="1495" spans="1:16" s="20" customFormat="1" x14ac:dyDescent="0.4">
      <c r="A1495" s="53"/>
      <c r="B1495" s="122"/>
      <c r="C1495" s="208"/>
      <c r="D1495" s="209"/>
      <c r="E1495" s="116"/>
      <c r="F1495" s="83"/>
      <c r="G1495" s="74"/>
      <c r="H1495" s="17"/>
      <c r="I1495" s="117">
        <f>IF(C1495=0,0,VLOOKUP(C1495,Tabla1[],3,FALSE))</f>
        <v>0</v>
      </c>
      <c r="J1495" s="97"/>
      <c r="K1495" s="84">
        <f t="shared" ref="K1495:K1496" si="227">+F1495*I1495</f>
        <v>0</v>
      </c>
      <c r="L1495" s="118">
        <f t="shared" ref="L1495:L1496" si="228">E1495*I1495</f>
        <v>0</v>
      </c>
      <c r="M1495" s="17"/>
      <c r="N1495" s="146"/>
      <c r="O1495" s="36"/>
      <c r="P1495" s="36"/>
    </row>
    <row r="1496" spans="1:16" s="20" customFormat="1" x14ac:dyDescent="0.4">
      <c r="A1496" s="53"/>
      <c r="B1496" s="122"/>
      <c r="C1496" s="208"/>
      <c r="D1496" s="209"/>
      <c r="E1496" s="116"/>
      <c r="F1496" s="83"/>
      <c r="G1496" s="74"/>
      <c r="H1496" s="17"/>
      <c r="I1496" s="117">
        <f>IF(C1496=0,0,VLOOKUP(C1496,Tabla1[],3,FALSE))</f>
        <v>0</v>
      </c>
      <c r="J1496" s="97"/>
      <c r="K1496" s="84">
        <f t="shared" si="227"/>
        <v>0</v>
      </c>
      <c r="L1496" s="118">
        <f t="shared" si="228"/>
        <v>0</v>
      </c>
      <c r="M1496" s="17"/>
      <c r="N1496" s="146"/>
      <c r="O1496" s="36"/>
      <c r="P1496" s="36"/>
    </row>
    <row r="1497" spans="1:16" s="20" customFormat="1" x14ac:dyDescent="0.4">
      <c r="A1497" s="53"/>
      <c r="B1497" s="122"/>
      <c r="C1497" s="319"/>
      <c r="D1497" s="318"/>
      <c r="E1497" s="116"/>
      <c r="F1497" s="148"/>
      <c r="G1497" s="74"/>
      <c r="H1497" s="17"/>
      <c r="I1497" s="117">
        <f>IF(C1497=0,0,VLOOKUP(C1497,Tabla1[],3,FALSE))</f>
        <v>0</v>
      </c>
      <c r="J1497" s="97"/>
      <c r="K1497" s="84">
        <f t="shared" si="225"/>
        <v>0</v>
      </c>
      <c r="L1497" s="118">
        <f t="shared" si="226"/>
        <v>0</v>
      </c>
      <c r="M1497" s="17"/>
      <c r="N1497" s="146"/>
      <c r="O1497" s="36"/>
      <c r="P1497" s="36"/>
    </row>
    <row r="1498" spans="1:16" s="20" customFormat="1" x14ac:dyDescent="0.4">
      <c r="A1498" s="53"/>
      <c r="B1498" s="122"/>
      <c r="C1498" s="319"/>
      <c r="D1498" s="318"/>
      <c r="E1498" s="116"/>
      <c r="F1498" s="148"/>
      <c r="G1498" s="74"/>
      <c r="H1498" s="17"/>
      <c r="I1498" s="117">
        <f>IF(C1498=0,0,VLOOKUP(C1498,Tabla1[],3,FALSE))</f>
        <v>0</v>
      </c>
      <c r="J1498" s="97"/>
      <c r="K1498" s="84">
        <f t="shared" si="225"/>
        <v>0</v>
      </c>
      <c r="L1498" s="118">
        <f t="shared" si="226"/>
        <v>0</v>
      </c>
      <c r="M1498" s="17"/>
      <c r="N1498" s="146"/>
      <c r="O1498" s="36"/>
      <c r="P1498" s="36"/>
    </row>
    <row r="1499" spans="1:16" s="20" customFormat="1" x14ac:dyDescent="0.4">
      <c r="A1499" s="53"/>
      <c r="B1499" s="122"/>
      <c r="C1499" s="319"/>
      <c r="D1499" s="318"/>
      <c r="E1499" s="116"/>
      <c r="F1499" s="148"/>
      <c r="G1499" s="74"/>
      <c r="H1499" s="17"/>
      <c r="I1499" s="117">
        <f>IF(C1499=0,0,VLOOKUP(C1499,Tabla1[],3,FALSE))</f>
        <v>0</v>
      </c>
      <c r="J1499" s="97"/>
      <c r="K1499" s="84">
        <f t="shared" si="225"/>
        <v>0</v>
      </c>
      <c r="L1499" s="118">
        <f t="shared" si="226"/>
        <v>0</v>
      </c>
      <c r="M1499" s="17"/>
      <c r="N1499" s="146"/>
      <c r="O1499" s="36"/>
      <c r="P1499" s="36"/>
    </row>
    <row r="1500" spans="1:16" s="20" customFormat="1" ht="17.399999999999999" thickBot="1" x14ac:dyDescent="0.45">
      <c r="A1500" s="53"/>
      <c r="B1500" s="77"/>
      <c r="C1500" s="17"/>
      <c r="D1500" s="17"/>
      <c r="E1500" s="76"/>
      <c r="F1500" s="77"/>
      <c r="G1500" s="77"/>
      <c r="H1500" s="17"/>
      <c r="I1500" s="78"/>
      <c r="J1500" s="78"/>
      <c r="K1500" s="78"/>
      <c r="L1500" s="17"/>
      <c r="M1500" s="17"/>
      <c r="N1500" s="146"/>
      <c r="O1500" s="36"/>
      <c r="P1500" s="36"/>
    </row>
    <row r="1501" spans="1:16" s="20" customFormat="1" ht="17.399999999999999" thickBot="1" x14ac:dyDescent="0.45">
      <c r="A1501" s="53"/>
      <c r="B1501" s="77"/>
      <c r="C1501" s="17"/>
      <c r="D1501" s="17"/>
      <c r="E1501" s="76"/>
      <c r="F1501" s="292" t="s">
        <v>9</v>
      </c>
      <c r="G1501" s="293"/>
      <c r="H1501" s="293"/>
      <c r="I1501" s="294"/>
      <c r="J1501" s="78"/>
      <c r="K1501" s="229">
        <f>+SUM(K1490:K1499)</f>
        <v>175</v>
      </c>
      <c r="L1501" s="119">
        <f>+SUM(L1490:L1499)</f>
        <v>980.00000000000011</v>
      </c>
      <c r="M1501" s="17"/>
      <c r="N1501" s="146"/>
      <c r="O1501" s="36"/>
      <c r="P1501" s="36"/>
    </row>
    <row r="1502" spans="1:16" s="20" customFormat="1" ht="17.399999999999999" thickBot="1" x14ac:dyDescent="0.45">
      <c r="A1502" s="53"/>
      <c r="B1502" s="77"/>
      <c r="C1502" s="17"/>
      <c r="D1502" s="17"/>
      <c r="E1502" s="76"/>
      <c r="F1502" s="77"/>
      <c r="G1502" s="77"/>
      <c r="H1502" s="17"/>
      <c r="I1502" s="78"/>
      <c r="J1502" s="78"/>
      <c r="K1502" s="78"/>
      <c r="L1502" s="17"/>
      <c r="M1502" s="17"/>
      <c r="N1502" s="146"/>
      <c r="O1502" s="36"/>
      <c r="P1502" s="36"/>
    </row>
    <row r="1503" spans="1:16" s="20" customFormat="1" ht="17.399999999999999" thickBot="1" x14ac:dyDescent="0.45">
      <c r="A1503" s="53"/>
      <c r="B1503" s="110" t="s">
        <v>10</v>
      </c>
      <c r="C1503" s="300" t="s">
        <v>11</v>
      </c>
      <c r="D1503" s="300"/>
      <c r="E1503" s="300"/>
      <c r="F1503" s="300"/>
      <c r="G1503" s="301"/>
      <c r="H1503" s="17"/>
      <c r="I1503" s="78"/>
      <c r="J1503" s="78"/>
      <c r="K1503" s="78"/>
      <c r="L1503" s="17"/>
      <c r="M1503" s="17"/>
      <c r="N1503" s="146"/>
      <c r="O1503" s="36"/>
      <c r="P1503" s="36"/>
    </row>
    <row r="1504" spans="1:16" s="20" customFormat="1" x14ac:dyDescent="0.4">
      <c r="A1504" s="53"/>
      <c r="B1504" s="114" t="s">
        <v>6</v>
      </c>
      <c r="C1504" s="302" t="s">
        <v>1</v>
      </c>
      <c r="D1504" s="303"/>
      <c r="E1504" s="112" t="s">
        <v>193</v>
      </c>
      <c r="F1504" s="114" t="s">
        <v>2</v>
      </c>
      <c r="G1504" s="114" t="s">
        <v>3</v>
      </c>
      <c r="H1504" s="106"/>
      <c r="I1504" s="107" t="s">
        <v>7</v>
      </c>
      <c r="J1504" s="108"/>
      <c r="K1504" s="107" t="s">
        <v>8</v>
      </c>
      <c r="L1504" s="115" t="s">
        <v>194</v>
      </c>
      <c r="M1504" s="17"/>
      <c r="N1504" s="146"/>
      <c r="O1504" s="36"/>
      <c r="P1504" s="36"/>
    </row>
    <row r="1505" spans="1:16" s="20" customFormat="1" x14ac:dyDescent="0.4">
      <c r="A1505" s="53"/>
      <c r="B1505" s="122"/>
      <c r="C1505" s="306"/>
      <c r="D1505" s="306"/>
      <c r="E1505" s="116"/>
      <c r="F1505" s="148"/>
      <c r="G1505" s="74"/>
      <c r="H1505" s="17"/>
      <c r="I1505" s="117">
        <f>IF(C1505=0,0,VLOOKUP(C1505,Tabla3[],3,FALSE))</f>
        <v>0</v>
      </c>
      <c r="J1505" s="97"/>
      <c r="K1505" s="84">
        <f t="shared" ref="K1505:K1508" si="229">+F1505*I1505</f>
        <v>0</v>
      </c>
      <c r="L1505" s="118">
        <f>E1505*I1505</f>
        <v>0</v>
      </c>
      <c r="M1505" s="17"/>
      <c r="N1505" s="146"/>
      <c r="O1505" s="36"/>
      <c r="P1505" s="36"/>
    </row>
    <row r="1506" spans="1:16" s="20" customFormat="1" x14ac:dyDescent="0.4">
      <c r="A1506" s="53"/>
      <c r="B1506" s="74"/>
      <c r="C1506" s="309"/>
      <c r="D1506" s="310"/>
      <c r="E1506" s="121"/>
      <c r="F1506" s="74"/>
      <c r="G1506" s="74"/>
      <c r="H1506" s="17"/>
      <c r="I1506" s="117">
        <f>IF(C1506=0,0,VLOOKUP(C1506,Tabla3[],3,FALSE))</f>
        <v>0</v>
      </c>
      <c r="J1506" s="97"/>
      <c r="K1506" s="84">
        <f t="shared" si="229"/>
        <v>0</v>
      </c>
      <c r="L1506" s="118">
        <f t="shared" ref="L1506:L1508" si="230">E1506*I1506</f>
        <v>0</v>
      </c>
      <c r="M1506" s="17"/>
      <c r="N1506" s="146"/>
      <c r="O1506" s="36"/>
      <c r="P1506" s="36"/>
    </row>
    <row r="1507" spans="1:16" s="20" customFormat="1" x14ac:dyDescent="0.4">
      <c r="A1507" s="53"/>
      <c r="B1507" s="74"/>
      <c r="C1507" s="309"/>
      <c r="D1507" s="310"/>
      <c r="E1507" s="121"/>
      <c r="F1507" s="74"/>
      <c r="G1507" s="74"/>
      <c r="H1507" s="17"/>
      <c r="I1507" s="117">
        <f>IF(C1507=0,0,VLOOKUP(C1507,Tabla3[],3,FALSE))</f>
        <v>0</v>
      </c>
      <c r="J1507" s="97"/>
      <c r="K1507" s="84">
        <f t="shared" si="229"/>
        <v>0</v>
      </c>
      <c r="L1507" s="118">
        <f t="shared" si="230"/>
        <v>0</v>
      </c>
      <c r="M1507" s="17"/>
      <c r="N1507" s="146"/>
      <c r="O1507" s="36"/>
      <c r="P1507" s="36"/>
    </row>
    <row r="1508" spans="1:16" s="20" customFormat="1" x14ac:dyDescent="0.4">
      <c r="A1508" s="53"/>
      <c r="B1508" s="74"/>
      <c r="C1508" s="304"/>
      <c r="D1508" s="305"/>
      <c r="E1508" s="121"/>
      <c r="F1508" s="74"/>
      <c r="G1508" s="74"/>
      <c r="H1508" s="17"/>
      <c r="I1508" s="117">
        <f>IF(C1508=0,0,VLOOKUP(C1508,Tabla3[],3,FALSE))</f>
        <v>0</v>
      </c>
      <c r="J1508" s="97"/>
      <c r="K1508" s="84">
        <f t="shared" si="229"/>
        <v>0</v>
      </c>
      <c r="L1508" s="118">
        <f t="shared" si="230"/>
        <v>0</v>
      </c>
      <c r="M1508" s="17"/>
      <c r="N1508" s="146"/>
      <c r="O1508" s="36"/>
      <c r="P1508" s="36"/>
    </row>
    <row r="1509" spans="1:16" s="20" customFormat="1" ht="17.399999999999999" thickBot="1" x14ac:dyDescent="0.45">
      <c r="A1509" s="53"/>
      <c r="B1509" s="77"/>
      <c r="C1509" s="17"/>
      <c r="D1509" s="17"/>
      <c r="E1509" s="76"/>
      <c r="F1509" s="77"/>
      <c r="G1509" s="77"/>
      <c r="H1509" s="17"/>
      <c r="I1509" s="78"/>
      <c r="J1509" s="78"/>
      <c r="K1509" s="78"/>
      <c r="L1509" s="17"/>
      <c r="M1509" s="17"/>
      <c r="N1509" s="146"/>
      <c r="O1509" s="36"/>
      <c r="P1509" s="36"/>
    </row>
    <row r="1510" spans="1:16" s="20" customFormat="1" ht="17.399999999999999" thickBot="1" x14ac:dyDescent="0.45">
      <c r="A1510" s="53"/>
      <c r="B1510" s="77"/>
      <c r="C1510" s="17"/>
      <c r="D1510" s="17"/>
      <c r="E1510" s="76"/>
      <c r="F1510" s="292" t="s">
        <v>12</v>
      </c>
      <c r="G1510" s="293"/>
      <c r="H1510" s="293"/>
      <c r="I1510" s="294"/>
      <c r="J1510" s="78"/>
      <c r="K1510" s="229">
        <f>+SUM(K1505:K1508)</f>
        <v>0</v>
      </c>
      <c r="L1510" s="119">
        <f>+SUM(L1505:L1508)</f>
        <v>0</v>
      </c>
      <c r="M1510" s="17"/>
      <c r="N1510" s="146"/>
      <c r="O1510" s="36"/>
      <c r="P1510" s="36"/>
    </row>
    <row r="1511" spans="1:16" s="20" customFormat="1" ht="17.399999999999999" thickBot="1" x14ac:dyDescent="0.45">
      <c r="A1511" s="53"/>
      <c r="B1511" s="77"/>
      <c r="C1511" s="17"/>
      <c r="D1511" s="17"/>
      <c r="E1511" s="76"/>
      <c r="F1511" s="77"/>
      <c r="G1511" s="77"/>
      <c r="H1511" s="17"/>
      <c r="I1511" s="78"/>
      <c r="J1511" s="78"/>
      <c r="K1511" s="78"/>
      <c r="L1511" s="17"/>
      <c r="M1511" s="17"/>
      <c r="N1511" s="146"/>
      <c r="O1511" s="36"/>
      <c r="P1511" s="36"/>
    </row>
    <row r="1512" spans="1:16" s="20" customFormat="1" ht="17.399999999999999" thickBot="1" x14ac:dyDescent="0.45">
      <c r="A1512" s="53"/>
      <c r="B1512" s="110" t="s">
        <v>13</v>
      </c>
      <c r="C1512" s="300" t="s">
        <v>14</v>
      </c>
      <c r="D1512" s="300"/>
      <c r="E1512" s="300"/>
      <c r="F1512" s="300"/>
      <c r="G1512" s="301"/>
      <c r="H1512" s="17"/>
      <c r="I1512" s="78"/>
      <c r="J1512" s="78"/>
      <c r="K1512" s="78"/>
      <c r="L1512" s="17"/>
      <c r="M1512" s="17"/>
      <c r="N1512" s="146"/>
      <c r="O1512" s="36"/>
      <c r="P1512" s="36"/>
    </row>
    <row r="1513" spans="1:16" s="20" customFormat="1" x14ac:dyDescent="0.4">
      <c r="A1513" s="53"/>
      <c r="B1513" s="114" t="s">
        <v>6</v>
      </c>
      <c r="C1513" s="302" t="s">
        <v>1</v>
      </c>
      <c r="D1513" s="303"/>
      <c r="E1513" s="112" t="s">
        <v>193</v>
      </c>
      <c r="F1513" s="114" t="s">
        <v>2</v>
      </c>
      <c r="G1513" s="114" t="s">
        <v>3</v>
      </c>
      <c r="H1513" s="106"/>
      <c r="I1513" s="107" t="s">
        <v>7</v>
      </c>
      <c r="J1513" s="108"/>
      <c r="K1513" s="107" t="s">
        <v>8</v>
      </c>
      <c r="L1513" s="115" t="s">
        <v>194</v>
      </c>
      <c r="M1513" s="17"/>
      <c r="N1513" s="146"/>
      <c r="O1513" s="36"/>
      <c r="P1513" s="36"/>
    </row>
    <row r="1514" spans="1:16" s="20" customFormat="1" x14ac:dyDescent="0.4">
      <c r="A1514" s="53"/>
      <c r="B1514" s="122">
        <v>1</v>
      </c>
      <c r="C1514" s="306" t="s">
        <v>585</v>
      </c>
      <c r="D1514" s="306"/>
      <c r="E1514" s="116">
        <f>I1486</f>
        <v>5.6</v>
      </c>
      <c r="F1514" s="148">
        <f>ROUND(E1514/I1486,2)</f>
        <v>1</v>
      </c>
      <c r="G1514" s="74" t="str">
        <f>IF(C1514=0,0,VLOOKUP(C1514,Tabla2[],2,FALSE))</f>
        <v>ml</v>
      </c>
      <c r="H1514" s="17"/>
      <c r="I1514" s="117">
        <f>IF(C1514=0,0,VLOOKUP(C1514,Tabla2[],3,FALSE))</f>
        <v>60</v>
      </c>
      <c r="J1514" s="97"/>
      <c r="K1514" s="84">
        <f>+F1514*I1514</f>
        <v>60</v>
      </c>
      <c r="L1514" s="118">
        <f>E1514*I1514</f>
        <v>336</v>
      </c>
      <c r="M1514" s="17"/>
      <c r="N1514" s="146"/>
      <c r="O1514" s="36"/>
      <c r="P1514" s="36"/>
    </row>
    <row r="1515" spans="1:16" s="20" customFormat="1" x14ac:dyDescent="0.4">
      <c r="A1515" s="53"/>
      <c r="B1515" s="122"/>
      <c r="C1515" s="306"/>
      <c r="D1515" s="306"/>
      <c r="E1515" s="116"/>
      <c r="F1515" s="148"/>
      <c r="G1515" s="74"/>
      <c r="H1515" s="17"/>
      <c r="I1515" s="117">
        <f>IF(C1515=0,0,VLOOKUP(C1515,Tabla2[],3,FALSE))</f>
        <v>0</v>
      </c>
      <c r="J1515" s="97"/>
      <c r="K1515" s="84">
        <f t="shared" ref="K1515:K1516" si="231">+F1515*I1515</f>
        <v>0</v>
      </c>
      <c r="L1515" s="118">
        <f t="shared" ref="L1515:L1517" si="232">E1515*I1515</f>
        <v>0</v>
      </c>
      <c r="M1515" s="17"/>
      <c r="N1515" s="146"/>
      <c r="O1515" s="36"/>
      <c r="P1515" s="36"/>
    </row>
    <row r="1516" spans="1:16" s="20" customFormat="1" ht="17.399999999999999" thickBot="1" x14ac:dyDescent="0.45">
      <c r="A1516" s="53"/>
      <c r="B1516" s="123"/>
      <c r="C1516" s="307"/>
      <c r="D1516" s="308"/>
      <c r="E1516" s="124"/>
      <c r="F1516" s="123"/>
      <c r="G1516" s="74"/>
      <c r="H1516" s="17"/>
      <c r="I1516" s="117">
        <f>IF(C1516=0,0,VLOOKUP(C1516,Tabla2[],3,FALSE))</f>
        <v>0</v>
      </c>
      <c r="J1516" s="97"/>
      <c r="K1516" s="84">
        <f t="shared" si="231"/>
        <v>0</v>
      </c>
      <c r="L1516" s="118">
        <f t="shared" si="232"/>
        <v>0</v>
      </c>
      <c r="M1516" s="17"/>
      <c r="N1516" s="146"/>
      <c r="O1516" s="36"/>
      <c r="P1516" s="36"/>
    </row>
    <row r="1517" spans="1:16" s="20" customFormat="1" ht="17.399999999999999" thickBot="1" x14ac:dyDescent="0.45">
      <c r="A1517" s="53"/>
      <c r="B1517" s="297" t="s">
        <v>15</v>
      </c>
      <c r="C1517" s="298"/>
      <c r="D1517" s="298"/>
      <c r="E1517" s="298"/>
      <c r="F1517" s="298"/>
      <c r="G1517" s="299"/>
      <c r="H1517" s="17"/>
      <c r="I1517" s="84">
        <v>0</v>
      </c>
      <c r="J1517" s="78"/>
      <c r="K1517" s="84">
        <v>0</v>
      </c>
      <c r="L1517" s="118">
        <f t="shared" si="232"/>
        <v>0</v>
      </c>
      <c r="M1517" s="17"/>
      <c r="N1517" s="146"/>
      <c r="O1517" s="36"/>
      <c r="P1517" s="36"/>
    </row>
    <row r="1518" spans="1:16" s="20" customFormat="1" ht="17.399999999999999" thickBot="1" x14ac:dyDescent="0.45">
      <c r="A1518" s="53"/>
      <c r="B1518" s="77"/>
      <c r="C1518" s="17"/>
      <c r="D1518" s="17"/>
      <c r="E1518" s="76"/>
      <c r="F1518" s="77"/>
      <c r="G1518" s="77"/>
      <c r="H1518" s="17"/>
      <c r="I1518" s="78"/>
      <c r="J1518" s="78"/>
      <c r="K1518" s="78"/>
      <c r="L1518" s="17"/>
      <c r="M1518" s="17"/>
      <c r="N1518" s="146"/>
      <c r="O1518" s="36"/>
      <c r="P1518" s="36"/>
    </row>
    <row r="1519" spans="1:16" s="20" customFormat="1" ht="17.399999999999999" thickBot="1" x14ac:dyDescent="0.45">
      <c r="A1519" s="53"/>
      <c r="B1519" s="77"/>
      <c r="C1519" s="17"/>
      <c r="D1519" s="17"/>
      <c r="E1519" s="76"/>
      <c r="F1519" s="292" t="s">
        <v>16</v>
      </c>
      <c r="G1519" s="293"/>
      <c r="H1519" s="293"/>
      <c r="I1519" s="294"/>
      <c r="J1519" s="78"/>
      <c r="K1519" s="229">
        <f>+SUM(K1514:K1517)</f>
        <v>60</v>
      </c>
      <c r="L1519" s="119">
        <f>+SUM(L1514:L1517)</f>
        <v>336</v>
      </c>
      <c r="M1519" s="17"/>
      <c r="N1519" s="146"/>
      <c r="O1519" s="36"/>
      <c r="P1519" s="36"/>
    </row>
    <row r="1520" spans="1:16" ht="17.399999999999999" thickBot="1" x14ac:dyDescent="0.45">
      <c r="F1520" s="77"/>
      <c r="J1520" s="78"/>
      <c r="N1520" s="146"/>
    </row>
    <row r="1521" spans="2:16" ht="17.399999999999999" thickBot="1" x14ac:dyDescent="0.45">
      <c r="B1521" s="110" t="s">
        <v>17</v>
      </c>
      <c r="C1521" s="300" t="s">
        <v>18</v>
      </c>
      <c r="D1521" s="300"/>
      <c r="E1521" s="300"/>
      <c r="F1521" s="300"/>
      <c r="G1521" s="301"/>
      <c r="J1521" s="78"/>
      <c r="N1521" s="146"/>
    </row>
    <row r="1522" spans="2:16" x14ac:dyDescent="0.4">
      <c r="B1522" s="114" t="s">
        <v>6</v>
      </c>
      <c r="C1522" s="302" t="s">
        <v>1</v>
      </c>
      <c r="D1522" s="303"/>
      <c r="E1522" s="126"/>
      <c r="F1522" s="114" t="s">
        <v>2</v>
      </c>
      <c r="G1522" s="114" t="s">
        <v>3</v>
      </c>
      <c r="H1522" s="106"/>
      <c r="I1522" s="107" t="s">
        <v>7</v>
      </c>
      <c r="J1522" s="108"/>
      <c r="K1522" s="107" t="s">
        <v>8</v>
      </c>
      <c r="L1522" s="115" t="s">
        <v>194</v>
      </c>
      <c r="N1522" s="146"/>
    </row>
    <row r="1523" spans="2:16" x14ac:dyDescent="0.4">
      <c r="B1523" s="74"/>
      <c r="C1523" s="304"/>
      <c r="D1523" s="305"/>
      <c r="E1523" s="127"/>
      <c r="F1523" s="74"/>
      <c r="G1523" s="74"/>
      <c r="I1523" s="84">
        <v>0</v>
      </c>
      <c r="J1523" s="78"/>
      <c r="K1523" s="84">
        <f>+F1523*I1523</f>
        <v>0</v>
      </c>
      <c r="L1523" s="118">
        <f>E1523*I1523</f>
        <v>0</v>
      </c>
      <c r="N1523" s="146"/>
    </row>
    <row r="1524" spans="2:16" x14ac:dyDescent="0.4">
      <c r="B1524" s="74"/>
      <c r="C1524" s="304"/>
      <c r="D1524" s="305"/>
      <c r="E1524" s="127"/>
      <c r="F1524" s="74"/>
      <c r="G1524" s="74"/>
      <c r="I1524" s="84">
        <v>0</v>
      </c>
      <c r="J1524" s="78"/>
      <c r="K1524" s="84">
        <f t="shared" ref="K1524:K1525" si="233">+F1524*I1524</f>
        <v>0</v>
      </c>
      <c r="L1524" s="118">
        <f t="shared" ref="L1524:L1525" si="234">E1524*I1524</f>
        <v>0</v>
      </c>
      <c r="N1524" s="146"/>
    </row>
    <row r="1525" spans="2:16" x14ac:dyDescent="0.4">
      <c r="B1525" s="74"/>
      <c r="C1525" s="304"/>
      <c r="D1525" s="305"/>
      <c r="E1525" s="127"/>
      <c r="F1525" s="74"/>
      <c r="G1525" s="74"/>
      <c r="I1525" s="84">
        <v>0</v>
      </c>
      <c r="J1525" s="78"/>
      <c r="K1525" s="84">
        <f t="shared" si="233"/>
        <v>0</v>
      </c>
      <c r="L1525" s="118">
        <f t="shared" si="234"/>
        <v>0</v>
      </c>
      <c r="N1525" s="146"/>
    </row>
    <row r="1526" spans="2:16" ht="17.399999999999999" thickBot="1" x14ac:dyDescent="0.45">
      <c r="F1526" s="77"/>
      <c r="J1526" s="78"/>
      <c r="L1526" s="118"/>
      <c r="N1526" s="146"/>
    </row>
    <row r="1527" spans="2:16" ht="17.399999999999999" thickBot="1" x14ac:dyDescent="0.45">
      <c r="F1527" s="292" t="s">
        <v>19</v>
      </c>
      <c r="G1527" s="293"/>
      <c r="H1527" s="293"/>
      <c r="I1527" s="294"/>
      <c r="J1527" s="78"/>
      <c r="K1527" s="229">
        <f>+SUM(K1523:K1525)</f>
        <v>0</v>
      </c>
      <c r="L1527" s="119">
        <f>+SUM(L1522:L1525)</f>
        <v>0</v>
      </c>
      <c r="N1527" s="146"/>
    </row>
    <row r="1528" spans="2:16" ht="15" customHeight="1" x14ac:dyDescent="0.4">
      <c r="F1528" s="129"/>
      <c r="G1528" s="129"/>
      <c r="H1528" s="130"/>
      <c r="I1528" s="108"/>
      <c r="J1528" s="78"/>
      <c r="K1528" s="230"/>
      <c r="N1528" s="146"/>
    </row>
    <row r="1529" spans="2:16" ht="15" customHeight="1" thickBot="1" x14ac:dyDescent="0.45">
      <c r="F1529" s="77"/>
      <c r="J1529" s="78"/>
      <c r="N1529" s="146"/>
    </row>
    <row r="1530" spans="2:16" ht="17.399999999999999" thickBot="1" x14ac:dyDescent="0.45">
      <c r="F1530" s="292" t="s">
        <v>20</v>
      </c>
      <c r="G1530" s="293"/>
      <c r="H1530" s="293"/>
      <c r="I1530" s="294"/>
      <c r="J1530" s="78"/>
      <c r="K1530" s="229">
        <f>(+K1501+K1510+K1519+K1527)</f>
        <v>235</v>
      </c>
      <c r="L1530" s="119">
        <f>(+L1501+L1510+L1519+L1527)</f>
        <v>1316</v>
      </c>
      <c r="N1530" s="149"/>
      <c r="O1530" s="39"/>
      <c r="P1530" s="40"/>
    </row>
    <row r="1531" spans="2:16" ht="7.5" customHeight="1" thickBot="1" x14ac:dyDescent="0.45">
      <c r="F1531" s="77"/>
      <c r="J1531" s="78"/>
      <c r="N1531" s="149"/>
      <c r="O1531" s="41"/>
      <c r="P1531" s="40"/>
    </row>
    <row r="1532" spans="2:16" ht="17.399999999999999" thickBot="1" x14ac:dyDescent="0.45">
      <c r="F1532" s="292" t="s">
        <v>21</v>
      </c>
      <c r="G1532" s="293"/>
      <c r="H1532" s="293"/>
      <c r="I1532" s="294"/>
      <c r="J1532" s="78"/>
      <c r="K1532" s="229">
        <f>K1530*$N$2</f>
        <v>94</v>
      </c>
      <c r="L1532" s="119">
        <f>L1530*$N$2</f>
        <v>526.4</v>
      </c>
      <c r="N1532" s="146"/>
    </row>
    <row r="1533" spans="2:16" ht="7.5" customHeight="1" thickBot="1" x14ac:dyDescent="0.45">
      <c r="F1533" s="77"/>
      <c r="J1533" s="78"/>
      <c r="N1533" s="146"/>
    </row>
    <row r="1534" spans="2:16" ht="17.399999999999999" thickBot="1" x14ac:dyDescent="0.45">
      <c r="F1534" s="292" t="s">
        <v>22</v>
      </c>
      <c r="G1534" s="293"/>
      <c r="H1534" s="293"/>
      <c r="I1534" s="294"/>
      <c r="J1534" s="78"/>
      <c r="K1534" s="229">
        <f>+K1530+K1532</f>
        <v>329</v>
      </c>
      <c r="L1534" s="119">
        <f>+L1530+L1532</f>
        <v>1842.4</v>
      </c>
      <c r="N1534" s="146"/>
    </row>
    <row r="1535" spans="2:16" ht="17.399999999999999" thickBot="1" x14ac:dyDescent="0.45">
      <c r="F1535" s="129"/>
      <c r="G1535" s="129"/>
      <c r="H1535" s="130"/>
      <c r="I1535" s="108"/>
      <c r="J1535" s="78"/>
      <c r="K1535" s="231"/>
      <c r="L1535" s="132">
        <f>L1534/I1486</f>
        <v>329.00000000000006</v>
      </c>
      <c r="M1535" s="133">
        <f>(K1534-L1535)*I1486</f>
        <v>-3.1832314562052486E-13</v>
      </c>
      <c r="N1535" s="146"/>
    </row>
    <row r="1536" spans="2:16" x14ac:dyDescent="0.4">
      <c r="F1536" s="129"/>
      <c r="G1536" s="129"/>
      <c r="H1536" s="130"/>
      <c r="I1536" s="108"/>
      <c r="J1536" s="78"/>
      <c r="K1536" s="232"/>
      <c r="L1536" s="131"/>
      <c r="M1536" s="134"/>
      <c r="N1536" s="150"/>
    </row>
    <row r="1537" spans="1:16" ht="17.399999999999999" thickBot="1" x14ac:dyDescent="0.45">
      <c r="B1537" s="295"/>
      <c r="C1537" s="295"/>
      <c r="D1537" s="295"/>
      <c r="F1537" s="77"/>
      <c r="J1537" s="78"/>
      <c r="N1537" s="146"/>
    </row>
    <row r="1538" spans="1:16" x14ac:dyDescent="0.4">
      <c r="B1538" s="296" t="s">
        <v>23</v>
      </c>
      <c r="C1538" s="296"/>
      <c r="D1538" s="296"/>
      <c r="F1538" s="77"/>
      <c r="J1538" s="78"/>
      <c r="N1538" s="146"/>
    </row>
    <row r="1539" spans="1:16" x14ac:dyDescent="0.4">
      <c r="B1539" s="157"/>
      <c r="C1539" s="157"/>
      <c r="D1539" s="157"/>
      <c r="F1539" s="77"/>
      <c r="J1539" s="78"/>
      <c r="N1539" s="146"/>
    </row>
    <row r="1540" spans="1:16" x14ac:dyDescent="0.4">
      <c r="B1540" s="157"/>
      <c r="C1540" s="157"/>
      <c r="D1540" s="157"/>
    </row>
    <row r="1541" spans="1:16" x14ac:dyDescent="0.4">
      <c r="B1541" s="105" t="s">
        <v>43</v>
      </c>
      <c r="C1541" s="106"/>
      <c r="D1541" s="311" t="s">
        <v>1</v>
      </c>
      <c r="E1541" s="311"/>
      <c r="F1541" s="311"/>
      <c r="G1541" s="311"/>
      <c r="H1541" s="106"/>
      <c r="I1541" s="107" t="s">
        <v>2</v>
      </c>
      <c r="J1541" s="136"/>
      <c r="K1541" s="107" t="s">
        <v>3</v>
      </c>
    </row>
    <row r="1542" spans="1:16" s="4" customFormat="1" ht="30.75" customHeight="1" x14ac:dyDescent="0.3">
      <c r="A1542" s="31"/>
      <c r="B1542" s="213">
        <f>CATALOGO!B45</f>
        <v>601.07000000000005</v>
      </c>
      <c r="C1542" s="71"/>
      <c r="D1542" s="312" t="str">
        <f>CATALOGO!C45</f>
        <v>REPELLO + CERNIDO EN CIELOS</v>
      </c>
      <c r="E1542" s="312"/>
      <c r="F1542" s="312"/>
      <c r="G1542" s="312"/>
      <c r="H1542" s="71"/>
      <c r="I1542" s="213">
        <f>CATALOGO!D45</f>
        <v>41.71</v>
      </c>
      <c r="J1542" s="109"/>
      <c r="K1542" s="227" t="str">
        <f>CATALOGO!E45</f>
        <v>m²</v>
      </c>
      <c r="L1542" s="71"/>
      <c r="M1542" s="71"/>
      <c r="N1542" s="71"/>
      <c r="O1542" s="37"/>
      <c r="P1542" s="37"/>
    </row>
    <row r="1543" spans="1:16" ht="17.399999999999999" thickBot="1" x14ac:dyDescent="0.45"/>
    <row r="1544" spans="1:16" ht="17.399999999999999" thickBot="1" x14ac:dyDescent="0.45">
      <c r="B1544" s="110" t="s">
        <v>4</v>
      </c>
      <c r="C1544" s="300" t="s">
        <v>5</v>
      </c>
      <c r="D1544" s="300"/>
      <c r="E1544" s="300"/>
      <c r="F1544" s="300"/>
      <c r="G1544" s="301"/>
    </row>
    <row r="1545" spans="1:16" x14ac:dyDescent="0.3">
      <c r="B1545" s="111" t="s">
        <v>6</v>
      </c>
      <c r="C1545" s="313" t="s">
        <v>1</v>
      </c>
      <c r="D1545" s="314"/>
      <c r="E1545" s="112" t="s">
        <v>193</v>
      </c>
      <c r="F1545" s="113" t="s">
        <v>2</v>
      </c>
      <c r="G1545" s="114" t="s">
        <v>3</v>
      </c>
      <c r="H1545" s="106"/>
      <c r="I1545" s="107" t="s">
        <v>7</v>
      </c>
      <c r="J1545" s="136"/>
      <c r="K1545" s="228" t="s">
        <v>8</v>
      </c>
      <c r="L1545" s="115" t="s">
        <v>194</v>
      </c>
      <c r="O1545" s="323"/>
      <c r="P1545" s="323"/>
    </row>
    <row r="1546" spans="1:16" ht="16.5" customHeight="1" x14ac:dyDescent="0.3">
      <c r="B1546" s="122">
        <v>1</v>
      </c>
      <c r="C1546" s="319" t="s">
        <v>73</v>
      </c>
      <c r="D1546" s="318"/>
      <c r="E1546" s="116">
        <f>I1542*0.18</f>
        <v>7.5077999999999996</v>
      </c>
      <c r="F1546" s="83">
        <f>ROUND(E1546/I1542,2)</f>
        <v>0.18</v>
      </c>
      <c r="G1546" s="74" t="str">
        <f>IF(C1546=0,0,VLOOKUP(C1546,Tabla1[],2,FALSE))</f>
        <v>m³</v>
      </c>
      <c r="I1546" s="117">
        <f>IF(C1546=0,0,VLOOKUP(C1546,Tabla1[],3,FALSE))</f>
        <v>250</v>
      </c>
      <c r="K1546" s="84">
        <f>F1546*I1546</f>
        <v>45</v>
      </c>
      <c r="L1546" s="118">
        <f t="shared" ref="L1546:L1555" si="235">E1546*I1546</f>
        <v>1876.9499999999998</v>
      </c>
      <c r="O1546" s="44"/>
      <c r="P1546" s="45"/>
    </row>
    <row r="1547" spans="1:16" x14ac:dyDescent="0.4">
      <c r="B1547" s="122">
        <v>2</v>
      </c>
      <c r="C1547" s="317" t="s">
        <v>214</v>
      </c>
      <c r="D1547" s="318"/>
      <c r="E1547" s="116">
        <f>I1542*1</f>
        <v>41.71</v>
      </c>
      <c r="F1547" s="83">
        <f>ROUND(E1547/I1542,2)</f>
        <v>1</v>
      </c>
      <c r="G1547" s="74" t="str">
        <f>IF(C1547=0,0,VLOOKUP(C1547,Tabla1[],2,FALSE))</f>
        <v>Saco</v>
      </c>
      <c r="I1547" s="117">
        <f>IF(C1547=0,0,VLOOKUP(C1547,Tabla1[],3,FALSE))</f>
        <v>80</v>
      </c>
      <c r="K1547" s="84">
        <f t="shared" ref="K1547:K1555" si="236">+F1547*I1547</f>
        <v>80</v>
      </c>
      <c r="L1547" s="118">
        <f t="shared" si="235"/>
        <v>3336.8</v>
      </c>
      <c r="P1547" s="45"/>
    </row>
    <row r="1548" spans="1:16" x14ac:dyDescent="0.3">
      <c r="B1548" s="122"/>
      <c r="C1548" s="319"/>
      <c r="D1548" s="318"/>
      <c r="E1548" s="116"/>
      <c r="F1548" s="83"/>
      <c r="G1548" s="74"/>
      <c r="I1548" s="117">
        <f>IF(C1548=0,0,VLOOKUP(C1548,Tabla1[],3,FALSE))</f>
        <v>0</v>
      </c>
      <c r="K1548" s="84">
        <f t="shared" si="236"/>
        <v>0</v>
      </c>
      <c r="L1548" s="118">
        <f t="shared" si="235"/>
        <v>0</v>
      </c>
      <c r="O1548" s="44"/>
      <c r="P1548" s="46"/>
    </row>
    <row r="1549" spans="1:16" x14ac:dyDescent="0.3">
      <c r="B1549" s="122"/>
      <c r="C1549" s="319"/>
      <c r="D1549" s="318"/>
      <c r="E1549" s="116"/>
      <c r="F1549" s="83"/>
      <c r="G1549" s="74"/>
      <c r="I1549" s="117">
        <f>IF(C1549=0,0,VLOOKUP(C1549,Tabla1[],3,FALSE))</f>
        <v>0</v>
      </c>
      <c r="K1549" s="84">
        <f t="shared" si="236"/>
        <v>0</v>
      </c>
      <c r="L1549" s="118">
        <f t="shared" si="235"/>
        <v>0</v>
      </c>
      <c r="O1549" s="44"/>
      <c r="P1549" s="47"/>
    </row>
    <row r="1550" spans="1:16" x14ac:dyDescent="0.3">
      <c r="B1550" s="122"/>
      <c r="C1550" s="208"/>
      <c r="D1550" s="209"/>
      <c r="E1550" s="116"/>
      <c r="F1550" s="83"/>
      <c r="G1550" s="74"/>
      <c r="I1550" s="117">
        <f>IF(C1550=0,0,VLOOKUP(C1550,Tabla1[],3,FALSE))</f>
        <v>0</v>
      </c>
      <c r="K1550" s="84">
        <f t="shared" ref="K1550:K1552" si="237">+F1550*I1550</f>
        <v>0</v>
      </c>
      <c r="L1550" s="118">
        <f t="shared" ref="L1550:L1552" si="238">E1550*I1550</f>
        <v>0</v>
      </c>
      <c r="O1550" s="44"/>
      <c r="P1550" s="47"/>
    </row>
    <row r="1551" spans="1:16" x14ac:dyDescent="0.3">
      <c r="B1551" s="122"/>
      <c r="C1551" s="208"/>
      <c r="D1551" s="209"/>
      <c r="E1551" s="116"/>
      <c r="F1551" s="83"/>
      <c r="G1551" s="74"/>
      <c r="I1551" s="117">
        <f>IF(C1551=0,0,VLOOKUP(C1551,Tabla1[],3,FALSE))</f>
        <v>0</v>
      </c>
      <c r="K1551" s="84">
        <f t="shared" si="237"/>
        <v>0</v>
      </c>
      <c r="L1551" s="118">
        <f t="shared" si="238"/>
        <v>0</v>
      </c>
      <c r="O1551" s="44"/>
      <c r="P1551" s="47"/>
    </row>
    <row r="1552" spans="1:16" x14ac:dyDescent="0.3">
      <c r="B1552" s="122"/>
      <c r="C1552" s="208"/>
      <c r="D1552" s="209"/>
      <c r="E1552" s="116"/>
      <c r="F1552" s="83"/>
      <c r="G1552" s="74"/>
      <c r="I1552" s="117">
        <f>IF(C1552=0,0,VLOOKUP(C1552,Tabla1[],3,FALSE))</f>
        <v>0</v>
      </c>
      <c r="K1552" s="84">
        <f t="shared" si="237"/>
        <v>0</v>
      </c>
      <c r="L1552" s="118">
        <f t="shared" si="238"/>
        <v>0</v>
      </c>
      <c r="O1552" s="44"/>
      <c r="P1552" s="47"/>
    </row>
    <row r="1553" spans="2:16" x14ac:dyDescent="0.4">
      <c r="B1553" s="122"/>
      <c r="C1553" s="319"/>
      <c r="D1553" s="318"/>
      <c r="E1553" s="116"/>
      <c r="F1553" s="83"/>
      <c r="G1553" s="74"/>
      <c r="I1553" s="117">
        <f>IF(C1553=0,0,VLOOKUP(C1553,Tabla1[],3,FALSE))</f>
        <v>0</v>
      </c>
      <c r="K1553" s="84">
        <f t="shared" si="236"/>
        <v>0</v>
      </c>
      <c r="L1553" s="118">
        <f t="shared" si="235"/>
        <v>0</v>
      </c>
      <c r="O1553" s="48"/>
      <c r="P1553" s="49"/>
    </row>
    <row r="1554" spans="2:16" x14ac:dyDescent="0.4">
      <c r="B1554" s="122"/>
      <c r="C1554" s="319"/>
      <c r="D1554" s="318"/>
      <c r="E1554" s="116"/>
      <c r="F1554" s="83"/>
      <c r="G1554" s="74"/>
      <c r="I1554" s="117">
        <f>IF(C1554=0,0,VLOOKUP(C1554,Tabla1[],3,FALSE))</f>
        <v>0</v>
      </c>
      <c r="K1554" s="84">
        <f t="shared" si="236"/>
        <v>0</v>
      </c>
      <c r="L1554" s="118">
        <f t="shared" si="235"/>
        <v>0</v>
      </c>
      <c r="O1554" s="48"/>
      <c r="P1554" s="43"/>
    </row>
    <row r="1555" spans="2:16" x14ac:dyDescent="0.4">
      <c r="B1555" s="122"/>
      <c r="C1555" s="319"/>
      <c r="D1555" s="318"/>
      <c r="E1555" s="116"/>
      <c r="F1555" s="83"/>
      <c r="G1555" s="74"/>
      <c r="I1555" s="117">
        <f>IF(C1555=0,0,VLOOKUP(C1555,Tabla1[],3,FALSE))</f>
        <v>0</v>
      </c>
      <c r="K1555" s="84">
        <f t="shared" si="236"/>
        <v>0</v>
      </c>
      <c r="L1555" s="118">
        <f t="shared" si="235"/>
        <v>0</v>
      </c>
      <c r="O1555" s="48"/>
      <c r="P1555" s="49"/>
    </row>
    <row r="1556" spans="2:16" ht="17.399999999999999" thickBot="1" x14ac:dyDescent="0.45"/>
    <row r="1557" spans="2:16" ht="17.399999999999999" thickBot="1" x14ac:dyDescent="0.35">
      <c r="F1557" s="292" t="s">
        <v>9</v>
      </c>
      <c r="G1557" s="293"/>
      <c r="H1557" s="293"/>
      <c r="I1557" s="294"/>
      <c r="K1557" s="229">
        <f>+SUM(K1546:K1555)</f>
        <v>125</v>
      </c>
      <c r="L1557" s="119">
        <f>+SUM(L1546:L1555)</f>
        <v>5213.75</v>
      </c>
      <c r="O1557" s="38"/>
      <c r="P1557" s="38"/>
    </row>
    <row r="1558" spans="2:16" ht="17.399999999999999" thickBot="1" x14ac:dyDescent="0.45">
      <c r="O1558" s="42"/>
      <c r="P1558" s="43"/>
    </row>
    <row r="1559" spans="2:16" ht="17.399999999999999" thickBot="1" x14ac:dyDescent="0.45">
      <c r="B1559" s="110" t="s">
        <v>10</v>
      </c>
      <c r="C1559" s="300" t="s">
        <v>11</v>
      </c>
      <c r="D1559" s="300"/>
      <c r="E1559" s="300"/>
      <c r="F1559" s="300"/>
      <c r="G1559" s="301"/>
    </row>
    <row r="1560" spans="2:16" x14ac:dyDescent="0.4">
      <c r="B1560" s="114" t="s">
        <v>6</v>
      </c>
      <c r="C1560" s="302" t="s">
        <v>1</v>
      </c>
      <c r="D1560" s="303"/>
      <c r="E1560" s="112" t="s">
        <v>193</v>
      </c>
      <c r="F1560" s="120" t="s">
        <v>2</v>
      </c>
      <c r="G1560" s="114" t="s">
        <v>3</v>
      </c>
      <c r="H1560" s="106"/>
      <c r="I1560" s="107" t="s">
        <v>7</v>
      </c>
      <c r="J1560" s="136"/>
      <c r="K1560" s="107" t="s">
        <v>8</v>
      </c>
      <c r="L1560" s="115" t="s">
        <v>194</v>
      </c>
    </row>
    <row r="1561" spans="2:16" x14ac:dyDescent="0.4">
      <c r="B1561" s="122"/>
      <c r="C1561" s="306"/>
      <c r="D1561" s="306"/>
      <c r="E1561" s="116"/>
      <c r="F1561" s="83"/>
      <c r="G1561" s="74"/>
      <c r="I1561" s="117">
        <f>IF(C1561=0,0,VLOOKUP(C1561,Tabla3[],3,FALSE))</f>
        <v>0</v>
      </c>
      <c r="K1561" s="84">
        <f>F1561*I1561</f>
        <v>0</v>
      </c>
      <c r="L1561" s="118">
        <f>E1561*I1561</f>
        <v>0</v>
      </c>
    </row>
    <row r="1562" spans="2:16" x14ac:dyDescent="0.4">
      <c r="B1562" s="74"/>
      <c r="C1562" s="309"/>
      <c r="D1562" s="310"/>
      <c r="E1562" s="121"/>
      <c r="F1562" s="72"/>
      <c r="G1562" s="74"/>
      <c r="I1562" s="117">
        <f>IF(C1562=0,0,VLOOKUP(C1562,Tabla3[],3,FALSE))</f>
        <v>0</v>
      </c>
      <c r="K1562" s="84">
        <f t="shared" ref="K1562:K1564" si="239">+F1562*I1562</f>
        <v>0</v>
      </c>
      <c r="L1562" s="118">
        <f t="shared" ref="L1562:L1564" si="240">E1562*I1562</f>
        <v>0</v>
      </c>
    </row>
    <row r="1563" spans="2:16" x14ac:dyDescent="0.4">
      <c r="B1563" s="74"/>
      <c r="C1563" s="309"/>
      <c r="D1563" s="310"/>
      <c r="E1563" s="121"/>
      <c r="F1563" s="72"/>
      <c r="G1563" s="74"/>
      <c r="I1563" s="117">
        <f>IF(C1563=0,0,VLOOKUP(C1563,Tabla3[],3,FALSE))</f>
        <v>0</v>
      </c>
      <c r="K1563" s="84">
        <f t="shared" si="239"/>
        <v>0</v>
      </c>
      <c r="L1563" s="118">
        <f t="shared" si="240"/>
        <v>0</v>
      </c>
    </row>
    <row r="1564" spans="2:16" x14ac:dyDescent="0.4">
      <c r="B1564" s="74"/>
      <c r="C1564" s="304"/>
      <c r="D1564" s="305"/>
      <c r="E1564" s="121"/>
      <c r="F1564" s="72"/>
      <c r="G1564" s="74"/>
      <c r="I1564" s="117">
        <f>IF(C1564=0,0,VLOOKUP(C1564,Tabla3[],3,FALSE))</f>
        <v>0</v>
      </c>
      <c r="K1564" s="84">
        <f t="shared" si="239"/>
        <v>0</v>
      </c>
      <c r="L1564" s="118">
        <f t="shared" si="240"/>
        <v>0</v>
      </c>
    </row>
    <row r="1565" spans="2:16" ht="17.399999999999999" thickBot="1" x14ac:dyDescent="0.45"/>
    <row r="1566" spans="2:16" ht="17.399999999999999" thickBot="1" x14ac:dyDescent="0.45">
      <c r="F1566" s="292" t="s">
        <v>12</v>
      </c>
      <c r="G1566" s="293"/>
      <c r="H1566" s="293"/>
      <c r="I1566" s="294"/>
      <c r="K1566" s="229">
        <f>+SUM(K1561:K1564)</f>
        <v>0</v>
      </c>
      <c r="L1566" s="119">
        <f>+SUM(L1561:L1564)</f>
        <v>0</v>
      </c>
    </row>
    <row r="1567" spans="2:16" ht="17.399999999999999" thickBot="1" x14ac:dyDescent="0.45"/>
    <row r="1568" spans="2:16" ht="17.399999999999999" thickBot="1" x14ac:dyDescent="0.45">
      <c r="B1568" s="110" t="s">
        <v>13</v>
      </c>
      <c r="C1568" s="300" t="s">
        <v>14</v>
      </c>
      <c r="D1568" s="300"/>
      <c r="E1568" s="300"/>
      <c r="F1568" s="300"/>
      <c r="G1568" s="301"/>
    </row>
    <row r="1569" spans="2:12" x14ac:dyDescent="0.4">
      <c r="B1569" s="114" t="s">
        <v>6</v>
      </c>
      <c r="C1569" s="302" t="s">
        <v>1</v>
      </c>
      <c r="D1569" s="303"/>
      <c r="E1569" s="112" t="s">
        <v>193</v>
      </c>
      <c r="F1569" s="120" t="s">
        <v>2</v>
      </c>
      <c r="G1569" s="114" t="s">
        <v>3</v>
      </c>
      <c r="H1569" s="106"/>
      <c r="I1569" s="107" t="s">
        <v>7</v>
      </c>
      <c r="J1569" s="136"/>
      <c r="K1569" s="107" t="s">
        <v>8</v>
      </c>
      <c r="L1569" s="115" t="s">
        <v>194</v>
      </c>
    </row>
    <row r="1570" spans="2:12" x14ac:dyDescent="0.4">
      <c r="B1570" s="122">
        <v>1</v>
      </c>
      <c r="C1570" s="306" t="s">
        <v>586</v>
      </c>
      <c r="D1570" s="306"/>
      <c r="E1570" s="116">
        <f>I1542</f>
        <v>41.71</v>
      </c>
      <c r="F1570" s="83">
        <f>ROUND(E1570/I1542,2)</f>
        <v>1</v>
      </c>
      <c r="G1570" s="74" t="str">
        <f>IF(C1570=0,0,VLOOKUP(C1570,Tabla2[],2,FALSE))</f>
        <v>m²</v>
      </c>
      <c r="I1570" s="117">
        <f>IF(C1570=0,0,VLOOKUP(C1570,Tabla2[],3,FALSE))</f>
        <v>20</v>
      </c>
      <c r="K1570" s="84">
        <f>+F1570*I1570</f>
        <v>20</v>
      </c>
      <c r="L1570" s="118">
        <f>E1570*I1570</f>
        <v>834.2</v>
      </c>
    </row>
    <row r="1571" spans="2:12" x14ac:dyDescent="0.4">
      <c r="B1571" s="122"/>
      <c r="C1571" s="306"/>
      <c r="D1571" s="306"/>
      <c r="E1571" s="116"/>
      <c r="F1571" s="83"/>
      <c r="G1571" s="74"/>
      <c r="I1571" s="117">
        <f>IF(C1571=0,0,VLOOKUP(C1571,Tabla2[],3,FALSE))</f>
        <v>0</v>
      </c>
      <c r="K1571" s="84">
        <f>+F1571*I1571</f>
        <v>0</v>
      </c>
      <c r="L1571" s="118">
        <f>E1571*I1571</f>
        <v>0</v>
      </c>
    </row>
    <row r="1572" spans="2:12" ht="17.399999999999999" thickBot="1" x14ac:dyDescent="0.45">
      <c r="B1572" s="123"/>
      <c r="C1572" s="307"/>
      <c r="D1572" s="308"/>
      <c r="E1572" s="124"/>
      <c r="F1572" s="125"/>
      <c r="G1572" s="74"/>
      <c r="I1572" s="117">
        <f>IF(C1572=0,0,VLOOKUP(C1572,Tabla2[],3,FALSE))</f>
        <v>0</v>
      </c>
      <c r="K1572" s="84">
        <f t="shared" ref="K1572" si="241">+F1572*I1572</f>
        <v>0</v>
      </c>
      <c r="L1572" s="118">
        <f t="shared" ref="L1572:L1573" si="242">E1572*I1572</f>
        <v>0</v>
      </c>
    </row>
    <row r="1573" spans="2:12" ht="17.399999999999999" thickBot="1" x14ac:dyDescent="0.45">
      <c r="B1573" s="297" t="s">
        <v>15</v>
      </c>
      <c r="C1573" s="298"/>
      <c r="D1573" s="298"/>
      <c r="E1573" s="298"/>
      <c r="F1573" s="298"/>
      <c r="G1573" s="299"/>
      <c r="I1573" s="84">
        <v>0</v>
      </c>
      <c r="K1573" s="84">
        <v>0</v>
      </c>
      <c r="L1573" s="118">
        <f t="shared" si="242"/>
        <v>0</v>
      </c>
    </row>
    <row r="1574" spans="2:12" ht="17.399999999999999" thickBot="1" x14ac:dyDescent="0.45"/>
    <row r="1575" spans="2:12" ht="17.399999999999999" thickBot="1" x14ac:dyDescent="0.45">
      <c r="F1575" s="292" t="s">
        <v>16</v>
      </c>
      <c r="G1575" s="293"/>
      <c r="H1575" s="293"/>
      <c r="I1575" s="294"/>
      <c r="K1575" s="229">
        <f>+SUM(K1570:K1573)</f>
        <v>20</v>
      </c>
      <c r="L1575" s="119">
        <f>+SUM(L1570:L1573)</f>
        <v>834.2</v>
      </c>
    </row>
    <row r="1576" spans="2:12" ht="17.399999999999999" thickBot="1" x14ac:dyDescent="0.45"/>
    <row r="1577" spans="2:12" ht="17.399999999999999" thickBot="1" x14ac:dyDescent="0.45">
      <c r="B1577" s="110" t="s">
        <v>17</v>
      </c>
      <c r="C1577" s="300" t="s">
        <v>18</v>
      </c>
      <c r="D1577" s="300"/>
      <c r="E1577" s="300"/>
      <c r="F1577" s="300"/>
      <c r="G1577" s="301"/>
    </row>
    <row r="1578" spans="2:12" x14ac:dyDescent="0.4">
      <c r="B1578" s="114" t="s">
        <v>6</v>
      </c>
      <c r="C1578" s="302" t="s">
        <v>1</v>
      </c>
      <c r="D1578" s="303"/>
      <c r="E1578" s="126"/>
      <c r="F1578" s="120" t="s">
        <v>2</v>
      </c>
      <c r="G1578" s="114" t="s">
        <v>3</v>
      </c>
      <c r="H1578" s="106"/>
      <c r="I1578" s="107" t="s">
        <v>7</v>
      </c>
      <c r="J1578" s="136"/>
      <c r="K1578" s="107" t="s">
        <v>8</v>
      </c>
      <c r="L1578" s="115" t="s">
        <v>194</v>
      </c>
    </row>
    <row r="1579" spans="2:12" x14ac:dyDescent="0.4">
      <c r="B1579" s="74"/>
      <c r="C1579" s="304"/>
      <c r="D1579" s="305"/>
      <c r="E1579" s="127"/>
      <c r="F1579" s="72"/>
      <c r="G1579" s="74"/>
      <c r="I1579" s="84">
        <v>0</v>
      </c>
      <c r="K1579" s="84">
        <f>+F1579*I1579</f>
        <v>0</v>
      </c>
      <c r="L1579" s="118">
        <f>E1579*I1579</f>
        <v>0</v>
      </c>
    </row>
    <row r="1580" spans="2:12" x14ac:dyDescent="0.4">
      <c r="B1580" s="74"/>
      <c r="C1580" s="304"/>
      <c r="D1580" s="305"/>
      <c r="E1580" s="127"/>
      <c r="F1580" s="72"/>
      <c r="G1580" s="74"/>
      <c r="I1580" s="84">
        <v>0</v>
      </c>
      <c r="K1580" s="84">
        <f t="shared" ref="K1580:K1581" si="243">+F1580*I1580</f>
        <v>0</v>
      </c>
      <c r="L1580" s="118">
        <f t="shared" ref="L1580:L1581" si="244">E1580*I1580</f>
        <v>0</v>
      </c>
    </row>
    <row r="1581" spans="2:12" x14ac:dyDescent="0.4">
      <c r="B1581" s="74"/>
      <c r="C1581" s="304"/>
      <c r="D1581" s="305"/>
      <c r="E1581" s="127"/>
      <c r="F1581" s="72"/>
      <c r="G1581" s="74"/>
      <c r="I1581" s="84">
        <v>0</v>
      </c>
      <c r="K1581" s="84">
        <f t="shared" si="243"/>
        <v>0</v>
      </c>
      <c r="L1581" s="118">
        <f t="shared" si="244"/>
        <v>0</v>
      </c>
    </row>
    <row r="1582" spans="2:12" ht="17.399999999999999" thickBot="1" x14ac:dyDescent="0.45">
      <c r="L1582" s="118"/>
    </row>
    <row r="1583" spans="2:12" ht="17.399999999999999" thickBot="1" x14ac:dyDescent="0.45">
      <c r="F1583" s="292" t="s">
        <v>19</v>
      </c>
      <c r="G1583" s="293"/>
      <c r="H1583" s="293"/>
      <c r="I1583" s="294"/>
      <c r="K1583" s="229">
        <f>+SUM(K1579:K1581)</f>
        <v>0</v>
      </c>
      <c r="L1583" s="119">
        <f>+SUM(L1578:L1581)</f>
        <v>0</v>
      </c>
    </row>
    <row r="1584" spans="2:12" ht="15" customHeight="1" x14ac:dyDescent="0.4">
      <c r="F1584" s="128"/>
      <c r="G1584" s="129"/>
      <c r="H1584" s="130"/>
      <c r="I1584" s="108"/>
      <c r="K1584" s="230"/>
    </row>
    <row r="1585" spans="1:16" ht="15" customHeight="1" thickBot="1" x14ac:dyDescent="0.45"/>
    <row r="1586" spans="1:16" ht="17.399999999999999" thickBot="1" x14ac:dyDescent="0.45">
      <c r="F1586" s="292" t="s">
        <v>20</v>
      </c>
      <c r="G1586" s="293"/>
      <c r="H1586" s="293"/>
      <c r="I1586" s="294"/>
      <c r="K1586" s="229">
        <f>(+K1557+K1566+K1575+K1583)</f>
        <v>145</v>
      </c>
      <c r="L1586" s="119">
        <f>(+L1557+L1566+L1575+L1583)</f>
        <v>6047.95</v>
      </c>
      <c r="N1586" s="131"/>
      <c r="O1586" s="39"/>
      <c r="P1586" s="40"/>
    </row>
    <row r="1587" spans="1:16" ht="7.5" customHeight="1" thickBot="1" x14ac:dyDescent="0.45">
      <c r="N1587" s="131"/>
      <c r="O1587" s="41"/>
      <c r="P1587" s="40"/>
    </row>
    <row r="1588" spans="1:16" ht="17.399999999999999" thickBot="1" x14ac:dyDescent="0.45">
      <c r="F1588" s="292" t="s">
        <v>21</v>
      </c>
      <c r="G1588" s="293"/>
      <c r="H1588" s="293"/>
      <c r="I1588" s="294"/>
      <c r="K1588" s="229">
        <f>K1586*$N$2</f>
        <v>58</v>
      </c>
      <c r="L1588" s="119">
        <f>L1586*$N$2</f>
        <v>2419.1799999999998</v>
      </c>
    </row>
    <row r="1589" spans="1:16" ht="7.5" customHeight="1" thickBot="1" x14ac:dyDescent="0.45"/>
    <row r="1590" spans="1:16" ht="17.399999999999999" thickBot="1" x14ac:dyDescent="0.45">
      <c r="F1590" s="292" t="s">
        <v>22</v>
      </c>
      <c r="G1590" s="293"/>
      <c r="H1590" s="293"/>
      <c r="I1590" s="294"/>
      <c r="K1590" s="229">
        <f>+K1586+K1588</f>
        <v>203</v>
      </c>
      <c r="L1590" s="119">
        <f>+L1586+L1588</f>
        <v>8467.1299999999992</v>
      </c>
    </row>
    <row r="1591" spans="1:16" ht="17.399999999999999" thickBot="1" x14ac:dyDescent="0.45">
      <c r="F1591" s="128"/>
      <c r="G1591" s="129"/>
      <c r="H1591" s="130"/>
      <c r="I1591" s="108"/>
      <c r="K1591" s="231"/>
      <c r="L1591" s="132">
        <f>L1590/I1542</f>
        <v>202.99999999999997</v>
      </c>
      <c r="M1591" s="133">
        <f>(K1590-L1591)*I1542</f>
        <v>1.1854695003421512E-12</v>
      </c>
    </row>
    <row r="1592" spans="1:16" x14ac:dyDescent="0.4">
      <c r="F1592" s="128"/>
      <c r="G1592" s="129"/>
      <c r="H1592" s="130"/>
      <c r="I1592" s="108"/>
      <c r="K1592" s="232"/>
      <c r="L1592" s="131"/>
      <c r="M1592" s="134"/>
      <c r="N1592" s="135"/>
    </row>
    <row r="1593" spans="1:16" ht="17.399999999999999" thickBot="1" x14ac:dyDescent="0.45">
      <c r="B1593" s="295"/>
      <c r="C1593" s="295"/>
      <c r="D1593" s="295"/>
    </row>
    <row r="1594" spans="1:16" x14ac:dyDescent="0.4">
      <c r="B1594" s="296" t="s">
        <v>23</v>
      </c>
      <c r="C1594" s="296"/>
      <c r="D1594" s="296"/>
    </row>
    <row r="1595" spans="1:16" x14ac:dyDescent="0.4">
      <c r="B1595" s="157"/>
      <c r="C1595" s="157"/>
      <c r="D1595" s="157"/>
    </row>
    <row r="1596" spans="1:16" x14ac:dyDescent="0.4">
      <c r="B1596" s="157"/>
      <c r="C1596" s="157"/>
      <c r="D1596" s="157"/>
    </row>
    <row r="1597" spans="1:16" x14ac:dyDescent="0.4">
      <c r="B1597" s="105" t="s">
        <v>43</v>
      </c>
      <c r="C1597" s="106"/>
      <c r="D1597" s="311" t="s">
        <v>1</v>
      </c>
      <c r="E1597" s="311"/>
      <c r="F1597" s="311"/>
      <c r="G1597" s="311"/>
      <c r="H1597" s="106"/>
      <c r="I1597" s="107" t="s">
        <v>2</v>
      </c>
      <c r="J1597" s="136"/>
      <c r="K1597" s="107" t="s">
        <v>3</v>
      </c>
    </row>
    <row r="1598" spans="1:16" s="4" customFormat="1" ht="30.75" customHeight="1" x14ac:dyDescent="0.3">
      <c r="A1598" s="31"/>
      <c r="B1598" s="213">
        <f>CATALOGO!B46</f>
        <v>601.08000000000004</v>
      </c>
      <c r="C1598" s="71"/>
      <c r="D1598" s="312" t="str">
        <f>CATALOGO!C46</f>
        <v>REPELLO + BLANQUEADO</v>
      </c>
      <c r="E1598" s="312"/>
      <c r="F1598" s="312"/>
      <c r="G1598" s="312"/>
      <c r="H1598" s="71"/>
      <c r="I1598" s="213">
        <f>CATALOGO!D46</f>
        <v>140.94</v>
      </c>
      <c r="J1598" s="109"/>
      <c r="K1598" s="227" t="str">
        <f>CATALOGO!E46</f>
        <v>m²</v>
      </c>
      <c r="L1598" s="71"/>
      <c r="M1598" s="71"/>
      <c r="N1598" s="71"/>
      <c r="O1598" s="37"/>
      <c r="P1598" s="37"/>
    </row>
    <row r="1599" spans="1:16" ht="17.399999999999999" thickBot="1" x14ac:dyDescent="0.45"/>
    <row r="1600" spans="1:16" ht="17.399999999999999" thickBot="1" x14ac:dyDescent="0.45">
      <c r="B1600" s="110" t="s">
        <v>4</v>
      </c>
      <c r="C1600" s="300" t="s">
        <v>5</v>
      </c>
      <c r="D1600" s="300"/>
      <c r="E1600" s="300"/>
      <c r="F1600" s="300"/>
      <c r="G1600" s="301"/>
    </row>
    <row r="1601" spans="2:16" x14ac:dyDescent="0.3">
      <c r="B1601" s="111" t="s">
        <v>6</v>
      </c>
      <c r="C1601" s="313" t="s">
        <v>1</v>
      </c>
      <c r="D1601" s="314"/>
      <c r="E1601" s="112" t="s">
        <v>193</v>
      </c>
      <c r="F1601" s="113" t="s">
        <v>2</v>
      </c>
      <c r="G1601" s="114" t="s">
        <v>3</v>
      </c>
      <c r="H1601" s="106"/>
      <c r="I1601" s="107" t="s">
        <v>7</v>
      </c>
      <c r="J1601" s="136"/>
      <c r="K1601" s="228" t="s">
        <v>8</v>
      </c>
      <c r="L1601" s="115" t="s">
        <v>194</v>
      </c>
      <c r="O1601" s="323"/>
      <c r="P1601" s="323"/>
    </row>
    <row r="1602" spans="2:16" ht="16.5" customHeight="1" x14ac:dyDescent="0.3">
      <c r="B1602" s="122">
        <v>1</v>
      </c>
      <c r="C1602" s="319" t="s">
        <v>73</v>
      </c>
      <c r="D1602" s="318"/>
      <c r="E1602" s="116">
        <f>I1598*0.18</f>
        <v>25.369199999999999</v>
      </c>
      <c r="F1602" s="83">
        <f>ROUND(E1602/I1598,2)</f>
        <v>0.18</v>
      </c>
      <c r="G1602" s="74" t="str">
        <f>IF(C1602=0,0,VLOOKUP(C1602,Tabla1[],2,FALSE))</f>
        <v>m³</v>
      </c>
      <c r="I1602" s="117">
        <f>IF(C1602=0,0,VLOOKUP(C1602,Tabla1[],3,FALSE))</f>
        <v>250</v>
      </c>
      <c r="K1602" s="84">
        <f>F1602*I1602</f>
        <v>45</v>
      </c>
      <c r="L1602" s="118">
        <f t="shared" ref="L1602:L1611" si="245">E1602*I1602</f>
        <v>6342.3</v>
      </c>
      <c r="O1602" s="44"/>
      <c r="P1602" s="45"/>
    </row>
    <row r="1603" spans="2:16" x14ac:dyDescent="0.4">
      <c r="B1603" s="122">
        <v>2</v>
      </c>
      <c r="C1603" s="317" t="s">
        <v>214</v>
      </c>
      <c r="D1603" s="318"/>
      <c r="E1603" s="116">
        <f>I1598*1</f>
        <v>140.94</v>
      </c>
      <c r="F1603" s="83">
        <f>ROUND(E1603/I1598,2)</f>
        <v>1</v>
      </c>
      <c r="G1603" s="74" t="str">
        <f>IF(C1603=0,0,VLOOKUP(C1603,Tabla1[],2,FALSE))</f>
        <v>Saco</v>
      </c>
      <c r="I1603" s="117">
        <f>IF(C1603=0,0,VLOOKUP(C1603,Tabla1[],3,FALSE))</f>
        <v>80</v>
      </c>
      <c r="K1603" s="84">
        <f t="shared" ref="K1603:K1611" si="246">+F1603*I1603</f>
        <v>80</v>
      </c>
      <c r="L1603" s="118">
        <f t="shared" si="245"/>
        <v>11275.2</v>
      </c>
      <c r="P1603" s="45"/>
    </row>
    <row r="1604" spans="2:16" x14ac:dyDescent="0.3">
      <c r="B1604" s="122"/>
      <c r="C1604" s="319"/>
      <c r="D1604" s="318"/>
      <c r="E1604" s="116"/>
      <c r="F1604" s="83"/>
      <c r="G1604" s="74"/>
      <c r="I1604" s="117">
        <f>IF(C1604=0,0,VLOOKUP(C1604,Tabla1[],3,FALSE))</f>
        <v>0</v>
      </c>
      <c r="K1604" s="84">
        <f t="shared" si="246"/>
        <v>0</v>
      </c>
      <c r="L1604" s="118">
        <f t="shared" si="245"/>
        <v>0</v>
      </c>
      <c r="O1604" s="44"/>
      <c r="P1604" s="46"/>
    </row>
    <row r="1605" spans="2:16" x14ac:dyDescent="0.3">
      <c r="B1605" s="122"/>
      <c r="C1605" s="319"/>
      <c r="D1605" s="318"/>
      <c r="E1605" s="116"/>
      <c r="F1605" s="83"/>
      <c r="G1605" s="74"/>
      <c r="I1605" s="117">
        <f>IF(C1605=0,0,VLOOKUP(C1605,Tabla1[],3,FALSE))</f>
        <v>0</v>
      </c>
      <c r="K1605" s="84">
        <f t="shared" si="246"/>
        <v>0</v>
      </c>
      <c r="L1605" s="118">
        <f t="shared" si="245"/>
        <v>0</v>
      </c>
      <c r="O1605" s="44"/>
      <c r="P1605" s="47"/>
    </row>
    <row r="1606" spans="2:16" x14ac:dyDescent="0.3">
      <c r="B1606" s="122"/>
      <c r="C1606" s="208"/>
      <c r="D1606" s="209"/>
      <c r="E1606" s="116"/>
      <c r="F1606" s="83"/>
      <c r="G1606" s="74"/>
      <c r="I1606" s="117">
        <f>IF(C1606=0,0,VLOOKUP(C1606,Tabla1[],3,FALSE))</f>
        <v>0</v>
      </c>
      <c r="K1606" s="84">
        <f t="shared" si="246"/>
        <v>0</v>
      </c>
      <c r="L1606" s="118">
        <f t="shared" si="245"/>
        <v>0</v>
      </c>
      <c r="O1606" s="44"/>
      <c r="P1606" s="47"/>
    </row>
    <row r="1607" spans="2:16" x14ac:dyDescent="0.3">
      <c r="B1607" s="122"/>
      <c r="C1607" s="208"/>
      <c r="D1607" s="209"/>
      <c r="E1607" s="116"/>
      <c r="F1607" s="83"/>
      <c r="G1607" s="74"/>
      <c r="I1607" s="117">
        <f>IF(C1607=0,0,VLOOKUP(C1607,Tabla1[],3,FALSE))</f>
        <v>0</v>
      </c>
      <c r="K1607" s="84">
        <f t="shared" si="246"/>
        <v>0</v>
      </c>
      <c r="L1607" s="118">
        <f t="shared" si="245"/>
        <v>0</v>
      </c>
      <c r="O1607" s="44"/>
      <c r="P1607" s="47"/>
    </row>
    <row r="1608" spans="2:16" x14ac:dyDescent="0.3">
      <c r="B1608" s="122"/>
      <c r="C1608" s="208"/>
      <c r="D1608" s="209"/>
      <c r="E1608" s="116"/>
      <c r="F1608" s="83"/>
      <c r="G1608" s="74"/>
      <c r="I1608" s="117">
        <f>IF(C1608=0,0,VLOOKUP(C1608,Tabla1[],3,FALSE))</f>
        <v>0</v>
      </c>
      <c r="K1608" s="84">
        <f t="shared" si="246"/>
        <v>0</v>
      </c>
      <c r="L1608" s="118">
        <f t="shared" si="245"/>
        <v>0</v>
      </c>
      <c r="O1608" s="44"/>
      <c r="P1608" s="47"/>
    </row>
    <row r="1609" spans="2:16" x14ac:dyDescent="0.4">
      <c r="B1609" s="122"/>
      <c r="C1609" s="319"/>
      <c r="D1609" s="318"/>
      <c r="E1609" s="116"/>
      <c r="F1609" s="83"/>
      <c r="G1609" s="74"/>
      <c r="I1609" s="117">
        <f>IF(C1609=0,0,VLOOKUP(C1609,Tabla1[],3,FALSE))</f>
        <v>0</v>
      </c>
      <c r="K1609" s="84">
        <f t="shared" si="246"/>
        <v>0</v>
      </c>
      <c r="L1609" s="118">
        <f t="shared" si="245"/>
        <v>0</v>
      </c>
      <c r="O1609" s="48"/>
      <c r="P1609" s="49"/>
    </row>
    <row r="1610" spans="2:16" x14ac:dyDescent="0.4">
      <c r="B1610" s="122"/>
      <c r="C1610" s="319"/>
      <c r="D1610" s="318"/>
      <c r="E1610" s="116"/>
      <c r="F1610" s="83"/>
      <c r="G1610" s="74"/>
      <c r="I1610" s="117">
        <f>IF(C1610=0,0,VLOOKUP(C1610,Tabla1[],3,FALSE))</f>
        <v>0</v>
      </c>
      <c r="K1610" s="84">
        <f t="shared" si="246"/>
        <v>0</v>
      </c>
      <c r="L1610" s="118">
        <f t="shared" si="245"/>
        <v>0</v>
      </c>
      <c r="O1610" s="48"/>
      <c r="P1610" s="43"/>
    </row>
    <row r="1611" spans="2:16" x14ac:dyDescent="0.4">
      <c r="B1611" s="122"/>
      <c r="C1611" s="319"/>
      <c r="D1611" s="318"/>
      <c r="E1611" s="116"/>
      <c r="F1611" s="83"/>
      <c r="G1611" s="74"/>
      <c r="I1611" s="117">
        <f>IF(C1611=0,0,VLOOKUP(C1611,Tabla1[],3,FALSE))</f>
        <v>0</v>
      </c>
      <c r="K1611" s="84">
        <f t="shared" si="246"/>
        <v>0</v>
      </c>
      <c r="L1611" s="118">
        <f t="shared" si="245"/>
        <v>0</v>
      </c>
      <c r="O1611" s="48"/>
      <c r="P1611" s="49"/>
    </row>
    <row r="1612" spans="2:16" ht="17.399999999999999" thickBot="1" x14ac:dyDescent="0.45"/>
    <row r="1613" spans="2:16" ht="17.399999999999999" thickBot="1" x14ac:dyDescent="0.35">
      <c r="F1613" s="292" t="s">
        <v>9</v>
      </c>
      <c r="G1613" s="293"/>
      <c r="H1613" s="293"/>
      <c r="I1613" s="294"/>
      <c r="K1613" s="229">
        <f>+SUM(K1602:K1611)</f>
        <v>125</v>
      </c>
      <c r="L1613" s="119">
        <f>+SUM(L1602:L1611)</f>
        <v>17617.5</v>
      </c>
      <c r="O1613" s="38"/>
      <c r="P1613" s="38"/>
    </row>
    <row r="1614" spans="2:16" ht="17.399999999999999" thickBot="1" x14ac:dyDescent="0.45">
      <c r="O1614" s="42"/>
      <c r="P1614" s="43"/>
    </row>
    <row r="1615" spans="2:16" ht="17.399999999999999" thickBot="1" x14ac:dyDescent="0.45">
      <c r="B1615" s="110" t="s">
        <v>10</v>
      </c>
      <c r="C1615" s="300" t="s">
        <v>11</v>
      </c>
      <c r="D1615" s="300"/>
      <c r="E1615" s="300"/>
      <c r="F1615" s="300"/>
      <c r="G1615" s="301"/>
    </row>
    <row r="1616" spans="2:16" x14ac:dyDescent="0.4">
      <c r="B1616" s="114" t="s">
        <v>6</v>
      </c>
      <c r="C1616" s="302" t="s">
        <v>1</v>
      </c>
      <c r="D1616" s="303"/>
      <c r="E1616" s="112" t="s">
        <v>193</v>
      </c>
      <c r="F1616" s="120" t="s">
        <v>2</v>
      </c>
      <c r="G1616" s="114" t="s">
        <v>3</v>
      </c>
      <c r="H1616" s="106"/>
      <c r="I1616" s="107" t="s">
        <v>7</v>
      </c>
      <c r="J1616" s="136"/>
      <c r="K1616" s="107" t="s">
        <v>8</v>
      </c>
      <c r="L1616" s="115" t="s">
        <v>194</v>
      </c>
    </row>
    <row r="1617" spans="2:12" x14ac:dyDescent="0.4">
      <c r="B1617" s="122"/>
      <c r="C1617" s="306"/>
      <c r="D1617" s="306"/>
      <c r="E1617" s="116"/>
      <c r="F1617" s="83"/>
      <c r="G1617" s="74"/>
      <c r="I1617" s="117">
        <f>IF(C1617=0,0,VLOOKUP(C1617,Tabla3[],3,FALSE))</f>
        <v>0</v>
      </c>
      <c r="K1617" s="84">
        <f>F1617*I1617</f>
        <v>0</v>
      </c>
      <c r="L1617" s="118">
        <f>E1617*I1617</f>
        <v>0</v>
      </c>
    </row>
    <row r="1618" spans="2:12" x14ac:dyDescent="0.4">
      <c r="B1618" s="74"/>
      <c r="C1618" s="309"/>
      <c r="D1618" s="310"/>
      <c r="E1618" s="121"/>
      <c r="F1618" s="72"/>
      <c r="G1618" s="74"/>
      <c r="I1618" s="117">
        <f>IF(C1618=0,0,VLOOKUP(C1618,Tabla3[],3,FALSE))</f>
        <v>0</v>
      </c>
      <c r="K1618" s="84">
        <f t="shared" ref="K1618:K1620" si="247">+F1618*I1618</f>
        <v>0</v>
      </c>
      <c r="L1618" s="118">
        <f t="shared" ref="L1618:L1620" si="248">E1618*I1618</f>
        <v>0</v>
      </c>
    </row>
    <row r="1619" spans="2:12" x14ac:dyDescent="0.4">
      <c r="B1619" s="74"/>
      <c r="C1619" s="309"/>
      <c r="D1619" s="310"/>
      <c r="E1619" s="121"/>
      <c r="F1619" s="72"/>
      <c r="G1619" s="74"/>
      <c r="I1619" s="117">
        <f>IF(C1619=0,0,VLOOKUP(C1619,Tabla3[],3,FALSE))</f>
        <v>0</v>
      </c>
      <c r="K1619" s="84">
        <f t="shared" si="247"/>
        <v>0</v>
      </c>
      <c r="L1619" s="118">
        <f t="shared" si="248"/>
        <v>0</v>
      </c>
    </row>
    <row r="1620" spans="2:12" x14ac:dyDescent="0.4">
      <c r="B1620" s="74"/>
      <c r="C1620" s="304"/>
      <c r="D1620" s="305"/>
      <c r="E1620" s="121"/>
      <c r="F1620" s="72"/>
      <c r="G1620" s="74"/>
      <c r="I1620" s="117">
        <f>IF(C1620=0,0,VLOOKUP(C1620,Tabla3[],3,FALSE))</f>
        <v>0</v>
      </c>
      <c r="K1620" s="84">
        <f t="shared" si="247"/>
        <v>0</v>
      </c>
      <c r="L1620" s="118">
        <f t="shared" si="248"/>
        <v>0</v>
      </c>
    </row>
    <row r="1621" spans="2:12" ht="17.399999999999999" thickBot="1" x14ac:dyDescent="0.45"/>
    <row r="1622" spans="2:12" ht="17.399999999999999" thickBot="1" x14ac:dyDescent="0.45">
      <c r="F1622" s="292" t="s">
        <v>12</v>
      </c>
      <c r="G1622" s="293"/>
      <c r="H1622" s="293"/>
      <c r="I1622" s="294"/>
      <c r="K1622" s="229">
        <f>+SUM(K1617:K1620)</f>
        <v>0</v>
      </c>
      <c r="L1622" s="119">
        <f>+SUM(L1617:L1620)</f>
        <v>0</v>
      </c>
    </row>
    <row r="1623" spans="2:12" ht="17.399999999999999" thickBot="1" x14ac:dyDescent="0.45"/>
    <row r="1624" spans="2:12" ht="17.399999999999999" thickBot="1" x14ac:dyDescent="0.45">
      <c r="B1624" s="110" t="s">
        <v>13</v>
      </c>
      <c r="C1624" s="300" t="s">
        <v>14</v>
      </c>
      <c r="D1624" s="300"/>
      <c r="E1624" s="300"/>
      <c r="F1624" s="300"/>
      <c r="G1624" s="301"/>
    </row>
    <row r="1625" spans="2:12" x14ac:dyDescent="0.4">
      <c r="B1625" s="114" t="s">
        <v>6</v>
      </c>
      <c r="C1625" s="302" t="s">
        <v>1</v>
      </c>
      <c r="D1625" s="303"/>
      <c r="E1625" s="112" t="s">
        <v>193</v>
      </c>
      <c r="F1625" s="120" t="s">
        <v>2</v>
      </c>
      <c r="G1625" s="114" t="s">
        <v>3</v>
      </c>
      <c r="H1625" s="106"/>
      <c r="I1625" s="107" t="s">
        <v>7</v>
      </c>
      <c r="J1625" s="136"/>
      <c r="K1625" s="107" t="s">
        <v>8</v>
      </c>
      <c r="L1625" s="115" t="s">
        <v>194</v>
      </c>
    </row>
    <row r="1626" spans="2:12" x14ac:dyDescent="0.4">
      <c r="B1626" s="122">
        <v>1</v>
      </c>
      <c r="C1626" s="306" t="s">
        <v>586</v>
      </c>
      <c r="D1626" s="306"/>
      <c r="E1626" s="116">
        <f>I1598</f>
        <v>140.94</v>
      </c>
      <c r="F1626" s="83">
        <f>ROUND(E1626/I1598,2)</f>
        <v>1</v>
      </c>
      <c r="G1626" s="74" t="str">
        <f>IF(C1626=0,0,VLOOKUP(C1626,Tabla2[],2,FALSE))</f>
        <v>m²</v>
      </c>
      <c r="I1626" s="117">
        <f>IF(C1626=0,0,VLOOKUP(C1626,Tabla2[],3,FALSE))</f>
        <v>20</v>
      </c>
      <c r="K1626" s="84">
        <f>+F1626*I1626</f>
        <v>20</v>
      </c>
      <c r="L1626" s="118">
        <f>E1626*I1626</f>
        <v>2818.8</v>
      </c>
    </row>
    <row r="1627" spans="2:12" x14ac:dyDescent="0.4">
      <c r="B1627" s="122"/>
      <c r="C1627" s="306"/>
      <c r="D1627" s="306"/>
      <c r="E1627" s="116"/>
      <c r="F1627" s="83"/>
      <c r="G1627" s="74"/>
      <c r="I1627" s="117">
        <f>IF(C1627=0,0,VLOOKUP(C1627,Tabla2[],3,FALSE))</f>
        <v>0</v>
      </c>
      <c r="K1627" s="84">
        <f>+F1627*I1627</f>
        <v>0</v>
      </c>
      <c r="L1627" s="118">
        <f>E1627*I1627</f>
        <v>0</v>
      </c>
    </row>
    <row r="1628" spans="2:12" ht="17.399999999999999" thickBot="1" x14ac:dyDescent="0.45">
      <c r="B1628" s="123"/>
      <c r="C1628" s="307"/>
      <c r="D1628" s="308"/>
      <c r="E1628" s="124"/>
      <c r="F1628" s="125"/>
      <c r="G1628" s="74"/>
      <c r="I1628" s="117">
        <f>IF(C1628=0,0,VLOOKUP(C1628,Tabla2[],3,FALSE))</f>
        <v>0</v>
      </c>
      <c r="K1628" s="84">
        <f t="shared" ref="K1628" si="249">+F1628*I1628</f>
        <v>0</v>
      </c>
      <c r="L1628" s="118">
        <f t="shared" ref="L1628:L1629" si="250">E1628*I1628</f>
        <v>0</v>
      </c>
    </row>
    <row r="1629" spans="2:12" ht="17.399999999999999" thickBot="1" x14ac:dyDescent="0.45">
      <c r="B1629" s="297" t="s">
        <v>15</v>
      </c>
      <c r="C1629" s="298"/>
      <c r="D1629" s="298"/>
      <c r="E1629" s="298"/>
      <c r="F1629" s="298"/>
      <c r="G1629" s="299"/>
      <c r="I1629" s="84">
        <v>0</v>
      </c>
      <c r="K1629" s="84">
        <v>0</v>
      </c>
      <c r="L1629" s="118">
        <f t="shared" si="250"/>
        <v>0</v>
      </c>
    </row>
    <row r="1630" spans="2:12" ht="17.399999999999999" thickBot="1" x14ac:dyDescent="0.45"/>
    <row r="1631" spans="2:12" ht="17.399999999999999" thickBot="1" x14ac:dyDescent="0.45">
      <c r="F1631" s="292" t="s">
        <v>16</v>
      </c>
      <c r="G1631" s="293"/>
      <c r="H1631" s="293"/>
      <c r="I1631" s="294"/>
      <c r="K1631" s="229">
        <f>+SUM(K1626:K1629)</f>
        <v>20</v>
      </c>
      <c r="L1631" s="119">
        <f>+SUM(L1626:L1629)</f>
        <v>2818.8</v>
      </c>
    </row>
    <row r="1632" spans="2:12" ht="17.399999999999999" thickBot="1" x14ac:dyDescent="0.45"/>
    <row r="1633" spans="2:16" ht="17.399999999999999" thickBot="1" x14ac:dyDescent="0.45">
      <c r="B1633" s="110" t="s">
        <v>17</v>
      </c>
      <c r="C1633" s="300" t="s">
        <v>18</v>
      </c>
      <c r="D1633" s="300"/>
      <c r="E1633" s="300"/>
      <c r="F1633" s="300"/>
      <c r="G1633" s="301"/>
    </row>
    <row r="1634" spans="2:16" x14ac:dyDescent="0.4">
      <c r="B1634" s="114" t="s">
        <v>6</v>
      </c>
      <c r="C1634" s="302" t="s">
        <v>1</v>
      </c>
      <c r="D1634" s="303"/>
      <c r="E1634" s="126"/>
      <c r="F1634" s="120" t="s">
        <v>2</v>
      </c>
      <c r="G1634" s="114" t="s">
        <v>3</v>
      </c>
      <c r="H1634" s="106"/>
      <c r="I1634" s="107" t="s">
        <v>7</v>
      </c>
      <c r="J1634" s="136"/>
      <c r="K1634" s="107" t="s">
        <v>8</v>
      </c>
      <c r="L1634" s="115" t="s">
        <v>194</v>
      </c>
    </row>
    <row r="1635" spans="2:16" x14ac:dyDescent="0.4">
      <c r="B1635" s="74"/>
      <c r="C1635" s="304"/>
      <c r="D1635" s="305"/>
      <c r="E1635" s="127"/>
      <c r="F1635" s="72"/>
      <c r="G1635" s="74"/>
      <c r="I1635" s="84">
        <v>0</v>
      </c>
      <c r="K1635" s="84">
        <f>+F1635*I1635</f>
        <v>0</v>
      </c>
      <c r="L1635" s="118">
        <f>E1635*I1635</f>
        <v>0</v>
      </c>
    </row>
    <row r="1636" spans="2:16" x14ac:dyDescent="0.4">
      <c r="B1636" s="74"/>
      <c r="C1636" s="304"/>
      <c r="D1636" s="305"/>
      <c r="E1636" s="127"/>
      <c r="F1636" s="72"/>
      <c r="G1636" s="74"/>
      <c r="I1636" s="84">
        <v>0</v>
      </c>
      <c r="K1636" s="84">
        <f t="shared" ref="K1636:K1637" si="251">+F1636*I1636</f>
        <v>0</v>
      </c>
      <c r="L1636" s="118">
        <f t="shared" ref="L1636:L1637" si="252">E1636*I1636</f>
        <v>0</v>
      </c>
    </row>
    <row r="1637" spans="2:16" x14ac:dyDescent="0.4">
      <c r="B1637" s="74"/>
      <c r="C1637" s="304"/>
      <c r="D1637" s="305"/>
      <c r="E1637" s="127"/>
      <c r="F1637" s="72"/>
      <c r="G1637" s="74"/>
      <c r="I1637" s="84">
        <v>0</v>
      </c>
      <c r="K1637" s="84">
        <f t="shared" si="251"/>
        <v>0</v>
      </c>
      <c r="L1637" s="118">
        <f t="shared" si="252"/>
        <v>0</v>
      </c>
    </row>
    <row r="1638" spans="2:16" ht="17.399999999999999" thickBot="1" x14ac:dyDescent="0.45">
      <c r="L1638" s="118"/>
    </row>
    <row r="1639" spans="2:16" ht="17.399999999999999" thickBot="1" x14ac:dyDescent="0.45">
      <c r="F1639" s="292" t="s">
        <v>19</v>
      </c>
      <c r="G1639" s="293"/>
      <c r="H1639" s="293"/>
      <c r="I1639" s="294"/>
      <c r="K1639" s="229">
        <f>+SUM(K1635:K1637)</f>
        <v>0</v>
      </c>
      <c r="L1639" s="119">
        <f>+SUM(L1634:L1637)</f>
        <v>0</v>
      </c>
    </row>
    <row r="1640" spans="2:16" ht="15" customHeight="1" x14ac:dyDescent="0.4">
      <c r="F1640" s="128"/>
      <c r="G1640" s="129"/>
      <c r="H1640" s="130"/>
      <c r="I1640" s="108"/>
      <c r="K1640" s="230"/>
    </row>
    <row r="1641" spans="2:16" ht="15" customHeight="1" thickBot="1" x14ac:dyDescent="0.45"/>
    <row r="1642" spans="2:16" ht="17.399999999999999" thickBot="1" x14ac:dyDescent="0.45">
      <c r="F1642" s="292" t="s">
        <v>20</v>
      </c>
      <c r="G1642" s="293"/>
      <c r="H1642" s="293"/>
      <c r="I1642" s="294"/>
      <c r="K1642" s="229">
        <f>(+K1613+K1622+K1631+K1639)</f>
        <v>145</v>
      </c>
      <c r="L1642" s="119">
        <f>(+L1613+L1622+L1631+L1639)</f>
        <v>20436.3</v>
      </c>
      <c r="N1642" s="131"/>
      <c r="O1642" s="39"/>
      <c r="P1642" s="40"/>
    </row>
    <row r="1643" spans="2:16" ht="7.5" customHeight="1" thickBot="1" x14ac:dyDescent="0.45">
      <c r="N1643" s="131"/>
      <c r="O1643" s="41"/>
      <c r="P1643" s="40"/>
    </row>
    <row r="1644" spans="2:16" ht="17.399999999999999" thickBot="1" x14ac:dyDescent="0.45">
      <c r="F1644" s="292" t="s">
        <v>21</v>
      </c>
      <c r="G1644" s="293"/>
      <c r="H1644" s="293"/>
      <c r="I1644" s="294"/>
      <c r="K1644" s="229">
        <f>K1642*$N$2</f>
        <v>58</v>
      </c>
      <c r="L1644" s="119">
        <f>L1642*$N$2</f>
        <v>8174.52</v>
      </c>
    </row>
    <row r="1645" spans="2:16" ht="7.5" customHeight="1" thickBot="1" x14ac:dyDescent="0.45"/>
    <row r="1646" spans="2:16" ht="17.399999999999999" thickBot="1" x14ac:dyDescent="0.45">
      <c r="F1646" s="292" t="s">
        <v>22</v>
      </c>
      <c r="G1646" s="293"/>
      <c r="H1646" s="293"/>
      <c r="I1646" s="294"/>
      <c r="K1646" s="229">
        <f>+K1642+K1644</f>
        <v>203</v>
      </c>
      <c r="L1646" s="119">
        <f>+L1642+L1644</f>
        <v>28610.82</v>
      </c>
    </row>
    <row r="1647" spans="2:16" ht="17.399999999999999" thickBot="1" x14ac:dyDescent="0.45">
      <c r="F1647" s="128"/>
      <c r="G1647" s="129"/>
      <c r="H1647" s="130"/>
      <c r="I1647" s="108"/>
      <c r="K1647" s="231"/>
      <c r="L1647" s="132">
        <f>L1646/I1598</f>
        <v>203</v>
      </c>
      <c r="M1647" s="133">
        <f>(K1646-L1647)*I1598</f>
        <v>0</v>
      </c>
    </row>
    <row r="1648" spans="2:16" x14ac:dyDescent="0.4">
      <c r="F1648" s="128"/>
      <c r="G1648" s="129"/>
      <c r="H1648" s="130"/>
      <c r="I1648" s="108"/>
      <c r="K1648" s="232"/>
      <c r="L1648" s="131"/>
      <c r="M1648" s="134"/>
      <c r="N1648" s="135"/>
    </row>
    <row r="1649" spans="1:16" ht="17.399999999999999" thickBot="1" x14ac:dyDescent="0.45">
      <c r="B1649" s="295"/>
      <c r="C1649" s="295"/>
      <c r="D1649" s="295"/>
    </row>
    <row r="1650" spans="1:16" x14ac:dyDescent="0.4">
      <c r="B1650" s="296" t="s">
        <v>23</v>
      </c>
      <c r="C1650" s="296"/>
      <c r="D1650" s="296"/>
    </row>
    <row r="1651" spans="1:16" x14ac:dyDescent="0.4">
      <c r="B1651" s="157"/>
      <c r="C1651" s="157"/>
      <c r="D1651" s="157"/>
    </row>
    <row r="1652" spans="1:16" x14ac:dyDescent="0.4">
      <c r="B1652" s="157"/>
      <c r="C1652" s="157"/>
      <c r="D1652" s="157"/>
    </row>
    <row r="1653" spans="1:16" x14ac:dyDescent="0.4">
      <c r="B1653" s="105" t="s">
        <v>43</v>
      </c>
      <c r="C1653" s="106"/>
      <c r="D1653" s="311" t="s">
        <v>1</v>
      </c>
      <c r="E1653" s="311"/>
      <c r="F1653" s="311"/>
      <c r="G1653" s="311"/>
      <c r="H1653" s="106"/>
      <c r="I1653" s="107" t="s">
        <v>2</v>
      </c>
      <c r="J1653" s="136"/>
      <c r="K1653" s="107" t="s">
        <v>3</v>
      </c>
    </row>
    <row r="1654" spans="1:16" s="4" customFormat="1" ht="30.75" customHeight="1" x14ac:dyDescent="0.3">
      <c r="A1654" s="31"/>
      <c r="B1654" s="213">
        <f>CATALOGO!B47</f>
        <v>604.03</v>
      </c>
      <c r="C1654" s="71"/>
      <c r="D1654" s="312" t="str">
        <f>CATALOGO!C47</f>
        <v>PISO GRANITO (BASE SELECTO-CEMENTO T = 0.20m)</v>
      </c>
      <c r="E1654" s="312"/>
      <c r="F1654" s="312"/>
      <c r="G1654" s="312"/>
      <c r="H1654" s="71"/>
      <c r="I1654" s="213">
        <f>CATALOGO!D47</f>
        <v>51.5</v>
      </c>
      <c r="J1654" s="109"/>
      <c r="K1654" s="227" t="str">
        <f>CATALOGO!E47</f>
        <v>m²</v>
      </c>
      <c r="L1654" s="71"/>
      <c r="M1654" s="71"/>
      <c r="N1654" s="104"/>
      <c r="O1654" s="37"/>
      <c r="P1654" s="37"/>
    </row>
    <row r="1655" spans="1:16" ht="17.399999999999999" thickBot="1" x14ac:dyDescent="0.45"/>
    <row r="1656" spans="1:16" ht="17.399999999999999" thickBot="1" x14ac:dyDescent="0.45">
      <c r="B1656" s="110" t="s">
        <v>4</v>
      </c>
      <c r="C1656" s="300" t="s">
        <v>5</v>
      </c>
      <c r="D1656" s="300"/>
      <c r="E1656" s="300"/>
      <c r="F1656" s="300"/>
      <c r="G1656" s="301"/>
    </row>
    <row r="1657" spans="1:16" x14ac:dyDescent="0.3">
      <c r="B1657" s="111" t="s">
        <v>6</v>
      </c>
      <c r="C1657" s="313" t="s">
        <v>1</v>
      </c>
      <c r="D1657" s="314"/>
      <c r="E1657" s="112" t="s">
        <v>193</v>
      </c>
      <c r="F1657" s="113" t="s">
        <v>2</v>
      </c>
      <c r="G1657" s="114" t="s">
        <v>3</v>
      </c>
      <c r="H1657" s="106"/>
      <c r="I1657" s="107" t="s">
        <v>7</v>
      </c>
      <c r="J1657" s="136"/>
      <c r="K1657" s="228" t="s">
        <v>8</v>
      </c>
      <c r="L1657" s="115" t="s">
        <v>194</v>
      </c>
      <c r="O1657" s="323"/>
      <c r="P1657" s="323"/>
    </row>
    <row r="1658" spans="1:16" ht="17.25" customHeight="1" x14ac:dyDescent="0.3">
      <c r="B1658" s="122">
        <v>1</v>
      </c>
      <c r="C1658" s="317" t="s">
        <v>214</v>
      </c>
      <c r="D1658" s="318"/>
      <c r="E1658" s="116">
        <f>I1654*0.75</f>
        <v>38.625</v>
      </c>
      <c r="F1658" s="83">
        <f>ROUND(E1658/I1654,2)</f>
        <v>0.75</v>
      </c>
      <c r="G1658" s="74" t="str">
        <f>IF(C1658=0,0,VLOOKUP(C1658,Tabla1[],2,FALSE))</f>
        <v>Saco</v>
      </c>
      <c r="I1658" s="117">
        <f>IF(C1658=0,0,VLOOKUP(C1658,Tabla1[],3,FALSE))</f>
        <v>80</v>
      </c>
      <c r="K1658" s="84">
        <f>F1658*I1658</f>
        <v>60</v>
      </c>
      <c r="L1658" s="118">
        <f t="shared" ref="L1658:L1664" si="253">E1658*I1658</f>
        <v>3090</v>
      </c>
      <c r="O1658" s="44"/>
      <c r="P1658" s="45"/>
    </row>
    <row r="1659" spans="1:16" x14ac:dyDescent="0.4">
      <c r="B1659" s="122">
        <v>2</v>
      </c>
      <c r="C1659" s="317" t="s">
        <v>73</v>
      </c>
      <c r="D1659" s="318"/>
      <c r="E1659" s="116">
        <f>I1654*0.02</f>
        <v>1.03</v>
      </c>
      <c r="F1659" s="83">
        <f>ROUND(E1659/I1654,2)</f>
        <v>0.02</v>
      </c>
      <c r="G1659" s="74" t="str">
        <f>IF(C1659=0,0,VLOOKUP(C1659,Tabla1[],2,FALSE))</f>
        <v>m³</v>
      </c>
      <c r="I1659" s="117">
        <f>IF(C1659=0,0,VLOOKUP(C1659,Tabla1[],3,FALSE))</f>
        <v>250</v>
      </c>
      <c r="K1659" s="84">
        <f t="shared" ref="K1659:K1664" si="254">+F1659*I1659</f>
        <v>5</v>
      </c>
      <c r="L1659" s="118">
        <f t="shared" si="253"/>
        <v>257.5</v>
      </c>
      <c r="P1659" s="45"/>
    </row>
    <row r="1660" spans="1:16" x14ac:dyDescent="0.3">
      <c r="B1660" s="122">
        <v>3</v>
      </c>
      <c r="C1660" s="317" t="s">
        <v>74</v>
      </c>
      <c r="D1660" s="318"/>
      <c r="E1660" s="116">
        <f>I1654*0.02</f>
        <v>1.03</v>
      </c>
      <c r="F1660" s="83">
        <f>ROUND(E1660/I1654,2)</f>
        <v>0.02</v>
      </c>
      <c r="G1660" s="74" t="str">
        <f>IF(C1660=0,0,VLOOKUP(C1660,Tabla1[],2,FALSE))</f>
        <v>m³</v>
      </c>
      <c r="I1660" s="117">
        <f>IF(C1660=0,0,VLOOKUP(C1660,Tabla1[],3,FALSE))</f>
        <v>250</v>
      </c>
      <c r="K1660" s="84">
        <f t="shared" si="254"/>
        <v>5</v>
      </c>
      <c r="L1660" s="118">
        <f t="shared" si="253"/>
        <v>257.5</v>
      </c>
      <c r="O1660" s="44"/>
      <c r="P1660" s="46"/>
    </row>
    <row r="1661" spans="1:16" x14ac:dyDescent="0.3">
      <c r="B1661" s="122">
        <v>4</v>
      </c>
      <c r="C1661" s="317" t="s">
        <v>180</v>
      </c>
      <c r="D1661" s="318"/>
      <c r="E1661" s="116">
        <f>I1654</f>
        <v>51.5</v>
      </c>
      <c r="F1661" s="83">
        <f>ROUND(E1661/I1654,2)</f>
        <v>1</v>
      </c>
      <c r="G1661" s="74" t="str">
        <f>IF(C1661=0,0,VLOOKUP(C1661,Tabla1[],2,FALSE))</f>
        <v>pt</v>
      </c>
      <c r="I1661" s="117">
        <f>IF(C1661=0,0,VLOOKUP(C1661,Tabla1[],3,FALSE))</f>
        <v>9</v>
      </c>
      <c r="K1661" s="84">
        <f t="shared" si="254"/>
        <v>9</v>
      </c>
      <c r="L1661" s="118">
        <f t="shared" si="253"/>
        <v>463.5</v>
      </c>
      <c r="O1661" s="44"/>
      <c r="P1661" s="51"/>
    </row>
    <row r="1662" spans="1:16" x14ac:dyDescent="0.4">
      <c r="B1662" s="122">
        <v>5</v>
      </c>
      <c r="C1662" s="317" t="s">
        <v>102</v>
      </c>
      <c r="D1662" s="318"/>
      <c r="E1662" s="116">
        <f>I1654*0.1</f>
        <v>5.15</v>
      </c>
      <c r="F1662" s="83">
        <f>ROUND(E1662/I1654,2)</f>
        <v>0.1</v>
      </c>
      <c r="G1662" s="74" t="str">
        <f>IF(C1662=0,0,VLOOKUP(C1662,Tabla1[],2,FALSE))</f>
        <v>m³</v>
      </c>
      <c r="I1662" s="117">
        <f>IF(C1662=0,0,VLOOKUP(C1662,Tabla1[],3,FALSE))</f>
        <v>300</v>
      </c>
      <c r="K1662" s="84">
        <f t="shared" si="254"/>
        <v>30</v>
      </c>
      <c r="L1662" s="118">
        <f t="shared" si="253"/>
        <v>1545</v>
      </c>
      <c r="O1662" s="48"/>
      <c r="P1662" s="52"/>
    </row>
    <row r="1663" spans="1:16" x14ac:dyDescent="0.4">
      <c r="B1663" s="122">
        <v>6</v>
      </c>
      <c r="C1663" s="315" t="s">
        <v>467</v>
      </c>
      <c r="D1663" s="316"/>
      <c r="E1663" s="116">
        <f>I1654*1</f>
        <v>51.5</v>
      </c>
      <c r="F1663" s="83">
        <f>ROUND(E1663/I1654,2)</f>
        <v>1</v>
      </c>
      <c r="G1663" s="74" t="str">
        <f>IF(C1663=0,0,VLOOKUP(C1663,Tabla1[],2,FALSE))</f>
        <v>m²</v>
      </c>
      <c r="I1663" s="117">
        <f>IF(C1663=0,0,VLOOKUP(C1663,Tabla1[],3,FALSE))</f>
        <v>125</v>
      </c>
      <c r="K1663" s="84">
        <f t="shared" si="254"/>
        <v>125</v>
      </c>
      <c r="L1663" s="118">
        <f t="shared" si="253"/>
        <v>6437.5</v>
      </c>
      <c r="O1663" s="48"/>
      <c r="P1663" s="52"/>
    </row>
    <row r="1664" spans="1:16" x14ac:dyDescent="0.4">
      <c r="B1664" s="122">
        <v>7</v>
      </c>
      <c r="C1664" s="319" t="s">
        <v>215</v>
      </c>
      <c r="D1664" s="318"/>
      <c r="E1664" s="116">
        <f>I1654*0.12</f>
        <v>6.18</v>
      </c>
      <c r="F1664" s="83">
        <f>ROUND(E1664/I1654,2)</f>
        <v>0.12</v>
      </c>
      <c r="G1664" s="74" t="str">
        <f>IF(C1664=0,0,VLOOKUP(C1664,Tabla1[],2,FALSE))</f>
        <v>Bolsa</v>
      </c>
      <c r="I1664" s="117">
        <f>IF(C1664=0,0,VLOOKUP(C1664,Tabla1[],3,FALSE))</f>
        <v>50</v>
      </c>
      <c r="K1664" s="84">
        <f t="shared" si="254"/>
        <v>6</v>
      </c>
      <c r="L1664" s="118">
        <f t="shared" si="253"/>
        <v>309</v>
      </c>
      <c r="O1664" s="48"/>
      <c r="P1664" s="52"/>
    </row>
    <row r="1665" spans="2:16" ht="17.399999999999999" thickBot="1" x14ac:dyDescent="0.45"/>
    <row r="1666" spans="2:16" ht="17.399999999999999" thickBot="1" x14ac:dyDescent="0.35">
      <c r="F1666" s="292" t="s">
        <v>9</v>
      </c>
      <c r="G1666" s="293"/>
      <c r="H1666" s="293"/>
      <c r="I1666" s="294"/>
      <c r="K1666" s="229">
        <f>+SUM(K1658:K1664)</f>
        <v>240</v>
      </c>
      <c r="L1666" s="119">
        <f>+SUM(L1658:L1664)</f>
        <v>12360</v>
      </c>
      <c r="O1666" s="38"/>
      <c r="P1666" s="38"/>
    </row>
    <row r="1667" spans="2:16" ht="17.399999999999999" thickBot="1" x14ac:dyDescent="0.45">
      <c r="O1667" s="42"/>
      <c r="P1667" s="43"/>
    </row>
    <row r="1668" spans="2:16" ht="17.399999999999999" thickBot="1" x14ac:dyDescent="0.45">
      <c r="B1668" s="110" t="s">
        <v>10</v>
      </c>
      <c r="C1668" s="300" t="s">
        <v>11</v>
      </c>
      <c r="D1668" s="300"/>
      <c r="E1668" s="300"/>
      <c r="F1668" s="300"/>
      <c r="G1668" s="301"/>
    </row>
    <row r="1669" spans="2:16" x14ac:dyDescent="0.4">
      <c r="B1669" s="114" t="s">
        <v>6</v>
      </c>
      <c r="C1669" s="302" t="s">
        <v>1</v>
      </c>
      <c r="D1669" s="303"/>
      <c r="E1669" s="112" t="s">
        <v>193</v>
      </c>
      <c r="F1669" s="120" t="s">
        <v>2</v>
      </c>
      <c r="G1669" s="114" t="s">
        <v>3</v>
      </c>
      <c r="H1669" s="106"/>
      <c r="I1669" s="107" t="s">
        <v>7</v>
      </c>
      <c r="J1669" s="136"/>
      <c r="K1669" s="107" t="s">
        <v>8</v>
      </c>
      <c r="L1669" s="115" t="s">
        <v>194</v>
      </c>
    </row>
    <row r="1670" spans="2:16" x14ac:dyDescent="0.4">
      <c r="B1670" s="122"/>
      <c r="C1670" s="306"/>
      <c r="D1670" s="306"/>
      <c r="E1670" s="116"/>
      <c r="F1670" s="83"/>
      <c r="G1670" s="74"/>
      <c r="I1670" s="117">
        <f>IF(C1670=0,0,VLOOKUP(C1670,Tabla3[],3,FALSE))</f>
        <v>0</v>
      </c>
      <c r="K1670" s="84">
        <f>F1670*I1670</f>
        <v>0</v>
      </c>
      <c r="L1670" s="118">
        <f>E1670*I1670</f>
        <v>0</v>
      </c>
    </row>
    <row r="1671" spans="2:16" x14ac:dyDescent="0.4">
      <c r="B1671" s="74"/>
      <c r="C1671" s="309"/>
      <c r="D1671" s="310"/>
      <c r="E1671" s="121"/>
      <c r="F1671" s="72"/>
      <c r="G1671" s="74"/>
      <c r="I1671" s="117">
        <f>IF(C1671=0,0,VLOOKUP(C1671,Tabla3[],3,FALSE))</f>
        <v>0</v>
      </c>
      <c r="K1671" s="84">
        <f t="shared" ref="K1671:K1673" si="255">+F1671*I1671</f>
        <v>0</v>
      </c>
      <c r="L1671" s="118">
        <f t="shared" ref="L1671:L1673" si="256">E1671*I1671</f>
        <v>0</v>
      </c>
    </row>
    <row r="1672" spans="2:16" x14ac:dyDescent="0.4">
      <c r="B1672" s="74"/>
      <c r="C1672" s="309"/>
      <c r="D1672" s="310"/>
      <c r="E1672" s="121"/>
      <c r="F1672" s="72"/>
      <c r="G1672" s="74"/>
      <c r="I1672" s="117">
        <f>IF(C1672=0,0,VLOOKUP(C1672,Tabla3[],3,FALSE))</f>
        <v>0</v>
      </c>
      <c r="K1672" s="84">
        <f t="shared" si="255"/>
        <v>0</v>
      </c>
      <c r="L1672" s="118">
        <f t="shared" si="256"/>
        <v>0</v>
      </c>
    </row>
    <row r="1673" spans="2:16" x14ac:dyDescent="0.4">
      <c r="B1673" s="74"/>
      <c r="C1673" s="304"/>
      <c r="D1673" s="305"/>
      <c r="E1673" s="121"/>
      <c r="F1673" s="72"/>
      <c r="G1673" s="74"/>
      <c r="I1673" s="117">
        <f>IF(C1673=0,0,VLOOKUP(C1673,Tabla3[],3,FALSE))</f>
        <v>0</v>
      </c>
      <c r="K1673" s="84">
        <f t="shared" si="255"/>
        <v>0</v>
      </c>
      <c r="L1673" s="118">
        <f t="shared" si="256"/>
        <v>0</v>
      </c>
    </row>
    <row r="1674" spans="2:16" ht="17.399999999999999" thickBot="1" x14ac:dyDescent="0.45"/>
    <row r="1675" spans="2:16" ht="17.399999999999999" thickBot="1" x14ac:dyDescent="0.45">
      <c r="F1675" s="292" t="s">
        <v>12</v>
      </c>
      <c r="G1675" s="293"/>
      <c r="H1675" s="293"/>
      <c r="I1675" s="294"/>
      <c r="K1675" s="229">
        <f>+SUM(K1670:K1673)</f>
        <v>0</v>
      </c>
      <c r="L1675" s="119">
        <f>+SUM(L1670:L1673)</f>
        <v>0</v>
      </c>
    </row>
    <row r="1676" spans="2:16" ht="17.399999999999999" thickBot="1" x14ac:dyDescent="0.45"/>
    <row r="1677" spans="2:16" ht="17.399999999999999" thickBot="1" x14ac:dyDescent="0.45">
      <c r="B1677" s="110" t="s">
        <v>13</v>
      </c>
      <c r="C1677" s="300" t="s">
        <v>14</v>
      </c>
      <c r="D1677" s="300"/>
      <c r="E1677" s="300"/>
      <c r="F1677" s="300"/>
      <c r="G1677" s="301"/>
    </row>
    <row r="1678" spans="2:16" x14ac:dyDescent="0.4">
      <c r="B1678" s="114" t="s">
        <v>6</v>
      </c>
      <c r="C1678" s="302" t="s">
        <v>1</v>
      </c>
      <c r="D1678" s="303"/>
      <c r="E1678" s="112" t="s">
        <v>193</v>
      </c>
      <c r="F1678" s="120" t="s">
        <v>2</v>
      </c>
      <c r="G1678" s="114" t="s">
        <v>3</v>
      </c>
      <c r="H1678" s="106"/>
      <c r="I1678" s="107" t="s">
        <v>7</v>
      </c>
      <c r="J1678" s="136"/>
      <c r="K1678" s="107" t="s">
        <v>8</v>
      </c>
      <c r="L1678" s="115" t="s">
        <v>194</v>
      </c>
    </row>
    <row r="1679" spans="2:16" x14ac:dyDescent="0.4">
      <c r="B1679" s="122">
        <v>1</v>
      </c>
      <c r="C1679" s="306" t="s">
        <v>415</v>
      </c>
      <c r="D1679" s="306"/>
      <c r="E1679" s="116">
        <f>I1654*0.1</f>
        <v>5.15</v>
      </c>
      <c r="F1679" s="83">
        <f>ROUND(E1679/I1654,2)</f>
        <v>0.1</v>
      </c>
      <c r="G1679" s="74" t="str">
        <f>IF(C1679=0,0,VLOOKUP(C1679,Tabla2[],2,FALSE))</f>
        <v>m³</v>
      </c>
      <c r="I1679" s="117">
        <f>IF(C1679=0,0,VLOOKUP(C1679,Tabla2[],3,FALSE))</f>
        <v>100</v>
      </c>
      <c r="K1679" s="84">
        <f>+F1679*I1679</f>
        <v>10</v>
      </c>
      <c r="L1679" s="118">
        <f>E1679*I1679</f>
        <v>515</v>
      </c>
    </row>
    <row r="1680" spans="2:16" x14ac:dyDescent="0.4">
      <c r="B1680" s="122">
        <v>2</v>
      </c>
      <c r="C1680" s="306" t="s">
        <v>216</v>
      </c>
      <c r="D1680" s="306"/>
      <c r="E1680" s="116">
        <f>I1654</f>
        <v>51.5</v>
      </c>
      <c r="F1680" s="83">
        <f>ROUND(E1680/I1654,2)</f>
        <v>1</v>
      </c>
      <c r="G1680" s="74" t="str">
        <f>IF(C1680=0,0,VLOOKUP(C1680,Tabla2[],2,FALSE))</f>
        <v>m²</v>
      </c>
      <c r="I1680" s="117">
        <f>IF(C1680=0,0,VLOOKUP(C1680,Tabla2[],3,FALSE))</f>
        <v>100</v>
      </c>
      <c r="K1680" s="84">
        <f>+F1680*I1680</f>
        <v>100</v>
      </c>
      <c r="L1680" s="118">
        <f>E1680*I1680</f>
        <v>5150</v>
      </c>
    </row>
    <row r="1681" spans="2:16" ht="17.399999999999999" thickBot="1" x14ac:dyDescent="0.45">
      <c r="B1681" s="123"/>
      <c r="C1681" s="307"/>
      <c r="D1681" s="308"/>
      <c r="E1681" s="124"/>
      <c r="F1681" s="125"/>
      <c r="G1681" s="74"/>
      <c r="I1681" s="117">
        <f>IF(C1681=0,0,VLOOKUP(C1681,Tabla2[],3,FALSE))</f>
        <v>0</v>
      </c>
      <c r="K1681" s="84">
        <f t="shared" ref="K1681" si="257">+F1681*I1681</f>
        <v>0</v>
      </c>
      <c r="L1681" s="118">
        <f t="shared" ref="L1681:L1682" si="258">E1681*I1681</f>
        <v>0</v>
      </c>
    </row>
    <row r="1682" spans="2:16" ht="17.399999999999999" thickBot="1" x14ac:dyDescent="0.45">
      <c r="B1682" s="297" t="s">
        <v>15</v>
      </c>
      <c r="C1682" s="298"/>
      <c r="D1682" s="298"/>
      <c r="E1682" s="298"/>
      <c r="F1682" s="298"/>
      <c r="G1682" s="299"/>
      <c r="I1682" s="84">
        <v>0</v>
      </c>
      <c r="K1682" s="84">
        <v>0</v>
      </c>
      <c r="L1682" s="118">
        <f t="shared" si="258"/>
        <v>0</v>
      </c>
    </row>
    <row r="1683" spans="2:16" ht="17.399999999999999" thickBot="1" x14ac:dyDescent="0.45"/>
    <row r="1684" spans="2:16" ht="17.399999999999999" thickBot="1" x14ac:dyDescent="0.45">
      <c r="F1684" s="292" t="s">
        <v>16</v>
      </c>
      <c r="G1684" s="293"/>
      <c r="H1684" s="293"/>
      <c r="I1684" s="294"/>
      <c r="K1684" s="229">
        <f>+SUM(K1679:K1682)</f>
        <v>110</v>
      </c>
      <c r="L1684" s="119">
        <f>+SUM(L1679:L1682)</f>
        <v>5665</v>
      </c>
    </row>
    <row r="1685" spans="2:16" ht="17.399999999999999" thickBot="1" x14ac:dyDescent="0.45"/>
    <row r="1686" spans="2:16" ht="17.399999999999999" thickBot="1" x14ac:dyDescent="0.45">
      <c r="B1686" s="110" t="s">
        <v>17</v>
      </c>
      <c r="C1686" s="300" t="s">
        <v>18</v>
      </c>
      <c r="D1686" s="300"/>
      <c r="E1686" s="300"/>
      <c r="F1686" s="300"/>
      <c r="G1686" s="301"/>
    </row>
    <row r="1687" spans="2:16" x14ac:dyDescent="0.4">
      <c r="B1687" s="114" t="s">
        <v>6</v>
      </c>
      <c r="C1687" s="302" t="s">
        <v>1</v>
      </c>
      <c r="D1687" s="303"/>
      <c r="E1687" s="126"/>
      <c r="F1687" s="120" t="s">
        <v>2</v>
      </c>
      <c r="G1687" s="114" t="s">
        <v>3</v>
      </c>
      <c r="H1687" s="106"/>
      <c r="I1687" s="107" t="s">
        <v>7</v>
      </c>
      <c r="J1687" s="136"/>
      <c r="K1687" s="107" t="s">
        <v>8</v>
      </c>
      <c r="L1687" s="115" t="s">
        <v>194</v>
      </c>
    </row>
    <row r="1688" spans="2:16" x14ac:dyDescent="0.4">
      <c r="B1688" s="74"/>
      <c r="C1688" s="304"/>
      <c r="D1688" s="305"/>
      <c r="E1688" s="127"/>
      <c r="F1688" s="72"/>
      <c r="G1688" s="74"/>
      <c r="I1688" s="84">
        <v>0</v>
      </c>
      <c r="K1688" s="84">
        <f>+F1688*I1688</f>
        <v>0</v>
      </c>
      <c r="L1688" s="118">
        <f>E1688*I1688</f>
        <v>0</v>
      </c>
    </row>
    <row r="1689" spans="2:16" x14ac:dyDescent="0.4">
      <c r="B1689" s="74"/>
      <c r="C1689" s="304"/>
      <c r="D1689" s="305"/>
      <c r="E1689" s="127"/>
      <c r="F1689" s="72"/>
      <c r="G1689" s="74"/>
      <c r="I1689" s="84">
        <v>0</v>
      </c>
      <c r="K1689" s="84">
        <f t="shared" ref="K1689:K1690" si="259">+F1689*I1689</f>
        <v>0</v>
      </c>
      <c r="L1689" s="118">
        <f t="shared" ref="L1689:L1690" si="260">E1689*I1689</f>
        <v>0</v>
      </c>
    </row>
    <row r="1690" spans="2:16" x14ac:dyDescent="0.4">
      <c r="B1690" s="74"/>
      <c r="C1690" s="304"/>
      <c r="D1690" s="305"/>
      <c r="E1690" s="127"/>
      <c r="F1690" s="72"/>
      <c r="G1690" s="74"/>
      <c r="I1690" s="84">
        <v>0</v>
      </c>
      <c r="K1690" s="84">
        <f t="shared" si="259"/>
        <v>0</v>
      </c>
      <c r="L1690" s="118">
        <f t="shared" si="260"/>
        <v>0</v>
      </c>
    </row>
    <row r="1691" spans="2:16" ht="17.399999999999999" thickBot="1" x14ac:dyDescent="0.45">
      <c r="L1691" s="118"/>
    </row>
    <row r="1692" spans="2:16" ht="17.399999999999999" thickBot="1" x14ac:dyDescent="0.45">
      <c r="F1692" s="292" t="s">
        <v>19</v>
      </c>
      <c r="G1692" s="293"/>
      <c r="H1692" s="293"/>
      <c r="I1692" s="294"/>
      <c r="K1692" s="229">
        <f>+SUM(K1688:K1690)</f>
        <v>0</v>
      </c>
      <c r="L1692" s="119">
        <f>+SUM(L1687:L1690)</f>
        <v>0</v>
      </c>
    </row>
    <row r="1693" spans="2:16" ht="15" customHeight="1" x14ac:dyDescent="0.4">
      <c r="F1693" s="128"/>
      <c r="G1693" s="129"/>
      <c r="H1693" s="130"/>
      <c r="I1693" s="108"/>
      <c r="K1693" s="230"/>
    </row>
    <row r="1694" spans="2:16" ht="15" customHeight="1" thickBot="1" x14ac:dyDescent="0.45"/>
    <row r="1695" spans="2:16" ht="17.399999999999999" thickBot="1" x14ac:dyDescent="0.45">
      <c r="F1695" s="292" t="s">
        <v>20</v>
      </c>
      <c r="G1695" s="293"/>
      <c r="H1695" s="293"/>
      <c r="I1695" s="294"/>
      <c r="K1695" s="229">
        <f>(+K1666+K1675+K1684+K1692)</f>
        <v>350</v>
      </c>
      <c r="L1695" s="119">
        <f>(+L1666+L1675+L1684+L1692)</f>
        <v>18025</v>
      </c>
      <c r="N1695" s="131"/>
      <c r="O1695" s="39"/>
      <c r="P1695" s="40"/>
    </row>
    <row r="1696" spans="2:16" ht="7.5" customHeight="1" thickBot="1" x14ac:dyDescent="0.45">
      <c r="N1696" s="131"/>
      <c r="O1696" s="41"/>
      <c r="P1696" s="40"/>
    </row>
    <row r="1697" spans="1:16" ht="17.399999999999999" thickBot="1" x14ac:dyDescent="0.45">
      <c r="F1697" s="292" t="s">
        <v>21</v>
      </c>
      <c r="G1697" s="293"/>
      <c r="H1697" s="293"/>
      <c r="I1697" s="294"/>
      <c r="K1697" s="229">
        <f>K1695*$N$2</f>
        <v>140</v>
      </c>
      <c r="L1697" s="119">
        <f>L1695*$N$2</f>
        <v>7210</v>
      </c>
    </row>
    <row r="1698" spans="1:16" ht="7.5" customHeight="1" thickBot="1" x14ac:dyDescent="0.45"/>
    <row r="1699" spans="1:16" ht="17.399999999999999" thickBot="1" x14ac:dyDescent="0.45">
      <c r="F1699" s="292" t="s">
        <v>22</v>
      </c>
      <c r="G1699" s="293"/>
      <c r="H1699" s="293"/>
      <c r="I1699" s="294"/>
      <c r="K1699" s="229">
        <f>+K1695+K1697</f>
        <v>490</v>
      </c>
      <c r="L1699" s="119">
        <f>+L1695+L1697</f>
        <v>25235</v>
      </c>
    </row>
    <row r="1700" spans="1:16" ht="17.399999999999999" thickBot="1" x14ac:dyDescent="0.45">
      <c r="F1700" s="128"/>
      <c r="G1700" s="129"/>
      <c r="H1700" s="130"/>
      <c r="I1700" s="108"/>
      <c r="K1700" s="231"/>
      <c r="L1700" s="132">
        <f>L1699/I1654</f>
        <v>490</v>
      </c>
      <c r="M1700" s="133">
        <f>(K1699-L1700)*I1654</f>
        <v>0</v>
      </c>
    </row>
    <row r="1701" spans="1:16" x14ac:dyDescent="0.4">
      <c r="F1701" s="128"/>
      <c r="G1701" s="129"/>
      <c r="H1701" s="130"/>
      <c r="I1701" s="108"/>
      <c r="K1701" s="232"/>
      <c r="L1701" s="131"/>
      <c r="M1701" s="134"/>
      <c r="N1701" s="135"/>
    </row>
    <row r="1702" spans="1:16" ht="17.399999999999999" thickBot="1" x14ac:dyDescent="0.45">
      <c r="B1702" s="295"/>
      <c r="C1702" s="295"/>
      <c r="D1702" s="295"/>
    </row>
    <row r="1703" spans="1:16" x14ac:dyDescent="0.4">
      <c r="B1703" s="296" t="s">
        <v>23</v>
      </c>
      <c r="C1703" s="296"/>
      <c r="D1703" s="296"/>
    </row>
    <row r="1704" spans="1:16" x14ac:dyDescent="0.4">
      <c r="B1704" s="157"/>
      <c r="C1704" s="157"/>
      <c r="D1704" s="157"/>
    </row>
    <row r="1705" spans="1:16" x14ac:dyDescent="0.4">
      <c r="B1705" s="157"/>
      <c r="C1705" s="157"/>
      <c r="D1705" s="157"/>
    </row>
    <row r="1706" spans="1:16" x14ac:dyDescent="0.4">
      <c r="B1706" s="105" t="s">
        <v>43</v>
      </c>
      <c r="C1706" s="106"/>
      <c r="D1706" s="311" t="s">
        <v>1</v>
      </c>
      <c r="E1706" s="311"/>
      <c r="F1706" s="311"/>
      <c r="G1706" s="311"/>
      <c r="H1706" s="106"/>
      <c r="I1706" s="107" t="s">
        <v>2</v>
      </c>
      <c r="J1706" s="136"/>
      <c r="K1706" s="107" t="s">
        <v>3</v>
      </c>
    </row>
    <row r="1707" spans="1:16" s="4" customFormat="1" ht="30.75" customHeight="1" x14ac:dyDescent="0.3">
      <c r="A1707" s="31"/>
      <c r="B1707" s="213">
        <f>CATALOGO!B48</f>
        <v>604.04999999999995</v>
      </c>
      <c r="C1707" s="71"/>
      <c r="D1707" s="312" t="str">
        <f>CATALOGO!C48</f>
        <v>PISO DE GRANITO ANTIDESLIZANTE</v>
      </c>
      <c r="E1707" s="312"/>
      <c r="F1707" s="312"/>
      <c r="G1707" s="312"/>
      <c r="H1707" s="71"/>
      <c r="I1707" s="213">
        <f>CATALOGO!D48</f>
        <v>15.02</v>
      </c>
      <c r="J1707" s="109"/>
      <c r="K1707" s="227" t="str">
        <f>CATALOGO!E48</f>
        <v>m²</v>
      </c>
      <c r="L1707" s="71"/>
      <c r="M1707" s="71"/>
      <c r="N1707" s="104"/>
      <c r="O1707" s="37"/>
      <c r="P1707" s="37"/>
    </row>
    <row r="1708" spans="1:16" ht="17.399999999999999" thickBot="1" x14ac:dyDescent="0.45"/>
    <row r="1709" spans="1:16" ht="17.399999999999999" thickBot="1" x14ac:dyDescent="0.45">
      <c r="B1709" s="110" t="s">
        <v>4</v>
      </c>
      <c r="C1709" s="300" t="s">
        <v>5</v>
      </c>
      <c r="D1709" s="300"/>
      <c r="E1709" s="300"/>
      <c r="F1709" s="300"/>
      <c r="G1709" s="301"/>
    </row>
    <row r="1710" spans="1:16" x14ac:dyDescent="0.3">
      <c r="B1710" s="111" t="s">
        <v>6</v>
      </c>
      <c r="C1710" s="313" t="s">
        <v>1</v>
      </c>
      <c r="D1710" s="314"/>
      <c r="E1710" s="112" t="s">
        <v>193</v>
      </c>
      <c r="F1710" s="113" t="s">
        <v>2</v>
      </c>
      <c r="G1710" s="114" t="s">
        <v>3</v>
      </c>
      <c r="H1710" s="106"/>
      <c r="I1710" s="107" t="s">
        <v>7</v>
      </c>
      <c r="J1710" s="136"/>
      <c r="K1710" s="228" t="s">
        <v>8</v>
      </c>
      <c r="L1710" s="115" t="s">
        <v>194</v>
      </c>
      <c r="O1710" s="323"/>
      <c r="P1710" s="323"/>
    </row>
    <row r="1711" spans="1:16" ht="17.25" customHeight="1" x14ac:dyDescent="0.3">
      <c r="B1711" s="122">
        <v>1</v>
      </c>
      <c r="C1711" s="315" t="s">
        <v>467</v>
      </c>
      <c r="D1711" s="316"/>
      <c r="E1711" s="116">
        <f>I1707*1</f>
        <v>15.02</v>
      </c>
      <c r="F1711" s="83">
        <f>ROUND(E1711/I1707,2)</f>
        <v>1</v>
      </c>
      <c r="G1711" s="74" t="str">
        <f>IF(C1711=0,0,VLOOKUP(C1711,Tabla1[],2,FALSE))</f>
        <v>m²</v>
      </c>
      <c r="I1711" s="117">
        <f>IF(C1711=0,0,VLOOKUP(C1711,Tabla1[],3,FALSE))</f>
        <v>125</v>
      </c>
      <c r="K1711" s="84">
        <f>F1711*I1711</f>
        <v>125</v>
      </c>
      <c r="L1711" s="118">
        <f t="shared" ref="L1711:L1720" si="261">E1711*I1711</f>
        <v>1877.5</v>
      </c>
      <c r="O1711" s="44"/>
      <c r="P1711" s="45"/>
    </row>
    <row r="1712" spans="1:16" x14ac:dyDescent="0.4">
      <c r="B1712" s="122">
        <v>2</v>
      </c>
      <c r="C1712" s="317" t="s">
        <v>214</v>
      </c>
      <c r="D1712" s="318"/>
      <c r="E1712" s="116">
        <f>I1707*0.7</f>
        <v>10.513999999999999</v>
      </c>
      <c r="F1712" s="83">
        <f>ROUND(E1712/I1707,2)</f>
        <v>0.7</v>
      </c>
      <c r="G1712" s="74" t="str">
        <f>IF(C1712=0,0,VLOOKUP(C1712,Tabla1[],2,FALSE))</f>
        <v>Saco</v>
      </c>
      <c r="I1712" s="117">
        <f>IF(C1712=0,0,VLOOKUP(C1712,Tabla1[],3,FALSE))</f>
        <v>80</v>
      </c>
      <c r="K1712" s="84">
        <f t="shared" ref="K1712:K1720" si="262">+F1712*I1712</f>
        <v>56</v>
      </c>
      <c r="L1712" s="118">
        <f t="shared" si="261"/>
        <v>841.11999999999989</v>
      </c>
      <c r="P1712" s="45"/>
    </row>
    <row r="1713" spans="2:16" ht="16.5" customHeight="1" x14ac:dyDescent="0.3">
      <c r="B1713" s="122">
        <v>3</v>
      </c>
      <c r="C1713" s="319" t="s">
        <v>73</v>
      </c>
      <c r="D1713" s="318"/>
      <c r="E1713" s="116">
        <f>I1707*0.02</f>
        <v>0.3004</v>
      </c>
      <c r="F1713" s="83">
        <f>ROUND(E1713/I1707,2)</f>
        <v>0.02</v>
      </c>
      <c r="G1713" s="74" t="str">
        <f>IF(C1713=0,0,VLOOKUP(C1713,Tabla1[],2,FALSE))</f>
        <v>m³</v>
      </c>
      <c r="I1713" s="117">
        <f>IF(C1713=0,0,VLOOKUP(C1713,Tabla1[],3,FALSE))</f>
        <v>250</v>
      </c>
      <c r="K1713" s="84">
        <f t="shared" si="262"/>
        <v>5</v>
      </c>
      <c r="L1713" s="118">
        <f t="shared" si="261"/>
        <v>75.099999999999994</v>
      </c>
      <c r="O1713" s="44"/>
      <c r="P1713" s="46"/>
    </row>
    <row r="1714" spans="2:16" x14ac:dyDescent="0.3">
      <c r="B1714" s="122">
        <v>4</v>
      </c>
      <c r="C1714" s="319" t="s">
        <v>215</v>
      </c>
      <c r="D1714" s="318"/>
      <c r="E1714" s="116">
        <f>I1707*0.08</f>
        <v>1.2016</v>
      </c>
      <c r="F1714" s="83">
        <f>ROUND(E1714/I1707,2)</f>
        <v>0.08</v>
      </c>
      <c r="G1714" s="74" t="str">
        <f>IF(C1714=0,0,VLOOKUP(C1714,Tabla1[],2,FALSE))</f>
        <v>Bolsa</v>
      </c>
      <c r="I1714" s="117">
        <f>IF(C1714=0,0,VLOOKUP(C1714,Tabla1[],3,FALSE))</f>
        <v>50</v>
      </c>
      <c r="K1714" s="84">
        <f t="shared" si="262"/>
        <v>4</v>
      </c>
      <c r="L1714" s="118">
        <f t="shared" si="261"/>
        <v>60.08</v>
      </c>
      <c r="O1714" s="44"/>
      <c r="P1714" s="51"/>
    </row>
    <row r="1715" spans="2:16" x14ac:dyDescent="0.3">
      <c r="B1715" s="122"/>
      <c r="C1715" s="210"/>
      <c r="D1715" s="209"/>
      <c r="E1715" s="116"/>
      <c r="F1715" s="83"/>
      <c r="G1715" s="74"/>
      <c r="I1715" s="117">
        <f>IF(C1715=0,0,VLOOKUP(C1715,Tabla1[],3,FALSE))</f>
        <v>0</v>
      </c>
      <c r="K1715" s="84">
        <f t="shared" ref="K1715:K1717" si="263">+F1715*I1715</f>
        <v>0</v>
      </c>
      <c r="L1715" s="118">
        <f t="shared" ref="L1715:L1717" si="264">E1715*I1715</f>
        <v>0</v>
      </c>
      <c r="O1715" s="44"/>
      <c r="P1715" s="51"/>
    </row>
    <row r="1716" spans="2:16" x14ac:dyDescent="0.3">
      <c r="B1716" s="122"/>
      <c r="C1716" s="210"/>
      <c r="D1716" s="209"/>
      <c r="E1716" s="116"/>
      <c r="F1716" s="83"/>
      <c r="G1716" s="74"/>
      <c r="I1716" s="117">
        <f>IF(C1716=0,0,VLOOKUP(C1716,Tabla1[],3,FALSE))</f>
        <v>0</v>
      </c>
      <c r="K1716" s="84">
        <f t="shared" si="263"/>
        <v>0</v>
      </c>
      <c r="L1716" s="118">
        <f t="shared" si="264"/>
        <v>0</v>
      </c>
      <c r="O1716" s="44"/>
      <c r="P1716" s="51"/>
    </row>
    <row r="1717" spans="2:16" x14ac:dyDescent="0.3">
      <c r="B1717" s="122"/>
      <c r="C1717" s="210"/>
      <c r="D1717" s="209"/>
      <c r="E1717" s="116"/>
      <c r="F1717" s="83"/>
      <c r="G1717" s="74"/>
      <c r="I1717" s="117">
        <f>IF(C1717=0,0,VLOOKUP(C1717,Tabla1[],3,FALSE))</f>
        <v>0</v>
      </c>
      <c r="K1717" s="84">
        <f t="shared" si="263"/>
        <v>0</v>
      </c>
      <c r="L1717" s="118">
        <f t="shared" si="264"/>
        <v>0</v>
      </c>
      <c r="O1717" s="44"/>
      <c r="P1717" s="51"/>
    </row>
    <row r="1718" spans="2:16" x14ac:dyDescent="0.4">
      <c r="B1718" s="122"/>
      <c r="C1718" s="317"/>
      <c r="D1718" s="318"/>
      <c r="E1718" s="116"/>
      <c r="F1718" s="83"/>
      <c r="G1718" s="74"/>
      <c r="I1718" s="117">
        <f>IF(C1718=0,0,VLOOKUP(C1718,Tabla1[],3,FALSE))</f>
        <v>0</v>
      </c>
      <c r="K1718" s="84">
        <f t="shared" si="262"/>
        <v>0</v>
      </c>
      <c r="L1718" s="118">
        <f t="shared" si="261"/>
        <v>0</v>
      </c>
      <c r="O1718" s="48"/>
      <c r="P1718" s="52"/>
    </row>
    <row r="1719" spans="2:16" x14ac:dyDescent="0.4">
      <c r="B1719" s="122"/>
      <c r="C1719" s="315"/>
      <c r="D1719" s="316"/>
      <c r="E1719" s="116"/>
      <c r="F1719" s="83"/>
      <c r="G1719" s="74"/>
      <c r="I1719" s="117">
        <f>IF(C1719=0,0,VLOOKUP(C1719,Tabla1[],3,FALSE))</f>
        <v>0</v>
      </c>
      <c r="K1719" s="84">
        <f t="shared" si="262"/>
        <v>0</v>
      </c>
      <c r="L1719" s="118">
        <f t="shared" si="261"/>
        <v>0</v>
      </c>
      <c r="O1719" s="48"/>
      <c r="P1719" s="52"/>
    </row>
    <row r="1720" spans="2:16" x14ac:dyDescent="0.4">
      <c r="B1720" s="122"/>
      <c r="C1720" s="319"/>
      <c r="D1720" s="318"/>
      <c r="E1720" s="116"/>
      <c r="F1720" s="83"/>
      <c r="G1720" s="74"/>
      <c r="I1720" s="117">
        <f>IF(C1720=0,0,VLOOKUP(C1720,Tabla1[],3,FALSE))</f>
        <v>0</v>
      </c>
      <c r="K1720" s="84">
        <f t="shared" si="262"/>
        <v>0</v>
      </c>
      <c r="L1720" s="118">
        <f t="shared" si="261"/>
        <v>0</v>
      </c>
      <c r="O1720" s="48"/>
      <c r="P1720" s="52"/>
    </row>
    <row r="1721" spans="2:16" ht="17.399999999999999" thickBot="1" x14ac:dyDescent="0.45"/>
    <row r="1722" spans="2:16" ht="17.399999999999999" thickBot="1" x14ac:dyDescent="0.35">
      <c r="F1722" s="292" t="s">
        <v>9</v>
      </c>
      <c r="G1722" s="293"/>
      <c r="H1722" s="293"/>
      <c r="I1722" s="294"/>
      <c r="K1722" s="229">
        <f>+SUM(K1711:K1720)</f>
        <v>190</v>
      </c>
      <c r="L1722" s="119">
        <f>+SUM(L1711:L1720)</f>
        <v>2853.7999999999997</v>
      </c>
      <c r="O1722" s="38"/>
      <c r="P1722" s="38"/>
    </row>
    <row r="1723" spans="2:16" ht="17.399999999999999" thickBot="1" x14ac:dyDescent="0.45">
      <c r="O1723" s="42"/>
      <c r="P1723" s="43"/>
    </row>
    <row r="1724" spans="2:16" ht="17.399999999999999" thickBot="1" x14ac:dyDescent="0.45">
      <c r="B1724" s="110" t="s">
        <v>10</v>
      </c>
      <c r="C1724" s="300" t="s">
        <v>11</v>
      </c>
      <c r="D1724" s="300"/>
      <c r="E1724" s="300"/>
      <c r="F1724" s="300"/>
      <c r="G1724" s="301"/>
    </row>
    <row r="1725" spans="2:16" x14ac:dyDescent="0.4">
      <c r="B1725" s="114" t="s">
        <v>6</v>
      </c>
      <c r="C1725" s="302" t="s">
        <v>1</v>
      </c>
      <c r="D1725" s="303"/>
      <c r="E1725" s="112" t="s">
        <v>193</v>
      </c>
      <c r="F1725" s="120" t="s">
        <v>2</v>
      </c>
      <c r="G1725" s="114" t="s">
        <v>3</v>
      </c>
      <c r="H1725" s="106"/>
      <c r="I1725" s="107" t="s">
        <v>7</v>
      </c>
      <c r="J1725" s="136"/>
      <c r="K1725" s="107" t="s">
        <v>8</v>
      </c>
      <c r="L1725" s="115" t="s">
        <v>194</v>
      </c>
    </row>
    <row r="1726" spans="2:16" x14ac:dyDescent="0.4">
      <c r="B1726" s="122"/>
      <c r="C1726" s="306"/>
      <c r="D1726" s="306"/>
      <c r="E1726" s="116"/>
      <c r="F1726" s="83"/>
      <c r="G1726" s="74"/>
      <c r="I1726" s="117">
        <f>IF(C1726=0,0,VLOOKUP(C1726,Tabla3[],3,FALSE))</f>
        <v>0</v>
      </c>
      <c r="K1726" s="84">
        <f>F1726*I1726</f>
        <v>0</v>
      </c>
      <c r="L1726" s="118">
        <f>E1726*I1726</f>
        <v>0</v>
      </c>
    </row>
    <row r="1727" spans="2:16" x14ac:dyDescent="0.4">
      <c r="B1727" s="74"/>
      <c r="C1727" s="309"/>
      <c r="D1727" s="310"/>
      <c r="E1727" s="121"/>
      <c r="F1727" s="72"/>
      <c r="G1727" s="74"/>
      <c r="I1727" s="117">
        <f>IF(C1727=0,0,VLOOKUP(C1727,Tabla3[],3,FALSE))</f>
        <v>0</v>
      </c>
      <c r="K1727" s="84">
        <f t="shared" ref="K1727:K1729" si="265">+F1727*I1727</f>
        <v>0</v>
      </c>
      <c r="L1727" s="118">
        <f t="shared" ref="L1727:L1729" si="266">E1727*I1727</f>
        <v>0</v>
      </c>
    </row>
    <row r="1728" spans="2:16" x14ac:dyDescent="0.4">
      <c r="B1728" s="74"/>
      <c r="C1728" s="309"/>
      <c r="D1728" s="310"/>
      <c r="E1728" s="121"/>
      <c r="F1728" s="72"/>
      <c r="G1728" s="74"/>
      <c r="I1728" s="117">
        <f>IF(C1728=0,0,VLOOKUP(C1728,Tabla3[],3,FALSE))</f>
        <v>0</v>
      </c>
      <c r="K1728" s="84">
        <f t="shared" si="265"/>
        <v>0</v>
      </c>
      <c r="L1728" s="118">
        <f t="shared" si="266"/>
        <v>0</v>
      </c>
    </row>
    <row r="1729" spans="2:12" x14ac:dyDescent="0.4">
      <c r="B1729" s="74"/>
      <c r="C1729" s="304"/>
      <c r="D1729" s="305"/>
      <c r="E1729" s="121"/>
      <c r="F1729" s="72"/>
      <c r="G1729" s="74"/>
      <c r="I1729" s="117">
        <f>IF(C1729=0,0,VLOOKUP(C1729,Tabla3[],3,FALSE))</f>
        <v>0</v>
      </c>
      <c r="K1729" s="84">
        <f t="shared" si="265"/>
        <v>0</v>
      </c>
      <c r="L1729" s="118">
        <f t="shared" si="266"/>
        <v>0</v>
      </c>
    </row>
    <row r="1730" spans="2:12" ht="17.399999999999999" thickBot="1" x14ac:dyDescent="0.45"/>
    <row r="1731" spans="2:12" ht="17.399999999999999" thickBot="1" x14ac:dyDescent="0.45">
      <c r="F1731" s="292" t="s">
        <v>12</v>
      </c>
      <c r="G1731" s="293"/>
      <c r="H1731" s="293"/>
      <c r="I1731" s="294"/>
      <c r="K1731" s="229">
        <f>+SUM(K1726:K1729)</f>
        <v>0</v>
      </c>
      <c r="L1731" s="119">
        <f>+SUM(L1726:L1729)</f>
        <v>0</v>
      </c>
    </row>
    <row r="1732" spans="2:12" ht="17.399999999999999" thickBot="1" x14ac:dyDescent="0.45"/>
    <row r="1733" spans="2:12" ht="17.399999999999999" thickBot="1" x14ac:dyDescent="0.45">
      <c r="B1733" s="110" t="s">
        <v>13</v>
      </c>
      <c r="C1733" s="300" t="s">
        <v>14</v>
      </c>
      <c r="D1733" s="300"/>
      <c r="E1733" s="300"/>
      <c r="F1733" s="300"/>
      <c r="G1733" s="301"/>
    </row>
    <row r="1734" spans="2:12" x14ac:dyDescent="0.4">
      <c r="B1734" s="114" t="s">
        <v>6</v>
      </c>
      <c r="C1734" s="302" t="s">
        <v>1</v>
      </c>
      <c r="D1734" s="303"/>
      <c r="E1734" s="112" t="s">
        <v>193</v>
      </c>
      <c r="F1734" s="120" t="s">
        <v>2</v>
      </c>
      <c r="G1734" s="114" t="s">
        <v>3</v>
      </c>
      <c r="H1734" s="106"/>
      <c r="I1734" s="107" t="s">
        <v>7</v>
      </c>
      <c r="J1734" s="136"/>
      <c r="K1734" s="107" t="s">
        <v>8</v>
      </c>
      <c r="L1734" s="115" t="s">
        <v>194</v>
      </c>
    </row>
    <row r="1735" spans="2:12" x14ac:dyDescent="0.4">
      <c r="B1735" s="122">
        <v>1</v>
      </c>
      <c r="C1735" s="306" t="s">
        <v>216</v>
      </c>
      <c r="D1735" s="306"/>
      <c r="E1735" s="116">
        <f>I1707</f>
        <v>15.02</v>
      </c>
      <c r="F1735" s="83">
        <f>ROUND(E1735/I1707,2)</f>
        <v>1</v>
      </c>
      <c r="G1735" s="74" t="str">
        <f>IF(C1735=0,0,VLOOKUP(C1735,Tabla2[],2,FALSE))</f>
        <v>m²</v>
      </c>
      <c r="I1735" s="117">
        <f>IF(C1735=0,0,VLOOKUP(C1735,Tabla2[],3,FALSE))</f>
        <v>100</v>
      </c>
      <c r="K1735" s="84">
        <f>+F1735*I1735</f>
        <v>100</v>
      </c>
      <c r="L1735" s="118">
        <f>E1735*I1735</f>
        <v>1502</v>
      </c>
    </row>
    <row r="1736" spans="2:12" x14ac:dyDescent="0.4">
      <c r="B1736" s="122"/>
      <c r="C1736" s="306"/>
      <c r="D1736" s="306"/>
      <c r="E1736" s="116"/>
      <c r="F1736" s="83"/>
      <c r="G1736" s="74"/>
      <c r="I1736" s="117">
        <f>IF(C1736=0,0,VLOOKUP(C1736,Tabla2[],3,FALSE))</f>
        <v>0</v>
      </c>
      <c r="K1736" s="84">
        <f>+F1736*I1736</f>
        <v>0</v>
      </c>
      <c r="L1736" s="118">
        <f>E1736*I1736</f>
        <v>0</v>
      </c>
    </row>
    <row r="1737" spans="2:12" ht="17.399999999999999" thickBot="1" x14ac:dyDescent="0.45">
      <c r="B1737" s="123"/>
      <c r="C1737" s="307"/>
      <c r="D1737" s="308"/>
      <c r="E1737" s="124"/>
      <c r="F1737" s="125"/>
      <c r="G1737" s="74"/>
      <c r="I1737" s="117">
        <f>IF(C1737=0,0,VLOOKUP(C1737,Tabla2[],3,FALSE))</f>
        <v>0</v>
      </c>
      <c r="K1737" s="84">
        <f t="shared" ref="K1737" si="267">+F1737*I1737</f>
        <v>0</v>
      </c>
      <c r="L1737" s="118">
        <f t="shared" ref="L1737:L1738" si="268">E1737*I1737</f>
        <v>0</v>
      </c>
    </row>
    <row r="1738" spans="2:12" ht="17.399999999999999" thickBot="1" x14ac:dyDescent="0.45">
      <c r="B1738" s="297" t="s">
        <v>15</v>
      </c>
      <c r="C1738" s="298"/>
      <c r="D1738" s="298"/>
      <c r="E1738" s="298"/>
      <c r="F1738" s="298"/>
      <c r="G1738" s="299"/>
      <c r="I1738" s="84">
        <v>0</v>
      </c>
      <c r="K1738" s="84">
        <v>0</v>
      </c>
      <c r="L1738" s="118">
        <f t="shared" si="268"/>
        <v>0</v>
      </c>
    </row>
    <row r="1739" spans="2:12" ht="17.399999999999999" thickBot="1" x14ac:dyDescent="0.45"/>
    <row r="1740" spans="2:12" ht="17.399999999999999" thickBot="1" x14ac:dyDescent="0.45">
      <c r="F1740" s="292" t="s">
        <v>16</v>
      </c>
      <c r="G1740" s="293"/>
      <c r="H1740" s="293"/>
      <c r="I1740" s="294"/>
      <c r="K1740" s="229">
        <f>+SUM(K1735:K1738)</f>
        <v>100</v>
      </c>
      <c r="L1740" s="119">
        <f>+SUM(L1735:L1738)</f>
        <v>1502</v>
      </c>
    </row>
    <row r="1741" spans="2:12" ht="17.399999999999999" thickBot="1" x14ac:dyDescent="0.45"/>
    <row r="1742" spans="2:12" ht="17.399999999999999" thickBot="1" x14ac:dyDescent="0.45">
      <c r="B1742" s="110" t="s">
        <v>17</v>
      </c>
      <c r="C1742" s="300" t="s">
        <v>18</v>
      </c>
      <c r="D1742" s="300"/>
      <c r="E1742" s="300"/>
      <c r="F1742" s="300"/>
      <c r="G1742" s="301"/>
    </row>
    <row r="1743" spans="2:12" x14ac:dyDescent="0.4">
      <c r="B1743" s="114" t="s">
        <v>6</v>
      </c>
      <c r="C1743" s="302" t="s">
        <v>1</v>
      </c>
      <c r="D1743" s="303"/>
      <c r="E1743" s="126"/>
      <c r="F1743" s="120" t="s">
        <v>2</v>
      </c>
      <c r="G1743" s="114" t="s">
        <v>3</v>
      </c>
      <c r="H1743" s="106"/>
      <c r="I1743" s="107" t="s">
        <v>7</v>
      </c>
      <c r="J1743" s="136"/>
      <c r="K1743" s="107" t="s">
        <v>8</v>
      </c>
      <c r="L1743" s="115" t="s">
        <v>194</v>
      </c>
    </row>
    <row r="1744" spans="2:12" x14ac:dyDescent="0.4">
      <c r="B1744" s="74"/>
      <c r="C1744" s="304"/>
      <c r="D1744" s="305"/>
      <c r="E1744" s="127"/>
      <c r="F1744" s="72"/>
      <c r="G1744" s="74"/>
      <c r="I1744" s="84">
        <v>0</v>
      </c>
      <c r="K1744" s="84">
        <f>+F1744*I1744</f>
        <v>0</v>
      </c>
      <c r="L1744" s="118">
        <f>E1744*I1744</f>
        <v>0</v>
      </c>
    </row>
    <row r="1745" spans="2:16" x14ac:dyDescent="0.4">
      <c r="B1745" s="74"/>
      <c r="C1745" s="304"/>
      <c r="D1745" s="305"/>
      <c r="E1745" s="127"/>
      <c r="F1745" s="72"/>
      <c r="G1745" s="74"/>
      <c r="I1745" s="84">
        <v>0</v>
      </c>
      <c r="K1745" s="84">
        <f t="shared" ref="K1745:K1746" si="269">+F1745*I1745</f>
        <v>0</v>
      </c>
      <c r="L1745" s="118">
        <f t="shared" ref="L1745:L1746" si="270">E1745*I1745</f>
        <v>0</v>
      </c>
    </row>
    <row r="1746" spans="2:16" x14ac:dyDescent="0.4">
      <c r="B1746" s="74"/>
      <c r="C1746" s="304"/>
      <c r="D1746" s="305"/>
      <c r="E1746" s="127"/>
      <c r="F1746" s="72"/>
      <c r="G1746" s="74"/>
      <c r="I1746" s="84">
        <v>0</v>
      </c>
      <c r="K1746" s="84">
        <f t="shared" si="269"/>
        <v>0</v>
      </c>
      <c r="L1746" s="118">
        <f t="shared" si="270"/>
        <v>0</v>
      </c>
    </row>
    <row r="1747" spans="2:16" ht="17.399999999999999" thickBot="1" x14ac:dyDescent="0.45">
      <c r="L1747" s="118"/>
    </row>
    <row r="1748" spans="2:16" ht="17.399999999999999" thickBot="1" x14ac:dyDescent="0.45">
      <c r="F1748" s="292" t="s">
        <v>19</v>
      </c>
      <c r="G1748" s="293"/>
      <c r="H1748" s="293"/>
      <c r="I1748" s="294"/>
      <c r="K1748" s="229">
        <f>+SUM(K1744:K1746)</f>
        <v>0</v>
      </c>
      <c r="L1748" s="119">
        <f>+SUM(L1743:L1746)</f>
        <v>0</v>
      </c>
    </row>
    <row r="1749" spans="2:16" ht="15" customHeight="1" x14ac:dyDescent="0.4">
      <c r="F1749" s="128"/>
      <c r="G1749" s="129"/>
      <c r="H1749" s="130"/>
      <c r="I1749" s="108"/>
      <c r="K1749" s="230"/>
    </row>
    <row r="1750" spans="2:16" ht="15" customHeight="1" thickBot="1" x14ac:dyDescent="0.45"/>
    <row r="1751" spans="2:16" ht="17.399999999999999" thickBot="1" x14ac:dyDescent="0.45">
      <c r="F1751" s="292" t="s">
        <v>20</v>
      </c>
      <c r="G1751" s="293"/>
      <c r="H1751" s="293"/>
      <c r="I1751" s="294"/>
      <c r="K1751" s="229">
        <f>(+K1722+K1731+K1740+K1748)</f>
        <v>290</v>
      </c>
      <c r="L1751" s="119">
        <f>(+L1722+L1731+L1740+L1748)</f>
        <v>4355.7999999999993</v>
      </c>
      <c r="N1751" s="131"/>
      <c r="O1751" s="39"/>
      <c r="P1751" s="40"/>
    </row>
    <row r="1752" spans="2:16" ht="7.5" customHeight="1" thickBot="1" x14ac:dyDescent="0.45">
      <c r="N1752" s="131"/>
      <c r="O1752" s="41"/>
      <c r="P1752" s="40"/>
    </row>
    <row r="1753" spans="2:16" ht="17.399999999999999" thickBot="1" x14ac:dyDescent="0.45">
      <c r="F1753" s="292" t="s">
        <v>21</v>
      </c>
      <c r="G1753" s="293"/>
      <c r="H1753" s="293"/>
      <c r="I1753" s="294"/>
      <c r="K1753" s="229">
        <f>K1751*$N$2</f>
        <v>116</v>
      </c>
      <c r="L1753" s="119">
        <f>L1751*$N$2</f>
        <v>1742.3199999999997</v>
      </c>
    </row>
    <row r="1754" spans="2:16" ht="7.5" customHeight="1" thickBot="1" x14ac:dyDescent="0.45"/>
    <row r="1755" spans="2:16" ht="17.399999999999999" thickBot="1" x14ac:dyDescent="0.45">
      <c r="F1755" s="292" t="s">
        <v>22</v>
      </c>
      <c r="G1755" s="293"/>
      <c r="H1755" s="293"/>
      <c r="I1755" s="294"/>
      <c r="K1755" s="229">
        <f>+K1751+K1753</f>
        <v>406</v>
      </c>
      <c r="L1755" s="119">
        <f>+L1751+L1753</f>
        <v>6098.119999999999</v>
      </c>
    </row>
    <row r="1756" spans="2:16" ht="17.399999999999999" thickBot="1" x14ac:dyDescent="0.45">
      <c r="F1756" s="128"/>
      <c r="G1756" s="129"/>
      <c r="H1756" s="130"/>
      <c r="I1756" s="108"/>
      <c r="K1756" s="231"/>
      <c r="L1756" s="132">
        <f>L1755/I1707</f>
        <v>405.99999999999994</v>
      </c>
      <c r="M1756" s="133">
        <f>(K1755-L1756)*I1707</f>
        <v>8.5378815128933636E-13</v>
      </c>
    </row>
    <row r="1757" spans="2:16" x14ac:dyDescent="0.4">
      <c r="F1757" s="128"/>
      <c r="G1757" s="129"/>
      <c r="H1757" s="130"/>
      <c r="I1757" s="108"/>
      <c r="K1757" s="232"/>
      <c r="L1757" s="131"/>
      <c r="M1757" s="134"/>
      <c r="N1757" s="135"/>
    </row>
    <row r="1758" spans="2:16" ht="17.399999999999999" thickBot="1" x14ac:dyDescent="0.45">
      <c r="B1758" s="295"/>
      <c r="C1758" s="295"/>
      <c r="D1758" s="295"/>
    </row>
    <row r="1759" spans="2:16" x14ac:dyDescent="0.4">
      <c r="B1759" s="296" t="s">
        <v>23</v>
      </c>
      <c r="C1759" s="296"/>
      <c r="D1759" s="296"/>
    </row>
    <row r="1760" spans="2:16" x14ac:dyDescent="0.4">
      <c r="B1760" s="157"/>
      <c r="C1760" s="157"/>
      <c r="D1760" s="157"/>
    </row>
    <row r="1761" spans="1:16" x14ac:dyDescent="0.4">
      <c r="B1761" s="157"/>
      <c r="C1761" s="157"/>
      <c r="D1761" s="157"/>
    </row>
    <row r="1762" spans="1:16" x14ac:dyDescent="0.4">
      <c r="B1762" s="105" t="s">
        <v>43</v>
      </c>
      <c r="C1762" s="106"/>
      <c r="D1762" s="311" t="s">
        <v>1</v>
      </c>
      <c r="E1762" s="311"/>
      <c r="F1762" s="311"/>
      <c r="G1762" s="311"/>
      <c r="H1762" s="106"/>
      <c r="I1762" s="107" t="s">
        <v>2</v>
      </c>
      <c r="J1762" s="136"/>
      <c r="K1762" s="107" t="s">
        <v>3</v>
      </c>
    </row>
    <row r="1763" spans="1:16" s="4" customFormat="1" ht="30.75" customHeight="1" x14ac:dyDescent="0.3">
      <c r="A1763" s="31"/>
      <c r="B1763" s="213">
        <f>CATALOGO!B49</f>
        <v>607.02</v>
      </c>
      <c r="C1763" s="71"/>
      <c r="D1763" s="312" t="str">
        <f>CATALOGO!C49</f>
        <v>PAÑUELOS E IMPERMEABILIZACIÓN</v>
      </c>
      <c r="E1763" s="312"/>
      <c r="F1763" s="312"/>
      <c r="G1763" s="312"/>
      <c r="H1763" s="71"/>
      <c r="I1763" s="213">
        <f>CATALOGO!D49</f>
        <v>37</v>
      </c>
      <c r="J1763" s="109"/>
      <c r="K1763" s="227" t="str">
        <f>CATALOGO!E49</f>
        <v>m²</v>
      </c>
      <c r="L1763" s="71"/>
      <c r="M1763" s="71"/>
      <c r="N1763" s="104"/>
      <c r="O1763" s="37"/>
      <c r="P1763" s="37"/>
    </row>
    <row r="1764" spans="1:16" ht="17.399999999999999" thickBot="1" x14ac:dyDescent="0.45"/>
    <row r="1765" spans="1:16" ht="17.399999999999999" thickBot="1" x14ac:dyDescent="0.45">
      <c r="B1765" s="110" t="s">
        <v>4</v>
      </c>
      <c r="C1765" s="300" t="s">
        <v>5</v>
      </c>
      <c r="D1765" s="300"/>
      <c r="E1765" s="300"/>
      <c r="F1765" s="300"/>
      <c r="G1765" s="301"/>
    </row>
    <row r="1766" spans="1:16" x14ac:dyDescent="0.3">
      <c r="B1766" s="111" t="s">
        <v>6</v>
      </c>
      <c r="C1766" s="313" t="s">
        <v>1</v>
      </c>
      <c r="D1766" s="314"/>
      <c r="E1766" s="112" t="s">
        <v>193</v>
      </c>
      <c r="F1766" s="113" t="s">
        <v>2</v>
      </c>
      <c r="G1766" s="114" t="s">
        <v>3</v>
      </c>
      <c r="H1766" s="106"/>
      <c r="I1766" s="107" t="s">
        <v>7</v>
      </c>
      <c r="J1766" s="136"/>
      <c r="K1766" s="228" t="s">
        <v>8</v>
      </c>
      <c r="L1766" s="115" t="s">
        <v>194</v>
      </c>
      <c r="O1766" s="323"/>
      <c r="P1766" s="323"/>
    </row>
    <row r="1767" spans="1:16" ht="17.25" customHeight="1" x14ac:dyDescent="0.3">
      <c r="B1767" s="122">
        <v>1</v>
      </c>
      <c r="C1767" s="319" t="s">
        <v>73</v>
      </c>
      <c r="D1767" s="318"/>
      <c r="E1767" s="116">
        <f>I1763*0.28</f>
        <v>10.360000000000001</v>
      </c>
      <c r="F1767" s="83">
        <f>ROUND(E1767/I1763,2)</f>
        <v>0.28000000000000003</v>
      </c>
      <c r="G1767" s="74" t="str">
        <f>IF(C1767=0,0,VLOOKUP(C1767,Tabla1[],2,FALSE))</f>
        <v>m³</v>
      </c>
      <c r="I1767" s="117">
        <f>IF(C1767=0,0,VLOOKUP(C1767,Tabla1[],3,FALSE))</f>
        <v>250</v>
      </c>
      <c r="K1767" s="84">
        <f>F1767*I1767</f>
        <v>70</v>
      </c>
      <c r="L1767" s="118">
        <f t="shared" ref="L1767:L1776" si="271">E1767*I1767</f>
        <v>2590.0000000000005</v>
      </c>
      <c r="O1767" s="44"/>
      <c r="P1767" s="45"/>
    </row>
    <row r="1768" spans="1:16" x14ac:dyDescent="0.4">
      <c r="B1768" s="122">
        <v>2</v>
      </c>
      <c r="C1768" s="317" t="s">
        <v>214</v>
      </c>
      <c r="D1768" s="318"/>
      <c r="E1768" s="116">
        <f>I1763*0.5</f>
        <v>18.5</v>
      </c>
      <c r="F1768" s="83">
        <f>ROUND(E1768/I1763,2)</f>
        <v>0.5</v>
      </c>
      <c r="G1768" s="74" t="str">
        <f>IF(C1768=0,0,VLOOKUP(C1768,Tabla1[],2,FALSE))</f>
        <v>Saco</v>
      </c>
      <c r="I1768" s="117">
        <f>IF(C1768=0,0,VLOOKUP(C1768,Tabla1[],3,FALSE))</f>
        <v>80</v>
      </c>
      <c r="K1768" s="84">
        <f t="shared" ref="K1768:K1776" si="272">+F1768*I1768</f>
        <v>40</v>
      </c>
      <c r="L1768" s="118">
        <f t="shared" si="271"/>
        <v>1480</v>
      </c>
      <c r="P1768" s="45"/>
    </row>
    <row r="1769" spans="1:16" ht="16.5" customHeight="1" x14ac:dyDescent="0.3">
      <c r="B1769" s="122"/>
      <c r="C1769" s="319"/>
      <c r="D1769" s="318"/>
      <c r="E1769" s="116"/>
      <c r="F1769" s="83"/>
      <c r="G1769" s="74"/>
      <c r="I1769" s="117">
        <f>IF(C1769=0,0,VLOOKUP(C1769,Tabla1[],3,FALSE))</f>
        <v>0</v>
      </c>
      <c r="K1769" s="84">
        <f t="shared" si="272"/>
        <v>0</v>
      </c>
      <c r="L1769" s="118">
        <f t="shared" si="271"/>
        <v>0</v>
      </c>
      <c r="O1769" s="44"/>
      <c r="P1769" s="46"/>
    </row>
    <row r="1770" spans="1:16" x14ac:dyDescent="0.3">
      <c r="B1770" s="122"/>
      <c r="C1770" s="319"/>
      <c r="D1770" s="318"/>
      <c r="E1770" s="116"/>
      <c r="F1770" s="83"/>
      <c r="G1770" s="74"/>
      <c r="I1770" s="117">
        <f>IF(C1770=0,0,VLOOKUP(C1770,Tabla1[],3,FALSE))</f>
        <v>0</v>
      </c>
      <c r="K1770" s="84">
        <f t="shared" si="272"/>
        <v>0</v>
      </c>
      <c r="L1770" s="118">
        <f t="shared" si="271"/>
        <v>0</v>
      </c>
      <c r="O1770" s="44"/>
      <c r="P1770" s="51"/>
    </row>
    <row r="1771" spans="1:16" x14ac:dyDescent="0.3">
      <c r="B1771" s="122"/>
      <c r="C1771" s="210"/>
      <c r="D1771" s="209"/>
      <c r="E1771" s="116"/>
      <c r="F1771" s="83"/>
      <c r="G1771" s="74"/>
      <c r="I1771" s="117">
        <f>IF(C1771=0,0,VLOOKUP(C1771,Tabla1[],3,FALSE))</f>
        <v>0</v>
      </c>
      <c r="K1771" s="84">
        <f t="shared" si="272"/>
        <v>0</v>
      </c>
      <c r="L1771" s="118">
        <f t="shared" si="271"/>
        <v>0</v>
      </c>
      <c r="O1771" s="44"/>
      <c r="P1771" s="51"/>
    </row>
    <row r="1772" spans="1:16" x14ac:dyDescent="0.3">
      <c r="B1772" s="122"/>
      <c r="C1772" s="210"/>
      <c r="D1772" s="209"/>
      <c r="E1772" s="116"/>
      <c r="F1772" s="83"/>
      <c r="G1772" s="74"/>
      <c r="I1772" s="117">
        <f>IF(C1772=0,0,VLOOKUP(C1772,Tabla1[],3,FALSE))</f>
        <v>0</v>
      </c>
      <c r="K1772" s="84">
        <f t="shared" si="272"/>
        <v>0</v>
      </c>
      <c r="L1772" s="118">
        <f t="shared" si="271"/>
        <v>0</v>
      </c>
      <c r="O1772" s="44"/>
      <c r="P1772" s="51"/>
    </row>
    <row r="1773" spans="1:16" x14ac:dyDescent="0.3">
      <c r="B1773" s="122"/>
      <c r="C1773" s="210"/>
      <c r="D1773" s="209"/>
      <c r="E1773" s="116"/>
      <c r="F1773" s="83"/>
      <c r="G1773" s="74"/>
      <c r="I1773" s="117">
        <f>IF(C1773=0,0,VLOOKUP(C1773,Tabla1[],3,FALSE))</f>
        <v>0</v>
      </c>
      <c r="K1773" s="84">
        <f t="shared" si="272"/>
        <v>0</v>
      </c>
      <c r="L1773" s="118">
        <f t="shared" si="271"/>
        <v>0</v>
      </c>
      <c r="O1773" s="44"/>
      <c r="P1773" s="51"/>
    </row>
    <row r="1774" spans="1:16" x14ac:dyDescent="0.4">
      <c r="B1774" s="122"/>
      <c r="C1774" s="317"/>
      <c r="D1774" s="318"/>
      <c r="E1774" s="116"/>
      <c r="F1774" s="83"/>
      <c r="G1774" s="74"/>
      <c r="I1774" s="117">
        <f>IF(C1774=0,0,VLOOKUP(C1774,Tabla1[],3,FALSE))</f>
        <v>0</v>
      </c>
      <c r="K1774" s="84">
        <f t="shared" si="272"/>
        <v>0</v>
      </c>
      <c r="L1774" s="118">
        <f t="shared" si="271"/>
        <v>0</v>
      </c>
      <c r="O1774" s="48"/>
      <c r="P1774" s="52"/>
    </row>
    <row r="1775" spans="1:16" x14ac:dyDescent="0.4">
      <c r="B1775" s="122"/>
      <c r="C1775" s="315"/>
      <c r="D1775" s="316"/>
      <c r="E1775" s="116"/>
      <c r="F1775" s="83"/>
      <c r="G1775" s="74"/>
      <c r="I1775" s="117">
        <f>IF(C1775=0,0,VLOOKUP(C1775,Tabla1[],3,FALSE))</f>
        <v>0</v>
      </c>
      <c r="K1775" s="84">
        <f t="shared" si="272"/>
        <v>0</v>
      </c>
      <c r="L1775" s="118">
        <f t="shared" si="271"/>
        <v>0</v>
      </c>
      <c r="O1775" s="48"/>
      <c r="P1775" s="52"/>
    </row>
    <row r="1776" spans="1:16" x14ac:dyDescent="0.4">
      <c r="B1776" s="122"/>
      <c r="C1776" s="319"/>
      <c r="D1776" s="318"/>
      <c r="E1776" s="116"/>
      <c r="F1776" s="83"/>
      <c r="G1776" s="74"/>
      <c r="I1776" s="117">
        <f>IF(C1776=0,0,VLOOKUP(C1776,Tabla1[],3,FALSE))</f>
        <v>0</v>
      </c>
      <c r="K1776" s="84">
        <f t="shared" si="272"/>
        <v>0</v>
      </c>
      <c r="L1776" s="118">
        <f t="shared" si="271"/>
        <v>0</v>
      </c>
      <c r="O1776" s="48"/>
      <c r="P1776" s="52"/>
    </row>
    <row r="1777" spans="2:16" ht="17.399999999999999" thickBot="1" x14ac:dyDescent="0.45"/>
    <row r="1778" spans="2:16" ht="17.399999999999999" thickBot="1" x14ac:dyDescent="0.35">
      <c r="F1778" s="292" t="s">
        <v>9</v>
      </c>
      <c r="G1778" s="293"/>
      <c r="H1778" s="293"/>
      <c r="I1778" s="294"/>
      <c r="K1778" s="229">
        <f>+SUM(K1767:K1776)</f>
        <v>110</v>
      </c>
      <c r="L1778" s="119">
        <f>+SUM(L1767:L1776)</f>
        <v>4070.0000000000005</v>
      </c>
      <c r="O1778" s="38"/>
      <c r="P1778" s="38"/>
    </row>
    <row r="1779" spans="2:16" ht="17.399999999999999" thickBot="1" x14ac:dyDescent="0.45">
      <c r="O1779" s="42"/>
      <c r="P1779" s="43"/>
    </row>
    <row r="1780" spans="2:16" ht="17.399999999999999" thickBot="1" x14ac:dyDescent="0.45">
      <c r="B1780" s="110" t="s">
        <v>10</v>
      </c>
      <c r="C1780" s="300" t="s">
        <v>11</v>
      </c>
      <c r="D1780" s="300"/>
      <c r="E1780" s="300"/>
      <c r="F1780" s="300"/>
      <c r="G1780" s="301"/>
    </row>
    <row r="1781" spans="2:16" x14ac:dyDescent="0.4">
      <c r="B1781" s="114" t="s">
        <v>6</v>
      </c>
      <c r="C1781" s="302" t="s">
        <v>1</v>
      </c>
      <c r="D1781" s="303"/>
      <c r="E1781" s="112" t="s">
        <v>193</v>
      </c>
      <c r="F1781" s="120" t="s">
        <v>2</v>
      </c>
      <c r="G1781" s="114" t="s">
        <v>3</v>
      </c>
      <c r="H1781" s="106"/>
      <c r="I1781" s="107" t="s">
        <v>7</v>
      </c>
      <c r="J1781" s="136"/>
      <c r="K1781" s="107" t="s">
        <v>8</v>
      </c>
      <c r="L1781" s="115" t="s">
        <v>194</v>
      </c>
    </row>
    <row r="1782" spans="2:16" x14ac:dyDescent="0.4">
      <c r="B1782" s="122"/>
      <c r="C1782" s="306"/>
      <c r="D1782" s="306"/>
      <c r="E1782" s="116"/>
      <c r="F1782" s="83"/>
      <c r="G1782" s="74"/>
      <c r="I1782" s="117">
        <f>IF(C1782=0,0,VLOOKUP(C1782,Tabla3[],3,FALSE))</f>
        <v>0</v>
      </c>
      <c r="K1782" s="84">
        <f>F1782*I1782</f>
        <v>0</v>
      </c>
      <c r="L1782" s="118">
        <f>E1782*I1782</f>
        <v>0</v>
      </c>
    </row>
    <row r="1783" spans="2:16" x14ac:dyDescent="0.4">
      <c r="B1783" s="74"/>
      <c r="C1783" s="309"/>
      <c r="D1783" s="310"/>
      <c r="E1783" s="121"/>
      <c r="F1783" s="72"/>
      <c r="G1783" s="74"/>
      <c r="I1783" s="117">
        <f>IF(C1783=0,0,VLOOKUP(C1783,Tabla3[],3,FALSE))</f>
        <v>0</v>
      </c>
      <c r="K1783" s="84">
        <f t="shared" ref="K1783:K1785" si="273">+F1783*I1783</f>
        <v>0</v>
      </c>
      <c r="L1783" s="118">
        <f t="shared" ref="L1783:L1785" si="274">E1783*I1783</f>
        <v>0</v>
      </c>
    </row>
    <row r="1784" spans="2:16" x14ac:dyDescent="0.4">
      <c r="B1784" s="74"/>
      <c r="C1784" s="309"/>
      <c r="D1784" s="310"/>
      <c r="E1784" s="121"/>
      <c r="F1784" s="72"/>
      <c r="G1784" s="74"/>
      <c r="I1784" s="117">
        <f>IF(C1784=0,0,VLOOKUP(C1784,Tabla3[],3,FALSE))</f>
        <v>0</v>
      </c>
      <c r="K1784" s="84">
        <f t="shared" si="273"/>
        <v>0</v>
      </c>
      <c r="L1784" s="118">
        <f t="shared" si="274"/>
        <v>0</v>
      </c>
    </row>
    <row r="1785" spans="2:16" x14ac:dyDescent="0.4">
      <c r="B1785" s="74"/>
      <c r="C1785" s="304"/>
      <c r="D1785" s="305"/>
      <c r="E1785" s="121"/>
      <c r="F1785" s="72"/>
      <c r="G1785" s="74"/>
      <c r="I1785" s="117">
        <f>IF(C1785=0,0,VLOOKUP(C1785,Tabla3[],3,FALSE))</f>
        <v>0</v>
      </c>
      <c r="K1785" s="84">
        <f t="shared" si="273"/>
        <v>0</v>
      </c>
      <c r="L1785" s="118">
        <f t="shared" si="274"/>
        <v>0</v>
      </c>
    </row>
    <row r="1786" spans="2:16" ht="17.399999999999999" thickBot="1" x14ac:dyDescent="0.45"/>
    <row r="1787" spans="2:16" ht="17.399999999999999" thickBot="1" x14ac:dyDescent="0.45">
      <c r="F1787" s="292" t="s">
        <v>12</v>
      </c>
      <c r="G1787" s="293"/>
      <c r="H1787" s="293"/>
      <c r="I1787" s="294"/>
      <c r="K1787" s="229">
        <f>+SUM(K1782:K1785)</f>
        <v>0</v>
      </c>
      <c r="L1787" s="119">
        <f>+SUM(L1782:L1785)</f>
        <v>0</v>
      </c>
    </row>
    <row r="1788" spans="2:16" ht="17.399999999999999" thickBot="1" x14ac:dyDescent="0.45"/>
    <row r="1789" spans="2:16" ht="17.399999999999999" thickBot="1" x14ac:dyDescent="0.45">
      <c r="B1789" s="110" t="s">
        <v>13</v>
      </c>
      <c r="C1789" s="300" t="s">
        <v>14</v>
      </c>
      <c r="D1789" s="300"/>
      <c r="E1789" s="300"/>
      <c r="F1789" s="300"/>
      <c r="G1789" s="301"/>
    </row>
    <row r="1790" spans="2:16" x14ac:dyDescent="0.4">
      <c r="B1790" s="114" t="s">
        <v>6</v>
      </c>
      <c r="C1790" s="302" t="s">
        <v>1</v>
      </c>
      <c r="D1790" s="303"/>
      <c r="E1790" s="112" t="s">
        <v>193</v>
      </c>
      <c r="F1790" s="120" t="s">
        <v>2</v>
      </c>
      <c r="G1790" s="114" t="s">
        <v>3</v>
      </c>
      <c r="H1790" s="106"/>
      <c r="I1790" s="107" t="s">
        <v>7</v>
      </c>
      <c r="J1790" s="136"/>
      <c r="K1790" s="107" t="s">
        <v>8</v>
      </c>
      <c r="L1790" s="115" t="s">
        <v>194</v>
      </c>
    </row>
    <row r="1791" spans="2:16" x14ac:dyDescent="0.4">
      <c r="B1791" s="122">
        <v>1</v>
      </c>
      <c r="C1791" s="306" t="s">
        <v>396</v>
      </c>
      <c r="D1791" s="306"/>
      <c r="E1791" s="116">
        <f>I1763</f>
        <v>37</v>
      </c>
      <c r="F1791" s="83">
        <f>ROUND(E1791/I1763,2)</f>
        <v>1</v>
      </c>
      <c r="G1791" s="74" t="str">
        <f>IF(C1791=0,0,VLOOKUP(C1791,Tabla2[],2,FALSE))</f>
        <v>m²</v>
      </c>
      <c r="I1791" s="117">
        <f>IF(C1791=0,0,VLOOKUP(C1791,Tabla2[],3,FALSE))</f>
        <v>100</v>
      </c>
      <c r="K1791" s="84">
        <f>+F1791*I1791</f>
        <v>100</v>
      </c>
      <c r="L1791" s="118">
        <f>E1791*I1791</f>
        <v>3700</v>
      </c>
    </row>
    <row r="1792" spans="2:16" x14ac:dyDescent="0.4">
      <c r="B1792" s="122"/>
      <c r="C1792" s="306"/>
      <c r="D1792" s="306"/>
      <c r="E1792" s="116"/>
      <c r="F1792" s="83"/>
      <c r="G1792" s="74"/>
      <c r="I1792" s="117">
        <f>IF(C1792=0,0,VLOOKUP(C1792,Tabla2[],3,FALSE))</f>
        <v>0</v>
      </c>
      <c r="K1792" s="84">
        <f>+F1792*I1792</f>
        <v>0</v>
      </c>
      <c r="L1792" s="118">
        <f>E1792*I1792</f>
        <v>0</v>
      </c>
    </row>
    <row r="1793" spans="2:16" ht="17.399999999999999" thickBot="1" x14ac:dyDescent="0.45">
      <c r="B1793" s="123"/>
      <c r="C1793" s="307"/>
      <c r="D1793" s="308"/>
      <c r="E1793" s="124"/>
      <c r="F1793" s="125"/>
      <c r="G1793" s="74"/>
      <c r="I1793" s="117">
        <f>IF(C1793=0,0,VLOOKUP(C1793,Tabla2[],3,FALSE))</f>
        <v>0</v>
      </c>
      <c r="K1793" s="84">
        <f t="shared" ref="K1793" si="275">+F1793*I1793</f>
        <v>0</v>
      </c>
      <c r="L1793" s="118">
        <f t="shared" ref="L1793:L1794" si="276">E1793*I1793</f>
        <v>0</v>
      </c>
    </row>
    <row r="1794" spans="2:16" ht="17.399999999999999" thickBot="1" x14ac:dyDescent="0.45">
      <c r="B1794" s="297" t="s">
        <v>15</v>
      </c>
      <c r="C1794" s="298"/>
      <c r="D1794" s="298"/>
      <c r="E1794" s="298"/>
      <c r="F1794" s="298"/>
      <c r="G1794" s="299"/>
      <c r="I1794" s="84">
        <v>0</v>
      </c>
      <c r="K1794" s="84">
        <v>0</v>
      </c>
      <c r="L1794" s="118">
        <f t="shared" si="276"/>
        <v>0</v>
      </c>
    </row>
    <row r="1795" spans="2:16" ht="17.399999999999999" thickBot="1" x14ac:dyDescent="0.45"/>
    <row r="1796" spans="2:16" ht="17.399999999999999" thickBot="1" x14ac:dyDescent="0.45">
      <c r="F1796" s="292" t="s">
        <v>16</v>
      </c>
      <c r="G1796" s="293"/>
      <c r="H1796" s="293"/>
      <c r="I1796" s="294"/>
      <c r="K1796" s="229">
        <f>+SUM(K1791:K1794)</f>
        <v>100</v>
      </c>
      <c r="L1796" s="119">
        <f>+SUM(L1791:L1794)</f>
        <v>3700</v>
      </c>
    </row>
    <row r="1797" spans="2:16" ht="17.399999999999999" thickBot="1" x14ac:dyDescent="0.45"/>
    <row r="1798" spans="2:16" ht="17.399999999999999" thickBot="1" x14ac:dyDescent="0.45">
      <c r="B1798" s="110" t="s">
        <v>17</v>
      </c>
      <c r="C1798" s="300" t="s">
        <v>18</v>
      </c>
      <c r="D1798" s="300"/>
      <c r="E1798" s="300"/>
      <c r="F1798" s="300"/>
      <c r="G1798" s="301"/>
    </row>
    <row r="1799" spans="2:16" x14ac:dyDescent="0.4">
      <c r="B1799" s="114" t="s">
        <v>6</v>
      </c>
      <c r="C1799" s="302" t="s">
        <v>1</v>
      </c>
      <c r="D1799" s="303"/>
      <c r="E1799" s="126"/>
      <c r="F1799" s="120" t="s">
        <v>2</v>
      </c>
      <c r="G1799" s="114" t="s">
        <v>3</v>
      </c>
      <c r="H1799" s="106"/>
      <c r="I1799" s="107" t="s">
        <v>7</v>
      </c>
      <c r="J1799" s="136"/>
      <c r="K1799" s="107" t="s">
        <v>8</v>
      </c>
      <c r="L1799" s="115" t="s">
        <v>194</v>
      </c>
    </row>
    <row r="1800" spans="2:16" x14ac:dyDescent="0.4">
      <c r="B1800" s="74"/>
      <c r="C1800" s="304"/>
      <c r="D1800" s="305"/>
      <c r="E1800" s="127"/>
      <c r="F1800" s="72"/>
      <c r="G1800" s="74"/>
      <c r="I1800" s="84">
        <v>0</v>
      </c>
      <c r="K1800" s="84">
        <f>+F1800*I1800</f>
        <v>0</v>
      </c>
      <c r="L1800" s="118">
        <f>E1800*I1800</f>
        <v>0</v>
      </c>
    </row>
    <row r="1801" spans="2:16" x14ac:dyDescent="0.4">
      <c r="B1801" s="74"/>
      <c r="C1801" s="304"/>
      <c r="D1801" s="305"/>
      <c r="E1801" s="127"/>
      <c r="F1801" s="72"/>
      <c r="G1801" s="74"/>
      <c r="I1801" s="84">
        <v>0</v>
      </c>
      <c r="K1801" s="84">
        <f t="shared" ref="K1801:K1802" si="277">+F1801*I1801</f>
        <v>0</v>
      </c>
      <c r="L1801" s="118">
        <f t="shared" ref="L1801:L1802" si="278">E1801*I1801</f>
        <v>0</v>
      </c>
    </row>
    <row r="1802" spans="2:16" x14ac:dyDescent="0.4">
      <c r="B1802" s="74"/>
      <c r="C1802" s="304"/>
      <c r="D1802" s="305"/>
      <c r="E1802" s="127"/>
      <c r="F1802" s="72"/>
      <c r="G1802" s="74"/>
      <c r="I1802" s="84">
        <v>0</v>
      </c>
      <c r="K1802" s="84">
        <f t="shared" si="277"/>
        <v>0</v>
      </c>
      <c r="L1802" s="118">
        <f t="shared" si="278"/>
        <v>0</v>
      </c>
    </row>
    <row r="1803" spans="2:16" ht="17.399999999999999" thickBot="1" x14ac:dyDescent="0.45">
      <c r="L1803" s="118"/>
    </row>
    <row r="1804" spans="2:16" ht="17.399999999999999" thickBot="1" x14ac:dyDescent="0.45">
      <c r="F1804" s="292" t="s">
        <v>19</v>
      </c>
      <c r="G1804" s="293"/>
      <c r="H1804" s="293"/>
      <c r="I1804" s="294"/>
      <c r="K1804" s="229">
        <f>+SUM(K1800:K1802)</f>
        <v>0</v>
      </c>
      <c r="L1804" s="119">
        <f>+SUM(L1799:L1802)</f>
        <v>0</v>
      </c>
    </row>
    <row r="1805" spans="2:16" ht="15" customHeight="1" x14ac:dyDescent="0.4">
      <c r="F1805" s="128"/>
      <c r="G1805" s="129"/>
      <c r="H1805" s="130"/>
      <c r="I1805" s="108"/>
      <c r="K1805" s="230"/>
    </row>
    <row r="1806" spans="2:16" ht="15" customHeight="1" thickBot="1" x14ac:dyDescent="0.45"/>
    <row r="1807" spans="2:16" ht="17.399999999999999" thickBot="1" x14ac:dyDescent="0.45">
      <c r="F1807" s="292" t="s">
        <v>20</v>
      </c>
      <c r="G1807" s="293"/>
      <c r="H1807" s="293"/>
      <c r="I1807" s="294"/>
      <c r="K1807" s="229">
        <f>(+K1778+K1787+K1796+K1804)</f>
        <v>210</v>
      </c>
      <c r="L1807" s="119">
        <f>(+L1778+L1787+L1796+L1804)</f>
        <v>7770</v>
      </c>
      <c r="N1807" s="131"/>
      <c r="O1807" s="39"/>
      <c r="P1807" s="40"/>
    </row>
    <row r="1808" spans="2:16" ht="7.5" customHeight="1" thickBot="1" x14ac:dyDescent="0.45">
      <c r="N1808" s="131"/>
      <c r="O1808" s="41"/>
      <c r="P1808" s="40"/>
    </row>
    <row r="1809" spans="1:16" ht="17.399999999999999" thickBot="1" x14ac:dyDescent="0.45">
      <c r="F1809" s="292" t="s">
        <v>21</v>
      </c>
      <c r="G1809" s="293"/>
      <c r="H1809" s="293"/>
      <c r="I1809" s="294"/>
      <c r="K1809" s="229">
        <f>K1807*$N$2</f>
        <v>84</v>
      </c>
      <c r="L1809" s="119">
        <f>L1807*$N$2</f>
        <v>3108</v>
      </c>
    </row>
    <row r="1810" spans="1:16" ht="7.5" customHeight="1" thickBot="1" x14ac:dyDescent="0.45"/>
    <row r="1811" spans="1:16" ht="17.399999999999999" thickBot="1" x14ac:dyDescent="0.45">
      <c r="F1811" s="292" t="s">
        <v>22</v>
      </c>
      <c r="G1811" s="293"/>
      <c r="H1811" s="293"/>
      <c r="I1811" s="294"/>
      <c r="K1811" s="229">
        <f>+K1807+K1809</f>
        <v>294</v>
      </c>
      <c r="L1811" s="119">
        <f>+L1807+L1809</f>
        <v>10878</v>
      </c>
    </row>
    <row r="1812" spans="1:16" ht="17.399999999999999" thickBot="1" x14ac:dyDescent="0.45">
      <c r="F1812" s="128"/>
      <c r="G1812" s="129"/>
      <c r="H1812" s="130"/>
      <c r="I1812" s="108"/>
      <c r="K1812" s="231"/>
      <c r="L1812" s="132">
        <f>L1811/I1763</f>
        <v>294</v>
      </c>
      <c r="M1812" s="133">
        <f>(K1811-L1812)*I1763</f>
        <v>0</v>
      </c>
    </row>
    <row r="1813" spans="1:16" x14ac:dyDescent="0.4">
      <c r="F1813" s="128"/>
      <c r="G1813" s="129"/>
      <c r="H1813" s="130"/>
      <c r="I1813" s="108"/>
      <c r="K1813" s="232"/>
      <c r="L1813" s="131"/>
      <c r="M1813" s="134"/>
      <c r="N1813" s="135"/>
    </row>
    <row r="1814" spans="1:16" ht="17.399999999999999" thickBot="1" x14ac:dyDescent="0.45">
      <c r="B1814" s="295"/>
      <c r="C1814" s="295"/>
      <c r="D1814" s="295"/>
    </row>
    <row r="1815" spans="1:16" x14ac:dyDescent="0.4">
      <c r="B1815" s="296" t="s">
        <v>23</v>
      </c>
      <c r="C1815" s="296"/>
      <c r="D1815" s="296"/>
    </row>
    <row r="1816" spans="1:16" x14ac:dyDescent="0.4">
      <c r="B1816" s="157"/>
      <c r="C1816" s="157"/>
      <c r="D1816" s="157"/>
    </row>
    <row r="1817" spans="1:16" x14ac:dyDescent="0.4">
      <c r="B1817" s="157"/>
      <c r="C1817" s="157"/>
      <c r="D1817" s="157"/>
    </row>
    <row r="1818" spans="1:16" x14ac:dyDescent="0.4">
      <c r="B1818" s="105" t="s">
        <v>43</v>
      </c>
      <c r="C1818" s="106"/>
      <c r="D1818" s="311" t="s">
        <v>1</v>
      </c>
      <c r="E1818" s="311"/>
      <c r="F1818" s="311"/>
      <c r="G1818" s="311"/>
      <c r="H1818" s="106"/>
      <c r="I1818" s="107" t="s">
        <v>2</v>
      </c>
      <c r="J1818" s="136"/>
      <c r="K1818" s="107" t="s">
        <v>3</v>
      </c>
    </row>
    <row r="1819" spans="1:16" s="4" customFormat="1" ht="30.75" customHeight="1" x14ac:dyDescent="0.3">
      <c r="A1819" s="31"/>
      <c r="B1819" s="213">
        <f>CATALOGO!B50</f>
        <v>609.02</v>
      </c>
      <c r="C1819" s="71"/>
      <c r="D1819" s="312" t="str">
        <f>CATALOGO!C50</f>
        <v>AZULEJO DE PORCELANATO</v>
      </c>
      <c r="E1819" s="312"/>
      <c r="F1819" s="312"/>
      <c r="G1819" s="312"/>
      <c r="H1819" s="71"/>
      <c r="I1819" s="213">
        <f>CATALOGO!D50</f>
        <v>25</v>
      </c>
      <c r="J1819" s="109"/>
      <c r="K1819" s="227" t="str">
        <f>CATALOGO!E50</f>
        <v>m²</v>
      </c>
      <c r="L1819" s="71"/>
      <c r="M1819" s="71"/>
      <c r="N1819" s="104"/>
      <c r="O1819" s="37"/>
      <c r="P1819" s="37"/>
    </row>
    <row r="1820" spans="1:16" ht="17.399999999999999" thickBot="1" x14ac:dyDescent="0.45"/>
    <row r="1821" spans="1:16" ht="17.399999999999999" thickBot="1" x14ac:dyDescent="0.45">
      <c r="B1821" s="110" t="s">
        <v>4</v>
      </c>
      <c r="C1821" s="300" t="s">
        <v>5</v>
      </c>
      <c r="D1821" s="300"/>
      <c r="E1821" s="300"/>
      <c r="F1821" s="300"/>
      <c r="G1821" s="301"/>
    </row>
    <row r="1822" spans="1:16" x14ac:dyDescent="0.3">
      <c r="B1822" s="111" t="s">
        <v>6</v>
      </c>
      <c r="C1822" s="313" t="s">
        <v>1</v>
      </c>
      <c r="D1822" s="314"/>
      <c r="E1822" s="112" t="s">
        <v>193</v>
      </c>
      <c r="F1822" s="113" t="s">
        <v>2</v>
      </c>
      <c r="G1822" s="114" t="s">
        <v>3</v>
      </c>
      <c r="H1822" s="106"/>
      <c r="I1822" s="107" t="s">
        <v>7</v>
      </c>
      <c r="J1822" s="136"/>
      <c r="K1822" s="228" t="s">
        <v>8</v>
      </c>
      <c r="L1822" s="115" t="s">
        <v>194</v>
      </c>
      <c r="O1822" s="323"/>
      <c r="P1822" s="323"/>
    </row>
    <row r="1823" spans="1:16" x14ac:dyDescent="0.3">
      <c r="B1823" s="122">
        <v>1</v>
      </c>
      <c r="C1823" s="315" t="s">
        <v>470</v>
      </c>
      <c r="D1823" s="316"/>
      <c r="E1823" s="116">
        <f>I1819</f>
        <v>25</v>
      </c>
      <c r="F1823" s="83">
        <f>ROUND(E1823/I1819,3)</f>
        <v>1</v>
      </c>
      <c r="G1823" s="74" t="str">
        <f>IF(C1823=0,0,VLOOKUP(C1823,Tabla1[],2,FALSE))</f>
        <v>m²</v>
      </c>
      <c r="I1823" s="117">
        <f>IF(C1823=0,0,VLOOKUP(C1823,Tabla1[],3,FALSE))</f>
        <v>120</v>
      </c>
      <c r="K1823" s="84">
        <f>F1823*I1823</f>
        <v>120</v>
      </c>
      <c r="L1823" s="118">
        <f t="shared" ref="L1823:L1829" si="279">E1823*I1823</f>
        <v>3000</v>
      </c>
      <c r="O1823" s="44"/>
      <c r="P1823" s="45"/>
    </row>
    <row r="1824" spans="1:16" x14ac:dyDescent="0.4">
      <c r="B1824" s="122">
        <v>2</v>
      </c>
      <c r="C1824" s="317" t="s">
        <v>96</v>
      </c>
      <c r="D1824" s="318"/>
      <c r="E1824" s="116">
        <f>I1819*0.75</f>
        <v>18.75</v>
      </c>
      <c r="F1824" s="83">
        <f>ROUND(E1824/I1819,2)</f>
        <v>0.75</v>
      </c>
      <c r="G1824" s="74" t="str">
        <f>IF(C1824=0,0,VLOOKUP(C1824,Tabla1[],2,FALSE))</f>
        <v>Libra</v>
      </c>
      <c r="I1824" s="117">
        <f>IF(C1824=0,0,VLOOKUP(C1824,Tabla1[],3,FALSE))</f>
        <v>20</v>
      </c>
      <c r="K1824" s="84">
        <f t="shared" ref="K1824:K1829" si="280">+F1824*I1824</f>
        <v>15</v>
      </c>
      <c r="L1824" s="118">
        <f t="shared" si="279"/>
        <v>375</v>
      </c>
      <c r="P1824" s="45"/>
    </row>
    <row r="1825" spans="2:16" x14ac:dyDescent="0.3">
      <c r="B1825" s="122">
        <v>3</v>
      </c>
      <c r="C1825" s="319" t="s">
        <v>285</v>
      </c>
      <c r="D1825" s="318"/>
      <c r="E1825" s="116">
        <f>I1819*0.3</f>
        <v>7.5</v>
      </c>
      <c r="F1825" s="83">
        <f>ROUND(E1825/I1819,2)</f>
        <v>0.3</v>
      </c>
      <c r="G1825" s="74" t="str">
        <f>IF(C1825=0,0,VLOOKUP(C1825,Tabla1[],2,FALSE))</f>
        <v>Bolsa</v>
      </c>
      <c r="I1825" s="117">
        <f>IF(C1825=0,0,VLOOKUP(C1825,Tabla1[],3,FALSE))</f>
        <v>50</v>
      </c>
      <c r="K1825" s="84">
        <f t="shared" si="280"/>
        <v>15</v>
      </c>
      <c r="L1825" s="118">
        <f t="shared" si="279"/>
        <v>375</v>
      </c>
      <c r="O1825" s="44"/>
      <c r="P1825" s="46"/>
    </row>
    <row r="1826" spans="2:16" x14ac:dyDescent="0.3">
      <c r="B1826" s="122"/>
      <c r="C1826" s="319"/>
      <c r="D1826" s="318"/>
      <c r="E1826" s="116"/>
      <c r="F1826" s="83"/>
      <c r="G1826" s="74"/>
      <c r="I1826" s="117">
        <f>IF(C1826=0,0,VLOOKUP(C1826,Tabla1[],3,FALSE))</f>
        <v>0</v>
      </c>
      <c r="K1826" s="84">
        <f t="shared" si="280"/>
        <v>0</v>
      </c>
      <c r="L1826" s="118">
        <f t="shared" si="279"/>
        <v>0</v>
      </c>
      <c r="O1826" s="44"/>
      <c r="P1826" s="47"/>
    </row>
    <row r="1827" spans="2:16" x14ac:dyDescent="0.4">
      <c r="B1827" s="122"/>
      <c r="C1827" s="319"/>
      <c r="D1827" s="318"/>
      <c r="E1827" s="116"/>
      <c r="F1827" s="83"/>
      <c r="G1827" s="74"/>
      <c r="I1827" s="117">
        <f>IF(C1827=0,0,VLOOKUP(C1827,Tabla1[],3,FALSE))</f>
        <v>0</v>
      </c>
      <c r="K1827" s="84">
        <f t="shared" si="280"/>
        <v>0</v>
      </c>
      <c r="L1827" s="118">
        <f t="shared" si="279"/>
        <v>0</v>
      </c>
      <c r="O1827" s="48"/>
      <c r="P1827" s="49"/>
    </row>
    <row r="1828" spans="2:16" x14ac:dyDescent="0.4">
      <c r="B1828" s="122"/>
      <c r="C1828" s="319"/>
      <c r="D1828" s="318"/>
      <c r="E1828" s="116"/>
      <c r="F1828" s="83"/>
      <c r="G1828" s="74"/>
      <c r="I1828" s="117">
        <f>IF(C1828=0,0,VLOOKUP(C1828,Tabla1[],3,FALSE))</f>
        <v>0</v>
      </c>
      <c r="K1828" s="84">
        <f t="shared" si="280"/>
        <v>0</v>
      </c>
      <c r="L1828" s="118">
        <f t="shared" si="279"/>
        <v>0</v>
      </c>
      <c r="O1828" s="48"/>
      <c r="P1828" s="43"/>
    </row>
    <row r="1829" spans="2:16" x14ac:dyDescent="0.4">
      <c r="B1829" s="122"/>
      <c r="C1829" s="319"/>
      <c r="D1829" s="318"/>
      <c r="E1829" s="116"/>
      <c r="F1829" s="83"/>
      <c r="G1829" s="74"/>
      <c r="I1829" s="117">
        <f>IF(C1829=0,0,VLOOKUP(C1829,Tabla1[],3,FALSE))</f>
        <v>0</v>
      </c>
      <c r="K1829" s="84">
        <f t="shared" si="280"/>
        <v>0</v>
      </c>
      <c r="L1829" s="118">
        <f t="shared" si="279"/>
        <v>0</v>
      </c>
      <c r="O1829" s="48"/>
      <c r="P1829" s="49"/>
    </row>
    <row r="1830" spans="2:16" ht="17.399999999999999" thickBot="1" x14ac:dyDescent="0.45"/>
    <row r="1831" spans="2:16" ht="17.399999999999999" thickBot="1" x14ac:dyDescent="0.35">
      <c r="F1831" s="292" t="s">
        <v>9</v>
      </c>
      <c r="G1831" s="293"/>
      <c r="H1831" s="293"/>
      <c r="I1831" s="294"/>
      <c r="K1831" s="229">
        <f>+SUM(K1823:K1829)</f>
        <v>150</v>
      </c>
      <c r="L1831" s="119">
        <f>+SUM(L1823:L1829)</f>
        <v>3750</v>
      </c>
      <c r="O1831" s="38"/>
      <c r="P1831" s="38"/>
    </row>
    <row r="1832" spans="2:16" ht="17.399999999999999" thickBot="1" x14ac:dyDescent="0.45">
      <c r="O1832" s="42"/>
      <c r="P1832" s="43"/>
    </row>
    <row r="1833" spans="2:16" ht="17.399999999999999" thickBot="1" x14ac:dyDescent="0.45">
      <c r="B1833" s="110" t="s">
        <v>10</v>
      </c>
      <c r="C1833" s="300" t="s">
        <v>11</v>
      </c>
      <c r="D1833" s="300"/>
      <c r="E1833" s="300"/>
      <c r="F1833" s="300"/>
      <c r="G1833" s="301"/>
    </row>
    <row r="1834" spans="2:16" x14ac:dyDescent="0.4">
      <c r="B1834" s="114" t="s">
        <v>6</v>
      </c>
      <c r="C1834" s="302" t="s">
        <v>1</v>
      </c>
      <c r="D1834" s="303"/>
      <c r="E1834" s="112" t="s">
        <v>193</v>
      </c>
      <c r="F1834" s="120" t="s">
        <v>2</v>
      </c>
      <c r="G1834" s="114" t="s">
        <v>3</v>
      </c>
      <c r="H1834" s="106"/>
      <c r="I1834" s="107" t="s">
        <v>7</v>
      </c>
      <c r="J1834" s="136"/>
      <c r="K1834" s="107" t="s">
        <v>8</v>
      </c>
      <c r="L1834" s="115" t="s">
        <v>194</v>
      </c>
    </row>
    <row r="1835" spans="2:16" x14ac:dyDescent="0.4">
      <c r="B1835" s="122"/>
      <c r="C1835" s="306"/>
      <c r="D1835" s="306"/>
      <c r="E1835" s="116"/>
      <c r="F1835" s="83"/>
      <c r="G1835" s="74"/>
      <c r="I1835" s="117">
        <f>IF(C1835=0,0,VLOOKUP(C1835,Tabla3[],3,FALSE))</f>
        <v>0</v>
      </c>
      <c r="K1835" s="84">
        <f>F1835*I1835</f>
        <v>0</v>
      </c>
      <c r="L1835" s="118">
        <f>E1835*I1835</f>
        <v>0</v>
      </c>
    </row>
    <row r="1836" spans="2:16" x14ac:dyDescent="0.4">
      <c r="B1836" s="74"/>
      <c r="C1836" s="309"/>
      <c r="D1836" s="310"/>
      <c r="E1836" s="121"/>
      <c r="F1836" s="72"/>
      <c r="G1836" s="74"/>
      <c r="I1836" s="117">
        <f>IF(C1836=0,0,VLOOKUP(C1836,Tabla3[],3,FALSE))</f>
        <v>0</v>
      </c>
      <c r="K1836" s="84">
        <f t="shared" ref="K1836:K1838" si="281">+F1836*I1836</f>
        <v>0</v>
      </c>
      <c r="L1836" s="118">
        <f t="shared" ref="L1836:L1838" si="282">E1836*I1836</f>
        <v>0</v>
      </c>
    </row>
    <row r="1837" spans="2:16" x14ac:dyDescent="0.4">
      <c r="B1837" s="74"/>
      <c r="C1837" s="309"/>
      <c r="D1837" s="310"/>
      <c r="E1837" s="121"/>
      <c r="F1837" s="72"/>
      <c r="G1837" s="74"/>
      <c r="I1837" s="117">
        <f>IF(C1837=0,0,VLOOKUP(C1837,Tabla3[],3,FALSE))</f>
        <v>0</v>
      </c>
      <c r="K1837" s="84">
        <f t="shared" si="281"/>
        <v>0</v>
      </c>
      <c r="L1837" s="118">
        <f t="shared" si="282"/>
        <v>0</v>
      </c>
    </row>
    <row r="1838" spans="2:16" x14ac:dyDescent="0.4">
      <c r="B1838" s="74"/>
      <c r="C1838" s="304"/>
      <c r="D1838" s="305"/>
      <c r="E1838" s="121"/>
      <c r="F1838" s="72"/>
      <c r="G1838" s="74"/>
      <c r="I1838" s="117">
        <f>IF(C1838=0,0,VLOOKUP(C1838,Tabla3[],3,FALSE))</f>
        <v>0</v>
      </c>
      <c r="K1838" s="84">
        <f t="shared" si="281"/>
        <v>0</v>
      </c>
      <c r="L1838" s="118">
        <f t="shared" si="282"/>
        <v>0</v>
      </c>
    </row>
    <row r="1839" spans="2:16" ht="17.399999999999999" thickBot="1" x14ac:dyDescent="0.45"/>
    <row r="1840" spans="2:16" ht="17.399999999999999" thickBot="1" x14ac:dyDescent="0.45">
      <c r="F1840" s="292" t="s">
        <v>12</v>
      </c>
      <c r="G1840" s="293"/>
      <c r="H1840" s="293"/>
      <c r="I1840" s="294"/>
      <c r="K1840" s="229">
        <f>+SUM(K1835:K1838)</f>
        <v>0</v>
      </c>
      <c r="L1840" s="119">
        <f>+SUM(L1835:L1838)</f>
        <v>0</v>
      </c>
    </row>
    <row r="1841" spans="2:12" ht="17.399999999999999" thickBot="1" x14ac:dyDescent="0.45"/>
    <row r="1842" spans="2:12" ht="17.399999999999999" thickBot="1" x14ac:dyDescent="0.45">
      <c r="B1842" s="110" t="s">
        <v>13</v>
      </c>
      <c r="C1842" s="300" t="s">
        <v>14</v>
      </c>
      <c r="D1842" s="300"/>
      <c r="E1842" s="300"/>
      <c r="F1842" s="300"/>
      <c r="G1842" s="301"/>
    </row>
    <row r="1843" spans="2:12" x14ac:dyDescent="0.4">
      <c r="B1843" s="114" t="s">
        <v>6</v>
      </c>
      <c r="C1843" s="302" t="s">
        <v>1</v>
      </c>
      <c r="D1843" s="303"/>
      <c r="E1843" s="112" t="s">
        <v>193</v>
      </c>
      <c r="F1843" s="120" t="s">
        <v>2</v>
      </c>
      <c r="G1843" s="114" t="s">
        <v>3</v>
      </c>
      <c r="H1843" s="106"/>
      <c r="I1843" s="107" t="s">
        <v>7</v>
      </c>
      <c r="J1843" s="136"/>
      <c r="K1843" s="107" t="s">
        <v>8</v>
      </c>
      <c r="L1843" s="115" t="s">
        <v>194</v>
      </c>
    </row>
    <row r="1844" spans="2:12" x14ac:dyDescent="0.4">
      <c r="B1844" s="122">
        <v>1</v>
      </c>
      <c r="C1844" s="306" t="s">
        <v>604</v>
      </c>
      <c r="D1844" s="306"/>
      <c r="E1844" s="116">
        <f>I1819</f>
        <v>25</v>
      </c>
      <c r="F1844" s="83">
        <f>ROUND(E1844/I1819,2)</f>
        <v>1</v>
      </c>
      <c r="G1844" s="74" t="str">
        <f>IF(C1844=0,0,VLOOKUP(C1844,Tabla2[],2,FALSE))</f>
        <v>m²</v>
      </c>
      <c r="I1844" s="117">
        <f>IF(C1844=0,0,VLOOKUP(C1844,Tabla2[],3,FALSE))</f>
        <v>80</v>
      </c>
      <c r="K1844" s="84">
        <f>+F1844*I1844</f>
        <v>80</v>
      </c>
      <c r="L1844" s="118">
        <f>E1844*I1844</f>
        <v>2000</v>
      </c>
    </row>
    <row r="1845" spans="2:12" x14ac:dyDescent="0.4">
      <c r="B1845" s="122"/>
      <c r="C1845" s="306"/>
      <c r="D1845" s="306"/>
      <c r="E1845" s="116"/>
      <c r="F1845" s="83"/>
      <c r="G1845" s="74"/>
      <c r="I1845" s="117">
        <f>IF(C1845=0,0,VLOOKUP(C1845,Tabla2[],3,FALSE))</f>
        <v>0</v>
      </c>
      <c r="K1845" s="84">
        <f>+F1845*I1845</f>
        <v>0</v>
      </c>
      <c r="L1845" s="118">
        <f>E1845*I1845</f>
        <v>0</v>
      </c>
    </row>
    <row r="1846" spans="2:12" ht="17.399999999999999" thickBot="1" x14ac:dyDescent="0.45">
      <c r="B1846" s="123"/>
      <c r="C1846" s="307"/>
      <c r="D1846" s="308"/>
      <c r="E1846" s="124"/>
      <c r="F1846" s="125"/>
      <c r="G1846" s="74"/>
      <c r="I1846" s="117">
        <f>IF(C1846=0,0,VLOOKUP(C1846,Tabla2[],3,FALSE))</f>
        <v>0</v>
      </c>
      <c r="K1846" s="84">
        <f t="shared" ref="K1846" si="283">+F1846*I1846</f>
        <v>0</v>
      </c>
      <c r="L1846" s="118">
        <f t="shared" ref="L1846:L1847" si="284">E1846*I1846</f>
        <v>0</v>
      </c>
    </row>
    <row r="1847" spans="2:12" ht="17.399999999999999" thickBot="1" x14ac:dyDescent="0.45">
      <c r="B1847" s="297" t="s">
        <v>15</v>
      </c>
      <c r="C1847" s="298"/>
      <c r="D1847" s="298"/>
      <c r="E1847" s="298"/>
      <c r="F1847" s="298"/>
      <c r="G1847" s="299"/>
      <c r="I1847" s="84">
        <v>0</v>
      </c>
      <c r="K1847" s="84">
        <v>0</v>
      </c>
      <c r="L1847" s="118">
        <f t="shared" si="284"/>
        <v>0</v>
      </c>
    </row>
    <row r="1848" spans="2:12" ht="17.399999999999999" thickBot="1" x14ac:dyDescent="0.45"/>
    <row r="1849" spans="2:12" ht="17.399999999999999" thickBot="1" x14ac:dyDescent="0.45">
      <c r="F1849" s="292" t="s">
        <v>16</v>
      </c>
      <c r="G1849" s="293"/>
      <c r="H1849" s="293"/>
      <c r="I1849" s="294"/>
      <c r="K1849" s="229">
        <f>+SUM(K1844:K1847)</f>
        <v>80</v>
      </c>
      <c r="L1849" s="119">
        <f>+SUM(L1844:L1847)</f>
        <v>2000</v>
      </c>
    </row>
    <row r="1850" spans="2:12" ht="17.399999999999999" thickBot="1" x14ac:dyDescent="0.45"/>
    <row r="1851" spans="2:12" ht="17.399999999999999" thickBot="1" x14ac:dyDescent="0.45">
      <c r="B1851" s="110" t="s">
        <v>17</v>
      </c>
      <c r="C1851" s="300" t="s">
        <v>18</v>
      </c>
      <c r="D1851" s="300"/>
      <c r="E1851" s="300"/>
      <c r="F1851" s="300"/>
      <c r="G1851" s="301"/>
    </row>
    <row r="1852" spans="2:12" x14ac:dyDescent="0.4">
      <c r="B1852" s="114" t="s">
        <v>6</v>
      </c>
      <c r="C1852" s="302" t="s">
        <v>1</v>
      </c>
      <c r="D1852" s="303"/>
      <c r="E1852" s="126"/>
      <c r="F1852" s="120" t="s">
        <v>2</v>
      </c>
      <c r="G1852" s="114" t="s">
        <v>3</v>
      </c>
      <c r="H1852" s="106"/>
      <c r="I1852" s="107" t="s">
        <v>7</v>
      </c>
      <c r="J1852" s="136"/>
      <c r="K1852" s="107" t="s">
        <v>8</v>
      </c>
      <c r="L1852" s="115" t="s">
        <v>194</v>
      </c>
    </row>
    <row r="1853" spans="2:12" x14ac:dyDescent="0.4">
      <c r="B1853" s="74"/>
      <c r="C1853" s="304"/>
      <c r="D1853" s="305"/>
      <c r="E1853" s="127"/>
      <c r="F1853" s="72"/>
      <c r="G1853" s="74"/>
      <c r="I1853" s="84">
        <v>0</v>
      </c>
      <c r="K1853" s="84">
        <f>+F1853*I1853</f>
        <v>0</v>
      </c>
      <c r="L1853" s="118">
        <f>E1853*I1853</f>
        <v>0</v>
      </c>
    </row>
    <row r="1854" spans="2:12" x14ac:dyDescent="0.4">
      <c r="B1854" s="74"/>
      <c r="C1854" s="304"/>
      <c r="D1854" s="305"/>
      <c r="E1854" s="127"/>
      <c r="F1854" s="72"/>
      <c r="G1854" s="74"/>
      <c r="I1854" s="84">
        <v>0</v>
      </c>
      <c r="K1854" s="84">
        <f t="shared" ref="K1854:K1855" si="285">+F1854*I1854</f>
        <v>0</v>
      </c>
      <c r="L1854" s="118">
        <f t="shared" ref="L1854:L1855" si="286">E1854*I1854</f>
        <v>0</v>
      </c>
    </row>
    <row r="1855" spans="2:12" x14ac:dyDescent="0.4">
      <c r="B1855" s="74"/>
      <c r="C1855" s="304"/>
      <c r="D1855" s="305"/>
      <c r="E1855" s="127"/>
      <c r="F1855" s="72"/>
      <c r="G1855" s="74"/>
      <c r="I1855" s="84">
        <v>0</v>
      </c>
      <c r="K1855" s="84">
        <f t="shared" si="285"/>
        <v>0</v>
      </c>
      <c r="L1855" s="118">
        <f t="shared" si="286"/>
        <v>0</v>
      </c>
    </row>
    <row r="1856" spans="2:12" ht="17.399999999999999" thickBot="1" x14ac:dyDescent="0.45">
      <c r="L1856" s="118"/>
    </row>
    <row r="1857" spans="1:16" ht="17.399999999999999" thickBot="1" x14ac:dyDescent="0.45">
      <c r="F1857" s="292" t="s">
        <v>19</v>
      </c>
      <c r="G1857" s="293"/>
      <c r="H1857" s="293"/>
      <c r="I1857" s="294"/>
      <c r="K1857" s="229">
        <f>+SUM(K1853:K1855)</f>
        <v>0</v>
      </c>
      <c r="L1857" s="119">
        <f>+SUM(L1852:L1855)</f>
        <v>0</v>
      </c>
    </row>
    <row r="1858" spans="1:16" ht="15" customHeight="1" x14ac:dyDescent="0.4">
      <c r="F1858" s="128"/>
      <c r="G1858" s="129"/>
      <c r="H1858" s="130"/>
      <c r="I1858" s="108"/>
      <c r="K1858" s="230"/>
    </row>
    <row r="1859" spans="1:16" ht="15" customHeight="1" thickBot="1" x14ac:dyDescent="0.45"/>
    <row r="1860" spans="1:16" ht="17.399999999999999" thickBot="1" x14ac:dyDescent="0.45">
      <c r="F1860" s="292" t="s">
        <v>20</v>
      </c>
      <c r="G1860" s="293"/>
      <c r="H1860" s="293"/>
      <c r="I1860" s="294"/>
      <c r="K1860" s="229">
        <f>(+K1831+K1840+K1849+K1857)</f>
        <v>230</v>
      </c>
      <c r="L1860" s="119">
        <f>(+L1831+L1840+L1849+L1857)</f>
        <v>5750</v>
      </c>
      <c r="N1860" s="131"/>
      <c r="O1860" s="39"/>
      <c r="P1860" s="40"/>
    </row>
    <row r="1861" spans="1:16" ht="7.5" customHeight="1" thickBot="1" x14ac:dyDescent="0.45">
      <c r="N1861" s="131"/>
      <c r="O1861" s="41"/>
      <c r="P1861" s="40"/>
    </row>
    <row r="1862" spans="1:16" ht="17.399999999999999" thickBot="1" x14ac:dyDescent="0.45">
      <c r="F1862" s="292" t="s">
        <v>21</v>
      </c>
      <c r="G1862" s="293"/>
      <c r="H1862" s="293"/>
      <c r="I1862" s="294"/>
      <c r="K1862" s="229">
        <f>K1860*$N$2</f>
        <v>92</v>
      </c>
      <c r="L1862" s="119">
        <f>L1860*$N$2</f>
        <v>2300</v>
      </c>
    </row>
    <row r="1863" spans="1:16" ht="7.5" customHeight="1" thickBot="1" x14ac:dyDescent="0.45"/>
    <row r="1864" spans="1:16" ht="17.399999999999999" thickBot="1" x14ac:dyDescent="0.45">
      <c r="F1864" s="292" t="s">
        <v>22</v>
      </c>
      <c r="G1864" s="293"/>
      <c r="H1864" s="293"/>
      <c r="I1864" s="294"/>
      <c r="K1864" s="229">
        <f>+K1860+K1862</f>
        <v>322</v>
      </c>
      <c r="L1864" s="119">
        <f>+L1860+L1862</f>
        <v>8050</v>
      </c>
    </row>
    <row r="1865" spans="1:16" ht="17.399999999999999" thickBot="1" x14ac:dyDescent="0.45">
      <c r="F1865" s="128"/>
      <c r="G1865" s="129"/>
      <c r="H1865" s="130"/>
      <c r="I1865" s="108"/>
      <c r="K1865" s="231"/>
      <c r="L1865" s="132">
        <f>L1864/I1819</f>
        <v>322</v>
      </c>
      <c r="M1865" s="133">
        <f>(K1864-L1865)*I1819</f>
        <v>0</v>
      </c>
    </row>
    <row r="1866" spans="1:16" x14ac:dyDescent="0.4">
      <c r="F1866" s="128"/>
      <c r="G1866" s="129"/>
      <c r="H1866" s="130"/>
      <c r="I1866" s="108"/>
      <c r="K1866" s="232"/>
      <c r="L1866" s="131"/>
      <c r="M1866" s="134"/>
      <c r="N1866" s="135"/>
    </row>
    <row r="1867" spans="1:16" ht="17.399999999999999" thickBot="1" x14ac:dyDescent="0.45">
      <c r="B1867" s="295"/>
      <c r="C1867" s="295"/>
      <c r="D1867" s="295"/>
    </row>
    <row r="1868" spans="1:16" x14ac:dyDescent="0.4">
      <c r="B1868" s="296" t="s">
        <v>23</v>
      </c>
      <c r="C1868" s="296"/>
      <c r="D1868" s="296"/>
    </row>
    <row r="1869" spans="1:16" x14ac:dyDescent="0.4">
      <c r="B1869" s="157"/>
      <c r="C1869" s="157"/>
      <c r="D1869" s="157"/>
    </row>
    <row r="1870" spans="1:16" x14ac:dyDescent="0.4">
      <c r="B1870" s="157"/>
      <c r="C1870" s="157"/>
      <c r="D1870" s="157"/>
    </row>
    <row r="1871" spans="1:16" x14ac:dyDescent="0.4">
      <c r="B1871" s="105" t="s">
        <v>43</v>
      </c>
      <c r="C1871" s="106"/>
      <c r="D1871" s="311" t="s">
        <v>1</v>
      </c>
      <c r="E1871" s="311"/>
      <c r="F1871" s="311"/>
      <c r="G1871" s="311"/>
      <c r="H1871" s="106"/>
      <c r="I1871" s="107" t="s">
        <v>2</v>
      </c>
      <c r="J1871" s="136"/>
      <c r="K1871" s="107" t="s">
        <v>3</v>
      </c>
    </row>
    <row r="1872" spans="1:16" s="4" customFormat="1" ht="30.75" customHeight="1" x14ac:dyDescent="0.3">
      <c r="A1872" s="31"/>
      <c r="B1872" s="213">
        <f>CATALOGO!B51</f>
        <v>611.01</v>
      </c>
      <c r="C1872" s="71"/>
      <c r="D1872" s="326" t="str">
        <f>CATALOGO!C51</f>
        <v>PINTURA DE MUROS</v>
      </c>
      <c r="E1872" s="326"/>
      <c r="F1872" s="326"/>
      <c r="G1872" s="326"/>
      <c r="H1872" s="71"/>
      <c r="I1872" s="213">
        <f>CATALOGO!D51</f>
        <v>117.1</v>
      </c>
      <c r="J1872" s="109"/>
      <c r="K1872" s="227" t="str">
        <f>CATALOGO!E51</f>
        <v>m²</v>
      </c>
      <c r="L1872" s="71"/>
      <c r="M1872" s="71"/>
      <c r="N1872" s="71"/>
      <c r="O1872" s="37"/>
      <c r="P1872" s="37"/>
    </row>
    <row r="1873" spans="2:16" ht="17.399999999999999" thickBot="1" x14ac:dyDescent="0.45"/>
    <row r="1874" spans="2:16" ht="17.399999999999999" thickBot="1" x14ac:dyDescent="0.45">
      <c r="B1874" s="110" t="s">
        <v>4</v>
      </c>
      <c r="C1874" s="300" t="s">
        <v>5</v>
      </c>
      <c r="D1874" s="300"/>
      <c r="E1874" s="300"/>
      <c r="F1874" s="300"/>
      <c r="G1874" s="301"/>
    </row>
    <row r="1875" spans="2:16" x14ac:dyDescent="0.3">
      <c r="B1875" s="111" t="s">
        <v>6</v>
      </c>
      <c r="C1875" s="313" t="s">
        <v>1</v>
      </c>
      <c r="D1875" s="314"/>
      <c r="E1875" s="112" t="s">
        <v>193</v>
      </c>
      <c r="F1875" s="113" t="s">
        <v>2</v>
      </c>
      <c r="G1875" s="114" t="s">
        <v>3</v>
      </c>
      <c r="H1875" s="106"/>
      <c r="I1875" s="107" t="s">
        <v>7</v>
      </c>
      <c r="J1875" s="136"/>
      <c r="K1875" s="228" t="s">
        <v>8</v>
      </c>
      <c r="L1875" s="115" t="s">
        <v>194</v>
      </c>
      <c r="O1875" s="323"/>
      <c r="P1875" s="323"/>
    </row>
    <row r="1876" spans="2:16" ht="17.25" customHeight="1" x14ac:dyDescent="0.3">
      <c r="B1876" s="122">
        <v>1</v>
      </c>
      <c r="C1876" s="317" t="s">
        <v>78</v>
      </c>
      <c r="D1876" s="318"/>
      <c r="E1876" s="116">
        <f>I1872*0.04</f>
        <v>4.6840000000000002</v>
      </c>
      <c r="F1876" s="83">
        <f>ROUND(E1876/I1872,2)</f>
        <v>0.04</v>
      </c>
      <c r="G1876" s="74" t="str">
        <f>IF(C1876=0,0,VLOOKUP(C1876,Tabla1[],2,FALSE))</f>
        <v>Unidad</v>
      </c>
      <c r="I1876" s="117">
        <f>IF(C1876=0,0,VLOOKUP(C1876,Tabla1[],3,FALSE))</f>
        <v>25</v>
      </c>
      <c r="K1876" s="84">
        <f>F1876*I1876</f>
        <v>1</v>
      </c>
      <c r="L1876" s="118">
        <f t="shared" ref="L1876:L1885" si="287">E1876*I1876</f>
        <v>117.10000000000001</v>
      </c>
      <c r="O1876" s="44"/>
      <c r="P1876" s="45"/>
    </row>
    <row r="1877" spans="2:16" x14ac:dyDescent="0.4">
      <c r="B1877" s="122">
        <v>2</v>
      </c>
      <c r="C1877" s="317" t="s">
        <v>79</v>
      </c>
      <c r="D1877" s="318"/>
      <c r="E1877" s="116">
        <f>I1872*0.02</f>
        <v>2.3420000000000001</v>
      </c>
      <c r="F1877" s="83">
        <f>ROUND(E1877/I1872,2)</f>
        <v>0.02</v>
      </c>
      <c r="G1877" s="74" t="str">
        <f>IF(C1877=0,0,VLOOKUP(C1877,Tabla1[],2,FALSE))</f>
        <v>Unidad</v>
      </c>
      <c r="I1877" s="117">
        <f>IF(C1877=0,0,VLOOKUP(C1877,Tabla1[],3,FALSE))</f>
        <v>50</v>
      </c>
      <c r="K1877" s="84">
        <f t="shared" ref="K1877:K1885" si="288">+F1877*I1877</f>
        <v>1</v>
      </c>
      <c r="L1877" s="118">
        <f t="shared" si="287"/>
        <v>117.10000000000001</v>
      </c>
      <c r="P1877" s="45"/>
    </row>
    <row r="1878" spans="2:16" x14ac:dyDescent="0.4">
      <c r="B1878" s="122">
        <v>3</v>
      </c>
      <c r="C1878" s="317" t="s">
        <v>220</v>
      </c>
      <c r="D1878" s="318"/>
      <c r="E1878" s="116">
        <f>I1872*0.01</f>
        <v>1.171</v>
      </c>
      <c r="F1878" s="83">
        <f>ROUND(E1878/I1872,2)</f>
        <v>0.01</v>
      </c>
      <c r="G1878" s="74" t="str">
        <f>IF(C1878=0,0,VLOOKUP(C1878,Tabla1[],2,FALSE))</f>
        <v>Cubeta</v>
      </c>
      <c r="I1878" s="117">
        <f>IF(C1878=0,0,VLOOKUP(C1878,Tabla1[],3,FALSE))</f>
        <v>1500</v>
      </c>
      <c r="K1878" s="84">
        <f t="shared" si="288"/>
        <v>15</v>
      </c>
      <c r="L1878" s="118">
        <f t="shared" si="287"/>
        <v>1756.5</v>
      </c>
      <c r="O1878" s="48"/>
      <c r="P1878" s="49"/>
    </row>
    <row r="1879" spans="2:16" x14ac:dyDescent="0.4">
      <c r="B1879" s="122">
        <v>4</v>
      </c>
      <c r="C1879" s="317" t="s">
        <v>221</v>
      </c>
      <c r="D1879" s="318"/>
      <c r="E1879" s="116">
        <f>I1872*0.02</f>
        <v>2.3420000000000001</v>
      </c>
      <c r="F1879" s="83">
        <f>ROUND(E1879/I1872,2)</f>
        <v>0.02</v>
      </c>
      <c r="G1879" s="74" t="str">
        <f>IF(C1879=0,0,VLOOKUP(C1879,Tabla1[],2,FALSE))</f>
        <v>Unidad</v>
      </c>
      <c r="I1879" s="117">
        <f>IF(C1879=0,0,VLOOKUP(C1879,Tabla1[],3,FALSE))</f>
        <v>50</v>
      </c>
      <c r="K1879" s="84">
        <f t="shared" si="288"/>
        <v>1</v>
      </c>
      <c r="L1879" s="118">
        <f t="shared" ref="L1879:L1884" si="289">E1879*I1879</f>
        <v>117.10000000000001</v>
      </c>
      <c r="O1879" s="48"/>
      <c r="P1879" s="49"/>
    </row>
    <row r="1880" spans="2:16" x14ac:dyDescent="0.4">
      <c r="B1880" s="122">
        <v>5</v>
      </c>
      <c r="C1880" s="317" t="s">
        <v>184</v>
      </c>
      <c r="D1880" s="318"/>
      <c r="E1880" s="116">
        <f>I1872*0.08</f>
        <v>9.3680000000000003</v>
      </c>
      <c r="F1880" s="83">
        <f>ROUND(E1880/I1872,2)</f>
        <v>0.08</v>
      </c>
      <c r="G1880" s="74" t="str">
        <f>IF(C1880=0,0,VLOOKUP(C1880,Tabla1[],2,FALSE))</f>
        <v>Libra</v>
      </c>
      <c r="I1880" s="117">
        <f>IF(C1880=0,0,VLOOKUP(C1880,Tabla1[],3,FALSE))</f>
        <v>25</v>
      </c>
      <c r="K1880" s="84">
        <f t="shared" si="288"/>
        <v>2</v>
      </c>
      <c r="L1880" s="118">
        <f t="shared" si="289"/>
        <v>234.20000000000002</v>
      </c>
      <c r="O1880" s="48"/>
      <c r="P1880" s="49"/>
    </row>
    <row r="1881" spans="2:16" x14ac:dyDescent="0.4">
      <c r="B1881" s="122">
        <v>6</v>
      </c>
      <c r="C1881" s="318" t="s">
        <v>80</v>
      </c>
      <c r="D1881" s="306"/>
      <c r="E1881" s="116">
        <f>I1872*0.04</f>
        <v>4.6840000000000002</v>
      </c>
      <c r="F1881" s="83">
        <f>ROUND(E1881/I1872,2)</f>
        <v>0.04</v>
      </c>
      <c r="G1881" s="74" t="str">
        <f>IF(C1881=0,0,VLOOKUP(C1881,Tabla1[],2,FALSE))</f>
        <v>Unidad</v>
      </c>
      <c r="I1881" s="117">
        <f>IF(C1881=0,0,VLOOKUP(C1881,Tabla1[],3,FALSE))</f>
        <v>100</v>
      </c>
      <c r="K1881" s="84">
        <f t="shared" si="288"/>
        <v>4</v>
      </c>
      <c r="L1881" s="118">
        <f t="shared" si="289"/>
        <v>468.40000000000003</v>
      </c>
      <c r="O1881" s="48"/>
      <c r="P1881" s="49"/>
    </row>
    <row r="1882" spans="2:16" x14ac:dyDescent="0.4">
      <c r="B1882" s="122">
        <v>7</v>
      </c>
      <c r="C1882" s="318" t="s">
        <v>223</v>
      </c>
      <c r="D1882" s="306"/>
      <c r="E1882" s="116">
        <f>I1872*0.02</f>
        <v>2.3420000000000001</v>
      </c>
      <c r="F1882" s="83">
        <f>ROUND(E1882/I1872,2)</f>
        <v>0.02</v>
      </c>
      <c r="G1882" s="74" t="str">
        <f>IF(C1882=0,0,VLOOKUP(C1882,Tabla1[],2,FALSE))</f>
        <v>Unidad</v>
      </c>
      <c r="I1882" s="117">
        <f>IF(C1882=0,0,VLOOKUP(C1882,Tabla1[],3,FALSE))</f>
        <v>50</v>
      </c>
      <c r="K1882" s="84">
        <f t="shared" si="288"/>
        <v>1</v>
      </c>
      <c r="L1882" s="118">
        <f t="shared" si="289"/>
        <v>117.10000000000001</v>
      </c>
      <c r="O1882" s="48"/>
      <c r="P1882" s="49"/>
    </row>
    <row r="1883" spans="2:16" x14ac:dyDescent="0.4">
      <c r="B1883" s="122"/>
      <c r="C1883" s="317"/>
      <c r="D1883" s="318"/>
      <c r="E1883" s="116"/>
      <c r="F1883" s="83"/>
      <c r="G1883" s="74"/>
      <c r="I1883" s="117">
        <f>IF(C1883=0,0,VLOOKUP(C1883,Tabla1[],3,FALSE))</f>
        <v>0</v>
      </c>
      <c r="K1883" s="84">
        <f t="shared" si="288"/>
        <v>0</v>
      </c>
      <c r="L1883" s="118">
        <f t="shared" si="289"/>
        <v>0</v>
      </c>
      <c r="O1883" s="48"/>
      <c r="P1883" s="49"/>
    </row>
    <row r="1884" spans="2:16" x14ac:dyDescent="0.4">
      <c r="B1884" s="122"/>
      <c r="C1884" s="317"/>
      <c r="D1884" s="318"/>
      <c r="E1884" s="116"/>
      <c r="F1884" s="83"/>
      <c r="G1884" s="74"/>
      <c r="I1884" s="117">
        <f>IF(C1884=0,0,VLOOKUP(C1884,Tabla1[],3,FALSE))</f>
        <v>0</v>
      </c>
      <c r="K1884" s="84">
        <f t="shared" si="288"/>
        <v>0</v>
      </c>
      <c r="L1884" s="118">
        <f t="shared" si="289"/>
        <v>0</v>
      </c>
      <c r="O1884" s="48"/>
      <c r="P1884" s="49"/>
    </row>
    <row r="1885" spans="2:16" x14ac:dyDescent="0.4">
      <c r="B1885" s="122"/>
      <c r="C1885" s="319"/>
      <c r="D1885" s="318"/>
      <c r="E1885" s="116"/>
      <c r="F1885" s="83"/>
      <c r="G1885" s="74"/>
      <c r="I1885" s="117">
        <f>IF(C1885=0,0,VLOOKUP(C1885,Tabla1[],3,FALSE))</f>
        <v>0</v>
      </c>
      <c r="K1885" s="84">
        <f t="shared" si="288"/>
        <v>0</v>
      </c>
      <c r="L1885" s="118">
        <f t="shared" si="287"/>
        <v>0</v>
      </c>
      <c r="O1885" s="48"/>
      <c r="P1885" s="43"/>
    </row>
    <row r="1886" spans="2:16" ht="17.399999999999999" thickBot="1" x14ac:dyDescent="0.45"/>
    <row r="1887" spans="2:16" ht="17.399999999999999" thickBot="1" x14ac:dyDescent="0.35">
      <c r="F1887" s="292" t="s">
        <v>9</v>
      </c>
      <c r="G1887" s="293"/>
      <c r="H1887" s="293"/>
      <c r="I1887" s="294"/>
      <c r="K1887" s="229">
        <f>+SUM(K1876:K1885)</f>
        <v>25</v>
      </c>
      <c r="L1887" s="119">
        <f>+SUM(L1876:L1885)</f>
        <v>2927.5</v>
      </c>
      <c r="O1887" s="38"/>
      <c r="P1887" s="38"/>
    </row>
    <row r="1888" spans="2:16" ht="17.399999999999999" thickBot="1" x14ac:dyDescent="0.45">
      <c r="O1888" s="42"/>
      <c r="P1888" s="43"/>
    </row>
    <row r="1889" spans="2:12" ht="17.399999999999999" thickBot="1" x14ac:dyDescent="0.45">
      <c r="B1889" s="110" t="s">
        <v>10</v>
      </c>
      <c r="C1889" s="300" t="s">
        <v>11</v>
      </c>
      <c r="D1889" s="300"/>
      <c r="E1889" s="300"/>
      <c r="F1889" s="300"/>
      <c r="G1889" s="301"/>
    </row>
    <row r="1890" spans="2:12" x14ac:dyDescent="0.4">
      <c r="B1890" s="114" t="s">
        <v>6</v>
      </c>
      <c r="C1890" s="302" t="s">
        <v>1</v>
      </c>
      <c r="D1890" s="303"/>
      <c r="E1890" s="112" t="s">
        <v>193</v>
      </c>
      <c r="F1890" s="120" t="s">
        <v>2</v>
      </c>
      <c r="G1890" s="114" t="s">
        <v>3</v>
      </c>
      <c r="H1890" s="106"/>
      <c r="I1890" s="107" t="s">
        <v>7</v>
      </c>
      <c r="J1890" s="136"/>
      <c r="K1890" s="107" t="s">
        <v>8</v>
      </c>
      <c r="L1890" s="115" t="s">
        <v>194</v>
      </c>
    </row>
    <row r="1891" spans="2:12" x14ac:dyDescent="0.4">
      <c r="B1891" s="122"/>
      <c r="C1891" s="306"/>
      <c r="D1891" s="306"/>
      <c r="E1891" s="116"/>
      <c r="F1891" s="83"/>
      <c r="G1891" s="74"/>
      <c r="I1891" s="117">
        <f>IF(C1891=0,0,VLOOKUP(C1891,Tabla3[],3,FALSE))</f>
        <v>0</v>
      </c>
      <c r="K1891" s="84">
        <f>F1891*I1891</f>
        <v>0</v>
      </c>
      <c r="L1891" s="118">
        <f>E1891*I1891</f>
        <v>0</v>
      </c>
    </row>
    <row r="1892" spans="2:12" x14ac:dyDescent="0.4">
      <c r="B1892" s="74"/>
      <c r="C1892" s="309"/>
      <c r="D1892" s="310"/>
      <c r="E1892" s="121"/>
      <c r="F1892" s="72"/>
      <c r="G1892" s="74"/>
      <c r="I1892" s="117">
        <f>IF(C1892=0,0,VLOOKUP(C1892,Tabla3[],3,FALSE))</f>
        <v>0</v>
      </c>
      <c r="K1892" s="84">
        <f t="shared" ref="K1892:K1894" si="290">+F1892*I1892</f>
        <v>0</v>
      </c>
      <c r="L1892" s="118">
        <f t="shared" ref="L1892:L1894" si="291">E1892*I1892</f>
        <v>0</v>
      </c>
    </row>
    <row r="1893" spans="2:12" x14ac:dyDescent="0.4">
      <c r="B1893" s="74"/>
      <c r="C1893" s="309"/>
      <c r="D1893" s="310"/>
      <c r="E1893" s="121"/>
      <c r="F1893" s="72"/>
      <c r="G1893" s="74"/>
      <c r="I1893" s="117">
        <f>IF(C1893=0,0,VLOOKUP(C1893,Tabla3[],3,FALSE))</f>
        <v>0</v>
      </c>
      <c r="K1893" s="84">
        <f t="shared" si="290"/>
        <v>0</v>
      </c>
      <c r="L1893" s="118">
        <f t="shared" si="291"/>
        <v>0</v>
      </c>
    </row>
    <row r="1894" spans="2:12" x14ac:dyDescent="0.4">
      <c r="B1894" s="74"/>
      <c r="C1894" s="304"/>
      <c r="D1894" s="305"/>
      <c r="E1894" s="121"/>
      <c r="F1894" s="72"/>
      <c r="G1894" s="74"/>
      <c r="I1894" s="117">
        <f>IF(C1894=0,0,VLOOKUP(C1894,Tabla3[],3,FALSE))</f>
        <v>0</v>
      </c>
      <c r="K1894" s="84">
        <f t="shared" si="290"/>
        <v>0</v>
      </c>
      <c r="L1894" s="118">
        <f t="shared" si="291"/>
        <v>0</v>
      </c>
    </row>
    <row r="1895" spans="2:12" ht="17.399999999999999" thickBot="1" x14ac:dyDescent="0.45"/>
    <row r="1896" spans="2:12" ht="17.399999999999999" thickBot="1" x14ac:dyDescent="0.45">
      <c r="F1896" s="292" t="s">
        <v>12</v>
      </c>
      <c r="G1896" s="293"/>
      <c r="H1896" s="293"/>
      <c r="I1896" s="294"/>
      <c r="K1896" s="229">
        <f>+SUM(K1891:K1894)</f>
        <v>0</v>
      </c>
      <c r="L1896" s="119">
        <f>+SUM(L1891:L1894)</f>
        <v>0</v>
      </c>
    </row>
    <row r="1897" spans="2:12" ht="17.399999999999999" thickBot="1" x14ac:dyDescent="0.45"/>
    <row r="1898" spans="2:12" ht="17.399999999999999" thickBot="1" x14ac:dyDescent="0.45">
      <c r="B1898" s="110" t="s">
        <v>13</v>
      </c>
      <c r="C1898" s="300" t="s">
        <v>14</v>
      </c>
      <c r="D1898" s="300"/>
      <c r="E1898" s="300"/>
      <c r="F1898" s="300"/>
      <c r="G1898" s="301"/>
    </row>
    <row r="1899" spans="2:12" x14ac:dyDescent="0.4">
      <c r="B1899" s="114" t="s">
        <v>6</v>
      </c>
      <c r="C1899" s="302" t="s">
        <v>1</v>
      </c>
      <c r="D1899" s="303"/>
      <c r="E1899" s="112" t="s">
        <v>193</v>
      </c>
      <c r="F1899" s="120" t="s">
        <v>2</v>
      </c>
      <c r="G1899" s="114" t="s">
        <v>3</v>
      </c>
      <c r="H1899" s="106"/>
      <c r="I1899" s="107" t="s">
        <v>7</v>
      </c>
      <c r="J1899" s="136"/>
      <c r="K1899" s="107" t="s">
        <v>8</v>
      </c>
      <c r="L1899" s="115" t="s">
        <v>194</v>
      </c>
    </row>
    <row r="1900" spans="2:12" x14ac:dyDescent="0.4">
      <c r="B1900" s="122">
        <v>1</v>
      </c>
      <c r="C1900" s="306" t="s">
        <v>187</v>
      </c>
      <c r="D1900" s="306"/>
      <c r="E1900" s="116">
        <f>I1872</f>
        <v>117.1</v>
      </c>
      <c r="F1900" s="83">
        <f>ROUND(E1900/I1872,2)</f>
        <v>1</v>
      </c>
      <c r="G1900" s="74" t="str">
        <f>IF(C1900=0,0,VLOOKUP(C1900,Tabla2[],2,FALSE))</f>
        <v>m²</v>
      </c>
      <c r="I1900" s="117">
        <f>IF(C1900=0,0,VLOOKUP(C1900,Tabla2[],3,FALSE))</f>
        <v>10</v>
      </c>
      <c r="K1900" s="84">
        <f>+F1900*I1900</f>
        <v>10</v>
      </c>
      <c r="L1900" s="118">
        <f>E1900*I1900</f>
        <v>1171</v>
      </c>
    </row>
    <row r="1901" spans="2:12" x14ac:dyDescent="0.4">
      <c r="B1901" s="122"/>
      <c r="C1901" s="306"/>
      <c r="D1901" s="306"/>
      <c r="E1901" s="116"/>
      <c r="F1901" s="83"/>
      <c r="G1901" s="74"/>
      <c r="I1901" s="117">
        <f>IF(C1901=0,0,VLOOKUP(C1901,Tabla2[],3,FALSE))</f>
        <v>0</v>
      </c>
      <c r="K1901" s="84">
        <f>+F1901*I1901</f>
        <v>0</v>
      </c>
      <c r="L1901" s="118">
        <f>E1901*I1901</f>
        <v>0</v>
      </c>
    </row>
    <row r="1902" spans="2:12" ht="17.399999999999999" thickBot="1" x14ac:dyDescent="0.45">
      <c r="B1902" s="123"/>
      <c r="C1902" s="307"/>
      <c r="D1902" s="308"/>
      <c r="E1902" s="124"/>
      <c r="F1902" s="125"/>
      <c r="G1902" s="74"/>
      <c r="I1902" s="117">
        <f>IF(C1902=0,0,VLOOKUP(C1902,Tabla2[],3,FALSE))</f>
        <v>0</v>
      </c>
      <c r="K1902" s="84">
        <f t="shared" ref="K1902" si="292">+F1902*I1902</f>
        <v>0</v>
      </c>
      <c r="L1902" s="118">
        <f t="shared" ref="L1902:L1903" si="293">E1902*I1902</f>
        <v>0</v>
      </c>
    </row>
    <row r="1903" spans="2:12" ht="17.399999999999999" thickBot="1" x14ac:dyDescent="0.45">
      <c r="B1903" s="297" t="s">
        <v>15</v>
      </c>
      <c r="C1903" s="298"/>
      <c r="D1903" s="298"/>
      <c r="E1903" s="298"/>
      <c r="F1903" s="298"/>
      <c r="G1903" s="299"/>
      <c r="I1903" s="84">
        <v>0</v>
      </c>
      <c r="K1903" s="84">
        <v>0</v>
      </c>
      <c r="L1903" s="118">
        <f t="shared" si="293"/>
        <v>0</v>
      </c>
    </row>
    <row r="1904" spans="2:12" ht="17.399999999999999" thickBot="1" x14ac:dyDescent="0.45"/>
    <row r="1905" spans="2:16" ht="17.399999999999999" thickBot="1" x14ac:dyDescent="0.45">
      <c r="F1905" s="292" t="s">
        <v>16</v>
      </c>
      <c r="G1905" s="293"/>
      <c r="H1905" s="293"/>
      <c r="I1905" s="294"/>
      <c r="K1905" s="229">
        <f>+SUM(K1900:K1903)</f>
        <v>10</v>
      </c>
      <c r="L1905" s="119">
        <f>+SUM(L1900:L1903)</f>
        <v>1171</v>
      </c>
    </row>
    <row r="1906" spans="2:16" ht="17.399999999999999" thickBot="1" x14ac:dyDescent="0.45"/>
    <row r="1907" spans="2:16" ht="17.399999999999999" thickBot="1" x14ac:dyDescent="0.45">
      <c r="B1907" s="110" t="s">
        <v>17</v>
      </c>
      <c r="C1907" s="300" t="s">
        <v>18</v>
      </c>
      <c r="D1907" s="300"/>
      <c r="E1907" s="300"/>
      <c r="F1907" s="300"/>
      <c r="G1907" s="301"/>
    </row>
    <row r="1908" spans="2:16" x14ac:dyDescent="0.4">
      <c r="B1908" s="114" t="s">
        <v>6</v>
      </c>
      <c r="C1908" s="302" t="s">
        <v>1</v>
      </c>
      <c r="D1908" s="303"/>
      <c r="E1908" s="126"/>
      <c r="F1908" s="120" t="s">
        <v>2</v>
      </c>
      <c r="G1908" s="114" t="s">
        <v>3</v>
      </c>
      <c r="H1908" s="106"/>
      <c r="I1908" s="107" t="s">
        <v>7</v>
      </c>
      <c r="J1908" s="136"/>
      <c r="K1908" s="107" t="s">
        <v>8</v>
      </c>
      <c r="L1908" s="115" t="s">
        <v>194</v>
      </c>
    </row>
    <row r="1909" spans="2:16" x14ac:dyDescent="0.4">
      <c r="B1909" s="74"/>
      <c r="C1909" s="304"/>
      <c r="D1909" s="305"/>
      <c r="E1909" s="127"/>
      <c r="F1909" s="72"/>
      <c r="G1909" s="74"/>
      <c r="I1909" s="84">
        <v>0</v>
      </c>
      <c r="K1909" s="84">
        <f>+F1909*I1909</f>
        <v>0</v>
      </c>
      <c r="L1909" s="118">
        <f>E1909*I1909</f>
        <v>0</v>
      </c>
    </row>
    <row r="1910" spans="2:16" x14ac:dyDescent="0.4">
      <c r="B1910" s="74"/>
      <c r="C1910" s="304"/>
      <c r="D1910" s="305"/>
      <c r="E1910" s="127"/>
      <c r="F1910" s="72"/>
      <c r="G1910" s="74"/>
      <c r="I1910" s="84">
        <v>0</v>
      </c>
      <c r="K1910" s="84">
        <f t="shared" ref="K1910:K1911" si="294">+F1910*I1910</f>
        <v>0</v>
      </c>
      <c r="L1910" s="118">
        <f t="shared" ref="L1910:L1911" si="295">E1910*I1910</f>
        <v>0</v>
      </c>
    </row>
    <row r="1911" spans="2:16" x14ac:dyDescent="0.4">
      <c r="B1911" s="74"/>
      <c r="C1911" s="304"/>
      <c r="D1911" s="305"/>
      <c r="E1911" s="127"/>
      <c r="F1911" s="72"/>
      <c r="G1911" s="74"/>
      <c r="I1911" s="84">
        <v>0</v>
      </c>
      <c r="K1911" s="84">
        <f t="shared" si="294"/>
        <v>0</v>
      </c>
      <c r="L1911" s="118">
        <f t="shared" si="295"/>
        <v>0</v>
      </c>
    </row>
    <row r="1912" spans="2:16" ht="17.399999999999999" thickBot="1" x14ac:dyDescent="0.45">
      <c r="L1912" s="118"/>
    </row>
    <row r="1913" spans="2:16" ht="17.399999999999999" thickBot="1" x14ac:dyDescent="0.45">
      <c r="F1913" s="292" t="s">
        <v>19</v>
      </c>
      <c r="G1913" s="293"/>
      <c r="H1913" s="293"/>
      <c r="I1913" s="294"/>
      <c r="K1913" s="229">
        <f>+SUM(K1909:K1911)</f>
        <v>0</v>
      </c>
      <c r="L1913" s="119">
        <f>+SUM(L1908:L1911)</f>
        <v>0</v>
      </c>
    </row>
    <row r="1914" spans="2:16" ht="15" customHeight="1" x14ac:dyDescent="0.4">
      <c r="F1914" s="128"/>
      <c r="G1914" s="129"/>
      <c r="H1914" s="130"/>
      <c r="I1914" s="108"/>
      <c r="K1914" s="230"/>
    </row>
    <row r="1915" spans="2:16" ht="15" customHeight="1" thickBot="1" x14ac:dyDescent="0.45"/>
    <row r="1916" spans="2:16" ht="17.399999999999999" thickBot="1" x14ac:dyDescent="0.45">
      <c r="F1916" s="292" t="s">
        <v>20</v>
      </c>
      <c r="G1916" s="293"/>
      <c r="H1916" s="293"/>
      <c r="I1916" s="294"/>
      <c r="K1916" s="229">
        <f>(+K1887+K1896+K1905+K1913)</f>
        <v>35</v>
      </c>
      <c r="L1916" s="119">
        <f>(+L1887+L1896+L1905+L1913)</f>
        <v>4098.5</v>
      </c>
      <c r="N1916" s="131"/>
      <c r="O1916" s="39"/>
      <c r="P1916" s="40"/>
    </row>
    <row r="1917" spans="2:16" ht="7.5" customHeight="1" thickBot="1" x14ac:dyDescent="0.45">
      <c r="N1917" s="131"/>
      <c r="O1917" s="41"/>
      <c r="P1917" s="40"/>
    </row>
    <row r="1918" spans="2:16" ht="17.399999999999999" thickBot="1" x14ac:dyDescent="0.45">
      <c r="F1918" s="292" t="s">
        <v>21</v>
      </c>
      <c r="G1918" s="293"/>
      <c r="H1918" s="293"/>
      <c r="I1918" s="294"/>
      <c r="K1918" s="229">
        <f>K1916*$N$2</f>
        <v>14</v>
      </c>
      <c r="L1918" s="119">
        <f>L1916*$N$2</f>
        <v>1639.4</v>
      </c>
    </row>
    <row r="1919" spans="2:16" ht="7.5" customHeight="1" thickBot="1" x14ac:dyDescent="0.45"/>
    <row r="1920" spans="2:16" ht="17.399999999999999" thickBot="1" x14ac:dyDescent="0.45">
      <c r="F1920" s="292" t="s">
        <v>22</v>
      </c>
      <c r="G1920" s="293"/>
      <c r="H1920" s="293"/>
      <c r="I1920" s="294"/>
      <c r="K1920" s="229">
        <f>+K1916+K1918</f>
        <v>49</v>
      </c>
      <c r="L1920" s="119">
        <f>+L1916+L1918</f>
        <v>5737.9</v>
      </c>
    </row>
    <row r="1921" spans="1:16" ht="17.399999999999999" thickBot="1" x14ac:dyDescent="0.45">
      <c r="F1921" s="128"/>
      <c r="G1921" s="129"/>
      <c r="H1921" s="130"/>
      <c r="I1921" s="108"/>
      <c r="K1921" s="231"/>
      <c r="L1921" s="132">
        <f>L1920/I1872</f>
        <v>49</v>
      </c>
      <c r="M1921" s="133">
        <f>(K1920-L1921)*I1872</f>
        <v>0</v>
      </c>
    </row>
    <row r="1922" spans="1:16" x14ac:dyDescent="0.4">
      <c r="F1922" s="128"/>
      <c r="G1922" s="129"/>
      <c r="H1922" s="130"/>
      <c r="I1922" s="108"/>
      <c r="K1922" s="232"/>
      <c r="L1922" s="131"/>
      <c r="M1922" s="134"/>
      <c r="N1922" s="135"/>
    </row>
    <row r="1923" spans="1:16" ht="17.399999999999999" thickBot="1" x14ac:dyDescent="0.45">
      <c r="B1923" s="295"/>
      <c r="C1923" s="295"/>
      <c r="D1923" s="295"/>
    </row>
    <row r="1924" spans="1:16" x14ac:dyDescent="0.4">
      <c r="B1924" s="296" t="s">
        <v>23</v>
      </c>
      <c r="C1924" s="296"/>
      <c r="D1924" s="296"/>
    </row>
    <row r="1925" spans="1:16" x14ac:dyDescent="0.4">
      <c r="B1925" s="157"/>
      <c r="C1925" s="157"/>
      <c r="D1925" s="157"/>
    </row>
    <row r="1926" spans="1:16" x14ac:dyDescent="0.4">
      <c r="B1926" s="157"/>
      <c r="C1926" s="157"/>
      <c r="D1926" s="157"/>
    </row>
    <row r="1927" spans="1:16" x14ac:dyDescent="0.4">
      <c r="B1927" s="105" t="s">
        <v>43</v>
      </c>
      <c r="C1927" s="106"/>
      <c r="D1927" s="311" t="s">
        <v>1</v>
      </c>
      <c r="E1927" s="311"/>
      <c r="F1927" s="311"/>
      <c r="G1927" s="311"/>
      <c r="H1927" s="106"/>
      <c r="I1927" s="107" t="s">
        <v>2</v>
      </c>
      <c r="J1927" s="136"/>
      <c r="K1927" s="107" t="s">
        <v>3</v>
      </c>
    </row>
    <row r="1928" spans="1:16" s="4" customFormat="1" ht="30.75" customHeight="1" x14ac:dyDescent="0.3">
      <c r="A1928" s="31"/>
      <c r="B1928" s="213">
        <f>CATALOGO!B52</f>
        <v>611.03</v>
      </c>
      <c r="C1928" s="71"/>
      <c r="D1928" s="326" t="str">
        <f>CATALOGO!C52</f>
        <v>PINTURA DE CIELO</v>
      </c>
      <c r="E1928" s="326"/>
      <c r="F1928" s="326"/>
      <c r="G1928" s="326"/>
      <c r="H1928" s="71"/>
      <c r="I1928" s="213">
        <f>CATALOGO!D52</f>
        <v>41.71</v>
      </c>
      <c r="J1928" s="109"/>
      <c r="K1928" s="227" t="str">
        <f>CATALOGO!E52</f>
        <v>m²</v>
      </c>
      <c r="L1928" s="71"/>
      <c r="M1928" s="71"/>
      <c r="N1928" s="71"/>
      <c r="O1928" s="37"/>
      <c r="P1928" s="37"/>
    </row>
    <row r="1929" spans="1:16" ht="17.399999999999999" thickBot="1" x14ac:dyDescent="0.45"/>
    <row r="1930" spans="1:16" ht="17.399999999999999" thickBot="1" x14ac:dyDescent="0.45">
      <c r="B1930" s="110" t="s">
        <v>4</v>
      </c>
      <c r="C1930" s="300" t="s">
        <v>5</v>
      </c>
      <c r="D1930" s="300"/>
      <c r="E1930" s="300"/>
      <c r="F1930" s="300"/>
      <c r="G1930" s="301"/>
    </row>
    <row r="1931" spans="1:16" x14ac:dyDescent="0.3">
      <c r="B1931" s="111" t="s">
        <v>6</v>
      </c>
      <c r="C1931" s="313" t="s">
        <v>1</v>
      </c>
      <c r="D1931" s="314"/>
      <c r="E1931" s="112" t="s">
        <v>193</v>
      </c>
      <c r="F1931" s="113" t="s">
        <v>2</v>
      </c>
      <c r="G1931" s="114" t="s">
        <v>3</v>
      </c>
      <c r="H1931" s="106"/>
      <c r="I1931" s="107" t="s">
        <v>7</v>
      </c>
      <c r="J1931" s="136"/>
      <c r="K1931" s="228" t="s">
        <v>8</v>
      </c>
      <c r="L1931" s="115" t="s">
        <v>194</v>
      </c>
      <c r="O1931" s="323"/>
      <c r="P1931" s="323"/>
    </row>
    <row r="1932" spans="1:16" ht="17.25" customHeight="1" x14ac:dyDescent="0.3">
      <c r="B1932" s="122">
        <v>1</v>
      </c>
      <c r="C1932" s="317" t="s">
        <v>78</v>
      </c>
      <c r="D1932" s="318"/>
      <c r="E1932" s="116">
        <f>I1928*0.08</f>
        <v>3.3368000000000002</v>
      </c>
      <c r="F1932" s="83">
        <f>ROUND(E1932/I1928,2)</f>
        <v>0.08</v>
      </c>
      <c r="G1932" s="74" t="str">
        <f>IF(C1932=0,0,VLOOKUP(C1932,Tabla1[],2,FALSE))</f>
        <v>Unidad</v>
      </c>
      <c r="I1932" s="117">
        <f>IF(C1932=0,0,VLOOKUP(C1932,Tabla1[],3,FALSE))</f>
        <v>25</v>
      </c>
      <c r="K1932" s="84">
        <f>F1932*I1932</f>
        <v>2</v>
      </c>
      <c r="L1932" s="118">
        <f t="shared" ref="L1932:L1941" si="296">E1932*I1932</f>
        <v>83.42</v>
      </c>
      <c r="O1932" s="44"/>
      <c r="P1932" s="45"/>
    </row>
    <row r="1933" spans="1:16" x14ac:dyDescent="0.4">
      <c r="B1933" s="122">
        <v>2</v>
      </c>
      <c r="C1933" s="317" t="s">
        <v>79</v>
      </c>
      <c r="D1933" s="318"/>
      <c r="E1933" s="116">
        <f>I1928*0.04</f>
        <v>1.6684000000000001</v>
      </c>
      <c r="F1933" s="83">
        <f>ROUND(E1933/I1928,2)</f>
        <v>0.04</v>
      </c>
      <c r="G1933" s="74" t="str">
        <f>IF(C1933=0,0,VLOOKUP(C1933,Tabla1[],2,FALSE))</f>
        <v>Unidad</v>
      </c>
      <c r="I1933" s="117">
        <f>IF(C1933=0,0,VLOOKUP(C1933,Tabla1[],3,FALSE))</f>
        <v>50</v>
      </c>
      <c r="K1933" s="84">
        <f t="shared" ref="K1933:K1941" si="297">+F1933*I1933</f>
        <v>2</v>
      </c>
      <c r="L1933" s="118">
        <f t="shared" si="296"/>
        <v>83.42</v>
      </c>
      <c r="P1933" s="45"/>
    </row>
    <row r="1934" spans="1:16" x14ac:dyDescent="0.4">
      <c r="B1934" s="122">
        <v>3</v>
      </c>
      <c r="C1934" s="317" t="s">
        <v>220</v>
      </c>
      <c r="D1934" s="318"/>
      <c r="E1934" s="116">
        <f>I1928*0.01</f>
        <v>0.41710000000000003</v>
      </c>
      <c r="F1934" s="83">
        <f>ROUND(E1934/I1928,2)</f>
        <v>0.01</v>
      </c>
      <c r="G1934" s="74" t="str">
        <f>IF(C1934=0,0,VLOOKUP(C1934,Tabla1[],2,FALSE))</f>
        <v>Cubeta</v>
      </c>
      <c r="I1934" s="117">
        <f>IF(C1934=0,0,VLOOKUP(C1934,Tabla1[],3,FALSE))</f>
        <v>1500</v>
      </c>
      <c r="K1934" s="84">
        <f t="shared" si="297"/>
        <v>15</v>
      </c>
      <c r="L1934" s="118">
        <f t="shared" si="296"/>
        <v>625.65000000000009</v>
      </c>
      <c r="O1934" s="48"/>
      <c r="P1934" s="49"/>
    </row>
    <row r="1935" spans="1:16" x14ac:dyDescent="0.4">
      <c r="B1935" s="122">
        <v>4</v>
      </c>
      <c r="C1935" s="317" t="s">
        <v>221</v>
      </c>
      <c r="D1935" s="318"/>
      <c r="E1935" s="116">
        <f>I1928*0.04</f>
        <v>1.6684000000000001</v>
      </c>
      <c r="F1935" s="83">
        <f>ROUND(E1935/I1928,2)</f>
        <v>0.04</v>
      </c>
      <c r="G1935" s="74" t="str">
        <f>IF(C1935=0,0,VLOOKUP(C1935,Tabla1[],2,FALSE))</f>
        <v>Unidad</v>
      </c>
      <c r="I1935" s="117">
        <f>IF(C1935=0,0,VLOOKUP(C1935,Tabla1[],3,FALSE))</f>
        <v>50</v>
      </c>
      <c r="K1935" s="84">
        <f t="shared" si="297"/>
        <v>2</v>
      </c>
      <c r="L1935" s="118">
        <f t="shared" si="296"/>
        <v>83.42</v>
      </c>
      <c r="O1935" s="48"/>
      <c r="P1935" s="49"/>
    </row>
    <row r="1936" spans="1:16" x14ac:dyDescent="0.4">
      <c r="B1936" s="122">
        <v>5</v>
      </c>
      <c r="C1936" s="317" t="s">
        <v>184</v>
      </c>
      <c r="D1936" s="318"/>
      <c r="E1936" s="116">
        <f>I1928*0.12</f>
        <v>5.0052000000000003</v>
      </c>
      <c r="F1936" s="83">
        <f>ROUND(E1936/I1928,2)</f>
        <v>0.12</v>
      </c>
      <c r="G1936" s="74" t="str">
        <f>IF(C1936=0,0,VLOOKUP(C1936,Tabla1[],2,FALSE))</f>
        <v>Libra</v>
      </c>
      <c r="I1936" s="117">
        <f>IF(C1936=0,0,VLOOKUP(C1936,Tabla1[],3,FALSE))</f>
        <v>25</v>
      </c>
      <c r="K1936" s="84">
        <f t="shared" si="297"/>
        <v>3</v>
      </c>
      <c r="L1936" s="118">
        <f t="shared" si="296"/>
        <v>125.13000000000001</v>
      </c>
      <c r="O1936" s="48"/>
      <c r="P1936" s="49"/>
    </row>
    <row r="1937" spans="2:16" x14ac:dyDescent="0.4">
      <c r="B1937" s="122">
        <v>6</v>
      </c>
      <c r="C1937" s="318" t="s">
        <v>80</v>
      </c>
      <c r="D1937" s="306"/>
      <c r="E1937" s="116">
        <f>I1928*0.04</f>
        <v>1.6684000000000001</v>
      </c>
      <c r="F1937" s="83">
        <f>ROUND(E1937/I1928,2)</f>
        <v>0.04</v>
      </c>
      <c r="G1937" s="74" t="str">
        <f>IF(C1937=0,0,VLOOKUP(C1937,Tabla1[],2,FALSE))</f>
        <v>Unidad</v>
      </c>
      <c r="I1937" s="117">
        <f>IF(C1937=0,0,VLOOKUP(C1937,Tabla1[],3,FALSE))</f>
        <v>100</v>
      </c>
      <c r="K1937" s="84">
        <f t="shared" si="297"/>
        <v>4</v>
      </c>
      <c r="L1937" s="118">
        <f t="shared" si="296"/>
        <v>166.84</v>
      </c>
      <c r="O1937" s="48"/>
      <c r="P1937" s="49"/>
    </row>
    <row r="1938" spans="2:16" x14ac:dyDescent="0.4">
      <c r="B1938" s="122">
        <v>7</v>
      </c>
      <c r="C1938" s="318" t="s">
        <v>223</v>
      </c>
      <c r="D1938" s="306"/>
      <c r="E1938" s="116">
        <f>I1928*0.04</f>
        <v>1.6684000000000001</v>
      </c>
      <c r="F1938" s="83">
        <f>ROUND(E1938/I1928,2)</f>
        <v>0.04</v>
      </c>
      <c r="G1938" s="74" t="str">
        <f>IF(C1938=0,0,VLOOKUP(C1938,Tabla1[],2,FALSE))</f>
        <v>Unidad</v>
      </c>
      <c r="I1938" s="117">
        <f>IF(C1938=0,0,VLOOKUP(C1938,Tabla1[],3,FALSE))</f>
        <v>50</v>
      </c>
      <c r="K1938" s="84">
        <f t="shared" si="297"/>
        <v>2</v>
      </c>
      <c r="L1938" s="118">
        <f t="shared" si="296"/>
        <v>83.42</v>
      </c>
      <c r="O1938" s="48"/>
      <c r="P1938" s="49"/>
    </row>
    <row r="1939" spans="2:16" x14ac:dyDescent="0.4">
      <c r="B1939" s="122"/>
      <c r="C1939" s="317"/>
      <c r="D1939" s="318"/>
      <c r="E1939" s="116"/>
      <c r="F1939" s="83"/>
      <c r="G1939" s="74"/>
      <c r="I1939" s="117">
        <f>IF(C1939=0,0,VLOOKUP(C1939,Tabla1[],3,FALSE))</f>
        <v>0</v>
      </c>
      <c r="K1939" s="84">
        <f t="shared" si="297"/>
        <v>0</v>
      </c>
      <c r="L1939" s="118">
        <f t="shared" si="296"/>
        <v>0</v>
      </c>
      <c r="O1939" s="48"/>
      <c r="P1939" s="49"/>
    </row>
    <row r="1940" spans="2:16" x14ac:dyDescent="0.4">
      <c r="B1940" s="122"/>
      <c r="C1940" s="317"/>
      <c r="D1940" s="318"/>
      <c r="E1940" s="116"/>
      <c r="F1940" s="83"/>
      <c r="G1940" s="74"/>
      <c r="I1940" s="117">
        <f>IF(C1940=0,0,VLOOKUP(C1940,Tabla1[],3,FALSE))</f>
        <v>0</v>
      </c>
      <c r="K1940" s="84">
        <f t="shared" si="297"/>
        <v>0</v>
      </c>
      <c r="L1940" s="118">
        <f t="shared" si="296"/>
        <v>0</v>
      </c>
      <c r="O1940" s="48"/>
      <c r="P1940" s="49"/>
    </row>
    <row r="1941" spans="2:16" x14ac:dyDescent="0.4">
      <c r="B1941" s="122"/>
      <c r="C1941" s="319"/>
      <c r="D1941" s="318"/>
      <c r="E1941" s="116"/>
      <c r="F1941" s="83"/>
      <c r="G1941" s="74"/>
      <c r="I1941" s="117">
        <f>IF(C1941=0,0,VLOOKUP(C1941,Tabla1[],3,FALSE))</f>
        <v>0</v>
      </c>
      <c r="K1941" s="84">
        <f t="shared" si="297"/>
        <v>0</v>
      </c>
      <c r="L1941" s="118">
        <f t="shared" si="296"/>
        <v>0</v>
      </c>
      <c r="O1941" s="48"/>
      <c r="P1941" s="43"/>
    </row>
    <row r="1942" spans="2:16" ht="17.399999999999999" thickBot="1" x14ac:dyDescent="0.45"/>
    <row r="1943" spans="2:16" ht="17.399999999999999" thickBot="1" x14ac:dyDescent="0.35">
      <c r="F1943" s="292" t="s">
        <v>9</v>
      </c>
      <c r="G1943" s="293"/>
      <c r="H1943" s="293"/>
      <c r="I1943" s="294"/>
      <c r="K1943" s="229">
        <f>+SUM(K1932:K1941)</f>
        <v>30</v>
      </c>
      <c r="L1943" s="119">
        <f>+SUM(L1932:L1941)</f>
        <v>1251.3000000000002</v>
      </c>
      <c r="O1943" s="38"/>
      <c r="P1943" s="38"/>
    </row>
    <row r="1944" spans="2:16" ht="17.399999999999999" thickBot="1" x14ac:dyDescent="0.45">
      <c r="O1944" s="42"/>
      <c r="P1944" s="43"/>
    </row>
    <row r="1945" spans="2:16" ht="17.399999999999999" thickBot="1" x14ac:dyDescent="0.45">
      <c r="B1945" s="110" t="s">
        <v>10</v>
      </c>
      <c r="C1945" s="300" t="s">
        <v>11</v>
      </c>
      <c r="D1945" s="300"/>
      <c r="E1945" s="300"/>
      <c r="F1945" s="300"/>
      <c r="G1945" s="301"/>
    </row>
    <row r="1946" spans="2:16" x14ac:dyDescent="0.4">
      <c r="B1946" s="114" t="s">
        <v>6</v>
      </c>
      <c r="C1946" s="302" t="s">
        <v>1</v>
      </c>
      <c r="D1946" s="303"/>
      <c r="E1946" s="112" t="s">
        <v>193</v>
      </c>
      <c r="F1946" s="120" t="s">
        <v>2</v>
      </c>
      <c r="G1946" s="114" t="s">
        <v>3</v>
      </c>
      <c r="H1946" s="106"/>
      <c r="I1946" s="107" t="s">
        <v>7</v>
      </c>
      <c r="J1946" s="136"/>
      <c r="K1946" s="107" t="s">
        <v>8</v>
      </c>
      <c r="L1946" s="115" t="s">
        <v>194</v>
      </c>
    </row>
    <row r="1947" spans="2:16" x14ac:dyDescent="0.4">
      <c r="B1947" s="122"/>
      <c r="C1947" s="306"/>
      <c r="D1947" s="306"/>
      <c r="E1947" s="116"/>
      <c r="F1947" s="83"/>
      <c r="G1947" s="74"/>
      <c r="I1947" s="117">
        <f>IF(C1947=0,0,VLOOKUP(C1947,Tabla3[],3,FALSE))</f>
        <v>0</v>
      </c>
      <c r="K1947" s="84">
        <f>F1947*I1947</f>
        <v>0</v>
      </c>
      <c r="L1947" s="118">
        <f>E1947*I1947</f>
        <v>0</v>
      </c>
    </row>
    <row r="1948" spans="2:16" x14ac:dyDescent="0.4">
      <c r="B1948" s="74"/>
      <c r="C1948" s="309"/>
      <c r="D1948" s="310"/>
      <c r="E1948" s="121"/>
      <c r="F1948" s="72"/>
      <c r="G1948" s="74"/>
      <c r="I1948" s="117">
        <f>IF(C1948=0,0,VLOOKUP(C1948,Tabla3[],3,FALSE))</f>
        <v>0</v>
      </c>
      <c r="K1948" s="84">
        <f t="shared" ref="K1948:K1950" si="298">+F1948*I1948</f>
        <v>0</v>
      </c>
      <c r="L1948" s="118">
        <f t="shared" ref="L1948:L1950" si="299">E1948*I1948</f>
        <v>0</v>
      </c>
    </row>
    <row r="1949" spans="2:16" x14ac:dyDescent="0.4">
      <c r="B1949" s="74"/>
      <c r="C1949" s="309"/>
      <c r="D1949" s="310"/>
      <c r="E1949" s="121"/>
      <c r="F1949" s="72"/>
      <c r="G1949" s="74"/>
      <c r="I1949" s="117">
        <f>IF(C1949=0,0,VLOOKUP(C1949,Tabla3[],3,FALSE))</f>
        <v>0</v>
      </c>
      <c r="K1949" s="84">
        <f t="shared" si="298"/>
        <v>0</v>
      </c>
      <c r="L1949" s="118">
        <f t="shared" si="299"/>
        <v>0</v>
      </c>
    </row>
    <row r="1950" spans="2:16" x14ac:dyDescent="0.4">
      <c r="B1950" s="74"/>
      <c r="C1950" s="304"/>
      <c r="D1950" s="305"/>
      <c r="E1950" s="121"/>
      <c r="F1950" s="72"/>
      <c r="G1950" s="74"/>
      <c r="I1950" s="117">
        <f>IF(C1950=0,0,VLOOKUP(C1950,Tabla3[],3,FALSE))</f>
        <v>0</v>
      </c>
      <c r="K1950" s="84">
        <f t="shared" si="298"/>
        <v>0</v>
      </c>
      <c r="L1950" s="118">
        <f t="shared" si="299"/>
        <v>0</v>
      </c>
    </row>
    <row r="1951" spans="2:16" ht="17.399999999999999" thickBot="1" x14ac:dyDescent="0.45"/>
    <row r="1952" spans="2:16" ht="17.399999999999999" thickBot="1" x14ac:dyDescent="0.45">
      <c r="F1952" s="292" t="s">
        <v>12</v>
      </c>
      <c r="G1952" s="293"/>
      <c r="H1952" s="293"/>
      <c r="I1952" s="294"/>
      <c r="K1952" s="229">
        <f>+SUM(K1947:K1950)</f>
        <v>0</v>
      </c>
      <c r="L1952" s="119">
        <f>+SUM(L1947:L1950)</f>
        <v>0</v>
      </c>
    </row>
    <row r="1953" spans="2:12" ht="17.399999999999999" thickBot="1" x14ac:dyDescent="0.45"/>
    <row r="1954" spans="2:12" ht="17.399999999999999" thickBot="1" x14ac:dyDescent="0.45">
      <c r="B1954" s="110" t="s">
        <v>13</v>
      </c>
      <c r="C1954" s="300" t="s">
        <v>14</v>
      </c>
      <c r="D1954" s="300"/>
      <c r="E1954" s="300"/>
      <c r="F1954" s="300"/>
      <c r="G1954" s="301"/>
    </row>
    <row r="1955" spans="2:12" x14ac:dyDescent="0.4">
      <c r="B1955" s="114" t="s">
        <v>6</v>
      </c>
      <c r="C1955" s="302" t="s">
        <v>1</v>
      </c>
      <c r="D1955" s="303"/>
      <c r="E1955" s="112" t="s">
        <v>193</v>
      </c>
      <c r="F1955" s="120" t="s">
        <v>2</v>
      </c>
      <c r="G1955" s="114" t="s">
        <v>3</v>
      </c>
      <c r="H1955" s="106"/>
      <c r="I1955" s="107" t="s">
        <v>7</v>
      </c>
      <c r="J1955" s="136"/>
      <c r="K1955" s="107" t="s">
        <v>8</v>
      </c>
      <c r="L1955" s="115" t="s">
        <v>194</v>
      </c>
    </row>
    <row r="1956" spans="2:12" x14ac:dyDescent="0.4">
      <c r="B1956" s="122">
        <v>1</v>
      </c>
      <c r="C1956" s="306" t="s">
        <v>187</v>
      </c>
      <c r="D1956" s="306"/>
      <c r="E1956" s="116">
        <f>I1928</f>
        <v>41.71</v>
      </c>
      <c r="F1956" s="83">
        <f>ROUND(E1956/I1928,2)</f>
        <v>1</v>
      </c>
      <c r="G1956" s="74" t="str">
        <f>IF(C1956=0,0,VLOOKUP(C1956,Tabla2[],2,FALSE))</f>
        <v>m²</v>
      </c>
      <c r="I1956" s="117">
        <f>IF(C1956=0,0,VLOOKUP(C1956,Tabla2[],3,FALSE))</f>
        <v>10</v>
      </c>
      <c r="K1956" s="84">
        <f>+F1956*I1956</f>
        <v>10</v>
      </c>
      <c r="L1956" s="118">
        <f>E1956*I1956</f>
        <v>417.1</v>
      </c>
    </row>
    <row r="1957" spans="2:12" x14ac:dyDescent="0.4">
      <c r="B1957" s="122"/>
      <c r="C1957" s="306"/>
      <c r="D1957" s="306"/>
      <c r="E1957" s="116"/>
      <c r="F1957" s="83"/>
      <c r="G1957" s="74"/>
      <c r="I1957" s="117">
        <f>IF(C1957=0,0,VLOOKUP(C1957,Tabla2[],3,FALSE))</f>
        <v>0</v>
      </c>
      <c r="K1957" s="84">
        <f>+F1957*I1957</f>
        <v>0</v>
      </c>
      <c r="L1957" s="118">
        <f>E1957*I1957</f>
        <v>0</v>
      </c>
    </row>
    <row r="1958" spans="2:12" ht="17.399999999999999" thickBot="1" x14ac:dyDescent="0.45">
      <c r="B1958" s="123"/>
      <c r="C1958" s="307"/>
      <c r="D1958" s="308"/>
      <c r="E1958" s="124"/>
      <c r="F1958" s="125"/>
      <c r="G1958" s="74"/>
      <c r="I1958" s="117">
        <f>IF(C1958=0,0,VLOOKUP(C1958,Tabla2[],3,FALSE))</f>
        <v>0</v>
      </c>
      <c r="K1958" s="84">
        <f t="shared" ref="K1958" si="300">+F1958*I1958</f>
        <v>0</v>
      </c>
      <c r="L1958" s="118">
        <f t="shared" ref="L1958:L1959" si="301">E1958*I1958</f>
        <v>0</v>
      </c>
    </row>
    <row r="1959" spans="2:12" ht="17.399999999999999" thickBot="1" x14ac:dyDescent="0.45">
      <c r="B1959" s="297" t="s">
        <v>15</v>
      </c>
      <c r="C1959" s="298"/>
      <c r="D1959" s="298"/>
      <c r="E1959" s="298"/>
      <c r="F1959" s="298"/>
      <c r="G1959" s="299"/>
      <c r="I1959" s="84">
        <v>0</v>
      </c>
      <c r="K1959" s="84">
        <v>0</v>
      </c>
      <c r="L1959" s="118">
        <f t="shared" si="301"/>
        <v>0</v>
      </c>
    </row>
    <row r="1960" spans="2:12" ht="17.399999999999999" thickBot="1" x14ac:dyDescent="0.45"/>
    <row r="1961" spans="2:12" ht="17.399999999999999" thickBot="1" x14ac:dyDescent="0.45">
      <c r="F1961" s="292" t="s">
        <v>16</v>
      </c>
      <c r="G1961" s="293"/>
      <c r="H1961" s="293"/>
      <c r="I1961" s="294"/>
      <c r="K1961" s="229">
        <f>+SUM(K1956:K1959)</f>
        <v>10</v>
      </c>
      <c r="L1961" s="119">
        <f>+SUM(L1956:L1959)</f>
        <v>417.1</v>
      </c>
    </row>
    <row r="1962" spans="2:12" ht="17.399999999999999" thickBot="1" x14ac:dyDescent="0.45"/>
    <row r="1963" spans="2:12" ht="17.399999999999999" thickBot="1" x14ac:dyDescent="0.45">
      <c r="B1963" s="110" t="s">
        <v>17</v>
      </c>
      <c r="C1963" s="300" t="s">
        <v>18</v>
      </c>
      <c r="D1963" s="300"/>
      <c r="E1963" s="300"/>
      <c r="F1963" s="300"/>
      <c r="G1963" s="301"/>
    </row>
    <row r="1964" spans="2:12" x14ac:dyDescent="0.4">
      <c r="B1964" s="114" t="s">
        <v>6</v>
      </c>
      <c r="C1964" s="302" t="s">
        <v>1</v>
      </c>
      <c r="D1964" s="303"/>
      <c r="E1964" s="126"/>
      <c r="F1964" s="120" t="s">
        <v>2</v>
      </c>
      <c r="G1964" s="114" t="s">
        <v>3</v>
      </c>
      <c r="H1964" s="106"/>
      <c r="I1964" s="107" t="s">
        <v>7</v>
      </c>
      <c r="J1964" s="136"/>
      <c r="K1964" s="107" t="s">
        <v>8</v>
      </c>
      <c r="L1964" s="115" t="s">
        <v>194</v>
      </c>
    </row>
    <row r="1965" spans="2:12" x14ac:dyDescent="0.4">
      <c r="B1965" s="74"/>
      <c r="C1965" s="304"/>
      <c r="D1965" s="305"/>
      <c r="E1965" s="127"/>
      <c r="F1965" s="72"/>
      <c r="G1965" s="74"/>
      <c r="I1965" s="84">
        <v>0</v>
      </c>
      <c r="K1965" s="84">
        <f>+F1965*I1965</f>
        <v>0</v>
      </c>
      <c r="L1965" s="118">
        <f>E1965*I1965</f>
        <v>0</v>
      </c>
    </row>
    <row r="1966" spans="2:12" x14ac:dyDescent="0.4">
      <c r="B1966" s="74"/>
      <c r="C1966" s="304"/>
      <c r="D1966" s="305"/>
      <c r="E1966" s="127"/>
      <c r="F1966" s="72"/>
      <c r="G1966" s="74"/>
      <c r="I1966" s="84">
        <v>0</v>
      </c>
      <c r="K1966" s="84">
        <f t="shared" ref="K1966:K1967" si="302">+F1966*I1966</f>
        <v>0</v>
      </c>
      <c r="L1966" s="118">
        <f t="shared" ref="L1966:L1967" si="303">E1966*I1966</f>
        <v>0</v>
      </c>
    </row>
    <row r="1967" spans="2:12" x14ac:dyDescent="0.4">
      <c r="B1967" s="74"/>
      <c r="C1967" s="304"/>
      <c r="D1967" s="305"/>
      <c r="E1967" s="127"/>
      <c r="F1967" s="72"/>
      <c r="G1967" s="74"/>
      <c r="I1967" s="84">
        <v>0</v>
      </c>
      <c r="K1967" s="84">
        <f t="shared" si="302"/>
        <v>0</v>
      </c>
      <c r="L1967" s="118">
        <f t="shared" si="303"/>
        <v>0</v>
      </c>
    </row>
    <row r="1968" spans="2:12" ht="17.399999999999999" thickBot="1" x14ac:dyDescent="0.45">
      <c r="L1968" s="118"/>
    </row>
    <row r="1969" spans="1:16" ht="17.399999999999999" thickBot="1" x14ac:dyDescent="0.45">
      <c r="F1969" s="292" t="s">
        <v>19</v>
      </c>
      <c r="G1969" s="293"/>
      <c r="H1969" s="293"/>
      <c r="I1969" s="294"/>
      <c r="K1969" s="229">
        <f>+SUM(K1965:K1967)</f>
        <v>0</v>
      </c>
      <c r="L1969" s="119">
        <f>+SUM(L1964:L1967)</f>
        <v>0</v>
      </c>
    </row>
    <row r="1970" spans="1:16" ht="15" customHeight="1" x14ac:dyDescent="0.4">
      <c r="F1970" s="128"/>
      <c r="G1970" s="129"/>
      <c r="H1970" s="130"/>
      <c r="I1970" s="108"/>
      <c r="K1970" s="230"/>
    </row>
    <row r="1971" spans="1:16" ht="15" customHeight="1" thickBot="1" x14ac:dyDescent="0.45"/>
    <row r="1972" spans="1:16" ht="17.399999999999999" thickBot="1" x14ac:dyDescent="0.45">
      <c r="F1972" s="292" t="s">
        <v>20</v>
      </c>
      <c r="G1972" s="293"/>
      <c r="H1972" s="293"/>
      <c r="I1972" s="294"/>
      <c r="K1972" s="229">
        <f>(+K1943+K1952+K1961+K1969)</f>
        <v>40</v>
      </c>
      <c r="L1972" s="119">
        <f>(+L1943+L1952+L1961+L1969)</f>
        <v>1668.4</v>
      </c>
      <c r="N1972" s="131"/>
      <c r="O1972" s="39"/>
      <c r="P1972" s="40"/>
    </row>
    <row r="1973" spans="1:16" ht="7.5" customHeight="1" thickBot="1" x14ac:dyDescent="0.45">
      <c r="N1973" s="131"/>
      <c r="O1973" s="41"/>
      <c r="P1973" s="40"/>
    </row>
    <row r="1974" spans="1:16" ht="17.399999999999999" thickBot="1" x14ac:dyDescent="0.45">
      <c r="F1974" s="292" t="s">
        <v>21</v>
      </c>
      <c r="G1974" s="293"/>
      <c r="H1974" s="293"/>
      <c r="I1974" s="294"/>
      <c r="K1974" s="229">
        <f>K1972*$N$2</f>
        <v>16</v>
      </c>
      <c r="L1974" s="119">
        <f>L1972*$N$2</f>
        <v>667.36000000000013</v>
      </c>
    </row>
    <row r="1975" spans="1:16" ht="7.5" customHeight="1" thickBot="1" x14ac:dyDescent="0.45"/>
    <row r="1976" spans="1:16" ht="17.399999999999999" thickBot="1" x14ac:dyDescent="0.45">
      <c r="F1976" s="292" t="s">
        <v>22</v>
      </c>
      <c r="G1976" s="293"/>
      <c r="H1976" s="293"/>
      <c r="I1976" s="294"/>
      <c r="K1976" s="229">
        <f>+K1972+K1974</f>
        <v>56</v>
      </c>
      <c r="L1976" s="119">
        <f>+L1972+L1974</f>
        <v>2335.7600000000002</v>
      </c>
    </row>
    <row r="1977" spans="1:16" ht="17.399999999999999" thickBot="1" x14ac:dyDescent="0.45">
      <c r="F1977" s="128"/>
      <c r="G1977" s="129"/>
      <c r="H1977" s="130"/>
      <c r="I1977" s="108"/>
      <c r="K1977" s="231"/>
      <c r="L1977" s="132">
        <f>L1976/I1928</f>
        <v>56.000000000000007</v>
      </c>
      <c r="M1977" s="133">
        <f>(K1976-L1977)*I1928</f>
        <v>-2.9636737508553779E-13</v>
      </c>
    </row>
    <row r="1978" spans="1:16" x14ac:dyDescent="0.4">
      <c r="F1978" s="128"/>
      <c r="G1978" s="129"/>
      <c r="H1978" s="130"/>
      <c r="I1978" s="108"/>
      <c r="K1978" s="232"/>
      <c r="L1978" s="131"/>
      <c r="M1978" s="134"/>
      <c r="N1978" s="135"/>
    </row>
    <row r="1979" spans="1:16" ht="17.399999999999999" thickBot="1" x14ac:dyDescent="0.45">
      <c r="B1979" s="295"/>
      <c r="C1979" s="295"/>
      <c r="D1979" s="295"/>
    </row>
    <row r="1980" spans="1:16" x14ac:dyDescent="0.4">
      <c r="B1980" s="296" t="s">
        <v>23</v>
      </c>
      <c r="C1980" s="296"/>
      <c r="D1980" s="296"/>
    </row>
    <row r="1981" spans="1:16" x14ac:dyDescent="0.4">
      <c r="B1981" s="157"/>
      <c r="C1981" s="157"/>
      <c r="D1981" s="157"/>
    </row>
    <row r="1982" spans="1:16" x14ac:dyDescent="0.4">
      <c r="B1982" s="157"/>
      <c r="C1982" s="157"/>
      <c r="D1982" s="157"/>
    </row>
    <row r="1983" spans="1:16" x14ac:dyDescent="0.4">
      <c r="B1983" s="105" t="s">
        <v>43</v>
      </c>
      <c r="C1983" s="106"/>
      <c r="D1983" s="311" t="s">
        <v>1</v>
      </c>
      <c r="E1983" s="311"/>
      <c r="F1983" s="311"/>
      <c r="G1983" s="311"/>
      <c r="H1983" s="106"/>
      <c r="I1983" s="107" t="s">
        <v>2</v>
      </c>
      <c r="J1983" s="136"/>
      <c r="K1983" s="107" t="s">
        <v>3</v>
      </c>
    </row>
    <row r="1984" spans="1:16" s="4" customFormat="1" ht="30.75" customHeight="1" x14ac:dyDescent="0.3">
      <c r="A1984" s="31"/>
      <c r="B1984" s="213">
        <f>CATALOGO!B54</f>
        <v>702.01</v>
      </c>
      <c r="C1984" s="71"/>
      <c r="D1984" s="324" t="str">
        <f>CATALOGO!C54</f>
        <v>PUERTA DE METAL CON PIVOTE + SOBRELUZ + CHAPA</v>
      </c>
      <c r="E1984" s="324"/>
      <c r="F1984" s="324"/>
      <c r="G1984" s="324"/>
      <c r="H1984" s="71"/>
      <c r="I1984" s="213">
        <f>CATALOGO!D54</f>
        <v>3</v>
      </c>
      <c r="J1984" s="109"/>
      <c r="K1984" s="227" t="str">
        <f>CATALOGO!E54</f>
        <v>Unidad</v>
      </c>
      <c r="L1984" s="71"/>
      <c r="M1984" s="71"/>
      <c r="N1984" s="104"/>
      <c r="O1984" s="37"/>
      <c r="P1984" s="37"/>
    </row>
    <row r="1985" spans="2:16" ht="17.399999999999999" thickBot="1" x14ac:dyDescent="0.45"/>
    <row r="1986" spans="2:16" ht="17.399999999999999" thickBot="1" x14ac:dyDescent="0.45">
      <c r="B1986" s="110" t="s">
        <v>4</v>
      </c>
      <c r="C1986" s="300" t="s">
        <v>5</v>
      </c>
      <c r="D1986" s="300"/>
      <c r="E1986" s="300"/>
      <c r="F1986" s="300"/>
      <c r="G1986" s="301"/>
    </row>
    <row r="1987" spans="2:16" x14ac:dyDescent="0.3">
      <c r="B1987" s="111" t="s">
        <v>6</v>
      </c>
      <c r="C1987" s="313" t="s">
        <v>1</v>
      </c>
      <c r="D1987" s="314"/>
      <c r="E1987" s="112" t="s">
        <v>193</v>
      </c>
      <c r="F1987" s="113" t="s">
        <v>2</v>
      </c>
      <c r="G1987" s="114" t="s">
        <v>3</v>
      </c>
      <c r="H1987" s="106"/>
      <c r="I1987" s="107" t="s">
        <v>7</v>
      </c>
      <c r="J1987" s="136"/>
      <c r="K1987" s="228" t="s">
        <v>8</v>
      </c>
      <c r="L1987" s="115" t="s">
        <v>194</v>
      </c>
      <c r="O1987" s="323"/>
      <c r="P1987" s="323"/>
    </row>
    <row r="1988" spans="2:16" ht="17.25" customHeight="1" x14ac:dyDescent="0.3">
      <c r="B1988" s="122"/>
      <c r="C1988" s="317"/>
      <c r="D1988" s="318"/>
      <c r="E1988" s="116"/>
      <c r="F1988" s="83"/>
      <c r="G1988" s="74"/>
      <c r="I1988" s="117">
        <f>IF(C1988=0,0,VLOOKUP(C1988,Tabla1[],3,FALSE))</f>
        <v>0</v>
      </c>
      <c r="K1988" s="84">
        <f>F1988*I1988</f>
        <v>0</v>
      </c>
      <c r="L1988" s="118">
        <f t="shared" ref="L1988:L1994" si="304">E1988*I1988</f>
        <v>0</v>
      </c>
      <c r="O1988" s="44"/>
      <c r="P1988" s="45"/>
    </row>
    <row r="1989" spans="2:16" x14ac:dyDescent="0.4">
      <c r="B1989" s="122"/>
      <c r="C1989" s="317"/>
      <c r="D1989" s="318"/>
      <c r="E1989" s="116"/>
      <c r="F1989" s="83"/>
      <c r="G1989" s="74"/>
      <c r="I1989" s="117">
        <f>IF(C1989=0,0,VLOOKUP(C1989,Tabla1[],3,FALSE))</f>
        <v>0</v>
      </c>
      <c r="K1989" s="84">
        <f t="shared" ref="K1989:K1994" si="305">+F1989*I1989</f>
        <v>0</v>
      </c>
      <c r="L1989" s="118">
        <f t="shared" si="304"/>
        <v>0</v>
      </c>
      <c r="P1989" s="45"/>
    </row>
    <row r="1990" spans="2:16" x14ac:dyDescent="0.4">
      <c r="B1990" s="122"/>
      <c r="C1990" s="317"/>
      <c r="D1990" s="318"/>
      <c r="E1990" s="116"/>
      <c r="F1990" s="83"/>
      <c r="G1990" s="74"/>
      <c r="I1990" s="117">
        <f>IF(C1990=0,0,VLOOKUP(C1990,Tabla1[],3,FALSE))</f>
        <v>0</v>
      </c>
      <c r="K1990" s="84">
        <f t="shared" si="305"/>
        <v>0</v>
      </c>
      <c r="L1990" s="118">
        <f t="shared" si="304"/>
        <v>0</v>
      </c>
      <c r="O1990" s="48"/>
      <c r="P1990" s="49"/>
    </row>
    <row r="1991" spans="2:16" x14ac:dyDescent="0.4">
      <c r="B1991" s="122"/>
      <c r="C1991" s="317"/>
      <c r="D1991" s="318"/>
      <c r="E1991" s="116"/>
      <c r="F1991" s="83"/>
      <c r="G1991" s="74"/>
      <c r="I1991" s="117">
        <f>IF(C1991=0,0,VLOOKUP(C1991,Tabla1[],3,FALSE))</f>
        <v>0</v>
      </c>
      <c r="K1991" s="84">
        <f t="shared" si="305"/>
        <v>0</v>
      </c>
      <c r="L1991" s="118">
        <f t="shared" si="304"/>
        <v>0</v>
      </c>
      <c r="O1991" s="48"/>
      <c r="P1991" s="49"/>
    </row>
    <row r="1992" spans="2:16" x14ac:dyDescent="0.4">
      <c r="B1992" s="122"/>
      <c r="C1992" s="317"/>
      <c r="D1992" s="318"/>
      <c r="E1992" s="116"/>
      <c r="F1992" s="83"/>
      <c r="G1992" s="74"/>
      <c r="I1992" s="117">
        <f>IF(C1992=0,0,VLOOKUP(C1992,Tabla1[],3,FALSE))</f>
        <v>0</v>
      </c>
      <c r="K1992" s="84">
        <f t="shared" si="305"/>
        <v>0</v>
      </c>
      <c r="L1992" s="118">
        <f t="shared" si="304"/>
        <v>0</v>
      </c>
      <c r="O1992" s="48"/>
      <c r="P1992" s="49"/>
    </row>
    <row r="1993" spans="2:16" x14ac:dyDescent="0.4">
      <c r="B1993" s="122"/>
      <c r="C1993" s="309"/>
      <c r="D1993" s="310"/>
      <c r="E1993" s="116"/>
      <c r="F1993" s="83"/>
      <c r="G1993" s="74"/>
      <c r="I1993" s="117">
        <f>IF(C1993=0,0,VLOOKUP(C1993,Tabla1[],3,FALSE))</f>
        <v>0</v>
      </c>
      <c r="K1993" s="84">
        <f t="shared" si="305"/>
        <v>0</v>
      </c>
      <c r="L1993" s="118">
        <f t="shared" si="304"/>
        <v>0</v>
      </c>
      <c r="O1993" s="48"/>
      <c r="P1993" s="49"/>
    </row>
    <row r="1994" spans="2:16" x14ac:dyDescent="0.4">
      <c r="B1994" s="122"/>
      <c r="C1994" s="319"/>
      <c r="D1994" s="318"/>
      <c r="E1994" s="116"/>
      <c r="F1994" s="83"/>
      <c r="G1994" s="74"/>
      <c r="I1994" s="117">
        <f>IF(C1994=0,0,VLOOKUP(C1994,Tabla1[],3,FALSE))</f>
        <v>0</v>
      </c>
      <c r="K1994" s="84">
        <f t="shared" si="305"/>
        <v>0</v>
      </c>
      <c r="L1994" s="118">
        <f t="shared" si="304"/>
        <v>0</v>
      </c>
      <c r="O1994" s="48"/>
      <c r="P1994" s="49"/>
    </row>
    <row r="1995" spans="2:16" ht="17.399999999999999" thickBot="1" x14ac:dyDescent="0.45"/>
    <row r="1996" spans="2:16" ht="17.399999999999999" thickBot="1" x14ac:dyDescent="0.35">
      <c r="F1996" s="292" t="s">
        <v>9</v>
      </c>
      <c r="G1996" s="293"/>
      <c r="H1996" s="293"/>
      <c r="I1996" s="294"/>
      <c r="K1996" s="229">
        <f>+SUM(K1988:K1994)</f>
        <v>0</v>
      </c>
      <c r="L1996" s="119">
        <f>+SUM(L1988:L1994)</f>
        <v>0</v>
      </c>
      <c r="O1996" s="38"/>
      <c r="P1996" s="38"/>
    </row>
    <row r="1997" spans="2:16" ht="17.399999999999999" thickBot="1" x14ac:dyDescent="0.45">
      <c r="O1997" s="42"/>
      <c r="P1997" s="43"/>
    </row>
    <row r="1998" spans="2:16" ht="17.399999999999999" thickBot="1" x14ac:dyDescent="0.45">
      <c r="B1998" s="110" t="s">
        <v>10</v>
      </c>
      <c r="C1998" s="300" t="s">
        <v>11</v>
      </c>
      <c r="D1998" s="300"/>
      <c r="E1998" s="300"/>
      <c r="F1998" s="300"/>
      <c r="G1998" s="301"/>
    </row>
    <row r="1999" spans="2:16" x14ac:dyDescent="0.4">
      <c r="B1999" s="114" t="s">
        <v>6</v>
      </c>
      <c r="C1999" s="302" t="s">
        <v>1</v>
      </c>
      <c r="D1999" s="303"/>
      <c r="E1999" s="112" t="s">
        <v>193</v>
      </c>
      <c r="F1999" s="120" t="s">
        <v>2</v>
      </c>
      <c r="G1999" s="114" t="s">
        <v>3</v>
      </c>
      <c r="H1999" s="106"/>
      <c r="I1999" s="107" t="s">
        <v>7</v>
      </c>
      <c r="J1999" s="136"/>
      <c r="K1999" s="107" t="s">
        <v>8</v>
      </c>
      <c r="L1999" s="115" t="s">
        <v>194</v>
      </c>
    </row>
    <row r="2000" spans="2:16" x14ac:dyDescent="0.4">
      <c r="B2000" s="122"/>
      <c r="C2000" s="306"/>
      <c r="D2000" s="306"/>
      <c r="E2000" s="116"/>
      <c r="F2000" s="83"/>
      <c r="G2000" s="74"/>
      <c r="I2000" s="117">
        <f>IF(C2000=0,0,VLOOKUP(C2000,Tabla3[],3,FALSE))</f>
        <v>0</v>
      </c>
      <c r="K2000" s="84">
        <f>F2000*I2000</f>
        <v>0</v>
      </c>
      <c r="L2000" s="118">
        <f>E2000*I2000</f>
        <v>0</v>
      </c>
    </row>
    <row r="2001" spans="2:12" x14ac:dyDescent="0.4">
      <c r="B2001" s="74"/>
      <c r="C2001" s="309"/>
      <c r="D2001" s="310"/>
      <c r="E2001" s="121"/>
      <c r="F2001" s="72"/>
      <c r="G2001" s="74"/>
      <c r="I2001" s="117">
        <f>IF(C2001=0,0,VLOOKUP(C2001,Tabla3[],3,FALSE))</f>
        <v>0</v>
      </c>
      <c r="K2001" s="84">
        <f t="shared" ref="K2001:K2003" si="306">+F2001*I2001</f>
        <v>0</v>
      </c>
      <c r="L2001" s="118">
        <f t="shared" ref="L2001:L2003" si="307">E2001*I2001</f>
        <v>0</v>
      </c>
    </row>
    <row r="2002" spans="2:12" x14ac:dyDescent="0.4">
      <c r="B2002" s="74"/>
      <c r="C2002" s="309"/>
      <c r="D2002" s="310"/>
      <c r="E2002" s="121"/>
      <c r="F2002" s="72"/>
      <c r="G2002" s="74"/>
      <c r="I2002" s="117">
        <f>IF(C2002=0,0,VLOOKUP(C2002,Tabla3[],3,FALSE))</f>
        <v>0</v>
      </c>
      <c r="K2002" s="84">
        <f t="shared" si="306"/>
        <v>0</v>
      </c>
      <c r="L2002" s="118">
        <f t="shared" si="307"/>
        <v>0</v>
      </c>
    </row>
    <row r="2003" spans="2:12" x14ac:dyDescent="0.4">
      <c r="B2003" s="74"/>
      <c r="C2003" s="304"/>
      <c r="D2003" s="305"/>
      <c r="E2003" s="121"/>
      <c r="F2003" s="72"/>
      <c r="G2003" s="74"/>
      <c r="I2003" s="117">
        <f>IF(C2003=0,0,VLOOKUP(C2003,Tabla3[],3,FALSE))</f>
        <v>0</v>
      </c>
      <c r="K2003" s="84">
        <f t="shared" si="306"/>
        <v>0</v>
      </c>
      <c r="L2003" s="118">
        <f t="shared" si="307"/>
        <v>0</v>
      </c>
    </row>
    <row r="2004" spans="2:12" ht="17.399999999999999" thickBot="1" x14ac:dyDescent="0.45"/>
    <row r="2005" spans="2:12" ht="17.399999999999999" thickBot="1" x14ac:dyDescent="0.45">
      <c r="F2005" s="292" t="s">
        <v>12</v>
      </c>
      <c r="G2005" s="293"/>
      <c r="H2005" s="293"/>
      <c r="I2005" s="294"/>
      <c r="K2005" s="229">
        <f>+SUM(K2000:K2003)</f>
        <v>0</v>
      </c>
      <c r="L2005" s="119">
        <f>+SUM(L2000:L2003)</f>
        <v>0</v>
      </c>
    </row>
    <row r="2006" spans="2:12" ht="17.399999999999999" thickBot="1" x14ac:dyDescent="0.45"/>
    <row r="2007" spans="2:12" ht="17.399999999999999" thickBot="1" x14ac:dyDescent="0.45">
      <c r="B2007" s="110" t="s">
        <v>13</v>
      </c>
      <c r="C2007" s="300" t="s">
        <v>14</v>
      </c>
      <c r="D2007" s="300"/>
      <c r="E2007" s="300"/>
      <c r="F2007" s="300"/>
      <c r="G2007" s="301"/>
    </row>
    <row r="2008" spans="2:12" x14ac:dyDescent="0.4">
      <c r="B2008" s="114" t="s">
        <v>6</v>
      </c>
      <c r="C2008" s="302" t="s">
        <v>1</v>
      </c>
      <c r="D2008" s="303"/>
      <c r="E2008" s="112" t="s">
        <v>193</v>
      </c>
      <c r="F2008" s="120" t="s">
        <v>2</v>
      </c>
      <c r="G2008" s="114" t="s">
        <v>3</v>
      </c>
      <c r="H2008" s="106"/>
      <c r="I2008" s="107" t="s">
        <v>7</v>
      </c>
      <c r="J2008" s="136"/>
      <c r="K2008" s="107" t="s">
        <v>8</v>
      </c>
      <c r="L2008" s="115" t="s">
        <v>194</v>
      </c>
    </row>
    <row r="2009" spans="2:12" ht="31.5" customHeight="1" x14ac:dyDescent="0.4">
      <c r="B2009" s="122">
        <v>1</v>
      </c>
      <c r="C2009" s="325" t="s">
        <v>587</v>
      </c>
      <c r="D2009" s="325"/>
      <c r="E2009" s="116">
        <f>I1984</f>
        <v>3</v>
      </c>
      <c r="F2009" s="83">
        <f>ROUND(E2009/I1984,2)</f>
        <v>1</v>
      </c>
      <c r="G2009" s="74" t="str">
        <f>IF(C2009=0,0,VLOOKUP(C2009,Tabla2[],2,FALSE))</f>
        <v>Unidad</v>
      </c>
      <c r="I2009" s="117">
        <f>IF(C2009=0,0,VLOOKUP(C2009,Tabla2[],3,FALSE))</f>
        <v>1940</v>
      </c>
      <c r="K2009" s="84">
        <f>+F2009*I2009</f>
        <v>1940</v>
      </c>
      <c r="L2009" s="118">
        <f>E2009*I2009</f>
        <v>5820</v>
      </c>
    </row>
    <row r="2010" spans="2:12" x14ac:dyDescent="0.4">
      <c r="B2010" s="122"/>
      <c r="C2010" s="306"/>
      <c r="D2010" s="306"/>
      <c r="E2010" s="116"/>
      <c r="F2010" s="83"/>
      <c r="G2010" s="74"/>
      <c r="I2010" s="117">
        <f>IF(C2010=0,0,VLOOKUP(C2010,Tabla2[],3,FALSE))</f>
        <v>0</v>
      </c>
      <c r="K2010" s="84">
        <f>+F2010*I2010</f>
        <v>0</v>
      </c>
      <c r="L2010" s="118">
        <f>E2010*I2010</f>
        <v>0</v>
      </c>
    </row>
    <row r="2011" spans="2:12" ht="17.399999999999999" thickBot="1" x14ac:dyDescent="0.45">
      <c r="B2011" s="123"/>
      <c r="C2011" s="307"/>
      <c r="D2011" s="308"/>
      <c r="E2011" s="124"/>
      <c r="F2011" s="125"/>
      <c r="G2011" s="74"/>
      <c r="I2011" s="117">
        <f>IF(C2011=0,0,VLOOKUP(C2011,Tabla2[],3,FALSE))</f>
        <v>0</v>
      </c>
      <c r="K2011" s="84">
        <f t="shared" ref="K2011" si="308">+F2011*I2011</f>
        <v>0</v>
      </c>
      <c r="L2011" s="118">
        <f t="shared" ref="L2011:L2012" si="309">E2011*I2011</f>
        <v>0</v>
      </c>
    </row>
    <row r="2012" spans="2:12" ht="17.399999999999999" thickBot="1" x14ac:dyDescent="0.45">
      <c r="B2012" s="297" t="s">
        <v>15</v>
      </c>
      <c r="C2012" s="298"/>
      <c r="D2012" s="298"/>
      <c r="E2012" s="298"/>
      <c r="F2012" s="298"/>
      <c r="G2012" s="299"/>
      <c r="I2012" s="84">
        <v>0</v>
      </c>
      <c r="K2012" s="84">
        <v>0</v>
      </c>
      <c r="L2012" s="118">
        <f t="shared" si="309"/>
        <v>0</v>
      </c>
    </row>
    <row r="2013" spans="2:12" ht="17.399999999999999" thickBot="1" x14ac:dyDescent="0.45"/>
    <row r="2014" spans="2:12" ht="17.399999999999999" thickBot="1" x14ac:dyDescent="0.45">
      <c r="F2014" s="292" t="s">
        <v>16</v>
      </c>
      <c r="G2014" s="293"/>
      <c r="H2014" s="293"/>
      <c r="I2014" s="294"/>
      <c r="K2014" s="229">
        <f>+SUM(K2009:K2012)</f>
        <v>1940</v>
      </c>
      <c r="L2014" s="119">
        <f>+SUM(L2009:L2012)</f>
        <v>5820</v>
      </c>
    </row>
    <row r="2015" spans="2:12" ht="17.399999999999999" thickBot="1" x14ac:dyDescent="0.45"/>
    <row r="2016" spans="2:12" ht="17.399999999999999" thickBot="1" x14ac:dyDescent="0.45">
      <c r="B2016" s="110" t="s">
        <v>17</v>
      </c>
      <c r="C2016" s="300" t="s">
        <v>18</v>
      </c>
      <c r="D2016" s="300"/>
      <c r="E2016" s="300"/>
      <c r="F2016" s="300"/>
      <c r="G2016" s="301"/>
    </row>
    <row r="2017" spans="2:16" x14ac:dyDescent="0.4">
      <c r="B2017" s="114" t="s">
        <v>6</v>
      </c>
      <c r="C2017" s="302" t="s">
        <v>1</v>
      </c>
      <c r="D2017" s="303"/>
      <c r="E2017" s="126"/>
      <c r="F2017" s="120" t="s">
        <v>2</v>
      </c>
      <c r="G2017" s="114" t="s">
        <v>3</v>
      </c>
      <c r="H2017" s="106"/>
      <c r="I2017" s="107" t="s">
        <v>7</v>
      </c>
      <c r="J2017" s="136"/>
      <c r="K2017" s="107" t="s">
        <v>8</v>
      </c>
      <c r="L2017" s="115" t="s">
        <v>194</v>
      </c>
    </row>
    <row r="2018" spans="2:16" x14ac:dyDescent="0.4">
      <c r="B2018" s="74"/>
      <c r="C2018" s="304"/>
      <c r="D2018" s="305"/>
      <c r="E2018" s="127"/>
      <c r="F2018" s="72"/>
      <c r="G2018" s="74"/>
      <c r="I2018" s="84">
        <v>0</v>
      </c>
      <c r="K2018" s="84">
        <f>+F2018*I2018</f>
        <v>0</v>
      </c>
      <c r="L2018" s="118">
        <f>E2018*I2018</f>
        <v>0</v>
      </c>
    </row>
    <row r="2019" spans="2:16" x14ac:dyDescent="0.4">
      <c r="B2019" s="74"/>
      <c r="C2019" s="304"/>
      <c r="D2019" s="305"/>
      <c r="E2019" s="127"/>
      <c r="F2019" s="72"/>
      <c r="G2019" s="74"/>
      <c r="I2019" s="84">
        <v>0</v>
      </c>
      <c r="K2019" s="84">
        <f t="shared" ref="K2019:K2020" si="310">+F2019*I2019</f>
        <v>0</v>
      </c>
      <c r="L2019" s="118">
        <f t="shared" ref="L2019:L2020" si="311">E2019*I2019</f>
        <v>0</v>
      </c>
    </row>
    <row r="2020" spans="2:16" x14ac:dyDescent="0.4">
      <c r="B2020" s="74"/>
      <c r="C2020" s="304"/>
      <c r="D2020" s="305"/>
      <c r="E2020" s="127"/>
      <c r="F2020" s="72"/>
      <c r="G2020" s="74"/>
      <c r="I2020" s="84">
        <v>0</v>
      </c>
      <c r="K2020" s="84">
        <f t="shared" si="310"/>
        <v>0</v>
      </c>
      <c r="L2020" s="118">
        <f t="shared" si="311"/>
        <v>0</v>
      </c>
    </row>
    <row r="2021" spans="2:16" ht="17.399999999999999" thickBot="1" x14ac:dyDescent="0.45">
      <c r="L2021" s="118"/>
    </row>
    <row r="2022" spans="2:16" ht="17.399999999999999" thickBot="1" x14ac:dyDescent="0.45">
      <c r="F2022" s="292" t="s">
        <v>19</v>
      </c>
      <c r="G2022" s="293"/>
      <c r="H2022" s="293"/>
      <c r="I2022" s="294"/>
      <c r="K2022" s="229">
        <f>+SUM(K2018:K2020)</f>
        <v>0</v>
      </c>
      <c r="L2022" s="119">
        <f>+SUM(L2017:L2020)</f>
        <v>0</v>
      </c>
    </row>
    <row r="2023" spans="2:16" ht="15" customHeight="1" x14ac:dyDescent="0.4">
      <c r="F2023" s="128"/>
      <c r="G2023" s="129"/>
      <c r="H2023" s="130"/>
      <c r="I2023" s="108"/>
      <c r="K2023" s="230"/>
    </row>
    <row r="2024" spans="2:16" ht="15" customHeight="1" thickBot="1" x14ac:dyDescent="0.45"/>
    <row r="2025" spans="2:16" ht="17.399999999999999" thickBot="1" x14ac:dyDescent="0.45">
      <c r="F2025" s="292" t="s">
        <v>20</v>
      </c>
      <c r="G2025" s="293"/>
      <c r="H2025" s="293"/>
      <c r="I2025" s="294"/>
      <c r="K2025" s="229">
        <f>(+K1996+K2005+K2014+K2022)</f>
        <v>1940</v>
      </c>
      <c r="L2025" s="119">
        <f>(+L1996+L2005+L2014+L2022)</f>
        <v>5820</v>
      </c>
      <c r="N2025" s="131"/>
      <c r="O2025" s="39"/>
      <c r="P2025" s="40"/>
    </row>
    <row r="2026" spans="2:16" ht="7.5" customHeight="1" thickBot="1" x14ac:dyDescent="0.45">
      <c r="N2026" s="131"/>
      <c r="O2026" s="41"/>
      <c r="P2026" s="40"/>
    </row>
    <row r="2027" spans="2:16" ht="17.399999999999999" thickBot="1" x14ac:dyDescent="0.45">
      <c r="F2027" s="292" t="s">
        <v>21</v>
      </c>
      <c r="G2027" s="293"/>
      <c r="H2027" s="293"/>
      <c r="I2027" s="294"/>
      <c r="K2027" s="229">
        <f>K2025*$N$2</f>
        <v>776</v>
      </c>
      <c r="L2027" s="119">
        <f>L2025*$N$2</f>
        <v>2328</v>
      </c>
    </row>
    <row r="2028" spans="2:16" ht="7.5" customHeight="1" thickBot="1" x14ac:dyDescent="0.45"/>
    <row r="2029" spans="2:16" ht="17.399999999999999" thickBot="1" x14ac:dyDescent="0.45">
      <c r="F2029" s="292" t="s">
        <v>22</v>
      </c>
      <c r="G2029" s="293"/>
      <c r="H2029" s="293"/>
      <c r="I2029" s="294"/>
      <c r="K2029" s="229">
        <f>+K2025+K2027</f>
        <v>2716</v>
      </c>
      <c r="L2029" s="119">
        <f>+L2025+L2027</f>
        <v>8148</v>
      </c>
    </row>
    <row r="2030" spans="2:16" ht="17.399999999999999" thickBot="1" x14ac:dyDescent="0.45">
      <c r="F2030" s="128"/>
      <c r="G2030" s="129"/>
      <c r="H2030" s="130"/>
      <c r="I2030" s="108"/>
      <c r="K2030" s="231"/>
      <c r="L2030" s="132">
        <f>L2029/I1984</f>
        <v>2716</v>
      </c>
      <c r="M2030" s="133">
        <f>(K2029-L2030)*I1984</f>
        <v>0</v>
      </c>
    </row>
    <row r="2031" spans="2:16" x14ac:dyDescent="0.4">
      <c r="F2031" s="128"/>
      <c r="G2031" s="129"/>
      <c r="H2031" s="130"/>
      <c r="I2031" s="108"/>
      <c r="K2031" s="232"/>
      <c r="L2031" s="131"/>
      <c r="M2031" s="134"/>
      <c r="N2031" s="135"/>
    </row>
    <row r="2032" spans="2:16" ht="17.399999999999999" thickBot="1" x14ac:dyDescent="0.45">
      <c r="B2032" s="295"/>
      <c r="C2032" s="295"/>
      <c r="D2032" s="295"/>
    </row>
    <row r="2033" spans="1:16" x14ac:dyDescent="0.4">
      <c r="B2033" s="296" t="s">
        <v>23</v>
      </c>
      <c r="C2033" s="296"/>
      <c r="D2033" s="296"/>
    </row>
    <row r="2034" spans="1:16" x14ac:dyDescent="0.4">
      <c r="B2034" s="157"/>
      <c r="C2034" s="157"/>
      <c r="D2034" s="157"/>
    </row>
    <row r="2035" spans="1:16" x14ac:dyDescent="0.4">
      <c r="B2035" s="157"/>
      <c r="C2035" s="157"/>
      <c r="D2035" s="157"/>
    </row>
    <row r="2036" spans="1:16" x14ac:dyDescent="0.4">
      <c r="B2036" s="105" t="s">
        <v>43</v>
      </c>
      <c r="C2036" s="106"/>
      <c r="D2036" s="311" t="s">
        <v>1</v>
      </c>
      <c r="E2036" s="311"/>
      <c r="F2036" s="311"/>
      <c r="G2036" s="311"/>
      <c r="H2036" s="106"/>
      <c r="I2036" s="107" t="s">
        <v>2</v>
      </c>
      <c r="J2036" s="136"/>
      <c r="K2036" s="107" t="s">
        <v>3</v>
      </c>
    </row>
    <row r="2037" spans="1:16" s="4" customFormat="1" ht="30.75" customHeight="1" x14ac:dyDescent="0.3">
      <c r="A2037" s="31"/>
      <c r="B2037" s="213">
        <f>CATALOGO!B56</f>
        <v>803.05</v>
      </c>
      <c r="C2037" s="71"/>
      <c r="D2037" s="324" t="str">
        <f>CATALOGO!C56</f>
        <v>VENTANA CORREDIZA DE PVC + VIDRIO CLARO DE 5mm + BALCÓN</v>
      </c>
      <c r="E2037" s="324"/>
      <c r="F2037" s="324"/>
      <c r="G2037" s="324"/>
      <c r="H2037" s="71"/>
      <c r="I2037" s="213">
        <f>CATALOGO!D56</f>
        <v>10.87</v>
      </c>
      <c r="J2037" s="109"/>
      <c r="K2037" s="227" t="str">
        <f>CATALOGO!E56</f>
        <v>m²</v>
      </c>
      <c r="L2037" s="71"/>
      <c r="M2037" s="71"/>
      <c r="N2037" s="104"/>
      <c r="O2037" s="37"/>
      <c r="P2037" s="37"/>
    </row>
    <row r="2038" spans="1:16" ht="17.399999999999999" thickBot="1" x14ac:dyDescent="0.45"/>
    <row r="2039" spans="1:16" ht="17.399999999999999" thickBot="1" x14ac:dyDescent="0.45">
      <c r="B2039" s="110" t="s">
        <v>4</v>
      </c>
      <c r="C2039" s="300" t="s">
        <v>5</v>
      </c>
      <c r="D2039" s="300"/>
      <c r="E2039" s="300"/>
      <c r="F2039" s="300"/>
      <c r="G2039" s="301"/>
    </row>
    <row r="2040" spans="1:16" x14ac:dyDescent="0.3">
      <c r="B2040" s="111" t="s">
        <v>6</v>
      </c>
      <c r="C2040" s="313" t="s">
        <v>1</v>
      </c>
      <c r="D2040" s="314"/>
      <c r="E2040" s="112" t="s">
        <v>193</v>
      </c>
      <c r="F2040" s="113" t="s">
        <v>2</v>
      </c>
      <c r="G2040" s="114" t="s">
        <v>3</v>
      </c>
      <c r="H2040" s="106"/>
      <c r="I2040" s="107" t="s">
        <v>7</v>
      </c>
      <c r="J2040" s="136"/>
      <c r="K2040" s="228" t="s">
        <v>8</v>
      </c>
      <c r="L2040" s="115" t="s">
        <v>194</v>
      </c>
      <c r="O2040" s="323"/>
      <c r="P2040" s="323"/>
    </row>
    <row r="2041" spans="1:16" ht="17.25" customHeight="1" x14ac:dyDescent="0.3">
      <c r="B2041" s="122"/>
      <c r="C2041" s="317"/>
      <c r="D2041" s="318"/>
      <c r="E2041" s="116"/>
      <c r="F2041" s="83"/>
      <c r="G2041" s="74"/>
      <c r="I2041" s="117">
        <f>IF(C2041=0,0,VLOOKUP(C2041,Tabla1[],3,FALSE))</f>
        <v>0</v>
      </c>
      <c r="K2041" s="84">
        <f>F2041*I2041</f>
        <v>0</v>
      </c>
      <c r="L2041" s="118">
        <f t="shared" ref="L2041:L2050" si="312">E2041*I2041</f>
        <v>0</v>
      </c>
      <c r="O2041" s="44"/>
      <c r="P2041" s="45"/>
    </row>
    <row r="2042" spans="1:16" x14ac:dyDescent="0.4">
      <c r="B2042" s="122"/>
      <c r="C2042" s="317"/>
      <c r="D2042" s="318"/>
      <c r="E2042" s="116"/>
      <c r="F2042" s="83"/>
      <c r="G2042" s="74"/>
      <c r="I2042" s="117">
        <f>IF(C2042=0,0,VLOOKUP(C2042,Tabla1[],3,FALSE))</f>
        <v>0</v>
      </c>
      <c r="K2042" s="84">
        <f t="shared" ref="K2042:K2050" si="313">+F2042*I2042</f>
        <v>0</v>
      </c>
      <c r="L2042" s="118">
        <f t="shared" si="312"/>
        <v>0</v>
      </c>
      <c r="P2042" s="45"/>
    </row>
    <row r="2043" spans="1:16" x14ac:dyDescent="0.4">
      <c r="B2043" s="122"/>
      <c r="C2043" s="317"/>
      <c r="D2043" s="318"/>
      <c r="E2043" s="116"/>
      <c r="F2043" s="83"/>
      <c r="G2043" s="74"/>
      <c r="I2043" s="117">
        <f>IF(C2043=0,0,VLOOKUP(C2043,Tabla1[],3,FALSE))</f>
        <v>0</v>
      </c>
      <c r="K2043" s="84">
        <f t="shared" si="313"/>
        <v>0</v>
      </c>
      <c r="L2043" s="118">
        <f t="shared" si="312"/>
        <v>0</v>
      </c>
      <c r="O2043" s="48"/>
      <c r="P2043" s="49"/>
    </row>
    <row r="2044" spans="1:16" x14ac:dyDescent="0.4">
      <c r="B2044" s="122"/>
      <c r="C2044" s="317"/>
      <c r="D2044" s="318"/>
      <c r="E2044" s="116"/>
      <c r="F2044" s="83"/>
      <c r="G2044" s="74"/>
      <c r="I2044" s="117">
        <f>IF(C2044=0,0,VLOOKUP(C2044,Tabla1[],3,FALSE))</f>
        <v>0</v>
      </c>
      <c r="K2044" s="84">
        <f t="shared" si="313"/>
        <v>0</v>
      </c>
      <c r="L2044" s="118">
        <f t="shared" si="312"/>
        <v>0</v>
      </c>
      <c r="O2044" s="48"/>
      <c r="P2044" s="49"/>
    </row>
    <row r="2045" spans="1:16" x14ac:dyDescent="0.4">
      <c r="B2045" s="122"/>
      <c r="C2045" s="210"/>
      <c r="D2045" s="209"/>
      <c r="E2045" s="116"/>
      <c r="F2045" s="83"/>
      <c r="G2045" s="74"/>
      <c r="I2045" s="117"/>
      <c r="K2045" s="84"/>
      <c r="L2045" s="118"/>
      <c r="O2045" s="48"/>
      <c r="P2045" s="49"/>
    </row>
    <row r="2046" spans="1:16" x14ac:dyDescent="0.4">
      <c r="B2046" s="122"/>
      <c r="C2046" s="210"/>
      <c r="D2046" s="209"/>
      <c r="E2046" s="116"/>
      <c r="F2046" s="83"/>
      <c r="G2046" s="74"/>
      <c r="I2046" s="117"/>
      <c r="K2046" s="84"/>
      <c r="L2046" s="118"/>
      <c r="O2046" s="48"/>
      <c r="P2046" s="49"/>
    </row>
    <row r="2047" spans="1:16" x14ac:dyDescent="0.4">
      <c r="B2047" s="122"/>
      <c r="C2047" s="210"/>
      <c r="D2047" s="209"/>
      <c r="E2047" s="116"/>
      <c r="F2047" s="83"/>
      <c r="G2047" s="74"/>
      <c r="I2047" s="117"/>
      <c r="K2047" s="84"/>
      <c r="L2047" s="118"/>
      <c r="O2047" s="48"/>
      <c r="P2047" s="49"/>
    </row>
    <row r="2048" spans="1:16" x14ac:dyDescent="0.4">
      <c r="B2048" s="122"/>
      <c r="C2048" s="317"/>
      <c r="D2048" s="318"/>
      <c r="E2048" s="116"/>
      <c r="F2048" s="83"/>
      <c r="G2048" s="74"/>
      <c r="I2048" s="117">
        <f>IF(C2048=0,0,VLOOKUP(C2048,Tabla1[],3,FALSE))</f>
        <v>0</v>
      </c>
      <c r="K2048" s="84">
        <f t="shared" si="313"/>
        <v>0</v>
      </c>
      <c r="L2048" s="118">
        <f t="shared" si="312"/>
        <v>0</v>
      </c>
      <c r="O2048" s="48"/>
      <c r="P2048" s="49"/>
    </row>
    <row r="2049" spans="2:16" x14ac:dyDescent="0.4">
      <c r="B2049" s="122"/>
      <c r="C2049" s="309"/>
      <c r="D2049" s="310"/>
      <c r="E2049" s="116"/>
      <c r="F2049" s="83"/>
      <c r="G2049" s="74"/>
      <c r="I2049" s="117">
        <f>IF(C2049=0,0,VLOOKUP(C2049,Tabla1[],3,FALSE))</f>
        <v>0</v>
      </c>
      <c r="K2049" s="84">
        <f t="shared" si="313"/>
        <v>0</v>
      </c>
      <c r="L2049" s="118">
        <f t="shared" si="312"/>
        <v>0</v>
      </c>
      <c r="O2049" s="48"/>
      <c r="P2049" s="49"/>
    </row>
    <row r="2050" spans="2:16" x14ac:dyDescent="0.4">
      <c r="B2050" s="122"/>
      <c r="C2050" s="319"/>
      <c r="D2050" s="318"/>
      <c r="E2050" s="116"/>
      <c r="F2050" s="83"/>
      <c r="G2050" s="74"/>
      <c r="I2050" s="117">
        <f>IF(C2050=0,0,VLOOKUP(C2050,Tabla1[],3,FALSE))</f>
        <v>0</v>
      </c>
      <c r="K2050" s="84">
        <f t="shared" si="313"/>
        <v>0</v>
      </c>
      <c r="L2050" s="118">
        <f t="shared" si="312"/>
        <v>0</v>
      </c>
      <c r="O2050" s="48"/>
      <c r="P2050" s="49"/>
    </row>
    <row r="2051" spans="2:16" ht="17.399999999999999" thickBot="1" x14ac:dyDescent="0.45"/>
    <row r="2052" spans="2:16" ht="17.399999999999999" thickBot="1" x14ac:dyDescent="0.35">
      <c r="F2052" s="292" t="s">
        <v>9</v>
      </c>
      <c r="G2052" s="293"/>
      <c r="H2052" s="293"/>
      <c r="I2052" s="294"/>
      <c r="K2052" s="229">
        <f>+SUM(K2041:K2050)</f>
        <v>0</v>
      </c>
      <c r="L2052" s="119">
        <f>+SUM(L2041:L2050)</f>
        <v>0</v>
      </c>
      <c r="O2052" s="38"/>
      <c r="P2052" s="38"/>
    </row>
    <row r="2053" spans="2:16" ht="17.399999999999999" thickBot="1" x14ac:dyDescent="0.45">
      <c r="O2053" s="42"/>
      <c r="P2053" s="43"/>
    </row>
    <row r="2054" spans="2:16" ht="17.399999999999999" thickBot="1" x14ac:dyDescent="0.45">
      <c r="B2054" s="110" t="s">
        <v>10</v>
      </c>
      <c r="C2054" s="300" t="s">
        <v>11</v>
      </c>
      <c r="D2054" s="300"/>
      <c r="E2054" s="300"/>
      <c r="F2054" s="300"/>
      <c r="G2054" s="301"/>
    </row>
    <row r="2055" spans="2:16" x14ac:dyDescent="0.4">
      <c r="B2055" s="114" t="s">
        <v>6</v>
      </c>
      <c r="C2055" s="302" t="s">
        <v>1</v>
      </c>
      <c r="D2055" s="303"/>
      <c r="E2055" s="112" t="s">
        <v>193</v>
      </c>
      <c r="F2055" s="120" t="s">
        <v>2</v>
      </c>
      <c r="G2055" s="114" t="s">
        <v>3</v>
      </c>
      <c r="H2055" s="106"/>
      <c r="I2055" s="107" t="s">
        <v>7</v>
      </c>
      <c r="J2055" s="136"/>
      <c r="K2055" s="107" t="s">
        <v>8</v>
      </c>
      <c r="L2055" s="115" t="s">
        <v>194</v>
      </c>
    </row>
    <row r="2056" spans="2:16" x14ac:dyDescent="0.4">
      <c r="B2056" s="122"/>
      <c r="C2056" s="306"/>
      <c r="D2056" s="306"/>
      <c r="E2056" s="116"/>
      <c r="F2056" s="83"/>
      <c r="G2056" s="74"/>
      <c r="I2056" s="117">
        <f>IF(C2056=0,0,VLOOKUP(C2056,Tabla3[],3,FALSE))</f>
        <v>0</v>
      </c>
      <c r="K2056" s="84">
        <f>F2056*I2056</f>
        <v>0</v>
      </c>
      <c r="L2056" s="118">
        <f>E2056*I2056</f>
        <v>0</v>
      </c>
    </row>
    <row r="2057" spans="2:16" x14ac:dyDescent="0.4">
      <c r="B2057" s="74"/>
      <c r="C2057" s="309"/>
      <c r="D2057" s="310"/>
      <c r="E2057" s="121"/>
      <c r="F2057" s="72"/>
      <c r="G2057" s="74"/>
      <c r="I2057" s="117">
        <f>IF(C2057=0,0,VLOOKUP(C2057,Tabla3[],3,FALSE))</f>
        <v>0</v>
      </c>
      <c r="K2057" s="84">
        <f t="shared" ref="K2057:K2059" si="314">+F2057*I2057</f>
        <v>0</v>
      </c>
      <c r="L2057" s="118">
        <f t="shared" ref="L2057:L2059" si="315">E2057*I2057</f>
        <v>0</v>
      </c>
    </row>
    <row r="2058" spans="2:16" x14ac:dyDescent="0.4">
      <c r="B2058" s="74"/>
      <c r="C2058" s="309"/>
      <c r="D2058" s="310"/>
      <c r="E2058" s="121"/>
      <c r="F2058" s="72"/>
      <c r="G2058" s="74"/>
      <c r="I2058" s="117">
        <f>IF(C2058=0,0,VLOOKUP(C2058,Tabla3[],3,FALSE))</f>
        <v>0</v>
      </c>
      <c r="K2058" s="84">
        <f t="shared" si="314"/>
        <v>0</v>
      </c>
      <c r="L2058" s="118">
        <f t="shared" si="315"/>
        <v>0</v>
      </c>
    </row>
    <row r="2059" spans="2:16" x14ac:dyDescent="0.4">
      <c r="B2059" s="74"/>
      <c r="C2059" s="304"/>
      <c r="D2059" s="305"/>
      <c r="E2059" s="121"/>
      <c r="F2059" s="72"/>
      <c r="G2059" s="74"/>
      <c r="I2059" s="117">
        <f>IF(C2059=0,0,VLOOKUP(C2059,Tabla3[],3,FALSE))</f>
        <v>0</v>
      </c>
      <c r="K2059" s="84">
        <f t="shared" si="314"/>
        <v>0</v>
      </c>
      <c r="L2059" s="118">
        <f t="shared" si="315"/>
        <v>0</v>
      </c>
    </row>
    <row r="2060" spans="2:16" ht="17.399999999999999" thickBot="1" x14ac:dyDescent="0.45"/>
    <row r="2061" spans="2:16" ht="17.399999999999999" thickBot="1" x14ac:dyDescent="0.45">
      <c r="F2061" s="292" t="s">
        <v>12</v>
      </c>
      <c r="G2061" s="293"/>
      <c r="H2061" s="293"/>
      <c r="I2061" s="294"/>
      <c r="K2061" s="229">
        <f>+SUM(K2056:K2059)</f>
        <v>0</v>
      </c>
      <c r="L2061" s="119">
        <f>+SUM(L2056:L2059)</f>
        <v>0</v>
      </c>
    </row>
    <row r="2062" spans="2:16" ht="17.399999999999999" thickBot="1" x14ac:dyDescent="0.45"/>
    <row r="2063" spans="2:16" ht="17.399999999999999" thickBot="1" x14ac:dyDescent="0.45">
      <c r="B2063" s="110" t="s">
        <v>13</v>
      </c>
      <c r="C2063" s="300" t="s">
        <v>14</v>
      </c>
      <c r="D2063" s="300"/>
      <c r="E2063" s="300"/>
      <c r="F2063" s="300"/>
      <c r="G2063" s="301"/>
    </row>
    <row r="2064" spans="2:16" x14ac:dyDescent="0.4">
      <c r="B2064" s="114" t="s">
        <v>6</v>
      </c>
      <c r="C2064" s="302" t="s">
        <v>1</v>
      </c>
      <c r="D2064" s="303"/>
      <c r="E2064" s="112" t="s">
        <v>193</v>
      </c>
      <c r="F2064" s="120" t="s">
        <v>2</v>
      </c>
      <c r="G2064" s="114" t="s">
        <v>3</v>
      </c>
      <c r="H2064" s="106"/>
      <c r="I2064" s="107" t="s">
        <v>7</v>
      </c>
      <c r="J2064" s="136"/>
      <c r="K2064" s="107" t="s">
        <v>8</v>
      </c>
      <c r="L2064" s="115" t="s">
        <v>194</v>
      </c>
    </row>
    <row r="2065" spans="2:12" x14ac:dyDescent="0.4">
      <c r="B2065" s="122">
        <v>1</v>
      </c>
      <c r="C2065" s="325" t="s">
        <v>226</v>
      </c>
      <c r="D2065" s="325"/>
      <c r="E2065" s="116">
        <f>I2037</f>
        <v>10.87</v>
      </c>
      <c r="F2065" s="83">
        <f>ROUND(E2065/I2037,2)</f>
        <v>1</v>
      </c>
      <c r="G2065" s="74" t="str">
        <f>IF(C2065=0,0,VLOOKUP(C2065,Tabla2[],2,FALSE))</f>
        <v>m²</v>
      </c>
      <c r="I2065" s="117">
        <f>IF(C2065=0,0,VLOOKUP(C2065,Tabla2[],3,FALSE))</f>
        <v>1000</v>
      </c>
      <c r="K2065" s="84">
        <f>+F2065*I2065</f>
        <v>1000</v>
      </c>
      <c r="L2065" s="118">
        <f>E2065*I2065</f>
        <v>10870</v>
      </c>
    </row>
    <row r="2066" spans="2:12" x14ac:dyDescent="0.4">
      <c r="B2066" s="122"/>
      <c r="C2066" s="306"/>
      <c r="D2066" s="306"/>
      <c r="E2066" s="116"/>
      <c r="F2066" s="83"/>
      <c r="G2066" s="74"/>
      <c r="I2066" s="117">
        <f>IF(C2066=0,0,VLOOKUP(C2066,Tabla2[],3,FALSE))</f>
        <v>0</v>
      </c>
      <c r="K2066" s="84">
        <f>+F2066*I2066</f>
        <v>0</v>
      </c>
      <c r="L2066" s="118">
        <f>E2066*I2066</f>
        <v>0</v>
      </c>
    </row>
    <row r="2067" spans="2:12" ht="17.399999999999999" thickBot="1" x14ac:dyDescent="0.45">
      <c r="B2067" s="123"/>
      <c r="C2067" s="307"/>
      <c r="D2067" s="308"/>
      <c r="E2067" s="124"/>
      <c r="F2067" s="125"/>
      <c r="G2067" s="74"/>
      <c r="I2067" s="117">
        <f>IF(C2067=0,0,VLOOKUP(C2067,Tabla2[],3,FALSE))</f>
        <v>0</v>
      </c>
      <c r="K2067" s="84">
        <f t="shared" ref="K2067" si="316">+F2067*I2067</f>
        <v>0</v>
      </c>
      <c r="L2067" s="118">
        <f t="shared" ref="L2067:L2068" si="317">E2067*I2067</f>
        <v>0</v>
      </c>
    </row>
    <row r="2068" spans="2:12" ht="17.399999999999999" thickBot="1" x14ac:dyDescent="0.45">
      <c r="B2068" s="297" t="s">
        <v>15</v>
      </c>
      <c r="C2068" s="298"/>
      <c r="D2068" s="298"/>
      <c r="E2068" s="298"/>
      <c r="F2068" s="298"/>
      <c r="G2068" s="299"/>
      <c r="I2068" s="84">
        <v>0</v>
      </c>
      <c r="K2068" s="84">
        <v>0</v>
      </c>
      <c r="L2068" s="118">
        <f t="shared" si="317"/>
        <v>0</v>
      </c>
    </row>
    <row r="2069" spans="2:12" ht="17.399999999999999" thickBot="1" x14ac:dyDescent="0.45"/>
    <row r="2070" spans="2:12" ht="17.399999999999999" thickBot="1" x14ac:dyDescent="0.45">
      <c r="F2070" s="292" t="s">
        <v>16</v>
      </c>
      <c r="G2070" s="293"/>
      <c r="H2070" s="293"/>
      <c r="I2070" s="294"/>
      <c r="K2070" s="229">
        <f>+SUM(K2065:K2068)</f>
        <v>1000</v>
      </c>
      <c r="L2070" s="119">
        <f>+SUM(L2065:L2068)</f>
        <v>10870</v>
      </c>
    </row>
    <row r="2071" spans="2:12" ht="17.399999999999999" thickBot="1" x14ac:dyDescent="0.45"/>
    <row r="2072" spans="2:12" ht="17.399999999999999" thickBot="1" x14ac:dyDescent="0.45">
      <c r="B2072" s="110" t="s">
        <v>17</v>
      </c>
      <c r="C2072" s="300" t="s">
        <v>18</v>
      </c>
      <c r="D2072" s="300"/>
      <c r="E2072" s="300"/>
      <c r="F2072" s="300"/>
      <c r="G2072" s="301"/>
    </row>
    <row r="2073" spans="2:12" x14ac:dyDescent="0.4">
      <c r="B2073" s="114" t="s">
        <v>6</v>
      </c>
      <c r="C2073" s="302" t="s">
        <v>1</v>
      </c>
      <c r="D2073" s="303"/>
      <c r="E2073" s="126"/>
      <c r="F2073" s="120" t="s">
        <v>2</v>
      </c>
      <c r="G2073" s="114" t="s">
        <v>3</v>
      </c>
      <c r="H2073" s="106"/>
      <c r="I2073" s="107" t="s">
        <v>7</v>
      </c>
      <c r="J2073" s="136"/>
      <c r="K2073" s="107" t="s">
        <v>8</v>
      </c>
      <c r="L2073" s="115" t="s">
        <v>194</v>
      </c>
    </row>
    <row r="2074" spans="2:12" x14ac:dyDescent="0.4">
      <c r="B2074" s="74"/>
      <c r="C2074" s="304"/>
      <c r="D2074" s="305"/>
      <c r="E2074" s="127"/>
      <c r="F2074" s="72"/>
      <c r="G2074" s="74"/>
      <c r="I2074" s="84">
        <v>0</v>
      </c>
      <c r="K2074" s="84">
        <f>+F2074*I2074</f>
        <v>0</v>
      </c>
      <c r="L2074" s="118">
        <f>E2074*I2074</f>
        <v>0</v>
      </c>
    </row>
    <row r="2075" spans="2:12" x14ac:dyDescent="0.4">
      <c r="B2075" s="74"/>
      <c r="C2075" s="304"/>
      <c r="D2075" s="305"/>
      <c r="E2075" s="127"/>
      <c r="F2075" s="72"/>
      <c r="G2075" s="74"/>
      <c r="I2075" s="84">
        <v>0</v>
      </c>
      <c r="K2075" s="84">
        <f t="shared" ref="K2075:K2076" si="318">+F2075*I2075</f>
        <v>0</v>
      </c>
      <c r="L2075" s="118">
        <f t="shared" ref="L2075:L2076" si="319">E2075*I2075</f>
        <v>0</v>
      </c>
    </row>
    <row r="2076" spans="2:12" x14ac:dyDescent="0.4">
      <c r="B2076" s="74"/>
      <c r="C2076" s="304"/>
      <c r="D2076" s="305"/>
      <c r="E2076" s="127"/>
      <c r="F2076" s="72"/>
      <c r="G2076" s="74"/>
      <c r="I2076" s="84">
        <v>0</v>
      </c>
      <c r="K2076" s="84">
        <f t="shared" si="318"/>
        <v>0</v>
      </c>
      <c r="L2076" s="118">
        <f t="shared" si="319"/>
        <v>0</v>
      </c>
    </row>
    <row r="2077" spans="2:12" ht="17.399999999999999" thickBot="1" x14ac:dyDescent="0.45">
      <c r="L2077" s="118"/>
    </row>
    <row r="2078" spans="2:12" ht="17.399999999999999" thickBot="1" x14ac:dyDescent="0.45">
      <c r="F2078" s="292" t="s">
        <v>19</v>
      </c>
      <c r="G2078" s="293"/>
      <c r="H2078" s="293"/>
      <c r="I2078" s="294"/>
      <c r="K2078" s="229">
        <f>+SUM(K2074:K2076)</f>
        <v>0</v>
      </c>
      <c r="L2078" s="119">
        <f>+SUM(L2073:L2076)</f>
        <v>0</v>
      </c>
    </row>
    <row r="2079" spans="2:12" ht="15" customHeight="1" x14ac:dyDescent="0.4">
      <c r="F2079" s="128"/>
      <c r="G2079" s="129"/>
      <c r="H2079" s="130"/>
      <c r="I2079" s="108"/>
      <c r="K2079" s="230"/>
    </row>
    <row r="2080" spans="2:12" ht="15" customHeight="1" thickBot="1" x14ac:dyDescent="0.45"/>
    <row r="2081" spans="1:16" ht="17.399999999999999" thickBot="1" x14ac:dyDescent="0.45">
      <c r="F2081" s="292" t="s">
        <v>20</v>
      </c>
      <c r="G2081" s="293"/>
      <c r="H2081" s="293"/>
      <c r="I2081" s="294"/>
      <c r="K2081" s="229">
        <f>(+K2052+K2061+K2070+K2078)</f>
        <v>1000</v>
      </c>
      <c r="L2081" s="119">
        <f>(+L2052+L2061+L2070+L2078)</f>
        <v>10870</v>
      </c>
      <c r="N2081" s="131"/>
      <c r="O2081" s="39"/>
      <c r="P2081" s="40"/>
    </row>
    <row r="2082" spans="1:16" ht="7.5" customHeight="1" thickBot="1" x14ac:dyDescent="0.45">
      <c r="N2082" s="131"/>
      <c r="O2082" s="41"/>
      <c r="P2082" s="40"/>
    </row>
    <row r="2083" spans="1:16" ht="17.399999999999999" thickBot="1" x14ac:dyDescent="0.45">
      <c r="F2083" s="292" t="s">
        <v>21</v>
      </c>
      <c r="G2083" s="293"/>
      <c r="H2083" s="293"/>
      <c r="I2083" s="294"/>
      <c r="K2083" s="229">
        <f>K2081*$N$2</f>
        <v>400</v>
      </c>
      <c r="L2083" s="119">
        <f>L2081*$N$2</f>
        <v>4348</v>
      </c>
    </row>
    <row r="2084" spans="1:16" ht="7.5" customHeight="1" thickBot="1" x14ac:dyDescent="0.45"/>
    <row r="2085" spans="1:16" ht="17.399999999999999" thickBot="1" x14ac:dyDescent="0.45">
      <c r="F2085" s="292" t="s">
        <v>22</v>
      </c>
      <c r="G2085" s="293"/>
      <c r="H2085" s="293"/>
      <c r="I2085" s="294"/>
      <c r="K2085" s="229">
        <f>+K2081+K2083</f>
        <v>1400</v>
      </c>
      <c r="L2085" s="119">
        <f>+L2081+L2083</f>
        <v>15218</v>
      </c>
    </row>
    <row r="2086" spans="1:16" ht="17.399999999999999" thickBot="1" x14ac:dyDescent="0.45">
      <c r="F2086" s="128"/>
      <c r="G2086" s="129"/>
      <c r="H2086" s="130"/>
      <c r="I2086" s="108"/>
      <c r="K2086" s="231"/>
      <c r="L2086" s="132">
        <f>L2085/I2037</f>
        <v>1400</v>
      </c>
      <c r="M2086" s="133">
        <f>(K2085-L2086)*I2037</f>
        <v>0</v>
      </c>
    </row>
    <row r="2087" spans="1:16" x14ac:dyDescent="0.4">
      <c r="F2087" s="128"/>
      <c r="G2087" s="129"/>
      <c r="H2087" s="130"/>
      <c r="I2087" s="108"/>
      <c r="K2087" s="232"/>
      <c r="L2087" s="131"/>
      <c r="M2087" s="134"/>
      <c r="N2087" s="135"/>
    </row>
    <row r="2088" spans="1:16" ht="17.399999999999999" thickBot="1" x14ac:dyDescent="0.45">
      <c r="B2088" s="295"/>
      <c r="C2088" s="295"/>
      <c r="D2088" s="295"/>
    </row>
    <row r="2089" spans="1:16" x14ac:dyDescent="0.4">
      <c r="B2089" s="296" t="s">
        <v>23</v>
      </c>
      <c r="C2089" s="296"/>
      <c r="D2089" s="296"/>
    </row>
    <row r="2090" spans="1:16" x14ac:dyDescent="0.4">
      <c r="B2090" s="157"/>
      <c r="C2090" s="157"/>
      <c r="D2090" s="157"/>
    </row>
    <row r="2091" spans="1:16" x14ac:dyDescent="0.4">
      <c r="B2091" s="157"/>
      <c r="C2091" s="157"/>
      <c r="D2091" s="157"/>
    </row>
    <row r="2092" spans="1:16" x14ac:dyDescent="0.4">
      <c r="B2092" s="105" t="s">
        <v>43</v>
      </c>
      <c r="C2092" s="106"/>
      <c r="D2092" s="311" t="s">
        <v>1</v>
      </c>
      <c r="E2092" s="311"/>
      <c r="F2092" s="311"/>
      <c r="G2092" s="311"/>
      <c r="H2092" s="106"/>
      <c r="I2092" s="107" t="s">
        <v>2</v>
      </c>
      <c r="J2092" s="136"/>
      <c r="K2092" s="107" t="s">
        <v>3</v>
      </c>
    </row>
    <row r="2093" spans="1:16" s="4" customFormat="1" ht="30.75" customHeight="1" x14ac:dyDescent="0.3">
      <c r="A2093" s="31"/>
      <c r="B2093" s="213">
        <f>CATALOGO!B58</f>
        <v>902.01</v>
      </c>
      <c r="C2093" s="71"/>
      <c r="D2093" s="324" t="str">
        <f>CATALOGO!C58</f>
        <v>BAJADA DE AGUA PVC Ø3" (INCLUYE ACCESORIOS)</v>
      </c>
      <c r="E2093" s="324"/>
      <c r="F2093" s="324"/>
      <c r="G2093" s="324"/>
      <c r="H2093" s="71"/>
      <c r="I2093" s="213">
        <f>CATALOGO!D58</f>
        <v>3</v>
      </c>
      <c r="J2093" s="109"/>
      <c r="K2093" s="227" t="str">
        <f>CATALOGO!E58</f>
        <v>ml</v>
      </c>
      <c r="L2093" s="71"/>
      <c r="M2093" s="71"/>
      <c r="N2093" s="104"/>
      <c r="O2093" s="37"/>
      <c r="P2093" s="37"/>
    </row>
    <row r="2094" spans="1:16" ht="17.399999999999999" thickBot="1" x14ac:dyDescent="0.45"/>
    <row r="2095" spans="1:16" ht="17.399999999999999" thickBot="1" x14ac:dyDescent="0.45">
      <c r="B2095" s="110" t="s">
        <v>4</v>
      </c>
      <c r="C2095" s="300" t="s">
        <v>5</v>
      </c>
      <c r="D2095" s="300"/>
      <c r="E2095" s="300"/>
      <c r="F2095" s="300"/>
      <c r="G2095" s="301"/>
    </row>
    <row r="2096" spans="1:16" x14ac:dyDescent="0.3">
      <c r="B2096" s="111" t="s">
        <v>6</v>
      </c>
      <c r="C2096" s="313" t="s">
        <v>1</v>
      </c>
      <c r="D2096" s="314"/>
      <c r="E2096" s="112" t="s">
        <v>193</v>
      </c>
      <c r="F2096" s="113" t="s">
        <v>2</v>
      </c>
      <c r="G2096" s="114" t="s">
        <v>3</v>
      </c>
      <c r="H2096" s="106"/>
      <c r="I2096" s="107" t="s">
        <v>7</v>
      </c>
      <c r="J2096" s="136"/>
      <c r="K2096" s="228" t="s">
        <v>8</v>
      </c>
      <c r="L2096" s="115" t="s">
        <v>194</v>
      </c>
      <c r="O2096" s="323"/>
      <c r="P2096" s="323"/>
    </row>
    <row r="2097" spans="2:16" ht="17.25" customHeight="1" x14ac:dyDescent="0.3">
      <c r="B2097" s="122">
        <v>1</v>
      </c>
      <c r="C2097" s="319" t="s">
        <v>242</v>
      </c>
      <c r="D2097" s="318"/>
      <c r="E2097" s="116">
        <f>I2093*0.2</f>
        <v>0.60000000000000009</v>
      </c>
      <c r="F2097" s="83">
        <f>ROUND(E2097/I2093,2)</f>
        <v>0.2</v>
      </c>
      <c r="G2097" s="74" t="str">
        <f>IF(C2097=0,0,VLOOKUP(C2097,Tabla1[],2,FALSE))</f>
        <v>Unidad</v>
      </c>
      <c r="I2097" s="117">
        <f>IF(C2097=0,0,VLOOKUP(C2097,Tabla1[],3,FALSE))</f>
        <v>75</v>
      </c>
      <c r="K2097" s="84">
        <f>F2097*I2097</f>
        <v>15</v>
      </c>
      <c r="L2097" s="118">
        <f t="shared" ref="L2097:L2100" si="320">E2097*I2097</f>
        <v>45.000000000000007</v>
      </c>
      <c r="O2097" s="44"/>
      <c r="P2097" s="45"/>
    </row>
    <row r="2098" spans="2:16" x14ac:dyDescent="0.4">
      <c r="B2098" s="122">
        <v>2</v>
      </c>
      <c r="C2098" s="319" t="s">
        <v>588</v>
      </c>
      <c r="D2098" s="318"/>
      <c r="E2098" s="116">
        <f>I2093*0.25</f>
        <v>0.75</v>
      </c>
      <c r="F2098" s="83">
        <f>ROUND(E2098/I2093,2)</f>
        <v>0.25</v>
      </c>
      <c r="G2098" s="74" t="str">
        <f>IF(C2098=0,0,VLOOKUP(C2098,Tabla1[],2,FALSE))</f>
        <v>Unidad</v>
      </c>
      <c r="I2098" s="117">
        <f>IF(C2098=0,0,VLOOKUP(C2098,Tabla1[],3,FALSE))</f>
        <v>60</v>
      </c>
      <c r="K2098" s="84">
        <f t="shared" ref="K2098:K2100" si="321">+F2098*I2098</f>
        <v>15</v>
      </c>
      <c r="L2098" s="118">
        <f t="shared" si="320"/>
        <v>45</v>
      </c>
      <c r="P2098" s="45"/>
    </row>
    <row r="2099" spans="2:16" x14ac:dyDescent="0.4">
      <c r="B2099" s="122">
        <v>3</v>
      </c>
      <c r="C2099" s="319" t="s">
        <v>589</v>
      </c>
      <c r="D2099" s="318"/>
      <c r="E2099" s="116">
        <f>I2093*0.2</f>
        <v>0.60000000000000009</v>
      </c>
      <c r="F2099" s="83">
        <f>ROUND(E2099/I2093,2)</f>
        <v>0.2</v>
      </c>
      <c r="G2099" s="74" t="str">
        <f>IF(C2099=0,0,VLOOKUP(C2099,Tabla1[],2,FALSE))</f>
        <v>Unidad</v>
      </c>
      <c r="I2099" s="117">
        <f>IF(C2099=0,0,VLOOKUP(C2099,Tabla1[],3,FALSE))</f>
        <v>380</v>
      </c>
      <c r="K2099" s="84">
        <f t="shared" si="321"/>
        <v>76</v>
      </c>
      <c r="L2099" s="118">
        <f t="shared" si="320"/>
        <v>228.00000000000003</v>
      </c>
      <c r="O2099" s="48"/>
      <c r="P2099" s="49"/>
    </row>
    <row r="2100" spans="2:16" x14ac:dyDescent="0.4">
      <c r="B2100" s="122">
        <v>4</v>
      </c>
      <c r="C2100" s="319" t="s">
        <v>130</v>
      </c>
      <c r="D2100" s="318"/>
      <c r="E2100" s="116">
        <f>I2093*0.01</f>
        <v>0.03</v>
      </c>
      <c r="F2100" s="83">
        <f>ROUND(E2100/I2093,2)</f>
        <v>0.01</v>
      </c>
      <c r="G2100" s="74" t="str">
        <f>IF(C2100=0,0,VLOOKUP(C2100,Tabla1[],2,FALSE))</f>
        <v>Galón</v>
      </c>
      <c r="I2100" s="117">
        <f>IF(C2100=0,0,VLOOKUP(C2100,Tabla1[],3,FALSE))</f>
        <v>400</v>
      </c>
      <c r="K2100" s="84">
        <f t="shared" si="321"/>
        <v>4</v>
      </c>
      <c r="L2100" s="118">
        <f t="shared" si="320"/>
        <v>12</v>
      </c>
      <c r="O2100" s="48"/>
      <c r="P2100" s="49"/>
    </row>
    <row r="2101" spans="2:16" x14ac:dyDescent="0.4">
      <c r="B2101" s="122"/>
      <c r="C2101" s="210"/>
      <c r="D2101" s="209"/>
      <c r="E2101" s="116"/>
      <c r="F2101" s="83"/>
      <c r="G2101" s="74"/>
      <c r="I2101" s="117"/>
      <c r="K2101" s="84"/>
      <c r="L2101" s="118"/>
      <c r="O2101" s="48"/>
      <c r="P2101" s="49"/>
    </row>
    <row r="2102" spans="2:16" x14ac:dyDescent="0.4">
      <c r="B2102" s="122"/>
      <c r="C2102" s="210"/>
      <c r="D2102" s="209"/>
      <c r="E2102" s="116"/>
      <c r="F2102" s="83"/>
      <c r="G2102" s="74"/>
      <c r="I2102" s="117"/>
      <c r="K2102" s="84"/>
      <c r="L2102" s="118"/>
      <c r="O2102" s="48"/>
      <c r="P2102" s="49"/>
    </row>
    <row r="2103" spans="2:16" x14ac:dyDescent="0.4">
      <c r="B2103" s="122"/>
      <c r="C2103" s="210"/>
      <c r="D2103" s="209"/>
      <c r="E2103" s="116"/>
      <c r="F2103" s="83"/>
      <c r="G2103" s="74"/>
      <c r="I2103" s="117"/>
      <c r="K2103" s="84"/>
      <c r="L2103" s="118"/>
      <c r="O2103" s="48"/>
      <c r="P2103" s="49"/>
    </row>
    <row r="2104" spans="2:16" ht="17.399999999999999" thickBot="1" x14ac:dyDescent="0.45"/>
    <row r="2105" spans="2:16" ht="17.399999999999999" thickBot="1" x14ac:dyDescent="0.35">
      <c r="F2105" s="292" t="s">
        <v>9</v>
      </c>
      <c r="G2105" s="293"/>
      <c r="H2105" s="293"/>
      <c r="I2105" s="294"/>
      <c r="K2105" s="229">
        <f>+SUM(K2097:K2103)</f>
        <v>110</v>
      </c>
      <c r="L2105" s="119">
        <f>+SUM(L2097:L2103)</f>
        <v>330</v>
      </c>
      <c r="O2105" s="38"/>
      <c r="P2105" s="38"/>
    </row>
    <row r="2106" spans="2:16" ht="17.399999999999999" thickBot="1" x14ac:dyDescent="0.45">
      <c r="O2106" s="42"/>
      <c r="P2106" s="43"/>
    </row>
    <row r="2107" spans="2:16" ht="17.399999999999999" thickBot="1" x14ac:dyDescent="0.45">
      <c r="B2107" s="110" t="s">
        <v>10</v>
      </c>
      <c r="C2107" s="300" t="s">
        <v>11</v>
      </c>
      <c r="D2107" s="300"/>
      <c r="E2107" s="300"/>
      <c r="F2107" s="300"/>
      <c r="G2107" s="301"/>
    </row>
    <row r="2108" spans="2:16" x14ac:dyDescent="0.4">
      <c r="B2108" s="114" t="s">
        <v>6</v>
      </c>
      <c r="C2108" s="302" t="s">
        <v>1</v>
      </c>
      <c r="D2108" s="303"/>
      <c r="E2108" s="112" t="s">
        <v>193</v>
      </c>
      <c r="F2108" s="120" t="s">
        <v>2</v>
      </c>
      <c r="G2108" s="114" t="s">
        <v>3</v>
      </c>
      <c r="H2108" s="106"/>
      <c r="I2108" s="107" t="s">
        <v>7</v>
      </c>
      <c r="J2108" s="136"/>
      <c r="K2108" s="107" t="s">
        <v>8</v>
      </c>
      <c r="L2108" s="115" t="s">
        <v>194</v>
      </c>
    </row>
    <row r="2109" spans="2:16" x14ac:dyDescent="0.4">
      <c r="B2109" s="122"/>
      <c r="C2109" s="306"/>
      <c r="D2109" s="306"/>
      <c r="E2109" s="116"/>
      <c r="F2109" s="83"/>
      <c r="G2109" s="74"/>
      <c r="I2109" s="117">
        <f>IF(C2109=0,0,VLOOKUP(C2109,Tabla3[],3,FALSE))</f>
        <v>0</v>
      </c>
      <c r="K2109" s="84">
        <f>F2109*I2109</f>
        <v>0</v>
      </c>
      <c r="L2109" s="118">
        <f>E2109*I2109</f>
        <v>0</v>
      </c>
    </row>
    <row r="2110" spans="2:16" x14ac:dyDescent="0.4">
      <c r="B2110" s="74"/>
      <c r="C2110" s="309"/>
      <c r="D2110" s="310"/>
      <c r="E2110" s="121"/>
      <c r="F2110" s="72"/>
      <c r="G2110" s="74"/>
      <c r="I2110" s="117">
        <f>IF(C2110=0,0,VLOOKUP(C2110,Tabla3[],3,FALSE))</f>
        <v>0</v>
      </c>
      <c r="K2110" s="84">
        <f t="shared" ref="K2110:K2112" si="322">+F2110*I2110</f>
        <v>0</v>
      </c>
      <c r="L2110" s="118">
        <f t="shared" ref="L2110:L2112" si="323">E2110*I2110</f>
        <v>0</v>
      </c>
    </row>
    <row r="2111" spans="2:16" x14ac:dyDescent="0.4">
      <c r="B2111" s="74"/>
      <c r="C2111" s="309"/>
      <c r="D2111" s="310"/>
      <c r="E2111" s="121"/>
      <c r="F2111" s="72"/>
      <c r="G2111" s="74"/>
      <c r="I2111" s="117">
        <f>IF(C2111=0,0,VLOOKUP(C2111,Tabla3[],3,FALSE))</f>
        <v>0</v>
      </c>
      <c r="K2111" s="84">
        <f t="shared" si="322"/>
        <v>0</v>
      </c>
      <c r="L2111" s="118">
        <f t="shared" si="323"/>
        <v>0</v>
      </c>
    </row>
    <row r="2112" spans="2:16" x14ac:dyDescent="0.4">
      <c r="B2112" s="74"/>
      <c r="C2112" s="304"/>
      <c r="D2112" s="305"/>
      <c r="E2112" s="121"/>
      <c r="F2112" s="72"/>
      <c r="G2112" s="74"/>
      <c r="I2112" s="117">
        <f>IF(C2112=0,0,VLOOKUP(C2112,Tabla3[],3,FALSE))</f>
        <v>0</v>
      </c>
      <c r="K2112" s="84">
        <f t="shared" si="322"/>
        <v>0</v>
      </c>
      <c r="L2112" s="118">
        <f t="shared" si="323"/>
        <v>0</v>
      </c>
    </row>
    <row r="2113" spans="2:12" ht="17.399999999999999" thickBot="1" x14ac:dyDescent="0.45"/>
    <row r="2114" spans="2:12" ht="17.399999999999999" thickBot="1" x14ac:dyDescent="0.45">
      <c r="F2114" s="292" t="s">
        <v>12</v>
      </c>
      <c r="G2114" s="293"/>
      <c r="H2114" s="293"/>
      <c r="I2114" s="294"/>
      <c r="K2114" s="229">
        <f>+SUM(K2109:K2112)</f>
        <v>0</v>
      </c>
      <c r="L2114" s="119">
        <f>+SUM(L2109:L2112)</f>
        <v>0</v>
      </c>
    </row>
    <row r="2115" spans="2:12" ht="17.399999999999999" thickBot="1" x14ac:dyDescent="0.45"/>
    <row r="2116" spans="2:12" ht="17.399999999999999" thickBot="1" x14ac:dyDescent="0.45">
      <c r="B2116" s="110" t="s">
        <v>13</v>
      </c>
      <c r="C2116" s="300" t="s">
        <v>14</v>
      </c>
      <c r="D2116" s="300"/>
      <c r="E2116" s="300"/>
      <c r="F2116" s="300"/>
      <c r="G2116" s="301"/>
    </row>
    <row r="2117" spans="2:12" x14ac:dyDescent="0.4">
      <c r="B2117" s="114" t="s">
        <v>6</v>
      </c>
      <c r="C2117" s="302" t="s">
        <v>1</v>
      </c>
      <c r="D2117" s="303"/>
      <c r="E2117" s="112" t="s">
        <v>193</v>
      </c>
      <c r="F2117" s="120" t="s">
        <v>2</v>
      </c>
      <c r="G2117" s="114" t="s">
        <v>3</v>
      </c>
      <c r="H2117" s="106"/>
      <c r="I2117" s="107" t="s">
        <v>7</v>
      </c>
      <c r="J2117" s="136"/>
      <c r="K2117" s="107" t="s">
        <v>8</v>
      </c>
      <c r="L2117" s="115" t="s">
        <v>194</v>
      </c>
    </row>
    <row r="2118" spans="2:12" x14ac:dyDescent="0.4">
      <c r="B2118" s="122">
        <v>1</v>
      </c>
      <c r="C2118" s="306" t="s">
        <v>590</v>
      </c>
      <c r="D2118" s="306"/>
      <c r="E2118" s="116">
        <f>I2093</f>
        <v>3</v>
      </c>
      <c r="F2118" s="83">
        <f>ROUND(E2118/I2093,2)</f>
        <v>1</v>
      </c>
      <c r="G2118" s="74" t="str">
        <f>IF(C2118=0,0,VLOOKUP(C2118,Tabla2[],2,FALSE))</f>
        <v>ml</v>
      </c>
      <c r="I2118" s="117">
        <f>IF(C2118=0,0,VLOOKUP(C2118,Tabla2[],3,FALSE))</f>
        <v>15</v>
      </c>
      <c r="K2118" s="84">
        <f>+F2118*I2118</f>
        <v>15</v>
      </c>
      <c r="L2118" s="118">
        <f>E2118*I2118</f>
        <v>45</v>
      </c>
    </row>
    <row r="2119" spans="2:12" x14ac:dyDescent="0.4">
      <c r="B2119" s="122"/>
      <c r="C2119" s="306"/>
      <c r="D2119" s="306"/>
      <c r="E2119" s="116"/>
      <c r="F2119" s="83"/>
      <c r="G2119" s="74"/>
      <c r="I2119" s="117">
        <f>IF(C2119=0,0,VLOOKUP(C2119,Tabla2[],3,FALSE))</f>
        <v>0</v>
      </c>
      <c r="K2119" s="84">
        <f>+F2119*I2119</f>
        <v>0</v>
      </c>
      <c r="L2119" s="118">
        <f>E2119*I2119</f>
        <v>0</v>
      </c>
    </row>
    <row r="2120" spans="2:12" ht="17.399999999999999" thickBot="1" x14ac:dyDescent="0.45">
      <c r="B2120" s="123"/>
      <c r="C2120" s="307"/>
      <c r="D2120" s="308"/>
      <c r="E2120" s="124"/>
      <c r="F2120" s="125"/>
      <c r="G2120" s="74"/>
      <c r="I2120" s="117">
        <f>IF(C2120=0,0,VLOOKUP(C2120,Tabla2[],3,FALSE))</f>
        <v>0</v>
      </c>
      <c r="K2120" s="84">
        <f t="shared" ref="K2120" si="324">+F2120*I2120</f>
        <v>0</v>
      </c>
      <c r="L2120" s="118">
        <f t="shared" ref="L2120:L2121" si="325">E2120*I2120</f>
        <v>0</v>
      </c>
    </row>
    <row r="2121" spans="2:12" ht="17.399999999999999" thickBot="1" x14ac:dyDescent="0.45">
      <c r="B2121" s="297" t="s">
        <v>15</v>
      </c>
      <c r="C2121" s="298"/>
      <c r="D2121" s="298"/>
      <c r="E2121" s="298"/>
      <c r="F2121" s="298"/>
      <c r="G2121" s="299"/>
      <c r="I2121" s="84">
        <v>0</v>
      </c>
      <c r="K2121" s="84">
        <v>0</v>
      </c>
      <c r="L2121" s="118">
        <f t="shared" si="325"/>
        <v>0</v>
      </c>
    </row>
    <row r="2122" spans="2:12" ht="17.399999999999999" thickBot="1" x14ac:dyDescent="0.45"/>
    <row r="2123" spans="2:12" ht="17.399999999999999" thickBot="1" x14ac:dyDescent="0.45">
      <c r="F2123" s="292" t="s">
        <v>16</v>
      </c>
      <c r="G2123" s="293"/>
      <c r="H2123" s="293"/>
      <c r="I2123" s="294"/>
      <c r="K2123" s="229">
        <f>+SUM(K2118:K2121)</f>
        <v>15</v>
      </c>
      <c r="L2123" s="119">
        <f>+SUM(L2118:L2121)</f>
        <v>45</v>
      </c>
    </row>
    <row r="2124" spans="2:12" ht="17.399999999999999" thickBot="1" x14ac:dyDescent="0.45"/>
    <row r="2125" spans="2:12" ht="17.399999999999999" thickBot="1" x14ac:dyDescent="0.45">
      <c r="B2125" s="110" t="s">
        <v>17</v>
      </c>
      <c r="C2125" s="300" t="s">
        <v>18</v>
      </c>
      <c r="D2125" s="300"/>
      <c r="E2125" s="300"/>
      <c r="F2125" s="300"/>
      <c r="G2125" s="301"/>
    </row>
    <row r="2126" spans="2:12" x14ac:dyDescent="0.4">
      <c r="B2126" s="114" t="s">
        <v>6</v>
      </c>
      <c r="C2126" s="302" t="s">
        <v>1</v>
      </c>
      <c r="D2126" s="303"/>
      <c r="E2126" s="126"/>
      <c r="F2126" s="120" t="s">
        <v>2</v>
      </c>
      <c r="G2126" s="114" t="s">
        <v>3</v>
      </c>
      <c r="H2126" s="106"/>
      <c r="I2126" s="107" t="s">
        <v>7</v>
      </c>
      <c r="J2126" s="136"/>
      <c r="K2126" s="107" t="s">
        <v>8</v>
      </c>
      <c r="L2126" s="115" t="s">
        <v>194</v>
      </c>
    </row>
    <row r="2127" spans="2:12" x14ac:dyDescent="0.4">
      <c r="B2127" s="74"/>
      <c r="C2127" s="304"/>
      <c r="D2127" s="305"/>
      <c r="E2127" s="127"/>
      <c r="F2127" s="72"/>
      <c r="G2127" s="74"/>
      <c r="I2127" s="84">
        <v>0</v>
      </c>
      <c r="K2127" s="84">
        <f>+F2127*I2127</f>
        <v>0</v>
      </c>
      <c r="L2127" s="118">
        <f>E2127*I2127</f>
        <v>0</v>
      </c>
    </row>
    <row r="2128" spans="2:12" x14ac:dyDescent="0.4">
      <c r="B2128" s="74"/>
      <c r="C2128" s="304"/>
      <c r="D2128" s="305"/>
      <c r="E2128" s="127"/>
      <c r="F2128" s="72"/>
      <c r="G2128" s="74"/>
      <c r="I2128" s="84">
        <v>0</v>
      </c>
      <c r="K2128" s="84">
        <f t="shared" ref="K2128:K2129" si="326">+F2128*I2128</f>
        <v>0</v>
      </c>
      <c r="L2128" s="118">
        <f t="shared" ref="L2128:L2129" si="327">E2128*I2128</f>
        <v>0</v>
      </c>
    </row>
    <row r="2129" spans="2:16" x14ac:dyDescent="0.4">
      <c r="B2129" s="74"/>
      <c r="C2129" s="304"/>
      <c r="D2129" s="305"/>
      <c r="E2129" s="127"/>
      <c r="F2129" s="72"/>
      <c r="G2129" s="74"/>
      <c r="I2129" s="84">
        <v>0</v>
      </c>
      <c r="K2129" s="84">
        <f t="shared" si="326"/>
        <v>0</v>
      </c>
      <c r="L2129" s="118">
        <f t="shared" si="327"/>
        <v>0</v>
      </c>
    </row>
    <row r="2130" spans="2:16" ht="17.399999999999999" thickBot="1" x14ac:dyDescent="0.45">
      <c r="L2130" s="118"/>
    </row>
    <row r="2131" spans="2:16" ht="17.399999999999999" thickBot="1" x14ac:dyDescent="0.45">
      <c r="F2131" s="292" t="s">
        <v>19</v>
      </c>
      <c r="G2131" s="293"/>
      <c r="H2131" s="293"/>
      <c r="I2131" s="294"/>
      <c r="K2131" s="229">
        <f>+SUM(K2127:K2129)</f>
        <v>0</v>
      </c>
      <c r="L2131" s="119">
        <f>+SUM(L2126:L2129)</f>
        <v>0</v>
      </c>
    </row>
    <row r="2132" spans="2:16" ht="15" customHeight="1" x14ac:dyDescent="0.4">
      <c r="F2132" s="128"/>
      <c r="G2132" s="129"/>
      <c r="H2132" s="130"/>
      <c r="I2132" s="108"/>
      <c r="K2132" s="230"/>
    </row>
    <row r="2133" spans="2:16" ht="15" customHeight="1" thickBot="1" x14ac:dyDescent="0.45"/>
    <row r="2134" spans="2:16" ht="17.399999999999999" thickBot="1" x14ac:dyDescent="0.45">
      <c r="F2134" s="292" t="s">
        <v>20</v>
      </c>
      <c r="G2134" s="293"/>
      <c r="H2134" s="293"/>
      <c r="I2134" s="294"/>
      <c r="K2134" s="229">
        <f>(+K2105+K2114+K2123+K2131)</f>
        <v>125</v>
      </c>
      <c r="L2134" s="119">
        <f>(+L2105+L2114+L2123+L2131)</f>
        <v>375</v>
      </c>
      <c r="N2134" s="131"/>
      <c r="O2134" s="39"/>
      <c r="P2134" s="40"/>
    </row>
    <row r="2135" spans="2:16" ht="7.5" customHeight="1" thickBot="1" x14ac:dyDescent="0.45">
      <c r="N2135" s="131"/>
      <c r="O2135" s="41"/>
      <c r="P2135" s="40"/>
    </row>
    <row r="2136" spans="2:16" ht="17.399999999999999" thickBot="1" x14ac:dyDescent="0.45">
      <c r="F2136" s="292" t="s">
        <v>21</v>
      </c>
      <c r="G2136" s="293"/>
      <c r="H2136" s="293"/>
      <c r="I2136" s="294"/>
      <c r="K2136" s="229">
        <f>K2134*$N$2</f>
        <v>50</v>
      </c>
      <c r="L2136" s="119">
        <f>L2134*$N$2</f>
        <v>150</v>
      </c>
    </row>
    <row r="2137" spans="2:16" ht="7.5" customHeight="1" thickBot="1" x14ac:dyDescent="0.45"/>
    <row r="2138" spans="2:16" ht="17.399999999999999" thickBot="1" x14ac:dyDescent="0.45">
      <c r="F2138" s="292" t="s">
        <v>22</v>
      </c>
      <c r="G2138" s="293"/>
      <c r="H2138" s="293"/>
      <c r="I2138" s="294"/>
      <c r="K2138" s="229">
        <f>+K2134+K2136</f>
        <v>175</v>
      </c>
      <c r="L2138" s="119">
        <f>+L2134+L2136</f>
        <v>525</v>
      </c>
    </row>
    <row r="2139" spans="2:16" ht="17.399999999999999" thickBot="1" x14ac:dyDescent="0.45">
      <c r="F2139" s="128"/>
      <c r="G2139" s="129"/>
      <c r="H2139" s="130"/>
      <c r="I2139" s="108"/>
      <c r="K2139" s="231"/>
      <c r="L2139" s="132">
        <f>L2138/I2093</f>
        <v>175</v>
      </c>
      <c r="M2139" s="133">
        <f>(K2138-L2139)*I2093</f>
        <v>0</v>
      </c>
    </row>
    <row r="2140" spans="2:16" x14ac:dyDescent="0.4">
      <c r="F2140" s="128"/>
      <c r="G2140" s="129"/>
      <c r="H2140" s="130"/>
      <c r="I2140" s="108"/>
      <c r="K2140" s="232"/>
      <c r="L2140" s="131"/>
      <c r="M2140" s="134"/>
      <c r="N2140" s="135"/>
    </row>
    <row r="2141" spans="2:16" ht="17.399999999999999" thickBot="1" x14ac:dyDescent="0.45">
      <c r="B2141" s="295"/>
      <c r="C2141" s="295"/>
      <c r="D2141" s="295"/>
    </row>
    <row r="2142" spans="2:16" x14ac:dyDescent="0.4">
      <c r="B2142" s="296" t="s">
        <v>23</v>
      </c>
      <c r="C2142" s="296"/>
      <c r="D2142" s="296"/>
    </row>
    <row r="2143" spans="2:16" x14ac:dyDescent="0.4">
      <c r="B2143" s="157"/>
      <c r="C2143" s="157"/>
      <c r="D2143" s="157"/>
    </row>
    <row r="2144" spans="2:16" x14ac:dyDescent="0.4">
      <c r="B2144" s="157"/>
      <c r="C2144" s="157"/>
      <c r="D2144" s="157"/>
    </row>
    <row r="2145" spans="1:16" x14ac:dyDescent="0.4">
      <c r="B2145" s="105" t="s">
        <v>43</v>
      </c>
      <c r="C2145" s="106"/>
      <c r="D2145" s="311" t="s">
        <v>1</v>
      </c>
      <c r="E2145" s="311"/>
      <c r="F2145" s="311"/>
      <c r="G2145" s="311"/>
      <c r="H2145" s="106"/>
      <c r="I2145" s="107" t="s">
        <v>2</v>
      </c>
      <c r="J2145" s="136"/>
      <c r="K2145" s="107" t="s">
        <v>3</v>
      </c>
    </row>
    <row r="2146" spans="1:16" s="4" customFormat="1" ht="30.75" customHeight="1" x14ac:dyDescent="0.3">
      <c r="A2146" s="31"/>
      <c r="B2146" s="213">
        <f>CATALOGO!B59</f>
        <v>903.01</v>
      </c>
      <c r="C2146" s="71"/>
      <c r="D2146" s="324" t="str">
        <f>CATALOGO!C59</f>
        <v>TUBERÍA AGUA POTABLE PVC Ø 1/2", 315 PSI (INCLUYE ACCESORIOS)</v>
      </c>
      <c r="E2146" s="324"/>
      <c r="F2146" s="324"/>
      <c r="G2146" s="324"/>
      <c r="H2146" s="71"/>
      <c r="I2146" s="213">
        <f>CATALOGO!D111</f>
        <v>37</v>
      </c>
      <c r="J2146" s="109"/>
      <c r="K2146" s="227" t="str">
        <f>CATALOGO!E111</f>
        <v>m²</v>
      </c>
      <c r="L2146" s="71"/>
      <c r="M2146" s="71"/>
      <c r="N2146" s="104"/>
      <c r="O2146" s="37"/>
      <c r="P2146" s="37"/>
    </row>
    <row r="2147" spans="1:16" ht="17.399999999999999" thickBot="1" x14ac:dyDescent="0.45"/>
    <row r="2148" spans="1:16" ht="17.399999999999999" thickBot="1" x14ac:dyDescent="0.45">
      <c r="B2148" s="110" t="s">
        <v>4</v>
      </c>
      <c r="C2148" s="300" t="s">
        <v>5</v>
      </c>
      <c r="D2148" s="300"/>
      <c r="E2148" s="300"/>
      <c r="F2148" s="300"/>
      <c r="G2148" s="301"/>
    </row>
    <row r="2149" spans="1:16" x14ac:dyDescent="0.3">
      <c r="B2149" s="111" t="s">
        <v>6</v>
      </c>
      <c r="C2149" s="313" t="s">
        <v>1</v>
      </c>
      <c r="D2149" s="314"/>
      <c r="E2149" s="112" t="s">
        <v>193</v>
      </c>
      <c r="F2149" s="113" t="s">
        <v>2</v>
      </c>
      <c r="G2149" s="114" t="s">
        <v>3</v>
      </c>
      <c r="H2149" s="106"/>
      <c r="I2149" s="107" t="s">
        <v>7</v>
      </c>
      <c r="J2149" s="136"/>
      <c r="K2149" s="228" t="s">
        <v>8</v>
      </c>
      <c r="L2149" s="115" t="s">
        <v>194</v>
      </c>
      <c r="O2149" s="323"/>
      <c r="P2149" s="323"/>
    </row>
    <row r="2150" spans="1:16" ht="17.25" customHeight="1" x14ac:dyDescent="0.3">
      <c r="B2150" s="122">
        <v>1</v>
      </c>
      <c r="C2150" s="317" t="s">
        <v>111</v>
      </c>
      <c r="D2150" s="318"/>
      <c r="E2150" s="116">
        <f>I2146*0.15</f>
        <v>5.55</v>
      </c>
      <c r="F2150" s="83">
        <f>ROUND(E2150/I2146,2)</f>
        <v>0.15</v>
      </c>
      <c r="G2150" s="74" t="str">
        <f>IF(C2150=0,0,VLOOKUP(C2150,Tabla1[],2,FALSE))</f>
        <v>Unidad</v>
      </c>
      <c r="I2150" s="117">
        <f>IF(C2150=0,0,VLOOKUP(C2150,Tabla1[],3,FALSE))</f>
        <v>40</v>
      </c>
      <c r="K2150" s="84">
        <f>F2150*I2150</f>
        <v>6</v>
      </c>
      <c r="L2150" s="118">
        <f t="shared" ref="L2150:L2153" si="328">E2150*I2150</f>
        <v>222</v>
      </c>
      <c r="O2150" s="44"/>
      <c r="P2150" s="45"/>
    </row>
    <row r="2151" spans="1:16" x14ac:dyDescent="0.4">
      <c r="B2151" s="122">
        <v>2</v>
      </c>
      <c r="C2151" s="317" t="s">
        <v>290</v>
      </c>
      <c r="D2151" s="318"/>
      <c r="E2151" s="116">
        <f>I2146</f>
        <v>37</v>
      </c>
      <c r="F2151" s="83">
        <f>ROUND(E2151/I2146,2)</f>
        <v>1</v>
      </c>
      <c r="G2151" s="74" t="str">
        <f>IF(C2151=0,0,VLOOKUP(C2151,Tabla1[],2,FALSE))</f>
        <v>Unidad</v>
      </c>
      <c r="I2151" s="117">
        <f>IF(C2151=0,0,VLOOKUP(C2151,Tabla1[],3,FALSE))</f>
        <v>5</v>
      </c>
      <c r="K2151" s="84">
        <f t="shared" ref="K2151:K2153" si="329">+F2151*I2151</f>
        <v>5</v>
      </c>
      <c r="L2151" s="118">
        <f t="shared" si="328"/>
        <v>185</v>
      </c>
      <c r="P2151" s="45"/>
    </row>
    <row r="2152" spans="1:16" x14ac:dyDescent="0.4">
      <c r="B2152" s="122">
        <v>3</v>
      </c>
      <c r="C2152" s="317" t="s">
        <v>130</v>
      </c>
      <c r="D2152" s="318"/>
      <c r="E2152" s="116">
        <f>I2146*0.01</f>
        <v>0.37</v>
      </c>
      <c r="F2152" s="83">
        <f>ROUND(E2152/I2146,2)</f>
        <v>0.01</v>
      </c>
      <c r="G2152" s="74" t="str">
        <f>IF(C2152=0,0,VLOOKUP(C2152,Tabla1[],2,FALSE))</f>
        <v>Galón</v>
      </c>
      <c r="I2152" s="117">
        <f>IF(C2152=0,0,VLOOKUP(C2152,Tabla1[],3,FALSE))</f>
        <v>400</v>
      </c>
      <c r="K2152" s="84">
        <f t="shared" si="329"/>
        <v>4</v>
      </c>
      <c r="L2152" s="118">
        <f t="shared" si="328"/>
        <v>148</v>
      </c>
      <c r="O2152" s="48"/>
      <c r="P2152" s="49"/>
    </row>
    <row r="2153" spans="1:16" x14ac:dyDescent="0.4">
      <c r="B2153" s="122">
        <v>4</v>
      </c>
      <c r="C2153" s="317" t="s">
        <v>299</v>
      </c>
      <c r="D2153" s="318"/>
      <c r="E2153" s="116">
        <f>I2146</f>
        <v>37</v>
      </c>
      <c r="F2153" s="83">
        <f>ROUND(E2153/I2146,2)</f>
        <v>1</v>
      </c>
      <c r="G2153" s="74" t="str">
        <f>IF(C2153=0,0,VLOOKUP(C2153,Tabla1[],2,FALSE))</f>
        <v>Unidad</v>
      </c>
      <c r="I2153" s="117">
        <f>IF(C2153=0,0,VLOOKUP(C2153,Tabla1[],3,FALSE))</f>
        <v>5</v>
      </c>
      <c r="K2153" s="84">
        <f t="shared" si="329"/>
        <v>5</v>
      </c>
      <c r="L2153" s="118">
        <f t="shared" si="328"/>
        <v>185</v>
      </c>
      <c r="O2153" s="48"/>
      <c r="P2153" s="49"/>
    </row>
    <row r="2154" spans="1:16" x14ac:dyDescent="0.4">
      <c r="B2154" s="122"/>
      <c r="C2154" s="210"/>
      <c r="D2154" s="209"/>
      <c r="E2154" s="116"/>
      <c r="F2154" s="83"/>
      <c r="G2154" s="74"/>
      <c r="I2154" s="117"/>
      <c r="K2154" s="84"/>
      <c r="L2154" s="118"/>
      <c r="O2154" s="48"/>
      <c r="P2154" s="49"/>
    </row>
    <row r="2155" spans="1:16" x14ac:dyDescent="0.4">
      <c r="B2155" s="122"/>
      <c r="C2155" s="210"/>
      <c r="D2155" s="209"/>
      <c r="E2155" s="116"/>
      <c r="F2155" s="83"/>
      <c r="G2155" s="74"/>
      <c r="I2155" s="117"/>
      <c r="K2155" s="84"/>
      <c r="L2155" s="118"/>
      <c r="O2155" s="48"/>
      <c r="P2155" s="49"/>
    </row>
    <row r="2156" spans="1:16" x14ac:dyDescent="0.4">
      <c r="B2156" s="122"/>
      <c r="C2156" s="210"/>
      <c r="D2156" s="209"/>
      <c r="E2156" s="116"/>
      <c r="F2156" s="83"/>
      <c r="G2156" s="74"/>
      <c r="I2156" s="117"/>
      <c r="K2156" s="84"/>
      <c r="L2156" s="118"/>
      <c r="O2156" s="48"/>
      <c r="P2156" s="49"/>
    </row>
    <row r="2157" spans="1:16" ht="17.399999999999999" thickBot="1" x14ac:dyDescent="0.45"/>
    <row r="2158" spans="1:16" ht="17.399999999999999" thickBot="1" x14ac:dyDescent="0.35">
      <c r="F2158" s="292" t="s">
        <v>9</v>
      </c>
      <c r="G2158" s="293"/>
      <c r="H2158" s="293"/>
      <c r="I2158" s="294"/>
      <c r="K2158" s="229">
        <f>+SUM(K2150:K2156)</f>
        <v>20</v>
      </c>
      <c r="L2158" s="119">
        <f>+SUM(L2150:L2156)</f>
        <v>740</v>
      </c>
      <c r="O2158" s="38"/>
      <c r="P2158" s="38"/>
    </row>
    <row r="2159" spans="1:16" ht="17.399999999999999" thickBot="1" x14ac:dyDescent="0.45">
      <c r="O2159" s="42"/>
      <c r="P2159" s="43"/>
    </row>
    <row r="2160" spans="1:16" ht="17.399999999999999" thickBot="1" x14ac:dyDescent="0.45">
      <c r="B2160" s="110" t="s">
        <v>10</v>
      </c>
      <c r="C2160" s="300" t="s">
        <v>11</v>
      </c>
      <c r="D2160" s="300"/>
      <c r="E2160" s="300"/>
      <c r="F2160" s="300"/>
      <c r="G2160" s="301"/>
    </row>
    <row r="2161" spans="2:12" x14ac:dyDescent="0.4">
      <c r="B2161" s="114" t="s">
        <v>6</v>
      </c>
      <c r="C2161" s="302" t="s">
        <v>1</v>
      </c>
      <c r="D2161" s="303"/>
      <c r="E2161" s="112" t="s">
        <v>193</v>
      </c>
      <c r="F2161" s="120" t="s">
        <v>2</v>
      </c>
      <c r="G2161" s="114" t="s">
        <v>3</v>
      </c>
      <c r="H2161" s="106"/>
      <c r="I2161" s="107" t="s">
        <v>7</v>
      </c>
      <c r="J2161" s="136"/>
      <c r="K2161" s="107" t="s">
        <v>8</v>
      </c>
      <c r="L2161" s="115" t="s">
        <v>194</v>
      </c>
    </row>
    <row r="2162" spans="2:12" x14ac:dyDescent="0.4">
      <c r="B2162" s="122"/>
      <c r="C2162" s="306"/>
      <c r="D2162" s="306"/>
      <c r="E2162" s="116"/>
      <c r="F2162" s="83"/>
      <c r="G2162" s="74"/>
      <c r="I2162" s="117">
        <f>IF(C2162=0,0,VLOOKUP(C2162,Tabla3[],3,FALSE))</f>
        <v>0</v>
      </c>
      <c r="K2162" s="84">
        <f>F2162*I2162</f>
        <v>0</v>
      </c>
      <c r="L2162" s="118">
        <f>E2162*I2162</f>
        <v>0</v>
      </c>
    </row>
    <row r="2163" spans="2:12" x14ac:dyDescent="0.4">
      <c r="B2163" s="74"/>
      <c r="C2163" s="309"/>
      <c r="D2163" s="310"/>
      <c r="E2163" s="121"/>
      <c r="F2163" s="72"/>
      <c r="G2163" s="74"/>
      <c r="I2163" s="117">
        <f>IF(C2163=0,0,VLOOKUP(C2163,Tabla3[],3,FALSE))</f>
        <v>0</v>
      </c>
      <c r="K2163" s="84">
        <f t="shared" ref="K2163:K2165" si="330">+F2163*I2163</f>
        <v>0</v>
      </c>
      <c r="L2163" s="118">
        <f t="shared" ref="L2163:L2165" si="331">E2163*I2163</f>
        <v>0</v>
      </c>
    </row>
    <row r="2164" spans="2:12" x14ac:dyDescent="0.4">
      <c r="B2164" s="74"/>
      <c r="C2164" s="309"/>
      <c r="D2164" s="310"/>
      <c r="E2164" s="121"/>
      <c r="F2164" s="72"/>
      <c r="G2164" s="74"/>
      <c r="I2164" s="117">
        <f>IF(C2164=0,0,VLOOKUP(C2164,Tabla3[],3,FALSE))</f>
        <v>0</v>
      </c>
      <c r="K2164" s="84">
        <f t="shared" si="330"/>
        <v>0</v>
      </c>
      <c r="L2164" s="118">
        <f t="shared" si="331"/>
        <v>0</v>
      </c>
    </row>
    <row r="2165" spans="2:12" x14ac:dyDescent="0.4">
      <c r="B2165" s="74"/>
      <c r="C2165" s="304"/>
      <c r="D2165" s="305"/>
      <c r="E2165" s="121"/>
      <c r="F2165" s="72"/>
      <c r="G2165" s="74"/>
      <c r="I2165" s="117">
        <f>IF(C2165=0,0,VLOOKUP(C2165,Tabla3[],3,FALSE))</f>
        <v>0</v>
      </c>
      <c r="K2165" s="84">
        <f t="shared" si="330"/>
        <v>0</v>
      </c>
      <c r="L2165" s="118">
        <f t="shared" si="331"/>
        <v>0</v>
      </c>
    </row>
    <row r="2166" spans="2:12" ht="17.399999999999999" thickBot="1" x14ac:dyDescent="0.45"/>
    <row r="2167" spans="2:12" ht="17.399999999999999" thickBot="1" x14ac:dyDescent="0.45">
      <c r="F2167" s="292" t="s">
        <v>12</v>
      </c>
      <c r="G2167" s="293"/>
      <c r="H2167" s="293"/>
      <c r="I2167" s="294"/>
      <c r="K2167" s="229">
        <f>+SUM(K2162:K2165)</f>
        <v>0</v>
      </c>
      <c r="L2167" s="119">
        <f>+SUM(L2162:L2165)</f>
        <v>0</v>
      </c>
    </row>
    <row r="2168" spans="2:12" ht="17.399999999999999" thickBot="1" x14ac:dyDescent="0.45"/>
    <row r="2169" spans="2:12" ht="17.399999999999999" thickBot="1" x14ac:dyDescent="0.45">
      <c r="B2169" s="110" t="s">
        <v>13</v>
      </c>
      <c r="C2169" s="300" t="s">
        <v>14</v>
      </c>
      <c r="D2169" s="300"/>
      <c r="E2169" s="300"/>
      <c r="F2169" s="300"/>
      <c r="G2169" s="301"/>
    </row>
    <row r="2170" spans="2:12" x14ac:dyDescent="0.4">
      <c r="B2170" s="114" t="s">
        <v>6</v>
      </c>
      <c r="C2170" s="302" t="s">
        <v>1</v>
      </c>
      <c r="D2170" s="303"/>
      <c r="E2170" s="112" t="s">
        <v>193</v>
      </c>
      <c r="F2170" s="120" t="s">
        <v>2</v>
      </c>
      <c r="G2170" s="114" t="s">
        <v>3</v>
      </c>
      <c r="H2170" s="106"/>
      <c r="I2170" s="107" t="s">
        <v>7</v>
      </c>
      <c r="J2170" s="136"/>
      <c r="K2170" s="107" t="s">
        <v>8</v>
      </c>
      <c r="L2170" s="115" t="s">
        <v>194</v>
      </c>
    </row>
    <row r="2171" spans="2:12" x14ac:dyDescent="0.4">
      <c r="B2171" s="122">
        <v>1</v>
      </c>
      <c r="C2171" s="306" t="s">
        <v>288</v>
      </c>
      <c r="D2171" s="306"/>
      <c r="E2171" s="116">
        <f>I2146</f>
        <v>37</v>
      </c>
      <c r="F2171" s="83">
        <f>ROUND(E2171/I2146,2)</f>
        <v>1</v>
      </c>
      <c r="G2171" s="74" t="str">
        <f>IF(C2171=0,0,VLOOKUP(C2171,Tabla2[],2,FALSE))</f>
        <v>ml</v>
      </c>
      <c r="I2171" s="117">
        <f>IF(C2171=0,0,VLOOKUP(C2171,Tabla2[],3,FALSE))</f>
        <v>35</v>
      </c>
      <c r="K2171" s="84">
        <f>+F2171*I2171</f>
        <v>35</v>
      </c>
      <c r="L2171" s="118">
        <f>E2171*I2171</f>
        <v>1295</v>
      </c>
    </row>
    <row r="2172" spans="2:12" x14ac:dyDescent="0.4">
      <c r="B2172" s="122"/>
      <c r="C2172" s="306"/>
      <c r="D2172" s="306"/>
      <c r="E2172" s="116"/>
      <c r="F2172" s="83"/>
      <c r="G2172" s="74"/>
      <c r="I2172" s="117">
        <f>IF(C2172=0,0,VLOOKUP(C2172,Tabla2[],3,FALSE))</f>
        <v>0</v>
      </c>
      <c r="K2172" s="84">
        <f>+F2172*I2172</f>
        <v>0</v>
      </c>
      <c r="L2172" s="118">
        <f>E2172*I2172</f>
        <v>0</v>
      </c>
    </row>
    <row r="2173" spans="2:12" ht="17.399999999999999" thickBot="1" x14ac:dyDescent="0.45">
      <c r="B2173" s="123"/>
      <c r="C2173" s="307"/>
      <c r="D2173" s="308"/>
      <c r="E2173" s="124"/>
      <c r="F2173" s="125"/>
      <c r="G2173" s="74"/>
      <c r="I2173" s="117">
        <f>IF(C2173=0,0,VLOOKUP(C2173,Tabla2[],3,FALSE))</f>
        <v>0</v>
      </c>
      <c r="K2173" s="84">
        <f t="shared" ref="K2173" si="332">+F2173*I2173</f>
        <v>0</v>
      </c>
      <c r="L2173" s="118">
        <f t="shared" ref="L2173:L2174" si="333">E2173*I2173</f>
        <v>0</v>
      </c>
    </row>
    <row r="2174" spans="2:12" ht="17.399999999999999" thickBot="1" x14ac:dyDescent="0.45">
      <c r="B2174" s="297" t="s">
        <v>15</v>
      </c>
      <c r="C2174" s="298"/>
      <c r="D2174" s="298"/>
      <c r="E2174" s="298"/>
      <c r="F2174" s="298"/>
      <c r="G2174" s="299"/>
      <c r="I2174" s="84">
        <v>0</v>
      </c>
      <c r="K2174" s="84">
        <v>0</v>
      </c>
      <c r="L2174" s="118">
        <f t="shared" si="333"/>
        <v>0</v>
      </c>
    </row>
    <row r="2175" spans="2:12" ht="17.399999999999999" thickBot="1" x14ac:dyDescent="0.45"/>
    <row r="2176" spans="2:12" ht="17.399999999999999" thickBot="1" x14ac:dyDescent="0.45">
      <c r="F2176" s="292" t="s">
        <v>16</v>
      </c>
      <c r="G2176" s="293"/>
      <c r="H2176" s="293"/>
      <c r="I2176" s="294"/>
      <c r="K2176" s="229">
        <f>+SUM(K2171:K2174)</f>
        <v>35</v>
      </c>
      <c r="L2176" s="119">
        <f>+SUM(L2171:L2174)</f>
        <v>1295</v>
      </c>
    </row>
    <row r="2177" spans="2:16" ht="17.399999999999999" thickBot="1" x14ac:dyDescent="0.45"/>
    <row r="2178" spans="2:16" ht="17.399999999999999" thickBot="1" x14ac:dyDescent="0.45">
      <c r="B2178" s="110" t="s">
        <v>17</v>
      </c>
      <c r="C2178" s="300" t="s">
        <v>18</v>
      </c>
      <c r="D2178" s="300"/>
      <c r="E2178" s="300"/>
      <c r="F2178" s="300"/>
      <c r="G2178" s="301"/>
    </row>
    <row r="2179" spans="2:16" x14ac:dyDescent="0.4">
      <c r="B2179" s="114" t="s">
        <v>6</v>
      </c>
      <c r="C2179" s="302" t="s">
        <v>1</v>
      </c>
      <c r="D2179" s="303"/>
      <c r="E2179" s="126"/>
      <c r="F2179" s="120" t="s">
        <v>2</v>
      </c>
      <c r="G2179" s="114" t="s">
        <v>3</v>
      </c>
      <c r="H2179" s="106"/>
      <c r="I2179" s="107" t="s">
        <v>7</v>
      </c>
      <c r="J2179" s="136"/>
      <c r="K2179" s="107" t="s">
        <v>8</v>
      </c>
      <c r="L2179" s="115" t="s">
        <v>194</v>
      </c>
    </row>
    <row r="2180" spans="2:16" x14ac:dyDescent="0.4">
      <c r="B2180" s="74"/>
      <c r="C2180" s="304"/>
      <c r="D2180" s="305"/>
      <c r="E2180" s="127"/>
      <c r="F2180" s="72"/>
      <c r="G2180" s="74"/>
      <c r="I2180" s="84">
        <v>0</v>
      </c>
      <c r="K2180" s="84">
        <f>+F2180*I2180</f>
        <v>0</v>
      </c>
      <c r="L2180" s="118">
        <f>E2180*I2180</f>
        <v>0</v>
      </c>
    </row>
    <row r="2181" spans="2:16" x14ac:dyDescent="0.4">
      <c r="B2181" s="74"/>
      <c r="C2181" s="304"/>
      <c r="D2181" s="305"/>
      <c r="E2181" s="127"/>
      <c r="F2181" s="72"/>
      <c r="G2181" s="74"/>
      <c r="I2181" s="84">
        <v>0</v>
      </c>
      <c r="K2181" s="84">
        <f t="shared" ref="K2181:K2182" si="334">+F2181*I2181</f>
        <v>0</v>
      </c>
      <c r="L2181" s="118">
        <f t="shared" ref="L2181:L2182" si="335">E2181*I2181</f>
        <v>0</v>
      </c>
    </row>
    <row r="2182" spans="2:16" x14ac:dyDescent="0.4">
      <c r="B2182" s="74"/>
      <c r="C2182" s="304"/>
      <c r="D2182" s="305"/>
      <c r="E2182" s="127"/>
      <c r="F2182" s="72"/>
      <c r="G2182" s="74"/>
      <c r="I2182" s="84">
        <v>0</v>
      </c>
      <c r="K2182" s="84">
        <f t="shared" si="334"/>
        <v>0</v>
      </c>
      <c r="L2182" s="118">
        <f t="shared" si="335"/>
        <v>0</v>
      </c>
    </row>
    <row r="2183" spans="2:16" ht="17.399999999999999" thickBot="1" x14ac:dyDescent="0.45">
      <c r="L2183" s="118"/>
    </row>
    <row r="2184" spans="2:16" ht="17.399999999999999" thickBot="1" x14ac:dyDescent="0.45">
      <c r="F2184" s="292" t="s">
        <v>19</v>
      </c>
      <c r="G2184" s="293"/>
      <c r="H2184" s="293"/>
      <c r="I2184" s="294"/>
      <c r="K2184" s="229">
        <f>+SUM(K2180:K2182)</f>
        <v>0</v>
      </c>
      <c r="L2184" s="119">
        <f>+SUM(L2179:L2182)</f>
        <v>0</v>
      </c>
    </row>
    <row r="2185" spans="2:16" ht="15" customHeight="1" x14ac:dyDescent="0.4">
      <c r="F2185" s="128"/>
      <c r="G2185" s="129"/>
      <c r="H2185" s="130"/>
      <c r="I2185" s="108"/>
      <c r="K2185" s="230"/>
    </row>
    <row r="2186" spans="2:16" ht="15" customHeight="1" thickBot="1" x14ac:dyDescent="0.45"/>
    <row r="2187" spans="2:16" ht="17.399999999999999" thickBot="1" x14ac:dyDescent="0.45">
      <c r="F2187" s="292" t="s">
        <v>20</v>
      </c>
      <c r="G2187" s="293"/>
      <c r="H2187" s="293"/>
      <c r="I2187" s="294"/>
      <c r="K2187" s="229">
        <f>(+K2158+K2167+K2176+K2184)</f>
        <v>55</v>
      </c>
      <c r="L2187" s="119">
        <f>(+L2158+L2167+L2176+L2184)</f>
        <v>2035</v>
      </c>
      <c r="N2187" s="131"/>
      <c r="O2187" s="39"/>
      <c r="P2187" s="40"/>
    </row>
    <row r="2188" spans="2:16" ht="7.5" customHeight="1" thickBot="1" x14ac:dyDescent="0.45">
      <c r="N2188" s="131"/>
      <c r="O2188" s="41"/>
      <c r="P2188" s="40"/>
    </row>
    <row r="2189" spans="2:16" ht="17.399999999999999" thickBot="1" x14ac:dyDescent="0.45">
      <c r="F2189" s="292" t="s">
        <v>21</v>
      </c>
      <c r="G2189" s="293"/>
      <c r="H2189" s="293"/>
      <c r="I2189" s="294"/>
      <c r="K2189" s="229">
        <f>K2187*$N$2</f>
        <v>22</v>
      </c>
      <c r="L2189" s="119">
        <f>L2187*$N$2</f>
        <v>814</v>
      </c>
    </row>
    <row r="2190" spans="2:16" ht="7.5" customHeight="1" thickBot="1" x14ac:dyDescent="0.45"/>
    <row r="2191" spans="2:16" ht="17.399999999999999" thickBot="1" x14ac:dyDescent="0.45">
      <c r="F2191" s="292" t="s">
        <v>22</v>
      </c>
      <c r="G2191" s="293"/>
      <c r="H2191" s="293"/>
      <c r="I2191" s="294"/>
      <c r="K2191" s="229">
        <f>+K2187+K2189</f>
        <v>77</v>
      </c>
      <c r="L2191" s="119">
        <f>+L2187+L2189</f>
        <v>2849</v>
      </c>
    </row>
    <row r="2192" spans="2:16" ht="17.399999999999999" thickBot="1" x14ac:dyDescent="0.45">
      <c r="F2192" s="128"/>
      <c r="G2192" s="129"/>
      <c r="H2192" s="130"/>
      <c r="I2192" s="108"/>
      <c r="K2192" s="231"/>
      <c r="L2192" s="132">
        <f>L2191/I2146</f>
        <v>77</v>
      </c>
      <c r="M2192" s="133">
        <f>(K2191-L2192)*I2146</f>
        <v>0</v>
      </c>
    </row>
    <row r="2193" spans="1:16" x14ac:dyDescent="0.4">
      <c r="F2193" s="128"/>
      <c r="G2193" s="129"/>
      <c r="H2193" s="130"/>
      <c r="I2193" s="108"/>
      <c r="K2193" s="232"/>
      <c r="L2193" s="131"/>
      <c r="M2193" s="134"/>
      <c r="N2193" s="135"/>
    </row>
    <row r="2194" spans="1:16" ht="17.399999999999999" thickBot="1" x14ac:dyDescent="0.45">
      <c r="B2194" s="295"/>
      <c r="C2194" s="295"/>
      <c r="D2194" s="295"/>
    </row>
    <row r="2195" spans="1:16" x14ac:dyDescent="0.4">
      <c r="B2195" s="296" t="s">
        <v>23</v>
      </c>
      <c r="C2195" s="296"/>
      <c r="D2195" s="296"/>
    </row>
    <row r="2196" spans="1:16" x14ac:dyDescent="0.4">
      <c r="B2196" s="157"/>
      <c r="C2196" s="157"/>
      <c r="D2196" s="157"/>
    </row>
    <row r="2197" spans="1:16" x14ac:dyDescent="0.4">
      <c r="B2197" s="157"/>
      <c r="C2197" s="157"/>
      <c r="D2197" s="157"/>
    </row>
    <row r="2198" spans="1:16" x14ac:dyDescent="0.4">
      <c r="B2198" s="105" t="s">
        <v>43</v>
      </c>
      <c r="C2198" s="106"/>
      <c r="D2198" s="311" t="s">
        <v>1</v>
      </c>
      <c r="E2198" s="311"/>
      <c r="F2198" s="311"/>
      <c r="G2198" s="311"/>
      <c r="H2198" s="106"/>
      <c r="I2198" s="107" t="s">
        <v>2</v>
      </c>
      <c r="J2198" s="136"/>
      <c r="K2198" s="107" t="s">
        <v>3</v>
      </c>
    </row>
    <row r="2199" spans="1:16" s="4" customFormat="1" ht="30.75" customHeight="1" x14ac:dyDescent="0.3">
      <c r="A2199" s="31"/>
      <c r="B2199" s="213">
        <f>CATALOGO!B60</f>
        <v>903.02</v>
      </c>
      <c r="C2199" s="71"/>
      <c r="D2199" s="324" t="str">
        <f>CATALOGO!C60</f>
        <v>TUBERÍA AGUA POTABLE PVC Ø 3/4", 250 PSI (INCLUYE ACCESORIOS)</v>
      </c>
      <c r="E2199" s="324"/>
      <c r="F2199" s="324"/>
      <c r="G2199" s="324"/>
      <c r="H2199" s="71"/>
      <c r="I2199" s="213">
        <f>CATALOGO!D60</f>
        <v>11</v>
      </c>
      <c r="J2199" s="109"/>
      <c r="K2199" s="227" t="str">
        <f>CATALOGO!E60</f>
        <v>ml</v>
      </c>
      <c r="L2199" s="71"/>
      <c r="M2199" s="71"/>
      <c r="N2199" s="104"/>
      <c r="O2199" s="37"/>
      <c r="P2199" s="37"/>
    </row>
    <row r="2200" spans="1:16" ht="17.399999999999999" thickBot="1" x14ac:dyDescent="0.45"/>
    <row r="2201" spans="1:16" ht="17.399999999999999" thickBot="1" x14ac:dyDescent="0.45">
      <c r="B2201" s="110" t="s">
        <v>4</v>
      </c>
      <c r="C2201" s="300" t="s">
        <v>5</v>
      </c>
      <c r="D2201" s="300"/>
      <c r="E2201" s="300"/>
      <c r="F2201" s="300"/>
      <c r="G2201" s="301"/>
    </row>
    <row r="2202" spans="1:16" x14ac:dyDescent="0.3">
      <c r="B2202" s="111" t="s">
        <v>6</v>
      </c>
      <c r="C2202" s="313" t="s">
        <v>1</v>
      </c>
      <c r="D2202" s="314"/>
      <c r="E2202" s="112" t="s">
        <v>193</v>
      </c>
      <c r="F2202" s="113" t="s">
        <v>2</v>
      </c>
      <c r="G2202" s="114" t="s">
        <v>3</v>
      </c>
      <c r="H2202" s="106"/>
      <c r="I2202" s="107" t="s">
        <v>7</v>
      </c>
      <c r="J2202" s="136"/>
      <c r="K2202" s="228" t="s">
        <v>8</v>
      </c>
      <c r="L2202" s="115" t="s">
        <v>194</v>
      </c>
      <c r="O2202" s="323"/>
      <c r="P2202" s="323"/>
    </row>
    <row r="2203" spans="1:16" ht="17.25" customHeight="1" x14ac:dyDescent="0.3">
      <c r="B2203" s="122">
        <v>1</v>
      </c>
      <c r="C2203" s="317" t="s">
        <v>109</v>
      </c>
      <c r="D2203" s="318"/>
      <c r="E2203" s="116">
        <f>I2199*0.2</f>
        <v>2.2000000000000002</v>
      </c>
      <c r="F2203" s="83">
        <f>ROUND(E2203/I2199,2)</f>
        <v>0.2</v>
      </c>
      <c r="G2203" s="74" t="str">
        <f>IF(C2203=0,0,VLOOKUP(C2203,Tabla1[],2,FALSE))</f>
        <v>Unidad</v>
      </c>
      <c r="I2203" s="117">
        <f>IF(C2203=0,0,VLOOKUP(C2203,Tabla1[],3,FALSE))</f>
        <v>50</v>
      </c>
      <c r="K2203" s="84">
        <f>F2203*I2203</f>
        <v>10</v>
      </c>
      <c r="L2203" s="118">
        <f t="shared" ref="L2203:L2212" si="336">E2203*I2203</f>
        <v>110.00000000000001</v>
      </c>
      <c r="O2203" s="44"/>
      <c r="P2203" s="45"/>
    </row>
    <row r="2204" spans="1:16" x14ac:dyDescent="0.4">
      <c r="B2204" s="122">
        <v>2</v>
      </c>
      <c r="C2204" s="317" t="s">
        <v>292</v>
      </c>
      <c r="D2204" s="318"/>
      <c r="E2204" s="116">
        <f>I2199*2.2</f>
        <v>24.200000000000003</v>
      </c>
      <c r="F2204" s="83">
        <f>ROUND(E2204/I2199,2)</f>
        <v>2.2000000000000002</v>
      </c>
      <c r="G2204" s="74" t="str">
        <f>IF(C2204=0,0,VLOOKUP(C2204,Tabla1[],2,FALSE))</f>
        <v>Unidad</v>
      </c>
      <c r="I2204" s="117">
        <f>IF(C2204=0,0,VLOOKUP(C2204,Tabla1[],3,FALSE))</f>
        <v>5</v>
      </c>
      <c r="K2204" s="84">
        <f t="shared" ref="K2204:K2212" si="337">+F2204*I2204</f>
        <v>11</v>
      </c>
      <c r="L2204" s="118">
        <f t="shared" si="336"/>
        <v>121.00000000000001</v>
      </c>
      <c r="P2204" s="45"/>
    </row>
    <row r="2205" spans="1:16" x14ac:dyDescent="0.4">
      <c r="B2205" s="122">
        <v>3</v>
      </c>
      <c r="C2205" s="317" t="s">
        <v>130</v>
      </c>
      <c r="D2205" s="318"/>
      <c r="E2205" s="116">
        <f>I2199*0.01</f>
        <v>0.11</v>
      </c>
      <c r="F2205" s="83">
        <f>ROUND(E2205/I2199,2)</f>
        <v>0.01</v>
      </c>
      <c r="G2205" s="74" t="str">
        <f>IF(C2205=0,0,VLOOKUP(C2205,Tabla1[],2,FALSE))</f>
        <v>Galón</v>
      </c>
      <c r="I2205" s="117">
        <f>IF(C2205=0,0,VLOOKUP(C2205,Tabla1[],3,FALSE))</f>
        <v>400</v>
      </c>
      <c r="K2205" s="84">
        <f t="shared" si="337"/>
        <v>4</v>
      </c>
      <c r="L2205" s="118">
        <f t="shared" si="336"/>
        <v>44</v>
      </c>
      <c r="O2205" s="48"/>
      <c r="P2205" s="49"/>
    </row>
    <row r="2206" spans="1:16" x14ac:dyDescent="0.4">
      <c r="B2206" s="122"/>
      <c r="C2206" s="210"/>
      <c r="D2206" s="209"/>
      <c r="E2206" s="116"/>
      <c r="F2206" s="83"/>
      <c r="G2206" s="74"/>
      <c r="I2206" s="117">
        <f>IF(C2206=0,0,VLOOKUP(C2206,Tabla1[],3,FALSE))</f>
        <v>0</v>
      </c>
      <c r="K2206" s="84">
        <f t="shared" ref="K2206:K2209" si="338">+F2206*I2206</f>
        <v>0</v>
      </c>
      <c r="L2206" s="118">
        <f t="shared" ref="L2206:L2209" si="339">E2206*I2206</f>
        <v>0</v>
      </c>
      <c r="O2206" s="48"/>
      <c r="P2206" s="49"/>
    </row>
    <row r="2207" spans="1:16" x14ac:dyDescent="0.4">
      <c r="B2207" s="122"/>
      <c r="C2207" s="210"/>
      <c r="D2207" s="209"/>
      <c r="E2207" s="116"/>
      <c r="F2207" s="83"/>
      <c r="G2207" s="74"/>
      <c r="I2207" s="117">
        <f>IF(C2207=0,0,VLOOKUP(C2207,Tabla1[],3,FALSE))</f>
        <v>0</v>
      </c>
      <c r="K2207" s="84">
        <f t="shared" si="338"/>
        <v>0</v>
      </c>
      <c r="L2207" s="118">
        <f t="shared" si="339"/>
        <v>0</v>
      </c>
      <c r="O2207" s="48"/>
      <c r="P2207" s="49"/>
    </row>
    <row r="2208" spans="1:16" x14ac:dyDescent="0.4">
      <c r="B2208" s="122"/>
      <c r="C2208" s="210"/>
      <c r="D2208" s="209"/>
      <c r="E2208" s="116"/>
      <c r="F2208" s="83"/>
      <c r="G2208" s="74"/>
      <c r="I2208" s="117">
        <f>IF(C2208=0,0,VLOOKUP(C2208,Tabla1[],3,FALSE))</f>
        <v>0</v>
      </c>
      <c r="K2208" s="84">
        <f t="shared" si="338"/>
        <v>0</v>
      </c>
      <c r="L2208" s="118">
        <f t="shared" si="339"/>
        <v>0</v>
      </c>
      <c r="O2208" s="48"/>
      <c r="P2208" s="49"/>
    </row>
    <row r="2209" spans="2:16" x14ac:dyDescent="0.4">
      <c r="B2209" s="122"/>
      <c r="C2209" s="317"/>
      <c r="D2209" s="318"/>
      <c r="E2209" s="116"/>
      <c r="F2209" s="83"/>
      <c r="G2209" s="74"/>
      <c r="I2209" s="117">
        <f>IF(C2209=0,0,VLOOKUP(C2209,Tabla1[],3,FALSE))</f>
        <v>0</v>
      </c>
      <c r="K2209" s="84">
        <f t="shared" si="338"/>
        <v>0</v>
      </c>
      <c r="L2209" s="118">
        <f t="shared" si="339"/>
        <v>0</v>
      </c>
      <c r="O2209" s="48"/>
      <c r="P2209" s="49"/>
    </row>
    <row r="2210" spans="2:16" x14ac:dyDescent="0.4">
      <c r="B2210" s="122"/>
      <c r="C2210" s="317"/>
      <c r="D2210" s="318"/>
      <c r="E2210" s="116"/>
      <c r="F2210" s="83"/>
      <c r="G2210" s="74"/>
      <c r="I2210" s="117">
        <f>IF(C2210=0,0,VLOOKUP(C2210,Tabla1[],3,FALSE))</f>
        <v>0</v>
      </c>
      <c r="K2210" s="84">
        <f t="shared" si="337"/>
        <v>0</v>
      </c>
      <c r="L2210" s="118">
        <f t="shared" si="336"/>
        <v>0</v>
      </c>
      <c r="O2210" s="48"/>
      <c r="P2210" s="49"/>
    </row>
    <row r="2211" spans="2:16" x14ac:dyDescent="0.4">
      <c r="B2211" s="122"/>
      <c r="C2211" s="309"/>
      <c r="D2211" s="310"/>
      <c r="E2211" s="116"/>
      <c r="F2211" s="83"/>
      <c r="G2211" s="74"/>
      <c r="I2211" s="117">
        <f>IF(C2211=0,0,VLOOKUP(C2211,Tabla1[],3,FALSE))</f>
        <v>0</v>
      </c>
      <c r="K2211" s="84">
        <f t="shared" si="337"/>
        <v>0</v>
      </c>
      <c r="L2211" s="118">
        <f t="shared" si="336"/>
        <v>0</v>
      </c>
      <c r="O2211" s="48"/>
      <c r="P2211" s="49"/>
    </row>
    <row r="2212" spans="2:16" x14ac:dyDescent="0.4">
      <c r="B2212" s="122"/>
      <c r="C2212" s="319"/>
      <c r="D2212" s="318"/>
      <c r="E2212" s="116"/>
      <c r="F2212" s="83"/>
      <c r="G2212" s="74"/>
      <c r="I2212" s="117">
        <f>IF(C2212=0,0,VLOOKUP(C2212,Tabla1[],3,FALSE))</f>
        <v>0</v>
      </c>
      <c r="K2212" s="84">
        <f t="shared" si="337"/>
        <v>0</v>
      </c>
      <c r="L2212" s="118">
        <f t="shared" si="336"/>
        <v>0</v>
      </c>
      <c r="O2212" s="48"/>
      <c r="P2212" s="49"/>
    </row>
    <row r="2213" spans="2:16" ht="17.399999999999999" thickBot="1" x14ac:dyDescent="0.45"/>
    <row r="2214" spans="2:16" ht="17.399999999999999" thickBot="1" x14ac:dyDescent="0.35">
      <c r="F2214" s="292" t="s">
        <v>9</v>
      </c>
      <c r="G2214" s="293"/>
      <c r="H2214" s="293"/>
      <c r="I2214" s="294"/>
      <c r="K2214" s="229">
        <f>+SUM(K2203:K2212)</f>
        <v>25</v>
      </c>
      <c r="L2214" s="119">
        <f>+SUM(L2203:L2212)</f>
        <v>275</v>
      </c>
      <c r="O2214" s="38"/>
      <c r="P2214" s="38"/>
    </row>
    <row r="2215" spans="2:16" ht="17.399999999999999" thickBot="1" x14ac:dyDescent="0.45">
      <c r="O2215" s="42"/>
      <c r="P2215" s="43"/>
    </row>
    <row r="2216" spans="2:16" ht="17.399999999999999" thickBot="1" x14ac:dyDescent="0.45">
      <c r="B2216" s="110" t="s">
        <v>10</v>
      </c>
      <c r="C2216" s="300" t="s">
        <v>11</v>
      </c>
      <c r="D2216" s="300"/>
      <c r="E2216" s="300"/>
      <c r="F2216" s="300"/>
      <c r="G2216" s="301"/>
    </row>
    <row r="2217" spans="2:16" x14ac:dyDescent="0.4">
      <c r="B2217" s="114" t="s">
        <v>6</v>
      </c>
      <c r="C2217" s="302" t="s">
        <v>1</v>
      </c>
      <c r="D2217" s="303"/>
      <c r="E2217" s="112" t="s">
        <v>193</v>
      </c>
      <c r="F2217" s="120" t="s">
        <v>2</v>
      </c>
      <c r="G2217" s="114" t="s">
        <v>3</v>
      </c>
      <c r="H2217" s="106"/>
      <c r="I2217" s="107" t="s">
        <v>7</v>
      </c>
      <c r="J2217" s="136"/>
      <c r="K2217" s="107" t="s">
        <v>8</v>
      </c>
      <c r="L2217" s="115" t="s">
        <v>194</v>
      </c>
    </row>
    <row r="2218" spans="2:16" x14ac:dyDescent="0.4">
      <c r="B2218" s="122"/>
      <c r="C2218" s="306"/>
      <c r="D2218" s="306"/>
      <c r="E2218" s="116"/>
      <c r="F2218" s="83"/>
      <c r="G2218" s="74"/>
      <c r="I2218" s="117">
        <f>IF(C2218=0,0,VLOOKUP(C2218,Tabla3[],3,FALSE))</f>
        <v>0</v>
      </c>
      <c r="K2218" s="84">
        <f>F2218*I2218</f>
        <v>0</v>
      </c>
      <c r="L2218" s="118">
        <f>E2218*I2218</f>
        <v>0</v>
      </c>
    </row>
    <row r="2219" spans="2:16" x14ac:dyDescent="0.4">
      <c r="B2219" s="74"/>
      <c r="C2219" s="309"/>
      <c r="D2219" s="310"/>
      <c r="E2219" s="121"/>
      <c r="F2219" s="72"/>
      <c r="G2219" s="74"/>
      <c r="I2219" s="117">
        <f>IF(C2219=0,0,VLOOKUP(C2219,Tabla3[],3,FALSE))</f>
        <v>0</v>
      </c>
      <c r="K2219" s="84">
        <f t="shared" ref="K2219:K2221" si="340">+F2219*I2219</f>
        <v>0</v>
      </c>
      <c r="L2219" s="118">
        <f t="shared" ref="L2219:L2221" si="341">E2219*I2219</f>
        <v>0</v>
      </c>
    </row>
    <row r="2220" spans="2:16" x14ac:dyDescent="0.4">
      <c r="B2220" s="74"/>
      <c r="C2220" s="309"/>
      <c r="D2220" s="310"/>
      <c r="E2220" s="121"/>
      <c r="F2220" s="72"/>
      <c r="G2220" s="74"/>
      <c r="I2220" s="117">
        <f>IF(C2220=0,0,VLOOKUP(C2220,Tabla3[],3,FALSE))</f>
        <v>0</v>
      </c>
      <c r="K2220" s="84">
        <f t="shared" si="340"/>
        <v>0</v>
      </c>
      <c r="L2220" s="118">
        <f t="shared" si="341"/>
        <v>0</v>
      </c>
    </row>
    <row r="2221" spans="2:16" x14ac:dyDescent="0.4">
      <c r="B2221" s="74"/>
      <c r="C2221" s="304"/>
      <c r="D2221" s="305"/>
      <c r="E2221" s="121"/>
      <c r="F2221" s="72"/>
      <c r="G2221" s="74"/>
      <c r="I2221" s="117">
        <f>IF(C2221=0,0,VLOOKUP(C2221,Tabla3[],3,FALSE))</f>
        <v>0</v>
      </c>
      <c r="K2221" s="84">
        <f t="shared" si="340"/>
        <v>0</v>
      </c>
      <c r="L2221" s="118">
        <f t="shared" si="341"/>
        <v>0</v>
      </c>
    </row>
    <row r="2222" spans="2:16" ht="17.399999999999999" thickBot="1" x14ac:dyDescent="0.45"/>
    <row r="2223" spans="2:16" ht="17.399999999999999" thickBot="1" x14ac:dyDescent="0.45">
      <c r="F2223" s="292" t="s">
        <v>12</v>
      </c>
      <c r="G2223" s="293"/>
      <c r="H2223" s="293"/>
      <c r="I2223" s="294"/>
      <c r="K2223" s="229">
        <f>+SUM(K2218:K2221)</f>
        <v>0</v>
      </c>
      <c r="L2223" s="119">
        <f>+SUM(L2218:L2221)</f>
        <v>0</v>
      </c>
    </row>
    <row r="2224" spans="2:16" ht="17.399999999999999" thickBot="1" x14ac:dyDescent="0.45"/>
    <row r="2225" spans="2:12" ht="17.399999999999999" thickBot="1" x14ac:dyDescent="0.45">
      <c r="B2225" s="110" t="s">
        <v>13</v>
      </c>
      <c r="C2225" s="300" t="s">
        <v>14</v>
      </c>
      <c r="D2225" s="300"/>
      <c r="E2225" s="300"/>
      <c r="F2225" s="300"/>
      <c r="G2225" s="301"/>
    </row>
    <row r="2226" spans="2:12" x14ac:dyDescent="0.4">
      <c r="B2226" s="114" t="s">
        <v>6</v>
      </c>
      <c r="C2226" s="302" t="s">
        <v>1</v>
      </c>
      <c r="D2226" s="303"/>
      <c r="E2226" s="112" t="s">
        <v>193</v>
      </c>
      <c r="F2226" s="120" t="s">
        <v>2</v>
      </c>
      <c r="G2226" s="114" t="s">
        <v>3</v>
      </c>
      <c r="H2226" s="106"/>
      <c r="I2226" s="107" t="s">
        <v>7</v>
      </c>
      <c r="J2226" s="136"/>
      <c r="K2226" s="107" t="s">
        <v>8</v>
      </c>
      <c r="L2226" s="115" t="s">
        <v>194</v>
      </c>
    </row>
    <row r="2227" spans="2:12" x14ac:dyDescent="0.4">
      <c r="B2227" s="122">
        <v>1</v>
      </c>
      <c r="C2227" s="306" t="s">
        <v>288</v>
      </c>
      <c r="D2227" s="306"/>
      <c r="E2227" s="116">
        <f>I2199</f>
        <v>11</v>
      </c>
      <c r="F2227" s="83">
        <f>ROUND(E2227/I2199,2)</f>
        <v>1</v>
      </c>
      <c r="G2227" s="74" t="str">
        <f>IF(C2227=0,0,VLOOKUP(C2227,Tabla2[],2,FALSE))</f>
        <v>ml</v>
      </c>
      <c r="I2227" s="117">
        <f>IF(C2227=0,0,VLOOKUP(C2227,Tabla2[],3,FALSE))</f>
        <v>35</v>
      </c>
      <c r="K2227" s="84">
        <f>+F2227*I2227</f>
        <v>35</v>
      </c>
      <c r="L2227" s="118">
        <f>E2227*I2227</f>
        <v>385</v>
      </c>
    </row>
    <row r="2228" spans="2:12" x14ac:dyDescent="0.4">
      <c r="B2228" s="122"/>
      <c r="C2228" s="306"/>
      <c r="D2228" s="306"/>
      <c r="E2228" s="116"/>
      <c r="F2228" s="83"/>
      <c r="G2228" s="74"/>
      <c r="I2228" s="117">
        <f>IF(C2228=0,0,VLOOKUP(C2228,Tabla2[],3,FALSE))</f>
        <v>0</v>
      </c>
      <c r="K2228" s="84">
        <f>+F2228*I2228</f>
        <v>0</v>
      </c>
      <c r="L2228" s="118">
        <f>E2228*I2228</f>
        <v>0</v>
      </c>
    </row>
    <row r="2229" spans="2:12" ht="17.399999999999999" thickBot="1" x14ac:dyDescent="0.45">
      <c r="B2229" s="123"/>
      <c r="C2229" s="307"/>
      <c r="D2229" s="308"/>
      <c r="E2229" s="124"/>
      <c r="F2229" s="125"/>
      <c r="G2229" s="74"/>
      <c r="I2229" s="117">
        <f>IF(C2229=0,0,VLOOKUP(C2229,Tabla2[],3,FALSE))</f>
        <v>0</v>
      </c>
      <c r="K2229" s="84">
        <f t="shared" ref="K2229" si="342">+F2229*I2229</f>
        <v>0</v>
      </c>
      <c r="L2229" s="118">
        <f t="shared" ref="L2229:L2230" si="343">E2229*I2229</f>
        <v>0</v>
      </c>
    </row>
    <row r="2230" spans="2:12" ht="17.399999999999999" thickBot="1" x14ac:dyDescent="0.45">
      <c r="B2230" s="297" t="s">
        <v>15</v>
      </c>
      <c r="C2230" s="298"/>
      <c r="D2230" s="298"/>
      <c r="E2230" s="298"/>
      <c r="F2230" s="298"/>
      <c r="G2230" s="299"/>
      <c r="I2230" s="84">
        <v>0</v>
      </c>
      <c r="K2230" s="84">
        <v>0</v>
      </c>
      <c r="L2230" s="118">
        <f t="shared" si="343"/>
        <v>0</v>
      </c>
    </row>
    <row r="2231" spans="2:12" ht="17.399999999999999" thickBot="1" x14ac:dyDescent="0.45"/>
    <row r="2232" spans="2:12" ht="17.399999999999999" thickBot="1" x14ac:dyDescent="0.45">
      <c r="F2232" s="292" t="s">
        <v>16</v>
      </c>
      <c r="G2232" s="293"/>
      <c r="H2232" s="293"/>
      <c r="I2232" s="294"/>
      <c r="K2232" s="229">
        <f>+SUM(K2227:K2230)</f>
        <v>35</v>
      </c>
      <c r="L2232" s="119">
        <f>+SUM(L2227:L2230)</f>
        <v>385</v>
      </c>
    </row>
    <row r="2233" spans="2:12" ht="17.399999999999999" thickBot="1" x14ac:dyDescent="0.45"/>
    <row r="2234" spans="2:12" ht="17.399999999999999" thickBot="1" x14ac:dyDescent="0.45">
      <c r="B2234" s="110" t="s">
        <v>17</v>
      </c>
      <c r="C2234" s="300" t="s">
        <v>18</v>
      </c>
      <c r="D2234" s="300"/>
      <c r="E2234" s="300"/>
      <c r="F2234" s="300"/>
      <c r="G2234" s="301"/>
    </row>
    <row r="2235" spans="2:12" x14ac:dyDescent="0.4">
      <c r="B2235" s="114" t="s">
        <v>6</v>
      </c>
      <c r="C2235" s="302" t="s">
        <v>1</v>
      </c>
      <c r="D2235" s="303"/>
      <c r="E2235" s="126"/>
      <c r="F2235" s="120" t="s">
        <v>2</v>
      </c>
      <c r="G2235" s="114" t="s">
        <v>3</v>
      </c>
      <c r="H2235" s="106"/>
      <c r="I2235" s="107" t="s">
        <v>7</v>
      </c>
      <c r="J2235" s="136"/>
      <c r="K2235" s="107" t="s">
        <v>8</v>
      </c>
      <c r="L2235" s="115" t="s">
        <v>194</v>
      </c>
    </row>
    <row r="2236" spans="2:12" x14ac:dyDescent="0.4">
      <c r="B2236" s="74"/>
      <c r="C2236" s="304"/>
      <c r="D2236" s="305"/>
      <c r="E2236" s="127"/>
      <c r="F2236" s="72"/>
      <c r="G2236" s="74"/>
      <c r="I2236" s="84">
        <v>0</v>
      </c>
      <c r="K2236" s="84">
        <f>+F2236*I2236</f>
        <v>0</v>
      </c>
      <c r="L2236" s="118">
        <f>E2236*I2236</f>
        <v>0</v>
      </c>
    </row>
    <row r="2237" spans="2:12" x14ac:dyDescent="0.4">
      <c r="B2237" s="74"/>
      <c r="C2237" s="304"/>
      <c r="D2237" s="305"/>
      <c r="E2237" s="127"/>
      <c r="F2237" s="72"/>
      <c r="G2237" s="74"/>
      <c r="I2237" s="84">
        <v>0</v>
      </c>
      <c r="K2237" s="84">
        <f t="shared" ref="K2237:K2238" si="344">+F2237*I2237</f>
        <v>0</v>
      </c>
      <c r="L2237" s="118">
        <f t="shared" ref="L2237:L2238" si="345">E2237*I2237</f>
        <v>0</v>
      </c>
    </row>
    <row r="2238" spans="2:12" x14ac:dyDescent="0.4">
      <c r="B2238" s="74"/>
      <c r="C2238" s="304"/>
      <c r="D2238" s="305"/>
      <c r="E2238" s="127"/>
      <c r="F2238" s="72"/>
      <c r="G2238" s="74"/>
      <c r="I2238" s="84">
        <v>0</v>
      </c>
      <c r="K2238" s="84">
        <f t="shared" si="344"/>
        <v>0</v>
      </c>
      <c r="L2238" s="118">
        <f t="shared" si="345"/>
        <v>0</v>
      </c>
    </row>
    <row r="2239" spans="2:12" ht="17.399999999999999" thickBot="1" x14ac:dyDescent="0.45">
      <c r="L2239" s="118"/>
    </row>
    <row r="2240" spans="2:12" ht="17.399999999999999" thickBot="1" x14ac:dyDescent="0.45">
      <c r="F2240" s="292" t="s">
        <v>19</v>
      </c>
      <c r="G2240" s="293"/>
      <c r="H2240" s="293"/>
      <c r="I2240" s="294"/>
      <c r="K2240" s="229">
        <f>+SUM(K2236:K2238)</f>
        <v>0</v>
      </c>
      <c r="L2240" s="119">
        <f>+SUM(L2235:L2238)</f>
        <v>0</v>
      </c>
    </row>
    <row r="2241" spans="1:16" ht="15" customHeight="1" x14ac:dyDescent="0.4">
      <c r="F2241" s="128"/>
      <c r="G2241" s="129"/>
      <c r="H2241" s="130"/>
      <c r="I2241" s="108"/>
      <c r="K2241" s="230"/>
    </row>
    <row r="2242" spans="1:16" ht="15" customHeight="1" thickBot="1" x14ac:dyDescent="0.45"/>
    <row r="2243" spans="1:16" ht="17.399999999999999" thickBot="1" x14ac:dyDescent="0.45">
      <c r="F2243" s="292" t="s">
        <v>20</v>
      </c>
      <c r="G2243" s="293"/>
      <c r="H2243" s="293"/>
      <c r="I2243" s="294"/>
      <c r="K2243" s="229">
        <f>(+K2214+K2223+K2232+K2240)</f>
        <v>60</v>
      </c>
      <c r="L2243" s="119">
        <f>(+L2214+L2223+L2232+L2240)</f>
        <v>660</v>
      </c>
      <c r="N2243" s="131"/>
      <c r="O2243" s="39"/>
      <c r="P2243" s="40"/>
    </row>
    <row r="2244" spans="1:16" ht="7.5" customHeight="1" thickBot="1" x14ac:dyDescent="0.45">
      <c r="N2244" s="131"/>
      <c r="O2244" s="41"/>
      <c r="P2244" s="40"/>
    </row>
    <row r="2245" spans="1:16" ht="17.399999999999999" thickBot="1" x14ac:dyDescent="0.45">
      <c r="F2245" s="292" t="s">
        <v>21</v>
      </c>
      <c r="G2245" s="293"/>
      <c r="H2245" s="293"/>
      <c r="I2245" s="294"/>
      <c r="K2245" s="229">
        <f>K2243*$N$2</f>
        <v>24</v>
      </c>
      <c r="L2245" s="119">
        <f>L2243*$N$2</f>
        <v>264</v>
      </c>
    </row>
    <row r="2246" spans="1:16" ht="7.5" customHeight="1" thickBot="1" x14ac:dyDescent="0.45"/>
    <row r="2247" spans="1:16" ht="17.399999999999999" thickBot="1" x14ac:dyDescent="0.45">
      <c r="F2247" s="292" t="s">
        <v>22</v>
      </c>
      <c r="G2247" s="293"/>
      <c r="H2247" s="293"/>
      <c r="I2247" s="294"/>
      <c r="K2247" s="229">
        <f>+K2243+K2245</f>
        <v>84</v>
      </c>
      <c r="L2247" s="119">
        <f>+L2243+L2245</f>
        <v>924</v>
      </c>
    </row>
    <row r="2248" spans="1:16" ht="17.399999999999999" thickBot="1" x14ac:dyDescent="0.45">
      <c r="F2248" s="128"/>
      <c r="G2248" s="129"/>
      <c r="H2248" s="130"/>
      <c r="I2248" s="108"/>
      <c r="K2248" s="231"/>
      <c r="L2248" s="132">
        <f>L2247/I2199</f>
        <v>84</v>
      </c>
      <c r="M2248" s="133">
        <f>(K2247-L2248)*I2199</f>
        <v>0</v>
      </c>
    </row>
    <row r="2249" spans="1:16" x14ac:dyDescent="0.4">
      <c r="F2249" s="128"/>
      <c r="G2249" s="129"/>
      <c r="H2249" s="130"/>
      <c r="I2249" s="108"/>
      <c r="K2249" s="232"/>
      <c r="L2249" s="131"/>
      <c r="M2249" s="134"/>
      <c r="N2249" s="135"/>
    </row>
    <row r="2250" spans="1:16" ht="17.399999999999999" thickBot="1" x14ac:dyDescent="0.45">
      <c r="B2250" s="295"/>
      <c r="C2250" s="295"/>
      <c r="D2250" s="295"/>
    </row>
    <row r="2251" spans="1:16" x14ac:dyDescent="0.4">
      <c r="B2251" s="296" t="s">
        <v>23</v>
      </c>
      <c r="C2251" s="296"/>
      <c r="D2251" s="296"/>
    </row>
    <row r="2252" spans="1:16" x14ac:dyDescent="0.4">
      <c r="B2252" s="157"/>
      <c r="C2252" s="157"/>
      <c r="D2252" s="157"/>
    </row>
    <row r="2253" spans="1:16" x14ac:dyDescent="0.4">
      <c r="B2253" s="157"/>
      <c r="C2253" s="157"/>
      <c r="D2253" s="157"/>
    </row>
    <row r="2254" spans="1:16" x14ac:dyDescent="0.4">
      <c r="B2254" s="105" t="s">
        <v>43</v>
      </c>
      <c r="C2254" s="106"/>
      <c r="D2254" s="311" t="s">
        <v>1</v>
      </c>
      <c r="E2254" s="311"/>
      <c r="F2254" s="311"/>
      <c r="G2254" s="311"/>
      <c r="H2254" s="106"/>
      <c r="I2254" s="107" t="s">
        <v>2</v>
      </c>
      <c r="J2254" s="136"/>
      <c r="K2254" s="107" t="s">
        <v>3</v>
      </c>
    </row>
    <row r="2255" spans="1:16" s="4" customFormat="1" ht="30.75" customHeight="1" x14ac:dyDescent="0.3">
      <c r="A2255" s="31"/>
      <c r="B2255" s="213">
        <f>CATALOGO!B61</f>
        <v>904.01</v>
      </c>
      <c r="C2255" s="71"/>
      <c r="D2255" s="324" t="str">
        <f>CATALOGO!C61</f>
        <v>TUBERÍA PVC Ø 2", 160 PSI (INLCUYE ACCESORIOS)</v>
      </c>
      <c r="E2255" s="324"/>
      <c r="F2255" s="324"/>
      <c r="G2255" s="324"/>
      <c r="H2255" s="71"/>
      <c r="I2255" s="213">
        <f>CATALOGO!D61</f>
        <v>1.5</v>
      </c>
      <c r="J2255" s="109"/>
      <c r="K2255" s="227" t="str">
        <f>CATALOGO!E61</f>
        <v>ml</v>
      </c>
      <c r="L2255" s="71"/>
      <c r="M2255" s="71"/>
      <c r="N2255" s="104"/>
      <c r="O2255" s="37"/>
      <c r="P2255" s="37"/>
    </row>
    <row r="2256" spans="1:16" ht="17.399999999999999" thickBot="1" x14ac:dyDescent="0.45"/>
    <row r="2257" spans="2:16" ht="17.399999999999999" thickBot="1" x14ac:dyDescent="0.45">
      <c r="B2257" s="110" t="s">
        <v>4</v>
      </c>
      <c r="C2257" s="300" t="s">
        <v>5</v>
      </c>
      <c r="D2257" s="300"/>
      <c r="E2257" s="300"/>
      <c r="F2257" s="300"/>
      <c r="G2257" s="301"/>
    </row>
    <row r="2258" spans="2:16" x14ac:dyDescent="0.3">
      <c r="B2258" s="111" t="s">
        <v>6</v>
      </c>
      <c r="C2258" s="313" t="s">
        <v>1</v>
      </c>
      <c r="D2258" s="314"/>
      <c r="E2258" s="112" t="s">
        <v>193</v>
      </c>
      <c r="F2258" s="113" t="s">
        <v>2</v>
      </c>
      <c r="G2258" s="114" t="s">
        <v>3</v>
      </c>
      <c r="H2258" s="106"/>
      <c r="I2258" s="107" t="s">
        <v>7</v>
      </c>
      <c r="J2258" s="136"/>
      <c r="K2258" s="228" t="s">
        <v>8</v>
      </c>
      <c r="L2258" s="115" t="s">
        <v>194</v>
      </c>
      <c r="O2258" s="323"/>
      <c r="P2258" s="323"/>
    </row>
    <row r="2259" spans="2:16" ht="17.25" customHeight="1" x14ac:dyDescent="0.3">
      <c r="B2259" s="122">
        <v>1</v>
      </c>
      <c r="C2259" s="317" t="s">
        <v>148</v>
      </c>
      <c r="D2259" s="318"/>
      <c r="E2259" s="116">
        <f>I2255*0.28</f>
        <v>0.42000000000000004</v>
      </c>
      <c r="F2259" s="83">
        <f>ROUND(E2259/I2255,2)</f>
        <v>0.28000000000000003</v>
      </c>
      <c r="G2259" s="74" t="str">
        <f>IF(C2259=0,0,VLOOKUP(C2259,Tabla1[],2,FALSE))</f>
        <v>Unidad</v>
      </c>
      <c r="I2259" s="117">
        <f>IF(C2259=0,0,VLOOKUP(C2259,Tabla1[],3,FALSE))</f>
        <v>175</v>
      </c>
      <c r="K2259" s="84">
        <f>F2259*I2259</f>
        <v>49.000000000000007</v>
      </c>
      <c r="L2259" s="118">
        <f t="shared" ref="L2259:L2268" si="346">E2259*I2259</f>
        <v>73.5</v>
      </c>
      <c r="O2259" s="44"/>
      <c r="P2259" s="45"/>
    </row>
    <row r="2260" spans="2:16" x14ac:dyDescent="0.4">
      <c r="B2260" s="122">
        <v>2</v>
      </c>
      <c r="C2260" s="317" t="s">
        <v>304</v>
      </c>
      <c r="D2260" s="318"/>
      <c r="E2260" s="116">
        <f>I2255*0.2</f>
        <v>0.30000000000000004</v>
      </c>
      <c r="F2260" s="83">
        <f>ROUND(E2260/I2255,2)</f>
        <v>0.2</v>
      </c>
      <c r="G2260" s="74" t="str">
        <f>IF(C2260=0,0,VLOOKUP(C2260,Tabla1[],2,FALSE))</f>
        <v>Unidad</v>
      </c>
      <c r="I2260" s="117">
        <f>IF(C2260=0,0,VLOOKUP(C2260,Tabla1[],3,FALSE))</f>
        <v>15</v>
      </c>
      <c r="K2260" s="84">
        <f t="shared" ref="K2260:K2268" si="347">+F2260*I2260</f>
        <v>3</v>
      </c>
      <c r="L2260" s="118">
        <f t="shared" si="346"/>
        <v>4.5000000000000009</v>
      </c>
      <c r="P2260" s="45"/>
    </row>
    <row r="2261" spans="2:16" x14ac:dyDescent="0.4">
      <c r="B2261" s="122">
        <v>3</v>
      </c>
      <c r="C2261" s="317" t="s">
        <v>130</v>
      </c>
      <c r="D2261" s="318"/>
      <c r="E2261" s="116">
        <f>I2255*0.02</f>
        <v>0.03</v>
      </c>
      <c r="F2261" s="83">
        <f>ROUND(E2261/I2255,2)</f>
        <v>0.02</v>
      </c>
      <c r="G2261" s="74" t="str">
        <f>IF(C2261=0,0,VLOOKUP(C2261,Tabla1[],2,FALSE))</f>
        <v>Galón</v>
      </c>
      <c r="I2261" s="117">
        <f>IF(C2261=0,0,VLOOKUP(C2261,Tabla1[],3,FALSE))</f>
        <v>400</v>
      </c>
      <c r="K2261" s="84">
        <f t="shared" si="347"/>
        <v>8</v>
      </c>
      <c r="L2261" s="118">
        <f t="shared" si="346"/>
        <v>12</v>
      </c>
      <c r="O2261" s="48"/>
      <c r="P2261" s="49"/>
    </row>
    <row r="2262" spans="2:16" x14ac:dyDescent="0.4">
      <c r="B2262" s="122"/>
      <c r="C2262" s="210"/>
      <c r="D2262" s="209"/>
      <c r="E2262" s="116"/>
      <c r="F2262" s="83"/>
      <c r="G2262" s="74"/>
      <c r="I2262" s="117">
        <f>IF(C2262=0,0,VLOOKUP(C2262,Tabla1[],3,FALSE))</f>
        <v>0</v>
      </c>
      <c r="K2262" s="84">
        <f t="shared" si="347"/>
        <v>0</v>
      </c>
      <c r="L2262" s="118">
        <f t="shared" si="346"/>
        <v>0</v>
      </c>
      <c r="O2262" s="48"/>
      <c r="P2262" s="49"/>
    </row>
    <row r="2263" spans="2:16" x14ac:dyDescent="0.4">
      <c r="B2263" s="122"/>
      <c r="C2263" s="210"/>
      <c r="D2263" s="209"/>
      <c r="E2263" s="116"/>
      <c r="F2263" s="83"/>
      <c r="G2263" s="74"/>
      <c r="I2263" s="117">
        <f>IF(C2263=0,0,VLOOKUP(C2263,Tabla1[],3,FALSE))</f>
        <v>0</v>
      </c>
      <c r="K2263" s="84">
        <f t="shared" si="347"/>
        <v>0</v>
      </c>
      <c r="L2263" s="118">
        <f t="shared" si="346"/>
        <v>0</v>
      </c>
      <c r="O2263" s="48"/>
      <c r="P2263" s="49"/>
    </row>
    <row r="2264" spans="2:16" x14ac:dyDescent="0.4">
      <c r="B2264" s="122"/>
      <c r="C2264" s="210"/>
      <c r="D2264" s="209"/>
      <c r="E2264" s="116"/>
      <c r="F2264" s="83"/>
      <c r="G2264" s="74"/>
      <c r="I2264" s="117">
        <f>IF(C2264=0,0,VLOOKUP(C2264,Tabla1[],3,FALSE))</f>
        <v>0</v>
      </c>
      <c r="K2264" s="84">
        <f t="shared" si="347"/>
        <v>0</v>
      </c>
      <c r="L2264" s="118">
        <f t="shared" si="346"/>
        <v>0</v>
      </c>
      <c r="O2264" s="48"/>
      <c r="P2264" s="49"/>
    </row>
    <row r="2265" spans="2:16" x14ac:dyDescent="0.4">
      <c r="B2265" s="122"/>
      <c r="C2265" s="317"/>
      <c r="D2265" s="318"/>
      <c r="E2265" s="116"/>
      <c r="F2265" s="83"/>
      <c r="G2265" s="74"/>
      <c r="I2265" s="117">
        <f>IF(C2265=0,0,VLOOKUP(C2265,Tabla1[],3,FALSE))</f>
        <v>0</v>
      </c>
      <c r="K2265" s="84">
        <f t="shared" si="347"/>
        <v>0</v>
      </c>
      <c r="L2265" s="118">
        <f t="shared" si="346"/>
        <v>0</v>
      </c>
      <c r="O2265" s="48"/>
      <c r="P2265" s="49"/>
    </row>
    <row r="2266" spans="2:16" x14ac:dyDescent="0.4">
      <c r="B2266" s="122"/>
      <c r="C2266" s="317"/>
      <c r="D2266" s="318"/>
      <c r="E2266" s="116"/>
      <c r="F2266" s="83"/>
      <c r="G2266" s="74"/>
      <c r="I2266" s="117">
        <f>IF(C2266=0,0,VLOOKUP(C2266,Tabla1[],3,FALSE))</f>
        <v>0</v>
      </c>
      <c r="K2266" s="84">
        <f t="shared" si="347"/>
        <v>0</v>
      </c>
      <c r="L2266" s="118">
        <f t="shared" si="346"/>
        <v>0</v>
      </c>
      <c r="O2266" s="48"/>
      <c r="P2266" s="49"/>
    </row>
    <row r="2267" spans="2:16" x14ac:dyDescent="0.4">
      <c r="B2267" s="122"/>
      <c r="C2267" s="309"/>
      <c r="D2267" s="310"/>
      <c r="E2267" s="116"/>
      <c r="F2267" s="83"/>
      <c r="G2267" s="74"/>
      <c r="I2267" s="117">
        <f>IF(C2267=0,0,VLOOKUP(C2267,Tabla1[],3,FALSE))</f>
        <v>0</v>
      </c>
      <c r="K2267" s="84">
        <f t="shared" si="347"/>
        <v>0</v>
      </c>
      <c r="L2267" s="118">
        <f t="shared" si="346"/>
        <v>0</v>
      </c>
      <c r="O2267" s="48"/>
      <c r="P2267" s="49"/>
    </row>
    <row r="2268" spans="2:16" x14ac:dyDescent="0.4">
      <c r="B2268" s="122"/>
      <c r="C2268" s="319"/>
      <c r="D2268" s="318"/>
      <c r="E2268" s="116"/>
      <c r="F2268" s="83"/>
      <c r="G2268" s="74"/>
      <c r="I2268" s="117">
        <f>IF(C2268=0,0,VLOOKUP(C2268,Tabla1[],3,FALSE))</f>
        <v>0</v>
      </c>
      <c r="K2268" s="84">
        <f t="shared" si="347"/>
        <v>0</v>
      </c>
      <c r="L2268" s="118">
        <f t="shared" si="346"/>
        <v>0</v>
      </c>
      <c r="O2268" s="48"/>
      <c r="P2268" s="49"/>
    </row>
    <row r="2269" spans="2:16" ht="17.399999999999999" thickBot="1" x14ac:dyDescent="0.45"/>
    <row r="2270" spans="2:16" ht="17.399999999999999" thickBot="1" x14ac:dyDescent="0.35">
      <c r="F2270" s="292" t="s">
        <v>9</v>
      </c>
      <c r="G2270" s="293"/>
      <c r="H2270" s="293"/>
      <c r="I2270" s="294"/>
      <c r="K2270" s="229">
        <f>+SUM(K2259:K2268)</f>
        <v>60.000000000000007</v>
      </c>
      <c r="L2270" s="119">
        <f>+SUM(L2259:L2268)</f>
        <v>90</v>
      </c>
      <c r="O2270" s="38"/>
      <c r="P2270" s="38"/>
    </row>
    <row r="2271" spans="2:16" ht="17.399999999999999" thickBot="1" x14ac:dyDescent="0.45">
      <c r="O2271" s="42"/>
      <c r="P2271" s="43"/>
    </row>
    <row r="2272" spans="2:16" ht="17.399999999999999" thickBot="1" x14ac:dyDescent="0.45">
      <c r="B2272" s="110" t="s">
        <v>10</v>
      </c>
      <c r="C2272" s="300" t="s">
        <v>11</v>
      </c>
      <c r="D2272" s="300"/>
      <c r="E2272" s="300"/>
      <c r="F2272" s="300"/>
      <c r="G2272" s="301"/>
    </row>
    <row r="2273" spans="2:12" x14ac:dyDescent="0.4">
      <c r="B2273" s="114" t="s">
        <v>6</v>
      </c>
      <c r="C2273" s="302" t="s">
        <v>1</v>
      </c>
      <c r="D2273" s="303"/>
      <c r="E2273" s="112" t="s">
        <v>193</v>
      </c>
      <c r="F2273" s="120" t="s">
        <v>2</v>
      </c>
      <c r="G2273" s="114" t="s">
        <v>3</v>
      </c>
      <c r="H2273" s="106"/>
      <c r="I2273" s="107" t="s">
        <v>7</v>
      </c>
      <c r="J2273" s="136"/>
      <c r="K2273" s="107" t="s">
        <v>8</v>
      </c>
      <c r="L2273" s="115" t="s">
        <v>194</v>
      </c>
    </row>
    <row r="2274" spans="2:12" x14ac:dyDescent="0.4">
      <c r="B2274" s="122"/>
      <c r="C2274" s="306"/>
      <c r="D2274" s="306"/>
      <c r="E2274" s="116"/>
      <c r="F2274" s="83"/>
      <c r="G2274" s="74"/>
      <c r="I2274" s="117">
        <f>IF(C2274=0,0,VLOOKUP(C2274,Tabla3[],3,FALSE))</f>
        <v>0</v>
      </c>
      <c r="K2274" s="84">
        <f>F2274*I2274</f>
        <v>0</v>
      </c>
      <c r="L2274" s="118">
        <f>E2274*I2274</f>
        <v>0</v>
      </c>
    </row>
    <row r="2275" spans="2:12" x14ac:dyDescent="0.4">
      <c r="B2275" s="74"/>
      <c r="C2275" s="309"/>
      <c r="D2275" s="310"/>
      <c r="E2275" s="121"/>
      <c r="F2275" s="72"/>
      <c r="G2275" s="74"/>
      <c r="I2275" s="117">
        <f>IF(C2275=0,0,VLOOKUP(C2275,Tabla3[],3,FALSE))</f>
        <v>0</v>
      </c>
      <c r="K2275" s="84">
        <f t="shared" ref="K2275:K2277" si="348">+F2275*I2275</f>
        <v>0</v>
      </c>
      <c r="L2275" s="118">
        <f t="shared" ref="L2275:L2277" si="349">E2275*I2275</f>
        <v>0</v>
      </c>
    </row>
    <row r="2276" spans="2:12" x14ac:dyDescent="0.4">
      <c r="B2276" s="74"/>
      <c r="C2276" s="309"/>
      <c r="D2276" s="310"/>
      <c r="E2276" s="121"/>
      <c r="F2276" s="72"/>
      <c r="G2276" s="74"/>
      <c r="I2276" s="117">
        <f>IF(C2276=0,0,VLOOKUP(C2276,Tabla3[],3,FALSE))</f>
        <v>0</v>
      </c>
      <c r="K2276" s="84">
        <f t="shared" si="348"/>
        <v>0</v>
      </c>
      <c r="L2276" s="118">
        <f t="shared" si="349"/>
        <v>0</v>
      </c>
    </row>
    <row r="2277" spans="2:12" x14ac:dyDescent="0.4">
      <c r="B2277" s="74"/>
      <c r="C2277" s="304"/>
      <c r="D2277" s="305"/>
      <c r="E2277" s="121"/>
      <c r="F2277" s="72"/>
      <c r="G2277" s="74"/>
      <c r="I2277" s="117">
        <f>IF(C2277=0,0,VLOOKUP(C2277,Tabla3[],3,FALSE))</f>
        <v>0</v>
      </c>
      <c r="K2277" s="84">
        <f t="shared" si="348"/>
        <v>0</v>
      </c>
      <c r="L2277" s="118">
        <f t="shared" si="349"/>
        <v>0</v>
      </c>
    </row>
    <row r="2278" spans="2:12" ht="17.399999999999999" thickBot="1" x14ac:dyDescent="0.45"/>
    <row r="2279" spans="2:12" ht="17.399999999999999" thickBot="1" x14ac:dyDescent="0.45">
      <c r="F2279" s="292" t="s">
        <v>12</v>
      </c>
      <c r="G2279" s="293"/>
      <c r="H2279" s="293"/>
      <c r="I2279" s="294"/>
      <c r="K2279" s="229">
        <f>+SUM(K2274:K2277)</f>
        <v>0</v>
      </c>
      <c r="L2279" s="119">
        <f>+SUM(L2274:L2277)</f>
        <v>0</v>
      </c>
    </row>
    <row r="2280" spans="2:12" ht="17.399999999999999" thickBot="1" x14ac:dyDescent="0.45"/>
    <row r="2281" spans="2:12" ht="17.399999999999999" thickBot="1" x14ac:dyDescent="0.45">
      <c r="B2281" s="110" t="s">
        <v>13</v>
      </c>
      <c r="C2281" s="300" t="s">
        <v>14</v>
      </c>
      <c r="D2281" s="300"/>
      <c r="E2281" s="300"/>
      <c r="F2281" s="300"/>
      <c r="G2281" s="301"/>
    </row>
    <row r="2282" spans="2:12" x14ac:dyDescent="0.4">
      <c r="B2282" s="114" t="s">
        <v>6</v>
      </c>
      <c r="C2282" s="302" t="s">
        <v>1</v>
      </c>
      <c r="D2282" s="303"/>
      <c r="E2282" s="112" t="s">
        <v>193</v>
      </c>
      <c r="F2282" s="120" t="s">
        <v>2</v>
      </c>
      <c r="G2282" s="114" t="s">
        <v>3</v>
      </c>
      <c r="H2282" s="106"/>
      <c r="I2282" s="107" t="s">
        <v>7</v>
      </c>
      <c r="J2282" s="136"/>
      <c r="K2282" s="107" t="s">
        <v>8</v>
      </c>
      <c r="L2282" s="115" t="s">
        <v>194</v>
      </c>
    </row>
    <row r="2283" spans="2:12" x14ac:dyDescent="0.4">
      <c r="B2283" s="122">
        <v>1</v>
      </c>
      <c r="C2283" s="306" t="s">
        <v>300</v>
      </c>
      <c r="D2283" s="306"/>
      <c r="E2283" s="116">
        <f>I2255</f>
        <v>1.5</v>
      </c>
      <c r="F2283" s="83">
        <f>ROUND(E2283/I2255,2)</f>
        <v>1</v>
      </c>
      <c r="G2283" s="74" t="str">
        <f>IF(C2283=0,0,VLOOKUP(C2283,Tabla2[],2,FALSE))</f>
        <v>ml</v>
      </c>
      <c r="I2283" s="117">
        <f>IF(C2283=0,0,VLOOKUP(C2283,Tabla2[],3,FALSE))</f>
        <v>70</v>
      </c>
      <c r="K2283" s="84">
        <f>+F2283*I2283</f>
        <v>70</v>
      </c>
      <c r="L2283" s="118">
        <f>E2283*I2283</f>
        <v>105</v>
      </c>
    </row>
    <row r="2284" spans="2:12" x14ac:dyDescent="0.4">
      <c r="B2284" s="122"/>
      <c r="C2284" s="306"/>
      <c r="D2284" s="306"/>
      <c r="E2284" s="116"/>
      <c r="F2284" s="83"/>
      <c r="G2284" s="74"/>
      <c r="I2284" s="117">
        <f>IF(C2284=0,0,VLOOKUP(C2284,Tabla2[],3,FALSE))</f>
        <v>0</v>
      </c>
      <c r="K2284" s="84">
        <f>+F2284*I2284</f>
        <v>0</v>
      </c>
      <c r="L2284" s="118">
        <f>E2284*I2284</f>
        <v>0</v>
      </c>
    </row>
    <row r="2285" spans="2:12" ht="17.399999999999999" thickBot="1" x14ac:dyDescent="0.45">
      <c r="B2285" s="123"/>
      <c r="C2285" s="307"/>
      <c r="D2285" s="308"/>
      <c r="E2285" s="124"/>
      <c r="F2285" s="125"/>
      <c r="G2285" s="74"/>
      <c r="I2285" s="117">
        <f>IF(C2285=0,0,VLOOKUP(C2285,Tabla2[],3,FALSE))</f>
        <v>0</v>
      </c>
      <c r="K2285" s="84">
        <f t="shared" ref="K2285" si="350">+F2285*I2285</f>
        <v>0</v>
      </c>
      <c r="L2285" s="118">
        <f t="shared" ref="L2285:L2286" si="351">E2285*I2285</f>
        <v>0</v>
      </c>
    </row>
    <row r="2286" spans="2:12" ht="17.399999999999999" thickBot="1" x14ac:dyDescent="0.45">
      <c r="B2286" s="297" t="s">
        <v>15</v>
      </c>
      <c r="C2286" s="298"/>
      <c r="D2286" s="298"/>
      <c r="E2286" s="298"/>
      <c r="F2286" s="298"/>
      <c r="G2286" s="299"/>
      <c r="I2286" s="84">
        <v>0</v>
      </c>
      <c r="K2286" s="84">
        <v>0</v>
      </c>
      <c r="L2286" s="118">
        <f t="shared" si="351"/>
        <v>0</v>
      </c>
    </row>
    <row r="2287" spans="2:12" ht="17.399999999999999" thickBot="1" x14ac:dyDescent="0.45"/>
    <row r="2288" spans="2:12" ht="17.399999999999999" thickBot="1" x14ac:dyDescent="0.45">
      <c r="F2288" s="292" t="s">
        <v>16</v>
      </c>
      <c r="G2288" s="293"/>
      <c r="H2288" s="293"/>
      <c r="I2288" s="294"/>
      <c r="K2288" s="229">
        <f>+SUM(K2283:K2286)</f>
        <v>70</v>
      </c>
      <c r="L2288" s="119">
        <f>+SUM(L2283:L2286)</f>
        <v>105</v>
      </c>
    </row>
    <row r="2289" spans="2:16" ht="17.399999999999999" thickBot="1" x14ac:dyDescent="0.45"/>
    <row r="2290" spans="2:16" ht="17.399999999999999" thickBot="1" x14ac:dyDescent="0.45">
      <c r="B2290" s="110" t="s">
        <v>17</v>
      </c>
      <c r="C2290" s="300" t="s">
        <v>18</v>
      </c>
      <c r="D2290" s="300"/>
      <c r="E2290" s="300"/>
      <c r="F2290" s="300"/>
      <c r="G2290" s="301"/>
    </row>
    <row r="2291" spans="2:16" x14ac:dyDescent="0.4">
      <c r="B2291" s="114" t="s">
        <v>6</v>
      </c>
      <c r="C2291" s="302" t="s">
        <v>1</v>
      </c>
      <c r="D2291" s="303"/>
      <c r="E2291" s="126"/>
      <c r="F2291" s="120" t="s">
        <v>2</v>
      </c>
      <c r="G2291" s="114" t="s">
        <v>3</v>
      </c>
      <c r="H2291" s="106"/>
      <c r="I2291" s="107" t="s">
        <v>7</v>
      </c>
      <c r="J2291" s="136"/>
      <c r="K2291" s="107" t="s">
        <v>8</v>
      </c>
      <c r="L2291" s="115" t="s">
        <v>194</v>
      </c>
    </row>
    <row r="2292" spans="2:16" x14ac:dyDescent="0.4">
      <c r="B2292" s="74"/>
      <c r="C2292" s="304"/>
      <c r="D2292" s="305"/>
      <c r="E2292" s="127"/>
      <c r="F2292" s="72"/>
      <c r="G2292" s="74"/>
      <c r="I2292" s="84">
        <v>0</v>
      </c>
      <c r="K2292" s="84">
        <f>+F2292*I2292</f>
        <v>0</v>
      </c>
      <c r="L2292" s="118">
        <f>E2292*I2292</f>
        <v>0</v>
      </c>
    </row>
    <row r="2293" spans="2:16" x14ac:dyDescent="0.4">
      <c r="B2293" s="74"/>
      <c r="C2293" s="304"/>
      <c r="D2293" s="305"/>
      <c r="E2293" s="127"/>
      <c r="F2293" s="72"/>
      <c r="G2293" s="74"/>
      <c r="I2293" s="84">
        <v>0</v>
      </c>
      <c r="K2293" s="84">
        <f t="shared" ref="K2293:K2294" si="352">+F2293*I2293</f>
        <v>0</v>
      </c>
      <c r="L2293" s="118">
        <f t="shared" ref="L2293:L2294" si="353">E2293*I2293</f>
        <v>0</v>
      </c>
    </row>
    <row r="2294" spans="2:16" x14ac:dyDescent="0.4">
      <c r="B2294" s="74"/>
      <c r="C2294" s="304"/>
      <c r="D2294" s="305"/>
      <c r="E2294" s="127"/>
      <c r="F2294" s="72"/>
      <c r="G2294" s="74"/>
      <c r="I2294" s="84">
        <v>0</v>
      </c>
      <c r="K2294" s="84">
        <f t="shared" si="352"/>
        <v>0</v>
      </c>
      <c r="L2294" s="118">
        <f t="shared" si="353"/>
        <v>0</v>
      </c>
    </row>
    <row r="2295" spans="2:16" ht="17.399999999999999" thickBot="1" x14ac:dyDescent="0.45">
      <c r="L2295" s="118"/>
    </row>
    <row r="2296" spans="2:16" ht="17.399999999999999" thickBot="1" x14ac:dyDescent="0.45">
      <c r="F2296" s="292" t="s">
        <v>19</v>
      </c>
      <c r="G2296" s="293"/>
      <c r="H2296" s="293"/>
      <c r="I2296" s="294"/>
      <c r="K2296" s="229">
        <f>+SUM(K2292:K2294)</f>
        <v>0</v>
      </c>
      <c r="L2296" s="119">
        <f>+SUM(L2291:L2294)</f>
        <v>0</v>
      </c>
    </row>
    <row r="2297" spans="2:16" ht="15" customHeight="1" x14ac:dyDescent="0.4">
      <c r="F2297" s="128"/>
      <c r="G2297" s="129"/>
      <c r="H2297" s="130"/>
      <c r="I2297" s="108"/>
      <c r="K2297" s="230"/>
    </row>
    <row r="2298" spans="2:16" ht="15" customHeight="1" thickBot="1" x14ac:dyDescent="0.45"/>
    <row r="2299" spans="2:16" ht="17.399999999999999" thickBot="1" x14ac:dyDescent="0.45">
      <c r="F2299" s="292" t="s">
        <v>20</v>
      </c>
      <c r="G2299" s="293"/>
      <c r="H2299" s="293"/>
      <c r="I2299" s="294"/>
      <c r="K2299" s="229">
        <f>(+K2270+K2279+K2288+K2296)</f>
        <v>130</v>
      </c>
      <c r="L2299" s="119">
        <f>(+L2270+L2279+L2288+L2296)</f>
        <v>195</v>
      </c>
      <c r="N2299" s="131"/>
      <c r="O2299" s="39"/>
      <c r="P2299" s="40"/>
    </row>
    <row r="2300" spans="2:16" ht="7.5" customHeight="1" thickBot="1" x14ac:dyDescent="0.45">
      <c r="N2300" s="131"/>
      <c r="O2300" s="41"/>
      <c r="P2300" s="40"/>
    </row>
    <row r="2301" spans="2:16" ht="17.399999999999999" thickBot="1" x14ac:dyDescent="0.45">
      <c r="F2301" s="292" t="s">
        <v>21</v>
      </c>
      <c r="G2301" s="293"/>
      <c r="H2301" s="293"/>
      <c r="I2301" s="294"/>
      <c r="K2301" s="229">
        <f>K2299*$N$2</f>
        <v>52</v>
      </c>
      <c r="L2301" s="119">
        <f>L2299*$N$2</f>
        <v>78</v>
      </c>
    </row>
    <row r="2302" spans="2:16" ht="7.5" customHeight="1" thickBot="1" x14ac:dyDescent="0.45"/>
    <row r="2303" spans="2:16" ht="17.399999999999999" thickBot="1" x14ac:dyDescent="0.45">
      <c r="F2303" s="292" t="s">
        <v>22</v>
      </c>
      <c r="G2303" s="293"/>
      <c r="H2303" s="293"/>
      <c r="I2303" s="294"/>
      <c r="K2303" s="229">
        <f>+K2299+K2301</f>
        <v>182</v>
      </c>
      <c r="L2303" s="119">
        <f>+L2299+L2301</f>
        <v>273</v>
      </c>
    </row>
    <row r="2304" spans="2:16" ht="17.399999999999999" thickBot="1" x14ac:dyDescent="0.45">
      <c r="F2304" s="128"/>
      <c r="G2304" s="129"/>
      <c r="H2304" s="130"/>
      <c r="I2304" s="108"/>
      <c r="K2304" s="231"/>
      <c r="L2304" s="132">
        <f>L2303/I2255</f>
        <v>182</v>
      </c>
      <c r="M2304" s="133">
        <f>(K2303-L2304)*I2255</f>
        <v>0</v>
      </c>
    </row>
    <row r="2305" spans="1:16" x14ac:dyDescent="0.4">
      <c r="F2305" s="128"/>
      <c r="G2305" s="129"/>
      <c r="H2305" s="130"/>
      <c r="I2305" s="108"/>
      <c r="K2305" s="232"/>
      <c r="L2305" s="131"/>
      <c r="M2305" s="134"/>
      <c r="N2305" s="135"/>
    </row>
    <row r="2306" spans="1:16" ht="17.399999999999999" thickBot="1" x14ac:dyDescent="0.45">
      <c r="B2306" s="295"/>
      <c r="C2306" s="295"/>
      <c r="D2306" s="295"/>
    </row>
    <row r="2307" spans="1:16" x14ac:dyDescent="0.4">
      <c r="B2307" s="296" t="s">
        <v>23</v>
      </c>
      <c r="C2307" s="296"/>
      <c r="D2307" s="296"/>
    </row>
    <row r="2308" spans="1:16" x14ac:dyDescent="0.4">
      <c r="B2308" s="157"/>
      <c r="C2308" s="157"/>
      <c r="D2308" s="157"/>
    </row>
    <row r="2309" spans="1:16" x14ac:dyDescent="0.4">
      <c r="B2309" s="157"/>
      <c r="C2309" s="157"/>
      <c r="D2309" s="157"/>
    </row>
    <row r="2310" spans="1:16" x14ac:dyDescent="0.4">
      <c r="B2310" s="105" t="s">
        <v>43</v>
      </c>
      <c r="C2310" s="106"/>
      <c r="D2310" s="311" t="s">
        <v>1</v>
      </c>
      <c r="E2310" s="311"/>
      <c r="F2310" s="311"/>
      <c r="G2310" s="311"/>
      <c r="H2310" s="106"/>
      <c r="I2310" s="107" t="s">
        <v>2</v>
      </c>
      <c r="J2310" s="136"/>
      <c r="K2310" s="107" t="s">
        <v>3</v>
      </c>
    </row>
    <row r="2311" spans="1:16" s="4" customFormat="1" ht="30.75" customHeight="1" x14ac:dyDescent="0.3">
      <c r="A2311" s="31"/>
      <c r="B2311" s="213">
        <f>CATALOGO!B62</f>
        <v>904.02</v>
      </c>
      <c r="C2311" s="71"/>
      <c r="D2311" s="324" t="str">
        <f>CATALOGO!C62</f>
        <v>TUBERÍA PVC Ø 3", 160 PSI (INLCUYE ACCESORIOS)</v>
      </c>
      <c r="E2311" s="324"/>
      <c r="F2311" s="324"/>
      <c r="G2311" s="324"/>
      <c r="H2311" s="71"/>
      <c r="I2311" s="213">
        <f>CATALOGO!D62</f>
        <v>4.6100000000000003</v>
      </c>
      <c r="J2311" s="109"/>
      <c r="K2311" s="227" t="str">
        <f>CATALOGO!E62</f>
        <v>ml</v>
      </c>
      <c r="L2311" s="71"/>
      <c r="M2311" s="71"/>
      <c r="N2311" s="104"/>
      <c r="O2311" s="37"/>
      <c r="P2311" s="37"/>
    </row>
    <row r="2312" spans="1:16" ht="17.399999999999999" thickBot="1" x14ac:dyDescent="0.45"/>
    <row r="2313" spans="1:16" ht="17.399999999999999" thickBot="1" x14ac:dyDescent="0.45">
      <c r="B2313" s="110" t="s">
        <v>4</v>
      </c>
      <c r="C2313" s="300" t="s">
        <v>5</v>
      </c>
      <c r="D2313" s="300"/>
      <c r="E2313" s="300"/>
      <c r="F2313" s="300"/>
      <c r="G2313" s="301"/>
    </row>
    <row r="2314" spans="1:16" x14ac:dyDescent="0.3">
      <c r="B2314" s="111" t="s">
        <v>6</v>
      </c>
      <c r="C2314" s="313" t="s">
        <v>1</v>
      </c>
      <c r="D2314" s="314"/>
      <c r="E2314" s="112" t="s">
        <v>193</v>
      </c>
      <c r="F2314" s="113" t="s">
        <v>2</v>
      </c>
      <c r="G2314" s="114" t="s">
        <v>3</v>
      </c>
      <c r="H2314" s="106"/>
      <c r="I2314" s="107" t="s">
        <v>7</v>
      </c>
      <c r="J2314" s="136"/>
      <c r="K2314" s="228" t="s">
        <v>8</v>
      </c>
      <c r="L2314" s="115" t="s">
        <v>194</v>
      </c>
      <c r="O2314" s="323"/>
      <c r="P2314" s="323"/>
    </row>
    <row r="2315" spans="1:16" ht="17.25" customHeight="1" x14ac:dyDescent="0.3">
      <c r="B2315" s="122">
        <v>1</v>
      </c>
      <c r="C2315" s="317" t="s">
        <v>589</v>
      </c>
      <c r="D2315" s="318"/>
      <c r="E2315" s="116">
        <f>I2311*0.2</f>
        <v>0.92200000000000015</v>
      </c>
      <c r="F2315" s="83">
        <f>ROUND(E2315/I2311,2)</f>
        <v>0.2</v>
      </c>
      <c r="G2315" s="74" t="str">
        <f>IF(C2315=0,0,VLOOKUP(C2315,Tabla1[],2,FALSE))</f>
        <v>Unidad</v>
      </c>
      <c r="I2315" s="117">
        <f>IF(C2315=0,0,VLOOKUP(C2315,Tabla1[],3,FALSE))</f>
        <v>380</v>
      </c>
      <c r="K2315" s="84">
        <f>F2315*I2315</f>
        <v>76</v>
      </c>
      <c r="L2315" s="118">
        <f t="shared" ref="L2315:L2319" si="354">E2315*I2315</f>
        <v>350.36000000000007</v>
      </c>
      <c r="O2315" s="44"/>
      <c r="P2315" s="45"/>
    </row>
    <row r="2316" spans="1:16" x14ac:dyDescent="0.4">
      <c r="B2316" s="122">
        <v>2</v>
      </c>
      <c r="C2316" s="317" t="s">
        <v>588</v>
      </c>
      <c r="D2316" s="318"/>
      <c r="E2316" s="116">
        <f>I2311*0.2</f>
        <v>0.92200000000000015</v>
      </c>
      <c r="F2316" s="83">
        <f>ROUND(E2316/I2311,2)</f>
        <v>0.2</v>
      </c>
      <c r="G2316" s="74" t="str">
        <f>IF(C2316=0,0,VLOOKUP(C2316,Tabla1[],2,FALSE))</f>
        <v>Unidad</v>
      </c>
      <c r="I2316" s="117">
        <f>IF(C2316=0,0,VLOOKUP(C2316,Tabla1[],3,FALSE))</f>
        <v>60</v>
      </c>
      <c r="K2316" s="84">
        <f t="shared" ref="K2316:K2319" si="355">+F2316*I2316</f>
        <v>12</v>
      </c>
      <c r="L2316" s="118">
        <f t="shared" si="354"/>
        <v>55.320000000000007</v>
      </c>
      <c r="P2316" s="45"/>
    </row>
    <row r="2317" spans="1:16" x14ac:dyDescent="0.4">
      <c r="B2317" s="122">
        <v>3</v>
      </c>
      <c r="C2317" s="317" t="s">
        <v>130</v>
      </c>
      <c r="D2317" s="318"/>
      <c r="E2317" s="116">
        <f>I2311*0.03</f>
        <v>0.13830000000000001</v>
      </c>
      <c r="F2317" s="83">
        <f>ROUND(E2317/I2311,2)</f>
        <v>0.03</v>
      </c>
      <c r="G2317" s="74" t="str">
        <f>IF(C2317=0,0,VLOOKUP(C2317,Tabla1[],2,FALSE))</f>
        <v>Galón</v>
      </c>
      <c r="I2317" s="117">
        <f>IF(C2317=0,0,VLOOKUP(C2317,Tabla1[],3,FALSE))</f>
        <v>400</v>
      </c>
      <c r="K2317" s="84">
        <f t="shared" si="355"/>
        <v>12</v>
      </c>
      <c r="L2317" s="118">
        <f t="shared" si="354"/>
        <v>55.32</v>
      </c>
      <c r="O2317" s="48"/>
      <c r="P2317" s="49"/>
    </row>
    <row r="2318" spans="1:16" x14ac:dyDescent="0.4">
      <c r="B2318" s="122"/>
      <c r="C2318" s="210"/>
      <c r="D2318" s="209"/>
      <c r="E2318" s="116"/>
      <c r="F2318" s="83"/>
      <c r="G2318" s="74"/>
      <c r="I2318" s="117">
        <f>IF(C2318=0,0,VLOOKUP(C2318,Tabla1[],3,FALSE))</f>
        <v>0</v>
      </c>
      <c r="K2318" s="84">
        <f t="shared" si="355"/>
        <v>0</v>
      </c>
      <c r="L2318" s="118">
        <f t="shared" si="354"/>
        <v>0</v>
      </c>
      <c r="O2318" s="48"/>
      <c r="P2318" s="49"/>
    </row>
    <row r="2319" spans="1:16" x14ac:dyDescent="0.4">
      <c r="B2319" s="122"/>
      <c r="C2319" s="210"/>
      <c r="D2319" s="209"/>
      <c r="E2319" s="116"/>
      <c r="F2319" s="83"/>
      <c r="G2319" s="74"/>
      <c r="I2319" s="117">
        <f>IF(C2319=0,0,VLOOKUP(C2319,Tabla1[],3,FALSE))</f>
        <v>0</v>
      </c>
      <c r="K2319" s="84">
        <f t="shared" si="355"/>
        <v>0</v>
      </c>
      <c r="L2319" s="118">
        <f t="shared" si="354"/>
        <v>0</v>
      </c>
      <c r="O2319" s="48"/>
      <c r="P2319" s="49"/>
    </row>
    <row r="2320" spans="1:16" ht="17.399999999999999" thickBot="1" x14ac:dyDescent="0.45"/>
    <row r="2321" spans="2:16" ht="17.399999999999999" thickBot="1" x14ac:dyDescent="0.35">
      <c r="F2321" s="292" t="s">
        <v>9</v>
      </c>
      <c r="G2321" s="293"/>
      <c r="H2321" s="293"/>
      <c r="I2321" s="294"/>
      <c r="K2321" s="229">
        <f>+SUM(K2315:K2319)</f>
        <v>100</v>
      </c>
      <c r="L2321" s="119">
        <f>+SUM(L2315:L2319)</f>
        <v>461.00000000000006</v>
      </c>
      <c r="O2321" s="38"/>
      <c r="P2321" s="38"/>
    </row>
    <row r="2322" spans="2:16" ht="17.399999999999999" thickBot="1" x14ac:dyDescent="0.45">
      <c r="O2322" s="42"/>
      <c r="P2322" s="43"/>
    </row>
    <row r="2323" spans="2:16" ht="17.399999999999999" thickBot="1" x14ac:dyDescent="0.45">
      <c r="B2323" s="110" t="s">
        <v>10</v>
      </c>
      <c r="C2323" s="300" t="s">
        <v>11</v>
      </c>
      <c r="D2323" s="300"/>
      <c r="E2323" s="300"/>
      <c r="F2323" s="300"/>
      <c r="G2323" s="301"/>
    </row>
    <row r="2324" spans="2:16" x14ac:dyDescent="0.4">
      <c r="B2324" s="114" t="s">
        <v>6</v>
      </c>
      <c r="C2324" s="302" t="s">
        <v>1</v>
      </c>
      <c r="D2324" s="303"/>
      <c r="E2324" s="112" t="s">
        <v>193</v>
      </c>
      <c r="F2324" s="120" t="s">
        <v>2</v>
      </c>
      <c r="G2324" s="114" t="s">
        <v>3</v>
      </c>
      <c r="H2324" s="106"/>
      <c r="I2324" s="107" t="s">
        <v>7</v>
      </c>
      <c r="J2324" s="136"/>
      <c r="K2324" s="107" t="s">
        <v>8</v>
      </c>
      <c r="L2324" s="115" t="s">
        <v>194</v>
      </c>
    </row>
    <row r="2325" spans="2:16" x14ac:dyDescent="0.4">
      <c r="B2325" s="122"/>
      <c r="C2325" s="306"/>
      <c r="D2325" s="306"/>
      <c r="E2325" s="116"/>
      <c r="F2325" s="83"/>
      <c r="G2325" s="74"/>
      <c r="I2325" s="117">
        <f>IF(C2325=0,0,VLOOKUP(C2325,Tabla3[],3,FALSE))</f>
        <v>0</v>
      </c>
      <c r="K2325" s="84">
        <f>F2325*I2325</f>
        <v>0</v>
      </c>
      <c r="L2325" s="118">
        <f>E2325*I2325</f>
        <v>0</v>
      </c>
    </row>
    <row r="2326" spans="2:16" x14ac:dyDescent="0.4">
      <c r="B2326" s="74"/>
      <c r="C2326" s="309"/>
      <c r="D2326" s="310"/>
      <c r="E2326" s="121"/>
      <c r="F2326" s="72"/>
      <c r="G2326" s="74"/>
      <c r="I2326" s="117">
        <f>IF(C2326=0,0,VLOOKUP(C2326,Tabla3[],3,FALSE))</f>
        <v>0</v>
      </c>
      <c r="K2326" s="84">
        <f t="shared" ref="K2326:K2328" si="356">+F2326*I2326</f>
        <v>0</v>
      </c>
      <c r="L2326" s="118">
        <f t="shared" ref="L2326:L2328" si="357">E2326*I2326</f>
        <v>0</v>
      </c>
    </row>
    <row r="2327" spans="2:16" x14ac:dyDescent="0.4">
      <c r="B2327" s="74"/>
      <c r="C2327" s="309"/>
      <c r="D2327" s="310"/>
      <c r="E2327" s="121"/>
      <c r="F2327" s="72"/>
      <c r="G2327" s="74"/>
      <c r="I2327" s="117">
        <f>IF(C2327=0,0,VLOOKUP(C2327,Tabla3[],3,FALSE))</f>
        <v>0</v>
      </c>
      <c r="K2327" s="84">
        <f t="shared" si="356"/>
        <v>0</v>
      </c>
      <c r="L2327" s="118">
        <f t="shared" si="357"/>
        <v>0</v>
      </c>
    </row>
    <row r="2328" spans="2:16" x14ac:dyDescent="0.4">
      <c r="B2328" s="74"/>
      <c r="C2328" s="304"/>
      <c r="D2328" s="305"/>
      <c r="E2328" s="121"/>
      <c r="F2328" s="72"/>
      <c r="G2328" s="74"/>
      <c r="I2328" s="117">
        <f>IF(C2328=0,0,VLOOKUP(C2328,Tabla3[],3,FALSE))</f>
        <v>0</v>
      </c>
      <c r="K2328" s="84">
        <f t="shared" si="356"/>
        <v>0</v>
      </c>
      <c r="L2328" s="118">
        <f t="shared" si="357"/>
        <v>0</v>
      </c>
    </row>
    <row r="2329" spans="2:16" ht="17.399999999999999" thickBot="1" x14ac:dyDescent="0.45"/>
    <row r="2330" spans="2:16" ht="17.399999999999999" thickBot="1" x14ac:dyDescent="0.45">
      <c r="F2330" s="292" t="s">
        <v>12</v>
      </c>
      <c r="G2330" s="293"/>
      <c r="H2330" s="293"/>
      <c r="I2330" s="294"/>
      <c r="K2330" s="229">
        <f>+SUM(K2325:K2328)</f>
        <v>0</v>
      </c>
      <c r="L2330" s="119">
        <f>+SUM(L2325:L2328)</f>
        <v>0</v>
      </c>
    </row>
    <row r="2331" spans="2:16" ht="17.399999999999999" thickBot="1" x14ac:dyDescent="0.45"/>
    <row r="2332" spans="2:16" ht="17.399999999999999" thickBot="1" x14ac:dyDescent="0.45">
      <c r="B2332" s="110" t="s">
        <v>13</v>
      </c>
      <c r="C2332" s="300" t="s">
        <v>14</v>
      </c>
      <c r="D2332" s="300"/>
      <c r="E2332" s="300"/>
      <c r="F2332" s="300"/>
      <c r="G2332" s="301"/>
    </row>
    <row r="2333" spans="2:16" x14ac:dyDescent="0.4">
      <c r="B2333" s="114" t="s">
        <v>6</v>
      </c>
      <c r="C2333" s="302" t="s">
        <v>1</v>
      </c>
      <c r="D2333" s="303"/>
      <c r="E2333" s="112" t="s">
        <v>193</v>
      </c>
      <c r="F2333" s="120" t="s">
        <v>2</v>
      </c>
      <c r="G2333" s="114" t="s">
        <v>3</v>
      </c>
      <c r="H2333" s="106"/>
      <c r="I2333" s="107" t="s">
        <v>7</v>
      </c>
      <c r="J2333" s="136"/>
      <c r="K2333" s="107" t="s">
        <v>8</v>
      </c>
      <c r="L2333" s="115" t="s">
        <v>194</v>
      </c>
    </row>
    <row r="2334" spans="2:16" x14ac:dyDescent="0.4">
      <c r="B2334" s="122">
        <v>1</v>
      </c>
      <c r="C2334" s="306" t="s">
        <v>305</v>
      </c>
      <c r="D2334" s="306"/>
      <c r="E2334" s="116">
        <f>I2311</f>
        <v>4.6100000000000003</v>
      </c>
      <c r="F2334" s="83">
        <f>ROUND(E2334/I2311,2)</f>
        <v>1</v>
      </c>
      <c r="G2334" s="74" t="str">
        <f>IF(C2334=0,0,VLOOKUP(C2334,Tabla2[],2,FALSE))</f>
        <v>ml</v>
      </c>
      <c r="I2334" s="117">
        <f>IF(C2334=0,0,VLOOKUP(C2334,Tabla2[],3,FALSE))</f>
        <v>100</v>
      </c>
      <c r="K2334" s="84">
        <f>+F2334*I2334</f>
        <v>100</v>
      </c>
      <c r="L2334" s="118">
        <f>E2334*I2334</f>
        <v>461.00000000000006</v>
      </c>
    </row>
    <row r="2335" spans="2:16" x14ac:dyDescent="0.4">
      <c r="B2335" s="122"/>
      <c r="C2335" s="306"/>
      <c r="D2335" s="306"/>
      <c r="E2335" s="116"/>
      <c r="F2335" s="83"/>
      <c r="G2335" s="74"/>
      <c r="I2335" s="117">
        <f>IF(C2335=0,0,VLOOKUP(C2335,Tabla2[],3,FALSE))</f>
        <v>0</v>
      </c>
      <c r="K2335" s="84">
        <f>+F2335*I2335</f>
        <v>0</v>
      </c>
      <c r="L2335" s="118">
        <f>E2335*I2335</f>
        <v>0</v>
      </c>
    </row>
    <row r="2336" spans="2:16" ht="17.399999999999999" thickBot="1" x14ac:dyDescent="0.45">
      <c r="B2336" s="123"/>
      <c r="C2336" s="307"/>
      <c r="D2336" s="308"/>
      <c r="E2336" s="124"/>
      <c r="F2336" s="125"/>
      <c r="G2336" s="74"/>
      <c r="I2336" s="117">
        <f>IF(C2336=0,0,VLOOKUP(C2336,Tabla2[],3,FALSE))</f>
        <v>0</v>
      </c>
      <c r="K2336" s="84">
        <f t="shared" ref="K2336" si="358">+F2336*I2336</f>
        <v>0</v>
      </c>
      <c r="L2336" s="118">
        <f t="shared" ref="L2336:L2337" si="359">E2336*I2336</f>
        <v>0</v>
      </c>
    </row>
    <row r="2337" spans="2:16" ht="17.399999999999999" thickBot="1" x14ac:dyDescent="0.45">
      <c r="B2337" s="297" t="s">
        <v>15</v>
      </c>
      <c r="C2337" s="298"/>
      <c r="D2337" s="298"/>
      <c r="E2337" s="298"/>
      <c r="F2337" s="298"/>
      <c r="G2337" s="299"/>
      <c r="I2337" s="84">
        <v>0</v>
      </c>
      <c r="K2337" s="84">
        <v>0</v>
      </c>
      <c r="L2337" s="118">
        <f t="shared" si="359"/>
        <v>0</v>
      </c>
    </row>
    <row r="2338" spans="2:16" ht="17.399999999999999" thickBot="1" x14ac:dyDescent="0.45"/>
    <row r="2339" spans="2:16" ht="17.399999999999999" thickBot="1" x14ac:dyDescent="0.45">
      <c r="F2339" s="292" t="s">
        <v>16</v>
      </c>
      <c r="G2339" s="293"/>
      <c r="H2339" s="293"/>
      <c r="I2339" s="294"/>
      <c r="K2339" s="229">
        <f>+SUM(K2334:K2337)</f>
        <v>100</v>
      </c>
      <c r="L2339" s="119">
        <f>+SUM(L2334:L2337)</f>
        <v>461.00000000000006</v>
      </c>
    </row>
    <row r="2340" spans="2:16" ht="17.399999999999999" thickBot="1" x14ac:dyDescent="0.45"/>
    <row r="2341" spans="2:16" ht="17.399999999999999" thickBot="1" x14ac:dyDescent="0.45">
      <c r="B2341" s="110" t="s">
        <v>17</v>
      </c>
      <c r="C2341" s="300" t="s">
        <v>18</v>
      </c>
      <c r="D2341" s="300"/>
      <c r="E2341" s="300"/>
      <c r="F2341" s="300"/>
      <c r="G2341" s="301"/>
    </row>
    <row r="2342" spans="2:16" x14ac:dyDescent="0.4">
      <c r="B2342" s="114" t="s">
        <v>6</v>
      </c>
      <c r="C2342" s="302" t="s">
        <v>1</v>
      </c>
      <c r="D2342" s="303"/>
      <c r="E2342" s="126"/>
      <c r="F2342" s="120" t="s">
        <v>2</v>
      </c>
      <c r="G2342" s="114" t="s">
        <v>3</v>
      </c>
      <c r="H2342" s="106"/>
      <c r="I2342" s="107" t="s">
        <v>7</v>
      </c>
      <c r="J2342" s="136"/>
      <c r="K2342" s="107" t="s">
        <v>8</v>
      </c>
      <c r="L2342" s="115" t="s">
        <v>194</v>
      </c>
    </row>
    <row r="2343" spans="2:16" x14ac:dyDescent="0.4">
      <c r="B2343" s="74"/>
      <c r="C2343" s="304"/>
      <c r="D2343" s="305"/>
      <c r="E2343" s="127"/>
      <c r="F2343" s="72"/>
      <c r="G2343" s="74"/>
      <c r="I2343" s="84">
        <v>0</v>
      </c>
      <c r="K2343" s="84">
        <f>+F2343*I2343</f>
        <v>0</v>
      </c>
      <c r="L2343" s="118">
        <f>E2343*I2343</f>
        <v>0</v>
      </c>
    </row>
    <row r="2344" spans="2:16" x14ac:dyDescent="0.4">
      <c r="B2344" s="74"/>
      <c r="C2344" s="304"/>
      <c r="D2344" s="305"/>
      <c r="E2344" s="127"/>
      <c r="F2344" s="72"/>
      <c r="G2344" s="74"/>
      <c r="I2344" s="84">
        <v>0</v>
      </c>
      <c r="K2344" s="84">
        <f t="shared" ref="K2344:K2345" si="360">+F2344*I2344</f>
        <v>0</v>
      </c>
      <c r="L2344" s="118">
        <f t="shared" ref="L2344:L2345" si="361">E2344*I2344</f>
        <v>0</v>
      </c>
    </row>
    <row r="2345" spans="2:16" x14ac:dyDescent="0.4">
      <c r="B2345" s="74"/>
      <c r="C2345" s="304"/>
      <c r="D2345" s="305"/>
      <c r="E2345" s="127"/>
      <c r="F2345" s="72"/>
      <c r="G2345" s="74"/>
      <c r="I2345" s="84">
        <v>0</v>
      </c>
      <c r="K2345" s="84">
        <f t="shared" si="360"/>
        <v>0</v>
      </c>
      <c r="L2345" s="118">
        <f t="shared" si="361"/>
        <v>0</v>
      </c>
    </row>
    <row r="2346" spans="2:16" ht="17.399999999999999" thickBot="1" x14ac:dyDescent="0.45">
      <c r="L2346" s="118"/>
    </row>
    <row r="2347" spans="2:16" ht="17.399999999999999" thickBot="1" x14ac:dyDescent="0.45">
      <c r="F2347" s="292" t="s">
        <v>19</v>
      </c>
      <c r="G2347" s="293"/>
      <c r="H2347" s="293"/>
      <c r="I2347" s="294"/>
      <c r="K2347" s="229">
        <f>+SUM(K2343:K2345)</f>
        <v>0</v>
      </c>
      <c r="L2347" s="119">
        <f>+SUM(L2342:L2345)</f>
        <v>0</v>
      </c>
    </row>
    <row r="2348" spans="2:16" ht="15" customHeight="1" x14ac:dyDescent="0.4">
      <c r="F2348" s="128"/>
      <c r="G2348" s="129"/>
      <c r="H2348" s="130"/>
      <c r="I2348" s="108"/>
      <c r="K2348" s="230"/>
    </row>
    <row r="2349" spans="2:16" ht="15" customHeight="1" thickBot="1" x14ac:dyDescent="0.45"/>
    <row r="2350" spans="2:16" ht="17.399999999999999" thickBot="1" x14ac:dyDescent="0.45">
      <c r="F2350" s="292" t="s">
        <v>20</v>
      </c>
      <c r="G2350" s="293"/>
      <c r="H2350" s="293"/>
      <c r="I2350" s="294"/>
      <c r="K2350" s="229">
        <f>(+K2321+K2330+K2339+K2347)</f>
        <v>200</v>
      </c>
      <c r="L2350" s="119">
        <f>(+L2321+L2330+L2339+L2347)</f>
        <v>922.00000000000011</v>
      </c>
      <c r="N2350" s="131"/>
      <c r="O2350" s="39"/>
      <c r="P2350" s="40"/>
    </row>
    <row r="2351" spans="2:16" ht="7.5" customHeight="1" thickBot="1" x14ac:dyDescent="0.45">
      <c r="N2351" s="131"/>
      <c r="O2351" s="41"/>
      <c r="P2351" s="40"/>
    </row>
    <row r="2352" spans="2:16" ht="17.399999999999999" thickBot="1" x14ac:dyDescent="0.45">
      <c r="F2352" s="292" t="s">
        <v>21</v>
      </c>
      <c r="G2352" s="293"/>
      <c r="H2352" s="293"/>
      <c r="I2352" s="294"/>
      <c r="K2352" s="229">
        <f>K2350*$N$2</f>
        <v>80</v>
      </c>
      <c r="L2352" s="119">
        <f>L2350*$N$2</f>
        <v>368.80000000000007</v>
      </c>
    </row>
    <row r="2353" spans="1:16" ht="7.5" customHeight="1" thickBot="1" x14ac:dyDescent="0.45"/>
    <row r="2354" spans="1:16" ht="17.399999999999999" thickBot="1" x14ac:dyDescent="0.45">
      <c r="F2354" s="292" t="s">
        <v>22</v>
      </c>
      <c r="G2354" s="293"/>
      <c r="H2354" s="293"/>
      <c r="I2354" s="294"/>
      <c r="K2354" s="229">
        <f>+K2350+K2352</f>
        <v>280</v>
      </c>
      <c r="L2354" s="119">
        <f>+L2350+L2352</f>
        <v>1290.8000000000002</v>
      </c>
    </row>
    <row r="2355" spans="1:16" ht="17.399999999999999" thickBot="1" x14ac:dyDescent="0.45">
      <c r="F2355" s="128"/>
      <c r="G2355" s="129"/>
      <c r="H2355" s="130"/>
      <c r="I2355" s="108"/>
      <c r="K2355" s="231"/>
      <c r="L2355" s="132">
        <f>L2354/I2311</f>
        <v>280</v>
      </c>
      <c r="M2355" s="133">
        <f>(K2354-L2355)*I2311</f>
        <v>0</v>
      </c>
    </row>
    <row r="2356" spans="1:16" x14ac:dyDescent="0.4">
      <c r="F2356" s="128"/>
      <c r="G2356" s="129"/>
      <c r="H2356" s="130"/>
      <c r="I2356" s="108"/>
      <c r="K2356" s="232"/>
      <c r="L2356" s="131"/>
      <c r="M2356" s="134"/>
      <c r="N2356" s="135"/>
    </row>
    <row r="2357" spans="1:16" ht="17.399999999999999" thickBot="1" x14ac:dyDescent="0.45">
      <c r="B2357" s="295"/>
      <c r="C2357" s="295"/>
      <c r="D2357" s="295"/>
    </row>
    <row r="2358" spans="1:16" x14ac:dyDescent="0.4">
      <c r="B2358" s="296" t="s">
        <v>23</v>
      </c>
      <c r="C2358" s="296"/>
      <c r="D2358" s="296"/>
    </row>
    <row r="2359" spans="1:16" x14ac:dyDescent="0.4">
      <c r="B2359" s="157"/>
      <c r="C2359" s="157"/>
      <c r="D2359" s="157"/>
    </row>
    <row r="2360" spans="1:16" x14ac:dyDescent="0.4">
      <c r="B2360" s="157"/>
      <c r="C2360" s="157"/>
      <c r="D2360" s="157"/>
    </row>
    <row r="2361" spans="1:16" x14ac:dyDescent="0.4">
      <c r="B2361" s="105" t="s">
        <v>43</v>
      </c>
      <c r="C2361" s="106"/>
      <c r="D2361" s="311" t="s">
        <v>1</v>
      </c>
      <c r="E2361" s="311"/>
      <c r="F2361" s="311"/>
      <c r="G2361" s="311"/>
      <c r="H2361" s="106"/>
      <c r="I2361" s="107" t="s">
        <v>2</v>
      </c>
      <c r="J2361" s="136"/>
      <c r="K2361" s="107" t="s">
        <v>3</v>
      </c>
    </row>
    <row r="2362" spans="1:16" s="4" customFormat="1" ht="30.75" customHeight="1" x14ac:dyDescent="0.3">
      <c r="A2362" s="31"/>
      <c r="B2362" s="213">
        <f>CATALOGO!B63</f>
        <v>904.03</v>
      </c>
      <c r="C2362" s="71"/>
      <c r="D2362" s="324" t="str">
        <f>CATALOGO!C63</f>
        <v>TUBERÍA PVC Ø 4", 160 PSI (INLCUYE ACCESORIOS)</v>
      </c>
      <c r="E2362" s="324"/>
      <c r="F2362" s="324"/>
      <c r="G2362" s="324"/>
      <c r="H2362" s="71"/>
      <c r="I2362" s="213">
        <f>CATALOGO!D63</f>
        <v>6</v>
      </c>
      <c r="J2362" s="109"/>
      <c r="K2362" s="227" t="str">
        <f>CATALOGO!E63</f>
        <v>ml</v>
      </c>
      <c r="L2362" s="71"/>
      <c r="M2362" s="71"/>
      <c r="N2362" s="104"/>
      <c r="O2362" s="37"/>
      <c r="P2362" s="37"/>
    </row>
    <row r="2363" spans="1:16" ht="17.399999999999999" thickBot="1" x14ac:dyDescent="0.45"/>
    <row r="2364" spans="1:16" ht="17.399999999999999" thickBot="1" x14ac:dyDescent="0.45">
      <c r="B2364" s="110" t="s">
        <v>4</v>
      </c>
      <c r="C2364" s="300" t="s">
        <v>5</v>
      </c>
      <c r="D2364" s="300"/>
      <c r="E2364" s="300"/>
      <c r="F2364" s="300"/>
      <c r="G2364" s="301"/>
    </row>
    <row r="2365" spans="1:16" x14ac:dyDescent="0.3">
      <c r="B2365" s="111" t="s">
        <v>6</v>
      </c>
      <c r="C2365" s="313" t="s">
        <v>1</v>
      </c>
      <c r="D2365" s="314"/>
      <c r="E2365" s="112" t="s">
        <v>193</v>
      </c>
      <c r="F2365" s="113" t="s">
        <v>2</v>
      </c>
      <c r="G2365" s="114" t="s">
        <v>3</v>
      </c>
      <c r="H2365" s="106"/>
      <c r="I2365" s="107" t="s">
        <v>7</v>
      </c>
      <c r="J2365" s="136"/>
      <c r="K2365" s="228" t="s">
        <v>8</v>
      </c>
      <c r="L2365" s="115" t="s">
        <v>194</v>
      </c>
      <c r="O2365" s="323"/>
      <c r="P2365" s="323"/>
    </row>
    <row r="2366" spans="1:16" ht="17.25" customHeight="1" x14ac:dyDescent="0.3">
      <c r="B2366" s="122">
        <v>1</v>
      </c>
      <c r="C2366" s="317" t="s">
        <v>149</v>
      </c>
      <c r="D2366" s="318"/>
      <c r="E2366" s="116">
        <f>I2362*0.2</f>
        <v>1.2000000000000002</v>
      </c>
      <c r="F2366" s="83">
        <f>ROUND(E2366/I2362,2)</f>
        <v>0.2</v>
      </c>
      <c r="G2366" s="74" t="str">
        <f>IF(C2366=0,0,VLOOKUP(C2366,Tabla1[],2,FALSE))</f>
        <v>Unidad</v>
      </c>
      <c r="I2366" s="117">
        <f>IF(C2366=0,0,VLOOKUP(C2366,Tabla1[],3,FALSE))</f>
        <v>625</v>
      </c>
      <c r="K2366" s="84">
        <f>F2366*I2366</f>
        <v>125</v>
      </c>
      <c r="L2366" s="118">
        <f t="shared" ref="L2366:L2370" si="362">E2366*I2366</f>
        <v>750.00000000000011</v>
      </c>
      <c r="O2366" s="44"/>
      <c r="P2366" s="45"/>
    </row>
    <row r="2367" spans="1:16" x14ac:dyDescent="0.4">
      <c r="B2367" s="122">
        <v>2</v>
      </c>
      <c r="C2367" s="317" t="s">
        <v>306</v>
      </c>
      <c r="D2367" s="318"/>
      <c r="E2367" s="116">
        <f>I2362*0.1</f>
        <v>0.60000000000000009</v>
      </c>
      <c r="F2367" s="83">
        <f>ROUND(E2367/I2362,2)</f>
        <v>0.1</v>
      </c>
      <c r="G2367" s="74" t="str">
        <f>IF(C2367=0,0,VLOOKUP(C2367,Tabla1[],2,FALSE))</f>
        <v>Unidad</v>
      </c>
      <c r="I2367" s="117">
        <f>IF(C2367=0,0,VLOOKUP(C2367,Tabla1[],3,FALSE))</f>
        <v>70</v>
      </c>
      <c r="K2367" s="84">
        <f t="shared" ref="K2367:K2370" si="363">+F2367*I2367</f>
        <v>7</v>
      </c>
      <c r="L2367" s="118">
        <f t="shared" si="362"/>
        <v>42.000000000000007</v>
      </c>
      <c r="P2367" s="45"/>
    </row>
    <row r="2368" spans="1:16" x14ac:dyDescent="0.4">
      <c r="B2368" s="122">
        <v>3</v>
      </c>
      <c r="C2368" s="317" t="s">
        <v>130</v>
      </c>
      <c r="D2368" s="318"/>
      <c r="E2368" s="116">
        <f>I2362*0.02</f>
        <v>0.12</v>
      </c>
      <c r="F2368" s="83">
        <f>ROUND(E2368/I2362,2)</f>
        <v>0.02</v>
      </c>
      <c r="G2368" s="74" t="str">
        <f>IF(C2368=0,0,VLOOKUP(C2368,Tabla1[],2,FALSE))</f>
        <v>Galón</v>
      </c>
      <c r="I2368" s="117">
        <f>IF(C2368=0,0,VLOOKUP(C2368,Tabla1[],3,FALSE))</f>
        <v>400</v>
      </c>
      <c r="K2368" s="84">
        <f t="shared" si="363"/>
        <v>8</v>
      </c>
      <c r="L2368" s="118">
        <f t="shared" si="362"/>
        <v>48</v>
      </c>
      <c r="O2368" s="48"/>
      <c r="P2368" s="49"/>
    </row>
    <row r="2369" spans="2:16" x14ac:dyDescent="0.4">
      <c r="B2369" s="122"/>
      <c r="C2369" s="210"/>
      <c r="D2369" s="209"/>
      <c r="E2369" s="116"/>
      <c r="F2369" s="83"/>
      <c r="G2369" s="74"/>
      <c r="I2369" s="117">
        <f>IF(C2369=0,0,VLOOKUP(C2369,Tabla1[],3,FALSE))</f>
        <v>0</v>
      </c>
      <c r="K2369" s="84">
        <f t="shared" si="363"/>
        <v>0</v>
      </c>
      <c r="L2369" s="118">
        <f t="shared" si="362"/>
        <v>0</v>
      </c>
      <c r="O2369" s="48"/>
      <c r="P2369" s="49"/>
    </row>
    <row r="2370" spans="2:16" x14ac:dyDescent="0.4">
      <c r="B2370" s="122"/>
      <c r="C2370" s="210"/>
      <c r="D2370" s="209"/>
      <c r="E2370" s="116"/>
      <c r="F2370" s="83"/>
      <c r="G2370" s="74"/>
      <c r="I2370" s="117">
        <f>IF(C2370=0,0,VLOOKUP(C2370,Tabla1[],3,FALSE))</f>
        <v>0</v>
      </c>
      <c r="K2370" s="84">
        <f t="shared" si="363"/>
        <v>0</v>
      </c>
      <c r="L2370" s="118">
        <f t="shared" si="362"/>
        <v>0</v>
      </c>
      <c r="O2370" s="48"/>
      <c r="P2370" s="49"/>
    </row>
    <row r="2371" spans="2:16" ht="17.399999999999999" thickBot="1" x14ac:dyDescent="0.45"/>
    <row r="2372" spans="2:16" ht="17.399999999999999" thickBot="1" x14ac:dyDescent="0.35">
      <c r="F2372" s="292" t="s">
        <v>9</v>
      </c>
      <c r="G2372" s="293"/>
      <c r="H2372" s="293"/>
      <c r="I2372" s="294"/>
      <c r="K2372" s="229">
        <f>+SUM(K2366:K2370)</f>
        <v>140</v>
      </c>
      <c r="L2372" s="119">
        <f>+SUM(L2366:L2370)</f>
        <v>840.00000000000011</v>
      </c>
      <c r="O2372" s="38"/>
      <c r="P2372" s="38"/>
    </row>
    <row r="2373" spans="2:16" ht="17.399999999999999" thickBot="1" x14ac:dyDescent="0.45">
      <c r="O2373" s="42"/>
      <c r="P2373" s="43"/>
    </row>
    <row r="2374" spans="2:16" ht="17.399999999999999" thickBot="1" x14ac:dyDescent="0.45">
      <c r="B2374" s="110" t="s">
        <v>10</v>
      </c>
      <c r="C2374" s="300" t="s">
        <v>11</v>
      </c>
      <c r="D2374" s="300"/>
      <c r="E2374" s="300"/>
      <c r="F2374" s="300"/>
      <c r="G2374" s="301"/>
    </row>
    <row r="2375" spans="2:16" x14ac:dyDescent="0.4">
      <c r="B2375" s="114" t="s">
        <v>6</v>
      </c>
      <c r="C2375" s="302" t="s">
        <v>1</v>
      </c>
      <c r="D2375" s="303"/>
      <c r="E2375" s="112" t="s">
        <v>193</v>
      </c>
      <c r="F2375" s="120" t="s">
        <v>2</v>
      </c>
      <c r="G2375" s="114" t="s">
        <v>3</v>
      </c>
      <c r="H2375" s="106"/>
      <c r="I2375" s="107" t="s">
        <v>7</v>
      </c>
      <c r="J2375" s="136"/>
      <c r="K2375" s="107" t="s">
        <v>8</v>
      </c>
      <c r="L2375" s="115" t="s">
        <v>194</v>
      </c>
    </row>
    <row r="2376" spans="2:16" x14ac:dyDescent="0.4">
      <c r="B2376" s="122"/>
      <c r="C2376" s="306"/>
      <c r="D2376" s="306"/>
      <c r="E2376" s="116"/>
      <c r="F2376" s="83"/>
      <c r="G2376" s="74"/>
      <c r="I2376" s="117">
        <f>IF(C2376=0,0,VLOOKUP(C2376,Tabla3[],3,FALSE))</f>
        <v>0</v>
      </c>
      <c r="K2376" s="84">
        <f>F2376*I2376</f>
        <v>0</v>
      </c>
      <c r="L2376" s="118">
        <f>E2376*I2376</f>
        <v>0</v>
      </c>
    </row>
    <row r="2377" spans="2:16" x14ac:dyDescent="0.4">
      <c r="B2377" s="74"/>
      <c r="C2377" s="309"/>
      <c r="D2377" s="310"/>
      <c r="E2377" s="121"/>
      <c r="F2377" s="72"/>
      <c r="G2377" s="74"/>
      <c r="I2377" s="117">
        <f>IF(C2377=0,0,VLOOKUP(C2377,Tabla3[],3,FALSE))</f>
        <v>0</v>
      </c>
      <c r="K2377" s="84">
        <f t="shared" ref="K2377:K2379" si="364">+F2377*I2377</f>
        <v>0</v>
      </c>
      <c r="L2377" s="118">
        <f t="shared" ref="L2377:L2379" si="365">E2377*I2377</f>
        <v>0</v>
      </c>
    </row>
    <row r="2378" spans="2:16" x14ac:dyDescent="0.4">
      <c r="B2378" s="74"/>
      <c r="C2378" s="309"/>
      <c r="D2378" s="310"/>
      <c r="E2378" s="121"/>
      <c r="F2378" s="72"/>
      <c r="G2378" s="74"/>
      <c r="I2378" s="117">
        <f>IF(C2378=0,0,VLOOKUP(C2378,Tabla3[],3,FALSE))</f>
        <v>0</v>
      </c>
      <c r="K2378" s="84">
        <f t="shared" si="364"/>
        <v>0</v>
      </c>
      <c r="L2378" s="118">
        <f t="shared" si="365"/>
        <v>0</v>
      </c>
    </row>
    <row r="2379" spans="2:16" x14ac:dyDescent="0.4">
      <c r="B2379" s="74"/>
      <c r="C2379" s="304"/>
      <c r="D2379" s="305"/>
      <c r="E2379" s="121"/>
      <c r="F2379" s="72"/>
      <c r="G2379" s="74"/>
      <c r="I2379" s="117">
        <f>IF(C2379=0,0,VLOOKUP(C2379,Tabla3[],3,FALSE))</f>
        <v>0</v>
      </c>
      <c r="K2379" s="84">
        <f t="shared" si="364"/>
        <v>0</v>
      </c>
      <c r="L2379" s="118">
        <f t="shared" si="365"/>
        <v>0</v>
      </c>
    </row>
    <row r="2380" spans="2:16" ht="17.399999999999999" thickBot="1" x14ac:dyDescent="0.45"/>
    <row r="2381" spans="2:16" ht="17.399999999999999" thickBot="1" x14ac:dyDescent="0.45">
      <c r="F2381" s="292" t="s">
        <v>12</v>
      </c>
      <c r="G2381" s="293"/>
      <c r="H2381" s="293"/>
      <c r="I2381" s="294"/>
      <c r="K2381" s="229">
        <f>+SUM(K2376:K2379)</f>
        <v>0</v>
      </c>
      <c r="L2381" s="119">
        <f>+SUM(L2376:L2379)</f>
        <v>0</v>
      </c>
    </row>
    <row r="2382" spans="2:16" ht="17.399999999999999" thickBot="1" x14ac:dyDescent="0.45"/>
    <row r="2383" spans="2:16" ht="17.399999999999999" thickBot="1" x14ac:dyDescent="0.45">
      <c r="B2383" s="110" t="s">
        <v>13</v>
      </c>
      <c r="C2383" s="300" t="s">
        <v>14</v>
      </c>
      <c r="D2383" s="300"/>
      <c r="E2383" s="300"/>
      <c r="F2383" s="300"/>
      <c r="G2383" s="301"/>
    </row>
    <row r="2384" spans="2:16" x14ac:dyDescent="0.4">
      <c r="B2384" s="114" t="s">
        <v>6</v>
      </c>
      <c r="C2384" s="302" t="s">
        <v>1</v>
      </c>
      <c r="D2384" s="303"/>
      <c r="E2384" s="112" t="s">
        <v>193</v>
      </c>
      <c r="F2384" s="120" t="s">
        <v>2</v>
      </c>
      <c r="G2384" s="114" t="s">
        <v>3</v>
      </c>
      <c r="H2384" s="106"/>
      <c r="I2384" s="107" t="s">
        <v>7</v>
      </c>
      <c r="J2384" s="136"/>
      <c r="K2384" s="107" t="s">
        <v>8</v>
      </c>
      <c r="L2384" s="115" t="s">
        <v>194</v>
      </c>
    </row>
    <row r="2385" spans="2:12" x14ac:dyDescent="0.4">
      <c r="B2385" s="122">
        <v>1</v>
      </c>
      <c r="C2385" s="306" t="s">
        <v>305</v>
      </c>
      <c r="D2385" s="306"/>
      <c r="E2385" s="116">
        <f>I2362</f>
        <v>6</v>
      </c>
      <c r="F2385" s="83">
        <f>ROUND(E2385/I2362,2)</f>
        <v>1</v>
      </c>
      <c r="G2385" s="74" t="str">
        <f>IF(C2385=0,0,VLOOKUP(C2385,Tabla2[],2,FALSE))</f>
        <v>ml</v>
      </c>
      <c r="I2385" s="117">
        <f>IF(C2385=0,0,VLOOKUP(C2385,Tabla2[],3,FALSE))</f>
        <v>100</v>
      </c>
      <c r="K2385" s="84">
        <f>+F2385*I2385</f>
        <v>100</v>
      </c>
      <c r="L2385" s="118">
        <f>E2385*I2385</f>
        <v>600</v>
      </c>
    </row>
    <row r="2386" spans="2:12" x14ac:dyDescent="0.4">
      <c r="B2386" s="122"/>
      <c r="C2386" s="306"/>
      <c r="D2386" s="306"/>
      <c r="E2386" s="116"/>
      <c r="F2386" s="83"/>
      <c r="G2386" s="74"/>
      <c r="I2386" s="117">
        <f>IF(C2386=0,0,VLOOKUP(C2386,Tabla2[],3,FALSE))</f>
        <v>0</v>
      </c>
      <c r="K2386" s="84">
        <f>+F2386*I2386</f>
        <v>0</v>
      </c>
      <c r="L2386" s="118">
        <f>E2386*I2386</f>
        <v>0</v>
      </c>
    </row>
    <row r="2387" spans="2:12" ht="17.399999999999999" thickBot="1" x14ac:dyDescent="0.45">
      <c r="B2387" s="123"/>
      <c r="C2387" s="307"/>
      <c r="D2387" s="308"/>
      <c r="E2387" s="124"/>
      <c r="F2387" s="125"/>
      <c r="G2387" s="74"/>
      <c r="I2387" s="117">
        <f>IF(C2387=0,0,VLOOKUP(C2387,Tabla2[],3,FALSE))</f>
        <v>0</v>
      </c>
      <c r="K2387" s="84">
        <f t="shared" ref="K2387" si="366">+F2387*I2387</f>
        <v>0</v>
      </c>
      <c r="L2387" s="118">
        <f t="shared" ref="L2387:L2388" si="367">E2387*I2387</f>
        <v>0</v>
      </c>
    </row>
    <row r="2388" spans="2:12" ht="17.399999999999999" thickBot="1" x14ac:dyDescent="0.45">
      <c r="B2388" s="297" t="s">
        <v>15</v>
      </c>
      <c r="C2388" s="298"/>
      <c r="D2388" s="298"/>
      <c r="E2388" s="298"/>
      <c r="F2388" s="298"/>
      <c r="G2388" s="299"/>
      <c r="I2388" s="84">
        <v>0</v>
      </c>
      <c r="K2388" s="84">
        <v>0</v>
      </c>
      <c r="L2388" s="118">
        <f t="shared" si="367"/>
        <v>0</v>
      </c>
    </row>
    <row r="2389" spans="2:12" ht="17.399999999999999" thickBot="1" x14ac:dyDescent="0.45"/>
    <row r="2390" spans="2:12" ht="17.399999999999999" thickBot="1" x14ac:dyDescent="0.45">
      <c r="F2390" s="292" t="s">
        <v>16</v>
      </c>
      <c r="G2390" s="293"/>
      <c r="H2390" s="293"/>
      <c r="I2390" s="294"/>
      <c r="K2390" s="229">
        <f>+SUM(K2385:K2388)</f>
        <v>100</v>
      </c>
      <c r="L2390" s="119">
        <f>+SUM(L2385:L2388)</f>
        <v>600</v>
      </c>
    </row>
    <row r="2391" spans="2:12" ht="17.399999999999999" thickBot="1" x14ac:dyDescent="0.45"/>
    <row r="2392" spans="2:12" ht="17.399999999999999" thickBot="1" x14ac:dyDescent="0.45">
      <c r="B2392" s="110" t="s">
        <v>17</v>
      </c>
      <c r="C2392" s="300" t="s">
        <v>18</v>
      </c>
      <c r="D2392" s="300"/>
      <c r="E2392" s="300"/>
      <c r="F2392" s="300"/>
      <c r="G2392" s="301"/>
    </row>
    <row r="2393" spans="2:12" x14ac:dyDescent="0.4">
      <c r="B2393" s="114" t="s">
        <v>6</v>
      </c>
      <c r="C2393" s="302" t="s">
        <v>1</v>
      </c>
      <c r="D2393" s="303"/>
      <c r="E2393" s="126"/>
      <c r="F2393" s="120" t="s">
        <v>2</v>
      </c>
      <c r="G2393" s="114" t="s">
        <v>3</v>
      </c>
      <c r="H2393" s="106"/>
      <c r="I2393" s="107" t="s">
        <v>7</v>
      </c>
      <c r="J2393" s="136"/>
      <c r="K2393" s="107" t="s">
        <v>8</v>
      </c>
      <c r="L2393" s="115" t="s">
        <v>194</v>
      </c>
    </row>
    <row r="2394" spans="2:12" x14ac:dyDescent="0.4">
      <c r="B2394" s="74"/>
      <c r="C2394" s="304"/>
      <c r="D2394" s="305"/>
      <c r="E2394" s="127"/>
      <c r="F2394" s="72"/>
      <c r="G2394" s="74"/>
      <c r="I2394" s="84">
        <v>0</v>
      </c>
      <c r="K2394" s="84">
        <f>+F2394*I2394</f>
        <v>0</v>
      </c>
      <c r="L2394" s="118">
        <f>E2394*I2394</f>
        <v>0</v>
      </c>
    </row>
    <row r="2395" spans="2:12" x14ac:dyDescent="0.4">
      <c r="B2395" s="74"/>
      <c r="C2395" s="304"/>
      <c r="D2395" s="305"/>
      <c r="E2395" s="127"/>
      <c r="F2395" s="72"/>
      <c r="G2395" s="74"/>
      <c r="I2395" s="84">
        <v>0</v>
      </c>
      <c r="K2395" s="84">
        <f t="shared" ref="K2395:K2396" si="368">+F2395*I2395</f>
        <v>0</v>
      </c>
      <c r="L2395" s="118">
        <f t="shared" ref="L2395:L2396" si="369">E2395*I2395</f>
        <v>0</v>
      </c>
    </row>
    <row r="2396" spans="2:12" x14ac:dyDescent="0.4">
      <c r="B2396" s="74"/>
      <c r="C2396" s="304"/>
      <c r="D2396" s="305"/>
      <c r="E2396" s="127"/>
      <c r="F2396" s="72"/>
      <c r="G2396" s="74"/>
      <c r="I2396" s="84">
        <v>0</v>
      </c>
      <c r="K2396" s="84">
        <f t="shared" si="368"/>
        <v>0</v>
      </c>
      <c r="L2396" s="118">
        <f t="shared" si="369"/>
        <v>0</v>
      </c>
    </row>
    <row r="2397" spans="2:12" ht="17.399999999999999" thickBot="1" x14ac:dyDescent="0.45">
      <c r="L2397" s="118"/>
    </row>
    <row r="2398" spans="2:12" ht="17.399999999999999" thickBot="1" x14ac:dyDescent="0.45">
      <c r="F2398" s="292" t="s">
        <v>19</v>
      </c>
      <c r="G2398" s="293"/>
      <c r="H2398" s="293"/>
      <c r="I2398" s="294"/>
      <c r="K2398" s="229">
        <f>+SUM(K2394:K2396)</f>
        <v>0</v>
      </c>
      <c r="L2398" s="119">
        <f>+SUM(L2393:L2396)</f>
        <v>0</v>
      </c>
    </row>
    <row r="2399" spans="2:12" ht="15" customHeight="1" x14ac:dyDescent="0.4">
      <c r="F2399" s="128"/>
      <c r="G2399" s="129"/>
      <c r="H2399" s="130"/>
      <c r="I2399" s="108"/>
      <c r="K2399" s="230"/>
    </row>
    <row r="2400" spans="2:12" ht="15" customHeight="1" thickBot="1" x14ac:dyDescent="0.45"/>
    <row r="2401" spans="1:16" ht="17.399999999999999" thickBot="1" x14ac:dyDescent="0.45">
      <c r="F2401" s="292" t="s">
        <v>20</v>
      </c>
      <c r="G2401" s="293"/>
      <c r="H2401" s="293"/>
      <c r="I2401" s="294"/>
      <c r="K2401" s="229">
        <f>(+K2372+K2381+K2390+K2398)</f>
        <v>240</v>
      </c>
      <c r="L2401" s="119">
        <f>(+L2372+L2381+L2390+L2398)</f>
        <v>1440</v>
      </c>
      <c r="N2401" s="131"/>
      <c r="O2401" s="39"/>
      <c r="P2401" s="40"/>
    </row>
    <row r="2402" spans="1:16" ht="7.5" customHeight="1" thickBot="1" x14ac:dyDescent="0.45">
      <c r="N2402" s="131"/>
      <c r="O2402" s="41"/>
      <c r="P2402" s="40"/>
    </row>
    <row r="2403" spans="1:16" ht="17.399999999999999" thickBot="1" x14ac:dyDescent="0.45">
      <c r="F2403" s="292" t="s">
        <v>21</v>
      </c>
      <c r="G2403" s="293"/>
      <c r="H2403" s="293"/>
      <c r="I2403" s="294"/>
      <c r="K2403" s="229">
        <f>K2401*$N$2</f>
        <v>96</v>
      </c>
      <c r="L2403" s="119">
        <f>L2401*$N$2</f>
        <v>576</v>
      </c>
    </row>
    <row r="2404" spans="1:16" ht="7.5" customHeight="1" thickBot="1" x14ac:dyDescent="0.45"/>
    <row r="2405" spans="1:16" ht="17.399999999999999" thickBot="1" x14ac:dyDescent="0.45">
      <c r="F2405" s="292" t="s">
        <v>22</v>
      </c>
      <c r="G2405" s="293"/>
      <c r="H2405" s="293"/>
      <c r="I2405" s="294"/>
      <c r="K2405" s="229">
        <f>+K2401+K2403</f>
        <v>336</v>
      </c>
      <c r="L2405" s="119">
        <f>+L2401+L2403</f>
        <v>2016</v>
      </c>
    </row>
    <row r="2406" spans="1:16" ht="17.399999999999999" thickBot="1" x14ac:dyDescent="0.45">
      <c r="F2406" s="128"/>
      <c r="G2406" s="129"/>
      <c r="H2406" s="130"/>
      <c r="I2406" s="108"/>
      <c r="K2406" s="231"/>
      <c r="L2406" s="132">
        <f>L2405/I2362</f>
        <v>336</v>
      </c>
      <c r="M2406" s="133">
        <f>(K2405-L2406)*I2362</f>
        <v>0</v>
      </c>
    </row>
    <row r="2407" spans="1:16" x14ac:dyDescent="0.4">
      <c r="F2407" s="128"/>
      <c r="G2407" s="129"/>
      <c r="H2407" s="130"/>
      <c r="I2407" s="108"/>
      <c r="K2407" s="232"/>
      <c r="L2407" s="131"/>
      <c r="M2407" s="134"/>
      <c r="N2407" s="135"/>
    </row>
    <row r="2408" spans="1:16" ht="17.399999999999999" thickBot="1" x14ac:dyDescent="0.45">
      <c r="B2408" s="295"/>
      <c r="C2408" s="295"/>
      <c r="D2408" s="295"/>
    </row>
    <row r="2409" spans="1:16" x14ac:dyDescent="0.4">
      <c r="B2409" s="296" t="s">
        <v>23</v>
      </c>
      <c r="C2409" s="296"/>
      <c r="D2409" s="296"/>
    </row>
    <row r="2410" spans="1:16" x14ac:dyDescent="0.4">
      <c r="B2410" s="157"/>
      <c r="C2410" s="157"/>
      <c r="D2410" s="157"/>
    </row>
    <row r="2411" spans="1:16" x14ac:dyDescent="0.4">
      <c r="B2411" s="157"/>
      <c r="C2411" s="157"/>
      <c r="D2411" s="157"/>
    </row>
    <row r="2412" spans="1:16" x14ac:dyDescent="0.4">
      <c r="B2412" s="105" t="s">
        <v>43</v>
      </c>
      <c r="C2412" s="106"/>
      <c r="D2412" s="311" t="s">
        <v>1</v>
      </c>
      <c r="E2412" s="311"/>
      <c r="F2412" s="311"/>
      <c r="G2412" s="311"/>
      <c r="H2412" s="106"/>
      <c r="I2412" s="107" t="s">
        <v>2</v>
      </c>
      <c r="J2412" s="136"/>
      <c r="K2412" s="107" t="s">
        <v>3</v>
      </c>
    </row>
    <row r="2413" spans="1:16" s="4" customFormat="1" ht="30.75" customHeight="1" x14ac:dyDescent="0.3">
      <c r="A2413" s="31"/>
      <c r="B2413" s="213">
        <f>CATALOGO!B64</f>
        <v>907.04</v>
      </c>
      <c r="C2413" s="71"/>
      <c r="D2413" s="324" t="str">
        <f>CATALOGO!C64</f>
        <v xml:space="preserve">CAJA DE REGISTRO DE 0.47m X 0.47m </v>
      </c>
      <c r="E2413" s="324"/>
      <c r="F2413" s="324"/>
      <c r="G2413" s="324"/>
      <c r="H2413" s="71"/>
      <c r="I2413" s="213">
        <f>CATALOGO!D64</f>
        <v>1</v>
      </c>
      <c r="J2413" s="109"/>
      <c r="K2413" s="227" t="str">
        <f>CATALOGO!E64</f>
        <v>Unidad</v>
      </c>
      <c r="L2413" s="71"/>
      <c r="M2413" s="71"/>
      <c r="N2413" s="104"/>
      <c r="O2413" s="37"/>
      <c r="P2413" s="37"/>
    </row>
    <row r="2414" spans="1:16" ht="17.399999999999999" thickBot="1" x14ac:dyDescent="0.45"/>
    <row r="2415" spans="1:16" ht="17.399999999999999" thickBot="1" x14ac:dyDescent="0.45">
      <c r="B2415" s="110" t="s">
        <v>4</v>
      </c>
      <c r="C2415" s="300" t="s">
        <v>5</v>
      </c>
      <c r="D2415" s="300"/>
      <c r="E2415" s="300"/>
      <c r="F2415" s="300"/>
      <c r="G2415" s="301"/>
    </row>
    <row r="2416" spans="1:16" x14ac:dyDescent="0.3">
      <c r="B2416" s="111" t="s">
        <v>6</v>
      </c>
      <c r="C2416" s="313" t="s">
        <v>1</v>
      </c>
      <c r="D2416" s="314"/>
      <c r="E2416" s="112" t="s">
        <v>193</v>
      </c>
      <c r="F2416" s="113" t="s">
        <v>2</v>
      </c>
      <c r="G2416" s="114" t="s">
        <v>3</v>
      </c>
      <c r="H2416" s="106"/>
      <c r="I2416" s="107" t="s">
        <v>7</v>
      </c>
      <c r="J2416" s="136"/>
      <c r="K2416" s="228" t="s">
        <v>8</v>
      </c>
      <c r="L2416" s="115" t="s">
        <v>194</v>
      </c>
      <c r="O2416" s="323"/>
      <c r="P2416" s="323"/>
    </row>
    <row r="2417" spans="2:16" ht="17.25" customHeight="1" x14ac:dyDescent="0.3">
      <c r="B2417" s="122">
        <v>1</v>
      </c>
      <c r="C2417" s="315" t="s">
        <v>313</v>
      </c>
      <c r="D2417" s="316"/>
      <c r="E2417" s="116">
        <f>I2413</f>
        <v>1</v>
      </c>
      <c r="F2417" s="83">
        <f>ROUND(E2417/I2413,2)</f>
        <v>1</v>
      </c>
      <c r="G2417" s="74" t="str">
        <f>IF(C2417=0,0,VLOOKUP(C2417,Tabla1[],2,FALSE))</f>
        <v>Varilla</v>
      </c>
      <c r="I2417" s="117">
        <f>IF(C2417=0,0,VLOOKUP(C2417,Tabla1[],3,FALSE))</f>
        <v>20</v>
      </c>
      <c r="K2417" s="84">
        <f>F2417*I2417</f>
        <v>20</v>
      </c>
      <c r="L2417" s="118">
        <f t="shared" ref="L2417:L2423" si="370">E2417*I2417</f>
        <v>20</v>
      </c>
      <c r="O2417" s="44"/>
      <c r="P2417" s="45"/>
    </row>
    <row r="2418" spans="2:16" x14ac:dyDescent="0.4">
      <c r="B2418" s="122">
        <v>2</v>
      </c>
      <c r="C2418" s="317" t="s">
        <v>214</v>
      </c>
      <c r="D2418" s="318"/>
      <c r="E2418" s="116">
        <f>I2413*0.25</f>
        <v>0.25</v>
      </c>
      <c r="F2418" s="83">
        <f>ROUND(E2418/I2413,2)</f>
        <v>0.25</v>
      </c>
      <c r="G2418" s="74" t="str">
        <f>IF(C2418=0,0,VLOOKUP(C2418,Tabla1[],2,FALSE))</f>
        <v>Saco</v>
      </c>
      <c r="I2418" s="117">
        <f>IF(C2418=0,0,VLOOKUP(C2418,Tabla1[],3,FALSE))</f>
        <v>80</v>
      </c>
      <c r="K2418" s="84">
        <f t="shared" ref="K2418:K2423" si="371">+F2418*I2418</f>
        <v>20</v>
      </c>
      <c r="L2418" s="118">
        <f t="shared" si="370"/>
        <v>20</v>
      </c>
      <c r="P2418" s="45"/>
    </row>
    <row r="2419" spans="2:16" x14ac:dyDescent="0.4">
      <c r="B2419" s="122">
        <v>3</v>
      </c>
      <c r="C2419" s="319" t="s">
        <v>73</v>
      </c>
      <c r="D2419" s="318"/>
      <c r="E2419" s="116">
        <f>I2413*0.2</f>
        <v>0.2</v>
      </c>
      <c r="F2419" s="83">
        <f>ROUND(E2419/I2413,2)</f>
        <v>0.2</v>
      </c>
      <c r="G2419" s="74" t="str">
        <f>IF(C2419=0,0,VLOOKUP(C2419,Tabla1[],2,FALSE))</f>
        <v>m³</v>
      </c>
      <c r="I2419" s="117">
        <f>IF(C2419=0,0,VLOOKUP(C2419,Tabla1[],3,FALSE))</f>
        <v>250</v>
      </c>
      <c r="K2419" s="84">
        <f t="shared" si="371"/>
        <v>50</v>
      </c>
      <c r="L2419" s="118">
        <f t="shared" si="370"/>
        <v>50</v>
      </c>
      <c r="O2419" s="48"/>
      <c r="P2419" s="49"/>
    </row>
    <row r="2420" spans="2:16" x14ac:dyDescent="0.4">
      <c r="B2420" s="122">
        <v>4</v>
      </c>
      <c r="C2420" s="319" t="s">
        <v>230</v>
      </c>
      <c r="D2420" s="318"/>
      <c r="E2420" s="116">
        <f>I2413*0.2</f>
        <v>0.2</v>
      </c>
      <c r="F2420" s="83">
        <f>ROUND(E2420/I2413,2)</f>
        <v>0.2</v>
      </c>
      <c r="G2420" s="74" t="str">
        <f>IF(C2420=0,0,VLOOKUP(C2420,Tabla1[],2,FALSE))</f>
        <v>m³</v>
      </c>
      <c r="I2420" s="117">
        <f>IF(C2420=0,0,VLOOKUP(C2420,Tabla1[],3,FALSE))</f>
        <v>250</v>
      </c>
      <c r="K2420" s="84">
        <f t="shared" si="371"/>
        <v>50</v>
      </c>
      <c r="L2420" s="118">
        <f t="shared" si="370"/>
        <v>50</v>
      </c>
      <c r="O2420" s="48"/>
      <c r="P2420" s="49"/>
    </row>
    <row r="2421" spans="2:16" x14ac:dyDescent="0.4">
      <c r="B2421" s="122">
        <v>5</v>
      </c>
      <c r="C2421" s="319" t="s">
        <v>235</v>
      </c>
      <c r="D2421" s="318"/>
      <c r="E2421" s="116">
        <f>I2413*30</f>
        <v>30</v>
      </c>
      <c r="F2421" s="83">
        <f>ROUND(E2421/I2413,2)</f>
        <v>30</v>
      </c>
      <c r="G2421" s="74" t="str">
        <f>IF(C2421=0,0,VLOOKUP(C2421,Tabla1[],2,FALSE))</f>
        <v>Unidad</v>
      </c>
      <c r="I2421" s="117">
        <f>IF(C2421=0,0,VLOOKUP(C2421,Tabla1[],3,FALSE))</f>
        <v>7</v>
      </c>
      <c r="K2421" s="84">
        <f t="shared" si="371"/>
        <v>210</v>
      </c>
      <c r="L2421" s="118">
        <f t="shared" si="370"/>
        <v>210</v>
      </c>
      <c r="O2421" s="48"/>
      <c r="P2421" s="49"/>
    </row>
    <row r="2422" spans="2:16" x14ac:dyDescent="0.4">
      <c r="B2422" s="122"/>
      <c r="C2422" s="210"/>
      <c r="D2422" s="209"/>
      <c r="E2422" s="116"/>
      <c r="F2422" s="83"/>
      <c r="G2422" s="74"/>
      <c r="I2422" s="117">
        <f>IF(C2422=0,0,VLOOKUP(C2422,Tabla1[],3,FALSE))</f>
        <v>0</v>
      </c>
      <c r="K2422" s="84">
        <f t="shared" si="371"/>
        <v>0</v>
      </c>
      <c r="L2422" s="118">
        <f t="shared" si="370"/>
        <v>0</v>
      </c>
      <c r="O2422" s="48"/>
      <c r="P2422" s="49"/>
    </row>
    <row r="2423" spans="2:16" x14ac:dyDescent="0.4">
      <c r="B2423" s="122"/>
      <c r="C2423" s="317"/>
      <c r="D2423" s="318"/>
      <c r="E2423" s="116"/>
      <c r="F2423" s="83"/>
      <c r="G2423" s="74"/>
      <c r="I2423" s="117">
        <f>IF(C2423=0,0,VLOOKUP(C2423,Tabla1[],3,FALSE))</f>
        <v>0</v>
      </c>
      <c r="K2423" s="84">
        <f t="shared" si="371"/>
        <v>0</v>
      </c>
      <c r="L2423" s="118">
        <f t="shared" si="370"/>
        <v>0</v>
      </c>
      <c r="O2423" s="48"/>
      <c r="P2423" s="49"/>
    </row>
    <row r="2424" spans="2:16" ht="17.399999999999999" thickBot="1" x14ac:dyDescent="0.45"/>
    <row r="2425" spans="2:16" ht="17.399999999999999" thickBot="1" x14ac:dyDescent="0.35">
      <c r="F2425" s="292" t="s">
        <v>9</v>
      </c>
      <c r="G2425" s="293"/>
      <c r="H2425" s="293"/>
      <c r="I2425" s="294"/>
      <c r="K2425" s="229">
        <f>+SUM(K2417:K2423)</f>
        <v>350</v>
      </c>
      <c r="L2425" s="119">
        <f>+SUM(L2417:L2423)</f>
        <v>350</v>
      </c>
      <c r="O2425" s="38"/>
      <c r="P2425" s="38"/>
    </row>
    <row r="2426" spans="2:16" ht="17.399999999999999" thickBot="1" x14ac:dyDescent="0.45">
      <c r="O2426" s="42"/>
      <c r="P2426" s="43"/>
    </row>
    <row r="2427" spans="2:16" ht="17.399999999999999" thickBot="1" x14ac:dyDescent="0.45">
      <c r="B2427" s="110" t="s">
        <v>10</v>
      </c>
      <c r="C2427" s="300" t="s">
        <v>11</v>
      </c>
      <c r="D2427" s="300"/>
      <c r="E2427" s="300"/>
      <c r="F2427" s="300"/>
      <c r="G2427" s="301"/>
    </row>
    <row r="2428" spans="2:16" x14ac:dyDescent="0.4">
      <c r="B2428" s="114" t="s">
        <v>6</v>
      </c>
      <c r="C2428" s="302" t="s">
        <v>1</v>
      </c>
      <c r="D2428" s="303"/>
      <c r="E2428" s="112" t="s">
        <v>193</v>
      </c>
      <c r="F2428" s="120" t="s">
        <v>2</v>
      </c>
      <c r="G2428" s="114" t="s">
        <v>3</v>
      </c>
      <c r="H2428" s="106"/>
      <c r="I2428" s="107" t="s">
        <v>7</v>
      </c>
      <c r="J2428" s="136"/>
      <c r="K2428" s="107" t="s">
        <v>8</v>
      </c>
      <c r="L2428" s="115" t="s">
        <v>194</v>
      </c>
    </row>
    <row r="2429" spans="2:16" x14ac:dyDescent="0.4">
      <c r="B2429" s="122"/>
      <c r="C2429" s="306"/>
      <c r="D2429" s="306"/>
      <c r="E2429" s="116"/>
      <c r="F2429" s="83"/>
      <c r="G2429" s="74"/>
      <c r="I2429" s="117">
        <f>IF(C2429=0,0,VLOOKUP(C2429,Tabla3[],3,FALSE))</f>
        <v>0</v>
      </c>
      <c r="K2429" s="84">
        <f>F2429*I2429</f>
        <v>0</v>
      </c>
      <c r="L2429" s="118">
        <f>E2429*I2429</f>
        <v>0</v>
      </c>
    </row>
    <row r="2430" spans="2:16" x14ac:dyDescent="0.4">
      <c r="B2430" s="74"/>
      <c r="C2430" s="309"/>
      <c r="D2430" s="310"/>
      <c r="E2430" s="121"/>
      <c r="F2430" s="72"/>
      <c r="G2430" s="74"/>
      <c r="I2430" s="117">
        <f>IF(C2430=0,0,VLOOKUP(C2430,Tabla3[],3,FALSE))</f>
        <v>0</v>
      </c>
      <c r="K2430" s="84">
        <f t="shared" ref="K2430:K2432" si="372">+F2430*I2430</f>
        <v>0</v>
      </c>
      <c r="L2430" s="118">
        <f t="shared" ref="L2430:L2432" si="373">E2430*I2430</f>
        <v>0</v>
      </c>
    </row>
    <row r="2431" spans="2:16" x14ac:dyDescent="0.4">
      <c r="B2431" s="74"/>
      <c r="C2431" s="309"/>
      <c r="D2431" s="310"/>
      <c r="E2431" s="121"/>
      <c r="F2431" s="72"/>
      <c r="G2431" s="74"/>
      <c r="I2431" s="117">
        <f>IF(C2431=0,0,VLOOKUP(C2431,Tabla3[],3,FALSE))</f>
        <v>0</v>
      </c>
      <c r="K2431" s="84">
        <f t="shared" si="372"/>
        <v>0</v>
      </c>
      <c r="L2431" s="118">
        <f t="shared" si="373"/>
        <v>0</v>
      </c>
    </row>
    <row r="2432" spans="2:16" x14ac:dyDescent="0.4">
      <c r="B2432" s="74"/>
      <c r="C2432" s="304"/>
      <c r="D2432" s="305"/>
      <c r="E2432" s="121"/>
      <c r="F2432" s="72"/>
      <c r="G2432" s="74"/>
      <c r="I2432" s="117">
        <f>IF(C2432=0,0,VLOOKUP(C2432,Tabla3[],3,FALSE))</f>
        <v>0</v>
      </c>
      <c r="K2432" s="84">
        <f t="shared" si="372"/>
        <v>0</v>
      </c>
      <c r="L2432" s="118">
        <f t="shared" si="373"/>
        <v>0</v>
      </c>
    </row>
    <row r="2433" spans="2:12" ht="17.399999999999999" thickBot="1" x14ac:dyDescent="0.45"/>
    <row r="2434" spans="2:12" ht="17.399999999999999" thickBot="1" x14ac:dyDescent="0.45">
      <c r="F2434" s="292" t="s">
        <v>12</v>
      </c>
      <c r="G2434" s="293"/>
      <c r="H2434" s="293"/>
      <c r="I2434" s="294"/>
      <c r="K2434" s="229">
        <f>+SUM(K2429:K2432)</f>
        <v>0</v>
      </c>
      <c r="L2434" s="119">
        <f>+SUM(L2429:L2432)</f>
        <v>0</v>
      </c>
    </row>
    <row r="2435" spans="2:12" ht="17.399999999999999" thickBot="1" x14ac:dyDescent="0.45"/>
    <row r="2436" spans="2:12" ht="17.399999999999999" thickBot="1" x14ac:dyDescent="0.45">
      <c r="B2436" s="110" t="s">
        <v>13</v>
      </c>
      <c r="C2436" s="300" t="s">
        <v>14</v>
      </c>
      <c r="D2436" s="300"/>
      <c r="E2436" s="300"/>
      <c r="F2436" s="300"/>
      <c r="G2436" s="301"/>
    </row>
    <row r="2437" spans="2:12" x14ac:dyDescent="0.4">
      <c r="B2437" s="114" t="s">
        <v>6</v>
      </c>
      <c r="C2437" s="302" t="s">
        <v>1</v>
      </c>
      <c r="D2437" s="303"/>
      <c r="E2437" s="112" t="s">
        <v>193</v>
      </c>
      <c r="F2437" s="120" t="s">
        <v>2</v>
      </c>
      <c r="G2437" s="114" t="s">
        <v>3</v>
      </c>
      <c r="H2437" s="106"/>
      <c r="I2437" s="107" t="s">
        <v>7</v>
      </c>
      <c r="J2437" s="136"/>
      <c r="K2437" s="107" t="s">
        <v>8</v>
      </c>
      <c r="L2437" s="115" t="s">
        <v>194</v>
      </c>
    </row>
    <row r="2438" spans="2:12" x14ac:dyDescent="0.4">
      <c r="B2438" s="122">
        <v>1</v>
      </c>
      <c r="C2438" s="306" t="s">
        <v>314</v>
      </c>
      <c r="D2438" s="306"/>
      <c r="E2438" s="116">
        <f>I2413</f>
        <v>1</v>
      </c>
      <c r="F2438" s="83">
        <f>ROUND(E2438/I2413,2)</f>
        <v>1</v>
      </c>
      <c r="G2438" s="74" t="str">
        <f>IF(C2438=0,0,VLOOKUP(C2438,Tabla2[],2,FALSE))</f>
        <v>Unidad</v>
      </c>
      <c r="I2438" s="117">
        <f>IF(C2438=0,0,VLOOKUP(C2438,Tabla2[],3,FALSE))</f>
        <v>150</v>
      </c>
      <c r="K2438" s="84">
        <f>+F2438*I2438</f>
        <v>150</v>
      </c>
      <c r="L2438" s="118">
        <f>E2438*I2438</f>
        <v>150</v>
      </c>
    </row>
    <row r="2439" spans="2:12" x14ac:dyDescent="0.4">
      <c r="B2439" s="122"/>
      <c r="C2439" s="306"/>
      <c r="D2439" s="306"/>
      <c r="E2439" s="116"/>
      <c r="F2439" s="83"/>
      <c r="G2439" s="74"/>
      <c r="I2439" s="117">
        <f>IF(C2439=0,0,VLOOKUP(C2439,Tabla2[],3,FALSE))</f>
        <v>0</v>
      </c>
      <c r="K2439" s="84">
        <f>+F2439*I2439</f>
        <v>0</v>
      </c>
      <c r="L2439" s="118">
        <f>E2439*I2439</f>
        <v>0</v>
      </c>
    </row>
    <row r="2440" spans="2:12" ht="17.399999999999999" thickBot="1" x14ac:dyDescent="0.45">
      <c r="B2440" s="123"/>
      <c r="C2440" s="307"/>
      <c r="D2440" s="308"/>
      <c r="E2440" s="124"/>
      <c r="F2440" s="125"/>
      <c r="G2440" s="74"/>
      <c r="I2440" s="117">
        <f>IF(C2440=0,0,VLOOKUP(C2440,Tabla2[],3,FALSE))</f>
        <v>0</v>
      </c>
      <c r="K2440" s="84">
        <f t="shared" ref="K2440" si="374">+F2440*I2440</f>
        <v>0</v>
      </c>
      <c r="L2440" s="118">
        <f t="shared" ref="L2440:L2441" si="375">E2440*I2440</f>
        <v>0</v>
      </c>
    </row>
    <row r="2441" spans="2:12" ht="17.399999999999999" thickBot="1" x14ac:dyDescent="0.45">
      <c r="B2441" s="297" t="s">
        <v>15</v>
      </c>
      <c r="C2441" s="298"/>
      <c r="D2441" s="298"/>
      <c r="E2441" s="298"/>
      <c r="F2441" s="298"/>
      <c r="G2441" s="299"/>
      <c r="I2441" s="84">
        <v>0</v>
      </c>
      <c r="K2441" s="84">
        <v>0</v>
      </c>
      <c r="L2441" s="118">
        <f t="shared" si="375"/>
        <v>0</v>
      </c>
    </row>
    <row r="2442" spans="2:12" ht="17.399999999999999" thickBot="1" x14ac:dyDescent="0.45"/>
    <row r="2443" spans="2:12" ht="17.399999999999999" thickBot="1" x14ac:dyDescent="0.45">
      <c r="F2443" s="292" t="s">
        <v>16</v>
      </c>
      <c r="G2443" s="293"/>
      <c r="H2443" s="293"/>
      <c r="I2443" s="294"/>
      <c r="K2443" s="229">
        <f>+SUM(K2438:K2441)</f>
        <v>150</v>
      </c>
      <c r="L2443" s="119">
        <f>+SUM(L2438:L2441)</f>
        <v>150</v>
      </c>
    </row>
    <row r="2444" spans="2:12" ht="17.399999999999999" thickBot="1" x14ac:dyDescent="0.45"/>
    <row r="2445" spans="2:12" ht="17.399999999999999" thickBot="1" x14ac:dyDescent="0.45">
      <c r="B2445" s="110" t="s">
        <v>17</v>
      </c>
      <c r="C2445" s="300" t="s">
        <v>18</v>
      </c>
      <c r="D2445" s="300"/>
      <c r="E2445" s="300"/>
      <c r="F2445" s="300"/>
      <c r="G2445" s="301"/>
    </row>
    <row r="2446" spans="2:12" x14ac:dyDescent="0.4">
      <c r="B2446" s="114" t="s">
        <v>6</v>
      </c>
      <c r="C2446" s="302" t="s">
        <v>1</v>
      </c>
      <c r="D2446" s="303"/>
      <c r="E2446" s="126"/>
      <c r="F2446" s="120" t="s">
        <v>2</v>
      </c>
      <c r="G2446" s="114" t="s">
        <v>3</v>
      </c>
      <c r="H2446" s="106"/>
      <c r="I2446" s="107" t="s">
        <v>7</v>
      </c>
      <c r="J2446" s="136"/>
      <c r="K2446" s="107" t="s">
        <v>8</v>
      </c>
      <c r="L2446" s="115" t="s">
        <v>194</v>
      </c>
    </row>
    <row r="2447" spans="2:12" x14ac:dyDescent="0.4">
      <c r="B2447" s="74"/>
      <c r="C2447" s="304"/>
      <c r="D2447" s="305"/>
      <c r="E2447" s="127"/>
      <c r="F2447" s="72"/>
      <c r="G2447" s="74"/>
      <c r="I2447" s="84">
        <v>0</v>
      </c>
      <c r="K2447" s="84">
        <f>+F2447*I2447</f>
        <v>0</v>
      </c>
      <c r="L2447" s="118">
        <f>E2447*I2447</f>
        <v>0</v>
      </c>
    </row>
    <row r="2448" spans="2:12" x14ac:dyDescent="0.4">
      <c r="B2448" s="74"/>
      <c r="C2448" s="304"/>
      <c r="D2448" s="305"/>
      <c r="E2448" s="127"/>
      <c r="F2448" s="72"/>
      <c r="G2448" s="74"/>
      <c r="I2448" s="84">
        <v>0</v>
      </c>
      <c r="K2448" s="84">
        <f t="shared" ref="K2448:K2449" si="376">+F2448*I2448</f>
        <v>0</v>
      </c>
      <c r="L2448" s="118">
        <f t="shared" ref="L2448:L2449" si="377">E2448*I2448</f>
        <v>0</v>
      </c>
    </row>
    <row r="2449" spans="2:16" x14ac:dyDescent="0.4">
      <c r="B2449" s="74"/>
      <c r="C2449" s="304"/>
      <c r="D2449" s="305"/>
      <c r="E2449" s="127"/>
      <c r="F2449" s="72"/>
      <c r="G2449" s="74"/>
      <c r="I2449" s="84">
        <v>0</v>
      </c>
      <c r="K2449" s="84">
        <f t="shared" si="376"/>
        <v>0</v>
      </c>
      <c r="L2449" s="118">
        <f t="shared" si="377"/>
        <v>0</v>
      </c>
    </row>
    <row r="2450" spans="2:16" ht="17.399999999999999" thickBot="1" x14ac:dyDescent="0.45">
      <c r="L2450" s="118"/>
    </row>
    <row r="2451" spans="2:16" ht="17.399999999999999" thickBot="1" x14ac:dyDescent="0.45">
      <c r="F2451" s="292" t="s">
        <v>19</v>
      </c>
      <c r="G2451" s="293"/>
      <c r="H2451" s="293"/>
      <c r="I2451" s="294"/>
      <c r="K2451" s="229">
        <f>+SUM(K2447:K2449)</f>
        <v>0</v>
      </c>
      <c r="L2451" s="119">
        <f>+SUM(L2446:L2449)</f>
        <v>0</v>
      </c>
    </row>
    <row r="2452" spans="2:16" ht="15" customHeight="1" x14ac:dyDescent="0.4">
      <c r="F2452" s="128"/>
      <c r="G2452" s="129"/>
      <c r="H2452" s="130"/>
      <c r="I2452" s="108"/>
      <c r="K2452" s="230"/>
    </row>
    <row r="2453" spans="2:16" ht="15" customHeight="1" thickBot="1" x14ac:dyDescent="0.45"/>
    <row r="2454" spans="2:16" ht="17.399999999999999" thickBot="1" x14ac:dyDescent="0.45">
      <c r="F2454" s="292" t="s">
        <v>20</v>
      </c>
      <c r="G2454" s="293"/>
      <c r="H2454" s="293"/>
      <c r="I2454" s="294"/>
      <c r="K2454" s="229">
        <f>(+K2425+K2434+K2443+K2451)</f>
        <v>500</v>
      </c>
      <c r="L2454" s="119">
        <f>(+L2425+L2434+L2443+L2451)</f>
        <v>500</v>
      </c>
      <c r="N2454" s="131"/>
      <c r="O2454" s="39"/>
      <c r="P2454" s="40"/>
    </row>
    <row r="2455" spans="2:16" ht="7.5" customHeight="1" thickBot="1" x14ac:dyDescent="0.45">
      <c r="N2455" s="131"/>
      <c r="O2455" s="41"/>
      <c r="P2455" s="40"/>
    </row>
    <row r="2456" spans="2:16" ht="17.399999999999999" thickBot="1" x14ac:dyDescent="0.45">
      <c r="F2456" s="292" t="s">
        <v>21</v>
      </c>
      <c r="G2456" s="293"/>
      <c r="H2456" s="293"/>
      <c r="I2456" s="294"/>
      <c r="K2456" s="229">
        <f>K2454*$N$2</f>
        <v>200</v>
      </c>
      <c r="L2456" s="119">
        <f>L2454*$N$2</f>
        <v>200</v>
      </c>
    </row>
    <row r="2457" spans="2:16" ht="7.5" customHeight="1" thickBot="1" x14ac:dyDescent="0.45"/>
    <row r="2458" spans="2:16" ht="17.399999999999999" thickBot="1" x14ac:dyDescent="0.45">
      <c r="F2458" s="292" t="s">
        <v>22</v>
      </c>
      <c r="G2458" s="293"/>
      <c r="H2458" s="293"/>
      <c r="I2458" s="294"/>
      <c r="K2458" s="229">
        <f>+K2454+K2456</f>
        <v>700</v>
      </c>
      <c r="L2458" s="119">
        <f>+L2454+L2456</f>
        <v>700</v>
      </c>
    </row>
    <row r="2459" spans="2:16" ht="17.399999999999999" thickBot="1" x14ac:dyDescent="0.45">
      <c r="F2459" s="128"/>
      <c r="G2459" s="129"/>
      <c r="H2459" s="130"/>
      <c r="I2459" s="108"/>
      <c r="K2459" s="231"/>
      <c r="L2459" s="132">
        <f>L2458/I2413</f>
        <v>700</v>
      </c>
      <c r="M2459" s="133">
        <f>(K2458-L2459)*I2413</f>
        <v>0</v>
      </c>
    </row>
    <row r="2460" spans="2:16" x14ac:dyDescent="0.4">
      <c r="F2460" s="128"/>
      <c r="G2460" s="129"/>
      <c r="H2460" s="130"/>
      <c r="I2460" s="108"/>
      <c r="K2460" s="232"/>
      <c r="L2460" s="131"/>
      <c r="M2460" s="134"/>
      <c r="N2460" s="135"/>
    </row>
    <row r="2461" spans="2:16" ht="17.399999999999999" thickBot="1" x14ac:dyDescent="0.45">
      <c r="B2461" s="295"/>
      <c r="C2461" s="295"/>
      <c r="D2461" s="295"/>
    </row>
    <row r="2462" spans="2:16" x14ac:dyDescent="0.4">
      <c r="B2462" s="296" t="s">
        <v>23</v>
      </c>
      <c r="C2462" s="296"/>
      <c r="D2462" s="296"/>
    </row>
    <row r="2463" spans="2:16" x14ac:dyDescent="0.4">
      <c r="B2463" s="157"/>
      <c r="C2463" s="157"/>
      <c r="D2463" s="157"/>
    </row>
    <row r="2464" spans="2:16" x14ac:dyDescent="0.4">
      <c r="B2464" s="157"/>
      <c r="C2464" s="157"/>
      <c r="D2464" s="157"/>
    </row>
    <row r="2465" spans="1:16" x14ac:dyDescent="0.4">
      <c r="B2465" s="105" t="s">
        <v>43</v>
      </c>
      <c r="C2465" s="106"/>
      <c r="D2465" s="311" t="s">
        <v>1</v>
      </c>
      <c r="E2465" s="311"/>
      <c r="F2465" s="311"/>
      <c r="G2465" s="311"/>
      <c r="H2465" s="106"/>
      <c r="I2465" s="107" t="s">
        <v>2</v>
      </c>
      <c r="J2465" s="136"/>
      <c r="K2465" s="107" t="s">
        <v>3</v>
      </c>
    </row>
    <row r="2466" spans="1:16" s="4" customFormat="1" ht="30.75" customHeight="1" x14ac:dyDescent="0.3">
      <c r="A2466" s="31"/>
      <c r="B2466" s="213">
        <f>CATALOGO!B65</f>
        <v>907.05</v>
      </c>
      <c r="C2466" s="71"/>
      <c r="D2466" s="324" t="str">
        <f>CATALOGO!C65</f>
        <v>CAJA DE REGISTRO DE 0.59m X 0.59m</v>
      </c>
      <c r="E2466" s="324"/>
      <c r="F2466" s="324"/>
      <c r="G2466" s="324"/>
      <c r="H2466" s="71"/>
      <c r="I2466" s="213">
        <f>CATALOGO!D65</f>
        <v>1</v>
      </c>
      <c r="J2466" s="109"/>
      <c r="K2466" s="227" t="str">
        <f>CATALOGO!E65</f>
        <v>Unidad</v>
      </c>
      <c r="L2466" s="71"/>
      <c r="M2466" s="71"/>
      <c r="N2466" s="104"/>
      <c r="O2466" s="37"/>
      <c r="P2466" s="37"/>
    </row>
    <row r="2467" spans="1:16" ht="17.399999999999999" thickBot="1" x14ac:dyDescent="0.45"/>
    <row r="2468" spans="1:16" ht="17.399999999999999" thickBot="1" x14ac:dyDescent="0.45">
      <c r="B2468" s="110" t="s">
        <v>4</v>
      </c>
      <c r="C2468" s="300" t="s">
        <v>5</v>
      </c>
      <c r="D2468" s="300"/>
      <c r="E2468" s="300"/>
      <c r="F2468" s="300"/>
      <c r="G2468" s="301"/>
    </row>
    <row r="2469" spans="1:16" x14ac:dyDescent="0.3">
      <c r="B2469" s="111" t="s">
        <v>6</v>
      </c>
      <c r="C2469" s="313" t="s">
        <v>1</v>
      </c>
      <c r="D2469" s="314"/>
      <c r="E2469" s="112" t="s">
        <v>193</v>
      </c>
      <c r="F2469" s="113" t="s">
        <v>2</v>
      </c>
      <c r="G2469" s="114" t="s">
        <v>3</v>
      </c>
      <c r="H2469" s="106"/>
      <c r="I2469" s="107" t="s">
        <v>7</v>
      </c>
      <c r="J2469" s="136"/>
      <c r="K2469" s="228" t="s">
        <v>8</v>
      </c>
      <c r="L2469" s="115" t="s">
        <v>194</v>
      </c>
      <c r="O2469" s="323"/>
      <c r="P2469" s="323"/>
    </row>
    <row r="2470" spans="1:16" ht="17.25" customHeight="1" x14ac:dyDescent="0.3">
      <c r="B2470" s="122">
        <v>1</v>
      </c>
      <c r="C2470" s="315" t="s">
        <v>313</v>
      </c>
      <c r="D2470" s="316"/>
      <c r="E2470" s="116">
        <f>I2466*1.5</f>
        <v>1.5</v>
      </c>
      <c r="F2470" s="83">
        <f>ROUND(E2470/I2466,2)</f>
        <v>1.5</v>
      </c>
      <c r="G2470" s="74" t="str">
        <f>IF(C2470=0,0,VLOOKUP(C2470,Tabla1[],2,FALSE))</f>
        <v>Varilla</v>
      </c>
      <c r="I2470" s="117">
        <f>IF(C2470=0,0,VLOOKUP(C2470,Tabla1[],3,FALSE))</f>
        <v>20</v>
      </c>
      <c r="K2470" s="84">
        <f>F2470*I2470</f>
        <v>30</v>
      </c>
      <c r="L2470" s="118">
        <f t="shared" ref="L2470:L2479" si="378">E2470*I2470</f>
        <v>30</v>
      </c>
      <c r="O2470" s="44"/>
      <c r="P2470" s="45"/>
    </row>
    <row r="2471" spans="1:16" x14ac:dyDescent="0.4">
      <c r="B2471" s="122">
        <v>2</v>
      </c>
      <c r="C2471" s="317" t="s">
        <v>214</v>
      </c>
      <c r="D2471" s="318"/>
      <c r="E2471" s="116">
        <f>I2466*0.5</f>
        <v>0.5</v>
      </c>
      <c r="F2471" s="83">
        <f>ROUND(E2471/I2466,2)</f>
        <v>0.5</v>
      </c>
      <c r="G2471" s="74" t="str">
        <f>IF(C2471=0,0,VLOOKUP(C2471,Tabla1[],2,FALSE))</f>
        <v>Saco</v>
      </c>
      <c r="I2471" s="117">
        <f>IF(C2471=0,0,VLOOKUP(C2471,Tabla1[],3,FALSE))</f>
        <v>80</v>
      </c>
      <c r="K2471" s="84">
        <f t="shared" ref="K2471:K2479" si="379">+F2471*I2471</f>
        <v>40</v>
      </c>
      <c r="L2471" s="118">
        <f t="shared" si="378"/>
        <v>40</v>
      </c>
      <c r="P2471" s="45"/>
    </row>
    <row r="2472" spans="1:16" x14ac:dyDescent="0.4">
      <c r="B2472" s="122">
        <v>3</v>
      </c>
      <c r="C2472" s="319" t="s">
        <v>73</v>
      </c>
      <c r="D2472" s="318"/>
      <c r="E2472" s="116">
        <f>I2466*0.4</f>
        <v>0.4</v>
      </c>
      <c r="F2472" s="83">
        <f>ROUND(E2472/I2466,2)</f>
        <v>0.4</v>
      </c>
      <c r="G2472" s="74" t="str">
        <f>IF(C2472=0,0,VLOOKUP(C2472,Tabla1[],2,FALSE))</f>
        <v>m³</v>
      </c>
      <c r="I2472" s="117">
        <f>IF(C2472=0,0,VLOOKUP(C2472,Tabla1[],3,FALSE))</f>
        <v>250</v>
      </c>
      <c r="K2472" s="84">
        <f t="shared" si="379"/>
        <v>100</v>
      </c>
      <c r="L2472" s="118">
        <f t="shared" si="378"/>
        <v>100</v>
      </c>
      <c r="O2472" s="48"/>
      <c r="P2472" s="49"/>
    </row>
    <row r="2473" spans="1:16" x14ac:dyDescent="0.4">
      <c r="B2473" s="122">
        <v>4</v>
      </c>
      <c r="C2473" s="319" t="s">
        <v>230</v>
      </c>
      <c r="D2473" s="318"/>
      <c r="E2473" s="116">
        <f>I2466*0.4</f>
        <v>0.4</v>
      </c>
      <c r="F2473" s="83">
        <f>ROUND(E2473/I2466,2)</f>
        <v>0.4</v>
      </c>
      <c r="G2473" s="74" t="str">
        <f>IF(C2473=0,0,VLOOKUP(C2473,Tabla1[],2,FALSE))</f>
        <v>m³</v>
      </c>
      <c r="I2473" s="117">
        <f>IF(C2473=0,0,VLOOKUP(C2473,Tabla1[],3,FALSE))</f>
        <v>250</v>
      </c>
      <c r="K2473" s="84">
        <f t="shared" si="379"/>
        <v>100</v>
      </c>
      <c r="L2473" s="118">
        <f t="shared" si="378"/>
        <v>100</v>
      </c>
      <c r="O2473" s="48"/>
      <c r="P2473" s="49"/>
    </row>
    <row r="2474" spans="1:16" x14ac:dyDescent="0.4">
      <c r="B2474" s="122">
        <v>5</v>
      </c>
      <c r="C2474" s="319" t="s">
        <v>235</v>
      </c>
      <c r="D2474" s="318"/>
      <c r="E2474" s="116">
        <f>I2466*60</f>
        <v>60</v>
      </c>
      <c r="F2474" s="83">
        <f>ROUND(E2474/I2466,2)</f>
        <v>60</v>
      </c>
      <c r="G2474" s="74" t="str">
        <f>IF(C2474=0,0,VLOOKUP(C2474,Tabla1[],2,FALSE))</f>
        <v>Unidad</v>
      </c>
      <c r="I2474" s="117">
        <f>IF(C2474=0,0,VLOOKUP(C2474,Tabla1[],3,FALSE))</f>
        <v>7</v>
      </c>
      <c r="K2474" s="84">
        <f t="shared" si="379"/>
        <v>420</v>
      </c>
      <c r="L2474" s="118">
        <f t="shared" si="378"/>
        <v>420</v>
      </c>
      <c r="O2474" s="48"/>
      <c r="P2474" s="49"/>
    </row>
    <row r="2475" spans="1:16" x14ac:dyDescent="0.4">
      <c r="B2475" s="122"/>
      <c r="C2475" s="210"/>
      <c r="D2475" s="209"/>
      <c r="E2475" s="116"/>
      <c r="F2475" s="83"/>
      <c r="G2475" s="74"/>
      <c r="I2475" s="117">
        <f>IF(C2475=0,0,VLOOKUP(C2475,Tabla1[],3,FALSE))</f>
        <v>0</v>
      </c>
      <c r="K2475" s="84">
        <f t="shared" si="379"/>
        <v>0</v>
      </c>
      <c r="L2475" s="118">
        <f t="shared" si="378"/>
        <v>0</v>
      </c>
      <c r="O2475" s="48"/>
      <c r="P2475" s="49"/>
    </row>
    <row r="2476" spans="1:16" x14ac:dyDescent="0.4">
      <c r="B2476" s="122"/>
      <c r="C2476" s="317"/>
      <c r="D2476" s="318"/>
      <c r="E2476" s="116"/>
      <c r="F2476" s="83"/>
      <c r="G2476" s="74"/>
      <c r="I2476" s="117">
        <f>IF(C2476=0,0,VLOOKUP(C2476,Tabla1[],3,FALSE))</f>
        <v>0</v>
      </c>
      <c r="K2476" s="84">
        <f t="shared" si="379"/>
        <v>0</v>
      </c>
      <c r="L2476" s="118">
        <f t="shared" si="378"/>
        <v>0</v>
      </c>
      <c r="O2476" s="48"/>
      <c r="P2476" s="49"/>
    </row>
    <row r="2477" spans="1:16" x14ac:dyDescent="0.4">
      <c r="B2477" s="122"/>
      <c r="C2477" s="317"/>
      <c r="D2477" s="318"/>
      <c r="E2477" s="116"/>
      <c r="F2477" s="83"/>
      <c r="G2477" s="74"/>
      <c r="I2477" s="117">
        <f>IF(C2477=0,0,VLOOKUP(C2477,Tabla1[],3,FALSE))</f>
        <v>0</v>
      </c>
      <c r="K2477" s="84">
        <f t="shared" si="379"/>
        <v>0</v>
      </c>
      <c r="L2477" s="118">
        <f t="shared" si="378"/>
        <v>0</v>
      </c>
      <c r="O2477" s="48"/>
      <c r="P2477" s="49"/>
    </row>
    <row r="2478" spans="1:16" x14ac:dyDescent="0.4">
      <c r="B2478" s="122"/>
      <c r="C2478" s="309"/>
      <c r="D2478" s="310"/>
      <c r="E2478" s="116"/>
      <c r="F2478" s="83"/>
      <c r="G2478" s="74"/>
      <c r="I2478" s="117">
        <f>IF(C2478=0,0,VLOOKUP(C2478,Tabla1[],3,FALSE))</f>
        <v>0</v>
      </c>
      <c r="K2478" s="84">
        <f t="shared" si="379"/>
        <v>0</v>
      </c>
      <c r="L2478" s="118">
        <f t="shared" si="378"/>
        <v>0</v>
      </c>
      <c r="O2478" s="48"/>
      <c r="P2478" s="49"/>
    </row>
    <row r="2479" spans="1:16" x14ac:dyDescent="0.4">
      <c r="B2479" s="122"/>
      <c r="C2479" s="319"/>
      <c r="D2479" s="318"/>
      <c r="E2479" s="116"/>
      <c r="F2479" s="83"/>
      <c r="G2479" s="74"/>
      <c r="I2479" s="117">
        <f>IF(C2479=0,0,VLOOKUP(C2479,Tabla1[],3,FALSE))</f>
        <v>0</v>
      </c>
      <c r="K2479" s="84">
        <f t="shared" si="379"/>
        <v>0</v>
      </c>
      <c r="L2479" s="118">
        <f t="shared" si="378"/>
        <v>0</v>
      </c>
      <c r="O2479" s="48"/>
      <c r="P2479" s="49"/>
    </row>
    <row r="2480" spans="1:16" ht="17.399999999999999" thickBot="1" x14ac:dyDescent="0.45"/>
    <row r="2481" spans="2:16" ht="17.399999999999999" thickBot="1" x14ac:dyDescent="0.35">
      <c r="F2481" s="292" t="s">
        <v>9</v>
      </c>
      <c r="G2481" s="293"/>
      <c r="H2481" s="293"/>
      <c r="I2481" s="294"/>
      <c r="K2481" s="229">
        <f>+SUM(K2470:K2479)</f>
        <v>690</v>
      </c>
      <c r="L2481" s="119">
        <f>+SUM(L2470:L2479)</f>
        <v>690</v>
      </c>
      <c r="O2481" s="38"/>
      <c r="P2481" s="38"/>
    </row>
    <row r="2482" spans="2:16" ht="17.399999999999999" thickBot="1" x14ac:dyDescent="0.45">
      <c r="O2482" s="42"/>
      <c r="P2482" s="43"/>
    </row>
    <row r="2483" spans="2:16" ht="17.399999999999999" thickBot="1" x14ac:dyDescent="0.45">
      <c r="B2483" s="110" t="s">
        <v>10</v>
      </c>
      <c r="C2483" s="300" t="s">
        <v>11</v>
      </c>
      <c r="D2483" s="300"/>
      <c r="E2483" s="300"/>
      <c r="F2483" s="300"/>
      <c r="G2483" s="301"/>
    </row>
    <row r="2484" spans="2:16" x14ac:dyDescent="0.4">
      <c r="B2484" s="114" t="s">
        <v>6</v>
      </c>
      <c r="C2484" s="302" t="s">
        <v>1</v>
      </c>
      <c r="D2484" s="303"/>
      <c r="E2484" s="112" t="s">
        <v>193</v>
      </c>
      <c r="F2484" s="120" t="s">
        <v>2</v>
      </c>
      <c r="G2484" s="114" t="s">
        <v>3</v>
      </c>
      <c r="H2484" s="106"/>
      <c r="I2484" s="107" t="s">
        <v>7</v>
      </c>
      <c r="J2484" s="136"/>
      <c r="K2484" s="107" t="s">
        <v>8</v>
      </c>
      <c r="L2484" s="115" t="s">
        <v>194</v>
      </c>
    </row>
    <row r="2485" spans="2:16" x14ac:dyDescent="0.4">
      <c r="B2485" s="122"/>
      <c r="C2485" s="306"/>
      <c r="D2485" s="306"/>
      <c r="E2485" s="116"/>
      <c r="F2485" s="83"/>
      <c r="G2485" s="74"/>
      <c r="I2485" s="117">
        <f>IF(C2485=0,0,VLOOKUP(C2485,Tabla3[],3,FALSE))</f>
        <v>0</v>
      </c>
      <c r="K2485" s="84">
        <f>F2485*I2485</f>
        <v>0</v>
      </c>
      <c r="L2485" s="118">
        <f>E2485*I2485</f>
        <v>0</v>
      </c>
    </row>
    <row r="2486" spans="2:16" x14ac:dyDescent="0.4">
      <c r="B2486" s="74"/>
      <c r="C2486" s="309"/>
      <c r="D2486" s="310"/>
      <c r="E2486" s="121"/>
      <c r="F2486" s="72"/>
      <c r="G2486" s="74"/>
      <c r="I2486" s="117">
        <f>IF(C2486=0,0,VLOOKUP(C2486,Tabla3[],3,FALSE))</f>
        <v>0</v>
      </c>
      <c r="K2486" s="84">
        <f t="shared" ref="K2486:K2488" si="380">+F2486*I2486</f>
        <v>0</v>
      </c>
      <c r="L2486" s="118">
        <f t="shared" ref="L2486:L2488" si="381">E2486*I2486</f>
        <v>0</v>
      </c>
    </row>
    <row r="2487" spans="2:16" x14ac:dyDescent="0.4">
      <c r="B2487" s="74"/>
      <c r="C2487" s="309"/>
      <c r="D2487" s="310"/>
      <c r="E2487" s="121"/>
      <c r="F2487" s="72"/>
      <c r="G2487" s="74"/>
      <c r="I2487" s="117">
        <f>IF(C2487=0,0,VLOOKUP(C2487,Tabla3[],3,FALSE))</f>
        <v>0</v>
      </c>
      <c r="K2487" s="84">
        <f t="shared" si="380"/>
        <v>0</v>
      </c>
      <c r="L2487" s="118">
        <f t="shared" si="381"/>
        <v>0</v>
      </c>
    </row>
    <row r="2488" spans="2:16" x14ac:dyDescent="0.4">
      <c r="B2488" s="74"/>
      <c r="C2488" s="304"/>
      <c r="D2488" s="305"/>
      <c r="E2488" s="121"/>
      <c r="F2488" s="72"/>
      <c r="G2488" s="74"/>
      <c r="I2488" s="117">
        <f>IF(C2488=0,0,VLOOKUP(C2488,Tabla3[],3,FALSE))</f>
        <v>0</v>
      </c>
      <c r="K2488" s="84">
        <f t="shared" si="380"/>
        <v>0</v>
      </c>
      <c r="L2488" s="118">
        <f t="shared" si="381"/>
        <v>0</v>
      </c>
    </row>
    <row r="2489" spans="2:16" ht="17.399999999999999" thickBot="1" x14ac:dyDescent="0.45"/>
    <row r="2490" spans="2:16" ht="17.399999999999999" thickBot="1" x14ac:dyDescent="0.45">
      <c r="F2490" s="292" t="s">
        <v>12</v>
      </c>
      <c r="G2490" s="293"/>
      <c r="H2490" s="293"/>
      <c r="I2490" s="294"/>
      <c r="K2490" s="229">
        <f>+SUM(K2485:K2488)</f>
        <v>0</v>
      </c>
      <c r="L2490" s="119">
        <f>+SUM(L2485:L2488)</f>
        <v>0</v>
      </c>
    </row>
    <row r="2491" spans="2:16" ht="17.399999999999999" thickBot="1" x14ac:dyDescent="0.45"/>
    <row r="2492" spans="2:16" ht="17.399999999999999" thickBot="1" x14ac:dyDescent="0.45">
      <c r="B2492" s="110" t="s">
        <v>13</v>
      </c>
      <c r="C2492" s="300" t="s">
        <v>14</v>
      </c>
      <c r="D2492" s="300"/>
      <c r="E2492" s="300"/>
      <c r="F2492" s="300"/>
      <c r="G2492" s="301"/>
    </row>
    <row r="2493" spans="2:16" x14ac:dyDescent="0.4">
      <c r="B2493" s="114" t="s">
        <v>6</v>
      </c>
      <c r="C2493" s="302" t="s">
        <v>1</v>
      </c>
      <c r="D2493" s="303"/>
      <c r="E2493" s="112" t="s">
        <v>193</v>
      </c>
      <c r="F2493" s="120" t="s">
        <v>2</v>
      </c>
      <c r="G2493" s="114" t="s">
        <v>3</v>
      </c>
      <c r="H2493" s="106"/>
      <c r="I2493" s="107" t="s">
        <v>7</v>
      </c>
      <c r="J2493" s="136"/>
      <c r="K2493" s="107" t="s">
        <v>8</v>
      </c>
      <c r="L2493" s="115" t="s">
        <v>194</v>
      </c>
    </row>
    <row r="2494" spans="2:16" x14ac:dyDescent="0.4">
      <c r="B2494" s="122">
        <v>1</v>
      </c>
      <c r="C2494" s="306" t="s">
        <v>314</v>
      </c>
      <c r="D2494" s="306"/>
      <c r="E2494" s="116">
        <f>I2466</f>
        <v>1</v>
      </c>
      <c r="F2494" s="83">
        <f>ROUND(E2494/I2466,2)</f>
        <v>1</v>
      </c>
      <c r="G2494" s="74" t="str">
        <f>IF(C2494=0,0,VLOOKUP(C2494,Tabla2[],2,FALSE))</f>
        <v>Unidad</v>
      </c>
      <c r="I2494" s="117">
        <f>IF(C2494=0,0,VLOOKUP(C2494,Tabla2[],3,FALSE))</f>
        <v>150</v>
      </c>
      <c r="K2494" s="84">
        <f>+F2494*I2494</f>
        <v>150</v>
      </c>
      <c r="L2494" s="118">
        <f>E2494*I2494</f>
        <v>150</v>
      </c>
    </row>
    <row r="2495" spans="2:16" x14ac:dyDescent="0.4">
      <c r="B2495" s="122"/>
      <c r="C2495" s="306"/>
      <c r="D2495" s="306"/>
      <c r="E2495" s="116"/>
      <c r="F2495" s="83"/>
      <c r="G2495" s="74"/>
      <c r="I2495" s="117">
        <f>IF(C2495=0,0,VLOOKUP(C2495,Tabla2[],3,FALSE))</f>
        <v>0</v>
      </c>
      <c r="K2495" s="84">
        <f>+F2495*I2495</f>
        <v>0</v>
      </c>
      <c r="L2495" s="118">
        <f>E2495*I2495</f>
        <v>0</v>
      </c>
    </row>
    <row r="2496" spans="2:16" ht="17.399999999999999" thickBot="1" x14ac:dyDescent="0.45">
      <c r="B2496" s="123"/>
      <c r="C2496" s="307"/>
      <c r="D2496" s="308"/>
      <c r="E2496" s="124"/>
      <c r="F2496" s="125"/>
      <c r="G2496" s="74"/>
      <c r="I2496" s="117">
        <f>IF(C2496=0,0,VLOOKUP(C2496,Tabla2[],3,FALSE))</f>
        <v>0</v>
      </c>
      <c r="K2496" s="84">
        <f t="shared" ref="K2496" si="382">+F2496*I2496</f>
        <v>0</v>
      </c>
      <c r="L2496" s="118">
        <f t="shared" ref="L2496:L2497" si="383">E2496*I2496</f>
        <v>0</v>
      </c>
    </row>
    <row r="2497" spans="2:16" ht="17.399999999999999" thickBot="1" x14ac:dyDescent="0.45">
      <c r="B2497" s="297" t="s">
        <v>15</v>
      </c>
      <c r="C2497" s="298"/>
      <c r="D2497" s="298"/>
      <c r="E2497" s="298"/>
      <c r="F2497" s="298"/>
      <c r="G2497" s="299"/>
      <c r="I2497" s="84">
        <v>0</v>
      </c>
      <c r="K2497" s="84">
        <v>0</v>
      </c>
      <c r="L2497" s="118">
        <f t="shared" si="383"/>
        <v>0</v>
      </c>
    </row>
    <row r="2498" spans="2:16" ht="17.399999999999999" thickBot="1" x14ac:dyDescent="0.45"/>
    <row r="2499" spans="2:16" ht="17.399999999999999" thickBot="1" x14ac:dyDescent="0.45">
      <c r="F2499" s="292" t="s">
        <v>16</v>
      </c>
      <c r="G2499" s="293"/>
      <c r="H2499" s="293"/>
      <c r="I2499" s="294"/>
      <c r="K2499" s="229">
        <f>+SUM(K2494:K2497)</f>
        <v>150</v>
      </c>
      <c r="L2499" s="119">
        <f>+SUM(L2494:L2497)</f>
        <v>150</v>
      </c>
    </row>
    <row r="2500" spans="2:16" ht="17.399999999999999" thickBot="1" x14ac:dyDescent="0.45"/>
    <row r="2501" spans="2:16" ht="17.399999999999999" thickBot="1" x14ac:dyDescent="0.45">
      <c r="B2501" s="110" t="s">
        <v>17</v>
      </c>
      <c r="C2501" s="300" t="s">
        <v>18</v>
      </c>
      <c r="D2501" s="300"/>
      <c r="E2501" s="300"/>
      <c r="F2501" s="300"/>
      <c r="G2501" s="301"/>
    </row>
    <row r="2502" spans="2:16" x14ac:dyDescent="0.4">
      <c r="B2502" s="114" t="s">
        <v>6</v>
      </c>
      <c r="C2502" s="302" t="s">
        <v>1</v>
      </c>
      <c r="D2502" s="303"/>
      <c r="E2502" s="126"/>
      <c r="F2502" s="120" t="s">
        <v>2</v>
      </c>
      <c r="G2502" s="114" t="s">
        <v>3</v>
      </c>
      <c r="H2502" s="106"/>
      <c r="I2502" s="107" t="s">
        <v>7</v>
      </c>
      <c r="J2502" s="136"/>
      <c r="K2502" s="107" t="s">
        <v>8</v>
      </c>
      <c r="L2502" s="115" t="s">
        <v>194</v>
      </c>
    </row>
    <row r="2503" spans="2:16" x14ac:dyDescent="0.4">
      <c r="B2503" s="74"/>
      <c r="C2503" s="304"/>
      <c r="D2503" s="305"/>
      <c r="E2503" s="127"/>
      <c r="F2503" s="72"/>
      <c r="G2503" s="74"/>
      <c r="I2503" s="84">
        <v>0</v>
      </c>
      <c r="K2503" s="84">
        <f>+F2503*I2503</f>
        <v>0</v>
      </c>
      <c r="L2503" s="118">
        <f>E2503*I2503</f>
        <v>0</v>
      </c>
    </row>
    <row r="2504" spans="2:16" x14ac:dyDescent="0.4">
      <c r="B2504" s="74"/>
      <c r="C2504" s="304"/>
      <c r="D2504" s="305"/>
      <c r="E2504" s="127"/>
      <c r="F2504" s="72"/>
      <c r="G2504" s="74"/>
      <c r="I2504" s="84">
        <v>0</v>
      </c>
      <c r="K2504" s="84">
        <f t="shared" ref="K2504:K2505" si="384">+F2504*I2504</f>
        <v>0</v>
      </c>
      <c r="L2504" s="118">
        <f t="shared" ref="L2504:L2505" si="385">E2504*I2504</f>
        <v>0</v>
      </c>
    </row>
    <row r="2505" spans="2:16" x14ac:dyDescent="0.4">
      <c r="B2505" s="74"/>
      <c r="C2505" s="304"/>
      <c r="D2505" s="305"/>
      <c r="E2505" s="127"/>
      <c r="F2505" s="72"/>
      <c r="G2505" s="74"/>
      <c r="I2505" s="84">
        <v>0</v>
      </c>
      <c r="K2505" s="84">
        <f t="shared" si="384"/>
        <v>0</v>
      </c>
      <c r="L2505" s="118">
        <f t="shared" si="385"/>
        <v>0</v>
      </c>
    </row>
    <row r="2506" spans="2:16" ht="17.399999999999999" thickBot="1" x14ac:dyDescent="0.45">
      <c r="L2506" s="118"/>
    </row>
    <row r="2507" spans="2:16" ht="17.399999999999999" thickBot="1" x14ac:dyDescent="0.45">
      <c r="F2507" s="292" t="s">
        <v>19</v>
      </c>
      <c r="G2507" s="293"/>
      <c r="H2507" s="293"/>
      <c r="I2507" s="294"/>
      <c r="K2507" s="229">
        <f>+SUM(K2503:K2505)</f>
        <v>0</v>
      </c>
      <c r="L2507" s="119">
        <f>+SUM(L2502:L2505)</f>
        <v>0</v>
      </c>
    </row>
    <row r="2508" spans="2:16" ht="15" customHeight="1" x14ac:dyDescent="0.4">
      <c r="F2508" s="128"/>
      <c r="G2508" s="129"/>
      <c r="H2508" s="130"/>
      <c r="I2508" s="108"/>
      <c r="K2508" s="230"/>
    </row>
    <row r="2509" spans="2:16" ht="15" customHeight="1" thickBot="1" x14ac:dyDescent="0.45"/>
    <row r="2510" spans="2:16" ht="17.399999999999999" thickBot="1" x14ac:dyDescent="0.45">
      <c r="F2510" s="292" t="s">
        <v>20</v>
      </c>
      <c r="G2510" s="293"/>
      <c r="H2510" s="293"/>
      <c r="I2510" s="294"/>
      <c r="K2510" s="229">
        <f>(+K2481+K2490+K2499+K2507)</f>
        <v>840</v>
      </c>
      <c r="L2510" s="119">
        <f>(+L2481+L2490+L2499+L2507)</f>
        <v>840</v>
      </c>
      <c r="N2510" s="131"/>
      <c r="O2510" s="39"/>
      <c r="P2510" s="40"/>
    </row>
    <row r="2511" spans="2:16" ht="7.5" customHeight="1" thickBot="1" x14ac:dyDescent="0.45">
      <c r="N2511" s="131"/>
      <c r="O2511" s="41"/>
      <c r="P2511" s="40"/>
    </row>
    <row r="2512" spans="2:16" ht="17.399999999999999" thickBot="1" x14ac:dyDescent="0.45">
      <c r="F2512" s="292" t="s">
        <v>21</v>
      </c>
      <c r="G2512" s="293"/>
      <c r="H2512" s="293"/>
      <c r="I2512" s="294"/>
      <c r="K2512" s="229">
        <f>K2510*$N$2</f>
        <v>336</v>
      </c>
      <c r="L2512" s="119">
        <f>L2510*$N$2</f>
        <v>336</v>
      </c>
    </row>
    <row r="2513" spans="1:16" ht="7.5" customHeight="1" thickBot="1" x14ac:dyDescent="0.45"/>
    <row r="2514" spans="1:16" ht="17.399999999999999" thickBot="1" x14ac:dyDescent="0.45">
      <c r="F2514" s="292" t="s">
        <v>22</v>
      </c>
      <c r="G2514" s="293"/>
      <c r="H2514" s="293"/>
      <c r="I2514" s="294"/>
      <c r="K2514" s="229">
        <f>+K2510+K2512</f>
        <v>1176</v>
      </c>
      <c r="L2514" s="119">
        <f>+L2510+L2512</f>
        <v>1176</v>
      </c>
    </row>
    <row r="2515" spans="1:16" ht="17.399999999999999" thickBot="1" x14ac:dyDescent="0.45">
      <c r="F2515" s="128"/>
      <c r="G2515" s="129"/>
      <c r="H2515" s="130"/>
      <c r="I2515" s="108"/>
      <c r="K2515" s="231"/>
      <c r="L2515" s="132">
        <f>L2514/I2466</f>
        <v>1176</v>
      </c>
      <c r="M2515" s="133">
        <f>(K2514-L2515)*I2466</f>
        <v>0</v>
      </c>
    </row>
    <row r="2516" spans="1:16" x14ac:dyDescent="0.4">
      <c r="F2516" s="128"/>
      <c r="G2516" s="129"/>
      <c r="H2516" s="130"/>
      <c r="I2516" s="108"/>
      <c r="K2516" s="232"/>
      <c r="L2516" s="131"/>
      <c r="M2516" s="134"/>
      <c r="N2516" s="135"/>
    </row>
    <row r="2517" spans="1:16" ht="17.399999999999999" thickBot="1" x14ac:dyDescent="0.45">
      <c r="B2517" s="295"/>
      <c r="C2517" s="295"/>
      <c r="D2517" s="295"/>
    </row>
    <row r="2518" spans="1:16" x14ac:dyDescent="0.4">
      <c r="B2518" s="296" t="s">
        <v>23</v>
      </c>
      <c r="C2518" s="296"/>
      <c r="D2518" s="296"/>
    </row>
    <row r="2519" spans="1:16" x14ac:dyDescent="0.4">
      <c r="B2519" s="157"/>
      <c r="C2519" s="157"/>
      <c r="D2519" s="157"/>
    </row>
    <row r="2520" spans="1:16" x14ac:dyDescent="0.4">
      <c r="B2520" s="157"/>
      <c r="C2520" s="157"/>
      <c r="D2520" s="157"/>
    </row>
    <row r="2521" spans="1:16" x14ac:dyDescent="0.4">
      <c r="B2521" s="105" t="s">
        <v>43</v>
      </c>
      <c r="C2521" s="106"/>
      <c r="D2521" s="311" t="s">
        <v>1</v>
      </c>
      <c r="E2521" s="311"/>
      <c r="F2521" s="311"/>
      <c r="G2521" s="311"/>
      <c r="H2521" s="106"/>
      <c r="I2521" s="107" t="s">
        <v>2</v>
      </c>
      <c r="J2521" s="136"/>
      <c r="K2521" s="107" t="s">
        <v>3</v>
      </c>
    </row>
    <row r="2522" spans="1:16" s="4" customFormat="1" ht="30.75" customHeight="1" x14ac:dyDescent="0.3">
      <c r="A2522" s="31"/>
      <c r="B2522" s="213">
        <f>CATALOGO!B66</f>
        <v>907.14</v>
      </c>
      <c r="C2522" s="71"/>
      <c r="D2522" s="324" t="str">
        <f>CATALOGO!C66</f>
        <v>CAJA TRAMPA GRASA DE 1.30m X 0.82m</v>
      </c>
      <c r="E2522" s="324"/>
      <c r="F2522" s="324"/>
      <c r="G2522" s="324"/>
      <c r="H2522" s="71"/>
      <c r="I2522" s="213">
        <f>CATALOGO!D66</f>
        <v>1</v>
      </c>
      <c r="J2522" s="109"/>
      <c r="K2522" s="227" t="str">
        <f>CATALOGO!E66</f>
        <v>Unidad</v>
      </c>
      <c r="L2522" s="71"/>
      <c r="M2522" s="71"/>
      <c r="N2522" s="104"/>
      <c r="O2522" s="37"/>
      <c r="P2522" s="37"/>
    </row>
    <row r="2523" spans="1:16" ht="17.399999999999999" thickBot="1" x14ac:dyDescent="0.45"/>
    <row r="2524" spans="1:16" ht="17.399999999999999" thickBot="1" x14ac:dyDescent="0.45">
      <c r="B2524" s="110" t="s">
        <v>4</v>
      </c>
      <c r="C2524" s="300" t="s">
        <v>5</v>
      </c>
      <c r="D2524" s="300"/>
      <c r="E2524" s="300"/>
      <c r="F2524" s="300"/>
      <c r="G2524" s="301"/>
    </row>
    <row r="2525" spans="1:16" x14ac:dyDescent="0.3">
      <c r="B2525" s="111" t="s">
        <v>6</v>
      </c>
      <c r="C2525" s="313" t="s">
        <v>1</v>
      </c>
      <c r="D2525" s="314"/>
      <c r="E2525" s="112" t="s">
        <v>193</v>
      </c>
      <c r="F2525" s="113" t="s">
        <v>2</v>
      </c>
      <c r="G2525" s="114" t="s">
        <v>3</v>
      </c>
      <c r="H2525" s="106"/>
      <c r="I2525" s="107" t="s">
        <v>7</v>
      </c>
      <c r="J2525" s="136"/>
      <c r="K2525" s="228" t="s">
        <v>8</v>
      </c>
      <c r="L2525" s="115" t="s">
        <v>194</v>
      </c>
      <c r="O2525" s="323"/>
      <c r="P2525" s="323"/>
    </row>
    <row r="2526" spans="1:16" ht="17.25" customHeight="1" x14ac:dyDescent="0.3">
      <c r="B2526" s="122">
        <v>1</v>
      </c>
      <c r="C2526" s="315" t="s">
        <v>169</v>
      </c>
      <c r="D2526" s="316"/>
      <c r="E2526" s="116">
        <v>2</v>
      </c>
      <c r="F2526" s="83">
        <f>ROUND(E2526/I2522,2)</f>
        <v>2</v>
      </c>
      <c r="G2526" s="74" t="str">
        <f>IF(C2526=0,0,VLOOKUP(C2526,Tabla1[],2,FALSE))</f>
        <v>Varilla</v>
      </c>
      <c r="I2526" s="117">
        <f>IF(C2526=0,0,VLOOKUP(C2526,Tabla1[],3,FALSE))</f>
        <v>40</v>
      </c>
      <c r="K2526" s="84">
        <f>F2526*I2526</f>
        <v>80</v>
      </c>
      <c r="L2526" s="118">
        <f t="shared" ref="L2526:L2535" si="386">E2526*I2526</f>
        <v>80</v>
      </c>
      <c r="O2526" s="44"/>
      <c r="P2526" s="45"/>
    </row>
    <row r="2527" spans="1:16" x14ac:dyDescent="0.4">
      <c r="B2527" s="122">
        <v>2</v>
      </c>
      <c r="C2527" s="315" t="s">
        <v>313</v>
      </c>
      <c r="D2527" s="316"/>
      <c r="E2527" s="116">
        <v>1.5</v>
      </c>
      <c r="F2527" s="83">
        <f>ROUND(E2527/I2522,2)</f>
        <v>1.5</v>
      </c>
      <c r="G2527" s="74" t="str">
        <f>IF(C2527=0,0,VLOOKUP(C2527,Tabla1[],2,FALSE))</f>
        <v>Varilla</v>
      </c>
      <c r="I2527" s="117">
        <f>IF(C2527=0,0,VLOOKUP(C2527,Tabla1[],3,FALSE))</f>
        <v>20</v>
      </c>
      <c r="K2527" s="84">
        <f t="shared" ref="K2527:K2535" si="387">+F2527*I2527</f>
        <v>30</v>
      </c>
      <c r="L2527" s="118">
        <f t="shared" si="386"/>
        <v>30</v>
      </c>
      <c r="P2527" s="45"/>
    </row>
    <row r="2528" spans="1:16" x14ac:dyDescent="0.4">
      <c r="B2528" s="122">
        <v>3</v>
      </c>
      <c r="C2528" s="317" t="s">
        <v>214</v>
      </c>
      <c r="D2528" s="318"/>
      <c r="E2528" s="116">
        <v>3</v>
      </c>
      <c r="F2528" s="83">
        <f>ROUND(E2528/I2522,2)</f>
        <v>3</v>
      </c>
      <c r="G2528" s="74" t="str">
        <f>IF(C2528=0,0,VLOOKUP(C2528,Tabla1[],2,FALSE))</f>
        <v>Saco</v>
      </c>
      <c r="I2528" s="117">
        <f>IF(C2528=0,0,VLOOKUP(C2528,Tabla1[],3,FALSE))</f>
        <v>80</v>
      </c>
      <c r="K2528" s="84">
        <f t="shared" si="387"/>
        <v>240</v>
      </c>
      <c r="L2528" s="118">
        <f t="shared" si="386"/>
        <v>240</v>
      </c>
      <c r="O2528" s="48"/>
      <c r="P2528" s="49"/>
    </row>
    <row r="2529" spans="2:16" x14ac:dyDescent="0.4">
      <c r="B2529" s="122">
        <v>4</v>
      </c>
      <c r="C2529" s="319" t="s">
        <v>73</v>
      </c>
      <c r="D2529" s="318"/>
      <c r="E2529" s="116">
        <v>0.1</v>
      </c>
      <c r="F2529" s="83">
        <f>ROUND(E2529/I2522,2)</f>
        <v>0.1</v>
      </c>
      <c r="G2529" s="74" t="str">
        <f>IF(C2529=0,0,VLOOKUP(C2529,Tabla1[],2,FALSE))</f>
        <v>m³</v>
      </c>
      <c r="I2529" s="117">
        <f>IF(C2529=0,0,VLOOKUP(C2529,Tabla1[],3,FALSE))</f>
        <v>250</v>
      </c>
      <c r="K2529" s="84">
        <f t="shared" si="387"/>
        <v>25</v>
      </c>
      <c r="L2529" s="118">
        <f t="shared" si="386"/>
        <v>25</v>
      </c>
      <c r="O2529" s="48"/>
      <c r="P2529" s="49"/>
    </row>
    <row r="2530" spans="2:16" x14ac:dyDescent="0.4">
      <c r="B2530" s="122">
        <v>5</v>
      </c>
      <c r="C2530" s="319" t="s">
        <v>230</v>
      </c>
      <c r="D2530" s="318"/>
      <c r="E2530" s="116">
        <v>0.1</v>
      </c>
      <c r="F2530" s="83">
        <f>ROUND(E2530/I2522,2)</f>
        <v>0.1</v>
      </c>
      <c r="G2530" s="74" t="str">
        <f>IF(C2530=0,0,VLOOKUP(C2530,Tabla1[],2,FALSE))</f>
        <v>m³</v>
      </c>
      <c r="I2530" s="117">
        <f>IF(C2530=0,0,VLOOKUP(C2530,Tabla1[],3,FALSE))</f>
        <v>250</v>
      </c>
      <c r="K2530" s="84">
        <f t="shared" si="387"/>
        <v>25</v>
      </c>
      <c r="L2530" s="118">
        <f t="shared" si="386"/>
        <v>25</v>
      </c>
      <c r="O2530" s="48"/>
      <c r="P2530" s="49"/>
    </row>
    <row r="2531" spans="2:16" x14ac:dyDescent="0.4">
      <c r="B2531" s="122">
        <v>6</v>
      </c>
      <c r="C2531" s="319" t="s">
        <v>233</v>
      </c>
      <c r="D2531" s="318"/>
      <c r="E2531" s="116">
        <v>0.1</v>
      </c>
      <c r="F2531" s="83">
        <f>ROUND(E2531/I2522,2)</f>
        <v>0.1</v>
      </c>
      <c r="G2531" s="74" t="str">
        <f>IF(C2531=0,0,VLOOKUP(C2531,Tabla1[],2,FALSE))</f>
        <v>Unidad</v>
      </c>
      <c r="I2531" s="117">
        <f>IF(C2531=0,0,VLOOKUP(C2531,Tabla1[],3,FALSE))</f>
        <v>300</v>
      </c>
      <c r="K2531" s="84">
        <f t="shared" si="387"/>
        <v>30</v>
      </c>
      <c r="L2531" s="118">
        <f t="shared" si="386"/>
        <v>30</v>
      </c>
      <c r="O2531" s="48"/>
      <c r="P2531" s="49"/>
    </row>
    <row r="2532" spans="2:16" x14ac:dyDescent="0.4">
      <c r="B2532" s="122">
        <v>7</v>
      </c>
      <c r="C2532" s="319" t="s">
        <v>235</v>
      </c>
      <c r="D2532" s="318"/>
      <c r="E2532" s="116">
        <v>150</v>
      </c>
      <c r="F2532" s="83">
        <f>ROUND(E2532/I2522,2)</f>
        <v>150</v>
      </c>
      <c r="G2532" s="74" t="str">
        <f>IF(C2532=0,0,VLOOKUP(C2532,Tabla1[],2,FALSE))</f>
        <v>Unidad</v>
      </c>
      <c r="I2532" s="117">
        <f>IF(C2532=0,0,VLOOKUP(C2532,Tabla1[],3,FALSE))</f>
        <v>7</v>
      </c>
      <c r="K2532" s="84">
        <f t="shared" si="387"/>
        <v>1050</v>
      </c>
      <c r="L2532" s="118">
        <f t="shared" si="386"/>
        <v>1050</v>
      </c>
      <c r="O2532" s="48"/>
      <c r="P2532" s="49"/>
    </row>
    <row r="2533" spans="2:16" x14ac:dyDescent="0.4">
      <c r="B2533" s="122"/>
      <c r="C2533" s="317"/>
      <c r="D2533" s="318"/>
      <c r="E2533" s="116"/>
      <c r="F2533" s="83"/>
      <c r="G2533" s="74"/>
      <c r="I2533" s="117">
        <f>IF(C2533=0,0,VLOOKUP(C2533,Tabla1[],3,FALSE))</f>
        <v>0</v>
      </c>
      <c r="K2533" s="84">
        <f t="shared" si="387"/>
        <v>0</v>
      </c>
      <c r="L2533" s="118">
        <f t="shared" si="386"/>
        <v>0</v>
      </c>
      <c r="O2533" s="48"/>
      <c r="P2533" s="49"/>
    </row>
    <row r="2534" spans="2:16" x14ac:dyDescent="0.4">
      <c r="B2534" s="122"/>
      <c r="C2534" s="309"/>
      <c r="D2534" s="310"/>
      <c r="E2534" s="116"/>
      <c r="F2534" s="83"/>
      <c r="G2534" s="74"/>
      <c r="I2534" s="117">
        <f>IF(C2534=0,0,VLOOKUP(C2534,Tabla1[],3,FALSE))</f>
        <v>0</v>
      </c>
      <c r="K2534" s="84">
        <f t="shared" si="387"/>
        <v>0</v>
      </c>
      <c r="L2534" s="118">
        <f t="shared" si="386"/>
        <v>0</v>
      </c>
      <c r="O2534" s="48"/>
      <c r="P2534" s="49"/>
    </row>
    <row r="2535" spans="2:16" x14ac:dyDescent="0.4">
      <c r="B2535" s="122"/>
      <c r="C2535" s="319"/>
      <c r="D2535" s="318"/>
      <c r="E2535" s="116"/>
      <c r="F2535" s="83"/>
      <c r="G2535" s="74"/>
      <c r="I2535" s="117">
        <f>IF(C2535=0,0,VLOOKUP(C2535,Tabla1[],3,FALSE))</f>
        <v>0</v>
      </c>
      <c r="K2535" s="84">
        <f t="shared" si="387"/>
        <v>0</v>
      </c>
      <c r="L2535" s="118">
        <f t="shared" si="386"/>
        <v>0</v>
      </c>
      <c r="O2535" s="48"/>
      <c r="P2535" s="49"/>
    </row>
    <row r="2536" spans="2:16" ht="17.399999999999999" thickBot="1" x14ac:dyDescent="0.45"/>
    <row r="2537" spans="2:16" ht="17.399999999999999" thickBot="1" x14ac:dyDescent="0.35">
      <c r="F2537" s="292" t="s">
        <v>9</v>
      </c>
      <c r="G2537" s="293"/>
      <c r="H2537" s="293"/>
      <c r="I2537" s="294"/>
      <c r="K2537" s="229">
        <f>+SUM(K2526:K2535)</f>
        <v>1480</v>
      </c>
      <c r="L2537" s="119">
        <f>+SUM(L2526:L2535)</f>
        <v>1480</v>
      </c>
      <c r="O2537" s="38"/>
      <c r="P2537" s="38"/>
    </row>
    <row r="2538" spans="2:16" ht="17.399999999999999" thickBot="1" x14ac:dyDescent="0.45">
      <c r="O2538" s="42"/>
      <c r="P2538" s="43"/>
    </row>
    <row r="2539" spans="2:16" ht="17.399999999999999" thickBot="1" x14ac:dyDescent="0.45">
      <c r="B2539" s="110" t="s">
        <v>10</v>
      </c>
      <c r="C2539" s="300" t="s">
        <v>11</v>
      </c>
      <c r="D2539" s="300"/>
      <c r="E2539" s="300"/>
      <c r="F2539" s="300"/>
      <c r="G2539" s="301"/>
    </row>
    <row r="2540" spans="2:16" x14ac:dyDescent="0.4">
      <c r="B2540" s="114" t="s">
        <v>6</v>
      </c>
      <c r="C2540" s="302" t="s">
        <v>1</v>
      </c>
      <c r="D2540" s="303"/>
      <c r="E2540" s="112" t="s">
        <v>193</v>
      </c>
      <c r="F2540" s="120" t="s">
        <v>2</v>
      </c>
      <c r="G2540" s="114" t="s">
        <v>3</v>
      </c>
      <c r="H2540" s="106"/>
      <c r="I2540" s="107" t="s">
        <v>7</v>
      </c>
      <c r="J2540" s="136"/>
      <c r="K2540" s="107" t="s">
        <v>8</v>
      </c>
      <c r="L2540" s="115" t="s">
        <v>194</v>
      </c>
    </row>
    <row r="2541" spans="2:16" x14ac:dyDescent="0.4">
      <c r="B2541" s="122"/>
      <c r="C2541" s="306"/>
      <c r="D2541" s="306"/>
      <c r="E2541" s="116"/>
      <c r="F2541" s="83"/>
      <c r="G2541" s="74"/>
      <c r="I2541" s="117">
        <f>IF(C2541=0,0,VLOOKUP(C2541,Tabla3[],3,FALSE))</f>
        <v>0</v>
      </c>
      <c r="K2541" s="84">
        <f>F2541*I2541</f>
        <v>0</v>
      </c>
      <c r="L2541" s="118">
        <f>E2541*I2541</f>
        <v>0</v>
      </c>
    </row>
    <row r="2542" spans="2:16" x14ac:dyDescent="0.4">
      <c r="B2542" s="74"/>
      <c r="C2542" s="309"/>
      <c r="D2542" s="310"/>
      <c r="E2542" s="121"/>
      <c r="F2542" s="72"/>
      <c r="G2542" s="74"/>
      <c r="I2542" s="117">
        <f>IF(C2542=0,0,VLOOKUP(C2542,Tabla3[],3,FALSE))</f>
        <v>0</v>
      </c>
      <c r="K2542" s="84">
        <f t="shared" ref="K2542:K2544" si="388">+F2542*I2542</f>
        <v>0</v>
      </c>
      <c r="L2542" s="118">
        <f t="shared" ref="L2542:L2544" si="389">E2542*I2542</f>
        <v>0</v>
      </c>
    </row>
    <row r="2543" spans="2:16" x14ac:dyDescent="0.4">
      <c r="B2543" s="74"/>
      <c r="C2543" s="309"/>
      <c r="D2543" s="310"/>
      <c r="E2543" s="121"/>
      <c r="F2543" s="72"/>
      <c r="G2543" s="74"/>
      <c r="I2543" s="117">
        <f>IF(C2543=0,0,VLOOKUP(C2543,Tabla3[],3,FALSE))</f>
        <v>0</v>
      </c>
      <c r="K2543" s="84">
        <f t="shared" si="388"/>
        <v>0</v>
      </c>
      <c r="L2543" s="118">
        <f t="shared" si="389"/>
        <v>0</v>
      </c>
    </row>
    <row r="2544" spans="2:16" x14ac:dyDescent="0.4">
      <c r="B2544" s="74"/>
      <c r="C2544" s="304"/>
      <c r="D2544" s="305"/>
      <c r="E2544" s="121"/>
      <c r="F2544" s="72"/>
      <c r="G2544" s="74"/>
      <c r="I2544" s="117">
        <f>IF(C2544=0,0,VLOOKUP(C2544,Tabla3[],3,FALSE))</f>
        <v>0</v>
      </c>
      <c r="K2544" s="84">
        <f t="shared" si="388"/>
        <v>0</v>
      </c>
      <c r="L2544" s="118">
        <f t="shared" si="389"/>
        <v>0</v>
      </c>
    </row>
    <row r="2545" spans="2:12" ht="17.399999999999999" thickBot="1" x14ac:dyDescent="0.45"/>
    <row r="2546" spans="2:12" ht="17.399999999999999" thickBot="1" x14ac:dyDescent="0.45">
      <c r="F2546" s="292" t="s">
        <v>12</v>
      </c>
      <c r="G2546" s="293"/>
      <c r="H2546" s="293"/>
      <c r="I2546" s="294"/>
      <c r="K2546" s="229">
        <f>+SUM(K2541:K2544)</f>
        <v>0</v>
      </c>
      <c r="L2546" s="119">
        <f>+SUM(L2541:L2544)</f>
        <v>0</v>
      </c>
    </row>
    <row r="2547" spans="2:12" ht="17.399999999999999" thickBot="1" x14ac:dyDescent="0.45"/>
    <row r="2548" spans="2:12" ht="17.399999999999999" thickBot="1" x14ac:dyDescent="0.45">
      <c r="B2548" s="110" t="s">
        <v>13</v>
      </c>
      <c r="C2548" s="300" t="s">
        <v>14</v>
      </c>
      <c r="D2548" s="300"/>
      <c r="E2548" s="300"/>
      <c r="F2548" s="300"/>
      <c r="G2548" s="301"/>
    </row>
    <row r="2549" spans="2:12" x14ac:dyDescent="0.4">
      <c r="B2549" s="114" t="s">
        <v>6</v>
      </c>
      <c r="C2549" s="302" t="s">
        <v>1</v>
      </c>
      <c r="D2549" s="303"/>
      <c r="E2549" s="112" t="s">
        <v>193</v>
      </c>
      <c r="F2549" s="120" t="s">
        <v>2</v>
      </c>
      <c r="G2549" s="114" t="s">
        <v>3</v>
      </c>
      <c r="H2549" s="106"/>
      <c r="I2549" s="107" t="s">
        <v>7</v>
      </c>
      <c r="J2549" s="136"/>
      <c r="K2549" s="107" t="s">
        <v>8</v>
      </c>
      <c r="L2549" s="115" t="s">
        <v>194</v>
      </c>
    </row>
    <row r="2550" spans="2:12" x14ac:dyDescent="0.4">
      <c r="B2550" s="122">
        <v>1</v>
      </c>
      <c r="C2550" s="306" t="s">
        <v>236</v>
      </c>
      <c r="D2550" s="306"/>
      <c r="E2550" s="116">
        <f>I2522</f>
        <v>1</v>
      </c>
      <c r="F2550" s="83">
        <f>ROUND(E2550/I2522,2)</f>
        <v>1</v>
      </c>
      <c r="G2550" s="74" t="str">
        <f>IF(C2550=0,0,VLOOKUP(C2550,Tabla2[],2,FALSE))</f>
        <v>Unidad</v>
      </c>
      <c r="I2550" s="117">
        <f>IF(C2550=0,0,VLOOKUP(C2550,Tabla2[],3,FALSE))</f>
        <v>300</v>
      </c>
      <c r="K2550" s="84">
        <f>+F2550*I2550</f>
        <v>300</v>
      </c>
      <c r="L2550" s="118">
        <f>E2550*I2550</f>
        <v>300</v>
      </c>
    </row>
    <row r="2551" spans="2:12" x14ac:dyDescent="0.4">
      <c r="B2551" s="122"/>
      <c r="C2551" s="306"/>
      <c r="D2551" s="306"/>
      <c r="E2551" s="116"/>
      <c r="F2551" s="83"/>
      <c r="G2551" s="74"/>
      <c r="I2551" s="117">
        <f>IF(C2551=0,0,VLOOKUP(C2551,Tabla2[],3,FALSE))</f>
        <v>0</v>
      </c>
      <c r="K2551" s="84">
        <f>+F2551*I2551</f>
        <v>0</v>
      </c>
      <c r="L2551" s="118">
        <f>E2551*I2551</f>
        <v>0</v>
      </c>
    </row>
    <row r="2552" spans="2:12" ht="17.399999999999999" thickBot="1" x14ac:dyDescent="0.45">
      <c r="B2552" s="123"/>
      <c r="C2552" s="307"/>
      <c r="D2552" s="308"/>
      <c r="E2552" s="124"/>
      <c r="F2552" s="125"/>
      <c r="G2552" s="74"/>
      <c r="I2552" s="117">
        <f>IF(C2552=0,0,VLOOKUP(C2552,Tabla2[],3,FALSE))</f>
        <v>0</v>
      </c>
      <c r="K2552" s="84">
        <f t="shared" ref="K2552" si="390">+F2552*I2552</f>
        <v>0</v>
      </c>
      <c r="L2552" s="118">
        <f t="shared" ref="L2552:L2553" si="391">E2552*I2552</f>
        <v>0</v>
      </c>
    </row>
    <row r="2553" spans="2:12" ht="17.399999999999999" thickBot="1" x14ac:dyDescent="0.45">
      <c r="B2553" s="297" t="s">
        <v>15</v>
      </c>
      <c r="C2553" s="298"/>
      <c r="D2553" s="298"/>
      <c r="E2553" s="298"/>
      <c r="F2553" s="298"/>
      <c r="G2553" s="299"/>
      <c r="I2553" s="84">
        <v>0</v>
      </c>
      <c r="K2553" s="84">
        <v>0</v>
      </c>
      <c r="L2553" s="118">
        <f t="shared" si="391"/>
        <v>0</v>
      </c>
    </row>
    <row r="2554" spans="2:12" ht="17.399999999999999" thickBot="1" x14ac:dyDescent="0.45"/>
    <row r="2555" spans="2:12" ht="17.399999999999999" thickBot="1" x14ac:dyDescent="0.45">
      <c r="F2555" s="292" t="s">
        <v>16</v>
      </c>
      <c r="G2555" s="293"/>
      <c r="H2555" s="293"/>
      <c r="I2555" s="294"/>
      <c r="K2555" s="229">
        <f>+SUM(K2550:K2553)</f>
        <v>300</v>
      </c>
      <c r="L2555" s="119">
        <f>+SUM(L2550:L2553)</f>
        <v>300</v>
      </c>
    </row>
    <row r="2556" spans="2:12" ht="17.399999999999999" thickBot="1" x14ac:dyDescent="0.45"/>
    <row r="2557" spans="2:12" ht="17.399999999999999" thickBot="1" x14ac:dyDescent="0.45">
      <c r="B2557" s="110" t="s">
        <v>17</v>
      </c>
      <c r="C2557" s="300" t="s">
        <v>18</v>
      </c>
      <c r="D2557" s="300"/>
      <c r="E2557" s="300"/>
      <c r="F2557" s="300"/>
      <c r="G2557" s="301"/>
    </row>
    <row r="2558" spans="2:12" x14ac:dyDescent="0.4">
      <c r="B2558" s="114" t="s">
        <v>6</v>
      </c>
      <c r="C2558" s="302" t="s">
        <v>1</v>
      </c>
      <c r="D2558" s="303"/>
      <c r="E2558" s="126"/>
      <c r="F2558" s="120" t="s">
        <v>2</v>
      </c>
      <c r="G2558" s="114" t="s">
        <v>3</v>
      </c>
      <c r="H2558" s="106"/>
      <c r="I2558" s="107" t="s">
        <v>7</v>
      </c>
      <c r="J2558" s="136"/>
      <c r="K2558" s="107" t="s">
        <v>8</v>
      </c>
      <c r="L2558" s="115" t="s">
        <v>194</v>
      </c>
    </row>
    <row r="2559" spans="2:12" x14ac:dyDescent="0.4">
      <c r="B2559" s="74"/>
      <c r="C2559" s="304"/>
      <c r="D2559" s="305"/>
      <c r="E2559" s="127"/>
      <c r="F2559" s="72"/>
      <c r="G2559" s="74"/>
      <c r="I2559" s="84">
        <v>0</v>
      </c>
      <c r="K2559" s="84">
        <f>+F2559*I2559</f>
        <v>0</v>
      </c>
      <c r="L2559" s="118">
        <f>E2559*I2559</f>
        <v>0</v>
      </c>
    </row>
    <row r="2560" spans="2:12" x14ac:dyDescent="0.4">
      <c r="B2560" s="74"/>
      <c r="C2560" s="304"/>
      <c r="D2560" s="305"/>
      <c r="E2560" s="127"/>
      <c r="F2560" s="72"/>
      <c r="G2560" s="74"/>
      <c r="I2560" s="84">
        <v>0</v>
      </c>
      <c r="K2560" s="84">
        <f t="shared" ref="K2560:K2561" si="392">+F2560*I2560</f>
        <v>0</v>
      </c>
      <c r="L2560" s="118">
        <f t="shared" ref="L2560:L2561" si="393">E2560*I2560</f>
        <v>0</v>
      </c>
    </row>
    <row r="2561" spans="2:16" x14ac:dyDescent="0.4">
      <c r="B2561" s="74"/>
      <c r="C2561" s="304"/>
      <c r="D2561" s="305"/>
      <c r="E2561" s="127"/>
      <c r="F2561" s="72"/>
      <c r="G2561" s="74"/>
      <c r="I2561" s="84">
        <v>0</v>
      </c>
      <c r="K2561" s="84">
        <f t="shared" si="392"/>
        <v>0</v>
      </c>
      <c r="L2561" s="118">
        <f t="shared" si="393"/>
        <v>0</v>
      </c>
    </row>
    <row r="2562" spans="2:16" ht="17.399999999999999" thickBot="1" x14ac:dyDescent="0.45">
      <c r="L2562" s="118"/>
    </row>
    <row r="2563" spans="2:16" ht="17.399999999999999" thickBot="1" x14ac:dyDescent="0.45">
      <c r="F2563" s="292" t="s">
        <v>19</v>
      </c>
      <c r="G2563" s="293"/>
      <c r="H2563" s="293"/>
      <c r="I2563" s="294"/>
      <c r="K2563" s="229">
        <f>+SUM(K2559:K2561)</f>
        <v>0</v>
      </c>
      <c r="L2563" s="119">
        <f>+SUM(L2558:L2561)</f>
        <v>0</v>
      </c>
    </row>
    <row r="2564" spans="2:16" ht="15" customHeight="1" x14ac:dyDescent="0.4">
      <c r="F2564" s="128"/>
      <c r="G2564" s="129"/>
      <c r="H2564" s="130"/>
      <c r="I2564" s="108"/>
      <c r="K2564" s="230"/>
    </row>
    <row r="2565" spans="2:16" ht="15" customHeight="1" thickBot="1" x14ac:dyDescent="0.45"/>
    <row r="2566" spans="2:16" ht="17.399999999999999" thickBot="1" x14ac:dyDescent="0.45">
      <c r="F2566" s="292" t="s">
        <v>20</v>
      </c>
      <c r="G2566" s="293"/>
      <c r="H2566" s="293"/>
      <c r="I2566" s="294"/>
      <c r="K2566" s="229">
        <f>(+K2537+K2546+K2555+K2563)</f>
        <v>1780</v>
      </c>
      <c r="L2566" s="119">
        <f>(+L2537+L2546+L2555+L2563)</f>
        <v>1780</v>
      </c>
      <c r="N2566" s="131"/>
      <c r="O2566" s="39"/>
      <c r="P2566" s="40"/>
    </row>
    <row r="2567" spans="2:16" ht="7.5" customHeight="1" thickBot="1" x14ac:dyDescent="0.45">
      <c r="N2567" s="131"/>
      <c r="O2567" s="41"/>
      <c r="P2567" s="40"/>
    </row>
    <row r="2568" spans="2:16" ht="17.399999999999999" thickBot="1" x14ac:dyDescent="0.45">
      <c r="F2568" s="292" t="s">
        <v>21</v>
      </c>
      <c r="G2568" s="293"/>
      <c r="H2568" s="293"/>
      <c r="I2568" s="294"/>
      <c r="K2568" s="229">
        <f>K2566*$N$2</f>
        <v>712</v>
      </c>
      <c r="L2568" s="119">
        <f>L2566*$N$2</f>
        <v>712</v>
      </c>
    </row>
    <row r="2569" spans="2:16" ht="7.5" customHeight="1" thickBot="1" x14ac:dyDescent="0.45"/>
    <row r="2570" spans="2:16" ht="17.399999999999999" thickBot="1" x14ac:dyDescent="0.45">
      <c r="F2570" s="292" t="s">
        <v>22</v>
      </c>
      <c r="G2570" s="293"/>
      <c r="H2570" s="293"/>
      <c r="I2570" s="294"/>
      <c r="K2570" s="229">
        <f>+K2566+K2568</f>
        <v>2492</v>
      </c>
      <c r="L2570" s="119">
        <f>+L2566+L2568</f>
        <v>2492</v>
      </c>
    </row>
    <row r="2571" spans="2:16" ht="17.399999999999999" thickBot="1" x14ac:dyDescent="0.45">
      <c r="F2571" s="128"/>
      <c r="G2571" s="129"/>
      <c r="H2571" s="130"/>
      <c r="I2571" s="108"/>
      <c r="K2571" s="231"/>
      <c r="L2571" s="132">
        <f>L2570/I2522</f>
        <v>2492</v>
      </c>
      <c r="M2571" s="133">
        <f>(K2570-L2571)*I2522</f>
        <v>0</v>
      </c>
    </row>
    <row r="2572" spans="2:16" x14ac:dyDescent="0.4">
      <c r="F2572" s="128"/>
      <c r="G2572" s="129"/>
      <c r="H2572" s="130"/>
      <c r="I2572" s="108"/>
      <c r="K2572" s="232"/>
      <c r="L2572" s="131"/>
      <c r="M2572" s="134"/>
      <c r="N2572" s="135"/>
    </row>
    <row r="2573" spans="2:16" ht="17.399999999999999" thickBot="1" x14ac:dyDescent="0.45">
      <c r="B2573" s="295"/>
      <c r="C2573" s="295"/>
      <c r="D2573" s="295"/>
    </row>
    <row r="2574" spans="2:16" x14ac:dyDescent="0.4">
      <c r="B2574" s="296" t="s">
        <v>23</v>
      </c>
      <c r="C2574" s="296"/>
      <c r="D2574" s="296"/>
    </row>
    <row r="2575" spans="2:16" x14ac:dyDescent="0.4">
      <c r="B2575" s="157"/>
      <c r="C2575" s="157"/>
      <c r="D2575" s="157"/>
    </row>
    <row r="2576" spans="2:16" x14ac:dyDescent="0.4">
      <c r="B2576" s="157"/>
      <c r="C2576" s="157"/>
      <c r="D2576" s="157"/>
    </row>
    <row r="2577" spans="1:16" x14ac:dyDescent="0.4">
      <c r="B2577" s="105" t="s">
        <v>43</v>
      </c>
      <c r="C2577" s="106"/>
      <c r="D2577" s="311" t="s">
        <v>1</v>
      </c>
      <c r="E2577" s="311"/>
      <c r="F2577" s="311"/>
      <c r="G2577" s="311"/>
      <c r="H2577" s="106"/>
      <c r="I2577" s="107" t="s">
        <v>2</v>
      </c>
      <c r="J2577" s="136"/>
      <c r="K2577" s="107" t="s">
        <v>3</v>
      </c>
    </row>
    <row r="2578" spans="1:16" s="4" customFormat="1" ht="30.75" customHeight="1" x14ac:dyDescent="0.3">
      <c r="A2578" s="31"/>
      <c r="B2578" s="213">
        <f>CATALOGO!B68</f>
        <v>1001.01</v>
      </c>
      <c r="C2578" s="71"/>
      <c r="D2578" s="324" t="str">
        <f>CATALOGO!C68</f>
        <v>INODORO</v>
      </c>
      <c r="E2578" s="324"/>
      <c r="F2578" s="324"/>
      <c r="G2578" s="324"/>
      <c r="H2578" s="71"/>
      <c r="I2578" s="213">
        <f>CATALOGO!D68</f>
        <v>1</v>
      </c>
      <c r="J2578" s="109"/>
      <c r="K2578" s="227" t="str">
        <f>CATALOGO!E68</f>
        <v>Unidad</v>
      </c>
      <c r="L2578" s="71"/>
      <c r="M2578" s="71"/>
      <c r="N2578" s="104"/>
      <c r="O2578" s="37"/>
      <c r="P2578" s="37"/>
    </row>
    <row r="2579" spans="1:16" ht="17.399999999999999" thickBot="1" x14ac:dyDescent="0.45"/>
    <row r="2580" spans="1:16" ht="17.399999999999999" thickBot="1" x14ac:dyDescent="0.45">
      <c r="B2580" s="110" t="s">
        <v>4</v>
      </c>
      <c r="C2580" s="300" t="s">
        <v>5</v>
      </c>
      <c r="D2580" s="300"/>
      <c r="E2580" s="300"/>
      <c r="F2580" s="300"/>
      <c r="G2580" s="301"/>
    </row>
    <row r="2581" spans="1:16" x14ac:dyDescent="0.3">
      <c r="B2581" s="111" t="s">
        <v>6</v>
      </c>
      <c r="C2581" s="313" t="s">
        <v>1</v>
      </c>
      <c r="D2581" s="314"/>
      <c r="E2581" s="112" t="s">
        <v>193</v>
      </c>
      <c r="F2581" s="113" t="s">
        <v>2</v>
      </c>
      <c r="G2581" s="114" t="s">
        <v>3</v>
      </c>
      <c r="H2581" s="106"/>
      <c r="I2581" s="107" t="s">
        <v>7</v>
      </c>
      <c r="J2581" s="136"/>
      <c r="K2581" s="228" t="s">
        <v>8</v>
      </c>
      <c r="L2581" s="115" t="s">
        <v>194</v>
      </c>
      <c r="O2581" s="323"/>
      <c r="P2581" s="323"/>
    </row>
    <row r="2582" spans="1:16" ht="17.25" customHeight="1" x14ac:dyDescent="0.3">
      <c r="B2582" s="122">
        <v>1</v>
      </c>
      <c r="C2582" s="315" t="s">
        <v>317</v>
      </c>
      <c r="D2582" s="316"/>
      <c r="E2582" s="116">
        <f>I2578</f>
        <v>1</v>
      </c>
      <c r="F2582" s="83">
        <f>ROUND(E2582/I2578,2)</f>
        <v>1</v>
      </c>
      <c r="G2582" s="74" t="str">
        <f>IF(C2582=0,0,VLOOKUP(C2582,Tabla1[],2,FALSE))</f>
        <v>Unidad</v>
      </c>
      <c r="I2582" s="117">
        <f>IF(C2582=0,0,VLOOKUP(C2582,Tabla1[],3,FALSE))</f>
        <v>1265</v>
      </c>
      <c r="K2582" s="84">
        <f>F2582*I2582</f>
        <v>1265</v>
      </c>
      <c r="L2582" s="118">
        <f t="shared" ref="L2582:L2591" si="394">E2582*I2582</f>
        <v>1265</v>
      </c>
      <c r="O2582" s="44"/>
      <c r="P2582" s="45"/>
    </row>
    <row r="2583" spans="1:16" ht="16.5" customHeight="1" x14ac:dyDescent="0.4">
      <c r="B2583" s="122">
        <v>2</v>
      </c>
      <c r="C2583" s="315" t="s">
        <v>115</v>
      </c>
      <c r="D2583" s="316"/>
      <c r="E2583" s="116">
        <f>I2578</f>
        <v>1</v>
      </c>
      <c r="F2583" s="83">
        <f>ROUND(E2583/I2578,2)</f>
        <v>1</v>
      </c>
      <c r="G2583" s="74" t="str">
        <f>IF(C2583=0,0,VLOOKUP(C2583,Tabla1[],2,FALSE))</f>
        <v>Unidad</v>
      </c>
      <c r="I2583" s="117">
        <f>IF(C2583=0,0,VLOOKUP(C2583,Tabla1[],3,FALSE))</f>
        <v>150</v>
      </c>
      <c r="K2583" s="84">
        <f t="shared" ref="K2583:K2591" si="395">+F2583*I2583</f>
        <v>150</v>
      </c>
      <c r="L2583" s="118">
        <f t="shared" si="394"/>
        <v>150</v>
      </c>
      <c r="P2583" s="45"/>
    </row>
    <row r="2584" spans="1:16" x14ac:dyDescent="0.4">
      <c r="B2584" s="122"/>
      <c r="C2584" s="317"/>
      <c r="D2584" s="318"/>
      <c r="E2584" s="116"/>
      <c r="F2584" s="83"/>
      <c r="G2584" s="74"/>
      <c r="I2584" s="117">
        <f>IF(C2584=0,0,VLOOKUP(C2584,Tabla1[],3,FALSE))</f>
        <v>0</v>
      </c>
      <c r="K2584" s="84">
        <f t="shared" si="395"/>
        <v>0</v>
      </c>
      <c r="L2584" s="118">
        <f t="shared" si="394"/>
        <v>0</v>
      </c>
      <c r="O2584" s="48"/>
      <c r="P2584" s="49"/>
    </row>
    <row r="2585" spans="1:16" x14ac:dyDescent="0.4">
      <c r="B2585" s="122"/>
      <c r="C2585" s="319"/>
      <c r="D2585" s="318"/>
      <c r="E2585" s="116"/>
      <c r="F2585" s="83"/>
      <c r="G2585" s="74"/>
      <c r="I2585" s="117">
        <f>IF(C2585=0,0,VLOOKUP(C2585,Tabla1[],3,FALSE))</f>
        <v>0</v>
      </c>
      <c r="K2585" s="84">
        <f t="shared" si="395"/>
        <v>0</v>
      </c>
      <c r="L2585" s="118">
        <f t="shared" si="394"/>
        <v>0</v>
      </c>
      <c r="O2585" s="48"/>
      <c r="P2585" s="49"/>
    </row>
    <row r="2586" spans="1:16" x14ac:dyDescent="0.4">
      <c r="B2586" s="122"/>
      <c r="C2586" s="319"/>
      <c r="D2586" s="318"/>
      <c r="E2586" s="116"/>
      <c r="F2586" s="83"/>
      <c r="G2586" s="74"/>
      <c r="I2586" s="117">
        <f>IF(C2586=0,0,VLOOKUP(C2586,Tabla1[],3,FALSE))</f>
        <v>0</v>
      </c>
      <c r="K2586" s="84">
        <f t="shared" si="395"/>
        <v>0</v>
      </c>
      <c r="L2586" s="118">
        <f t="shared" si="394"/>
        <v>0</v>
      </c>
      <c r="O2586" s="48"/>
      <c r="P2586" s="49"/>
    </row>
    <row r="2587" spans="1:16" x14ac:dyDescent="0.4">
      <c r="B2587" s="122"/>
      <c r="C2587" s="319"/>
      <c r="D2587" s="318"/>
      <c r="E2587" s="116"/>
      <c r="F2587" s="83"/>
      <c r="G2587" s="74"/>
      <c r="I2587" s="117">
        <f>IF(C2587=0,0,VLOOKUP(C2587,Tabla1[],3,FALSE))</f>
        <v>0</v>
      </c>
      <c r="K2587" s="84">
        <f t="shared" si="395"/>
        <v>0</v>
      </c>
      <c r="L2587" s="118">
        <f t="shared" si="394"/>
        <v>0</v>
      </c>
      <c r="O2587" s="48"/>
      <c r="P2587" s="49"/>
    </row>
    <row r="2588" spans="1:16" x14ac:dyDescent="0.4">
      <c r="B2588" s="122"/>
      <c r="C2588" s="319"/>
      <c r="D2588" s="318"/>
      <c r="E2588" s="116"/>
      <c r="F2588" s="83"/>
      <c r="G2588" s="74"/>
      <c r="I2588" s="117">
        <f>IF(C2588=0,0,VLOOKUP(C2588,Tabla1[],3,FALSE))</f>
        <v>0</v>
      </c>
      <c r="K2588" s="84">
        <f t="shared" si="395"/>
        <v>0</v>
      </c>
      <c r="L2588" s="118">
        <f t="shared" si="394"/>
        <v>0</v>
      </c>
      <c r="O2588" s="48"/>
      <c r="P2588" s="49"/>
    </row>
    <row r="2589" spans="1:16" x14ac:dyDescent="0.4">
      <c r="B2589" s="122"/>
      <c r="C2589" s="317"/>
      <c r="D2589" s="318"/>
      <c r="E2589" s="116"/>
      <c r="F2589" s="83"/>
      <c r="G2589" s="74"/>
      <c r="I2589" s="117">
        <f>IF(C2589=0,0,VLOOKUP(C2589,Tabla1[],3,FALSE))</f>
        <v>0</v>
      </c>
      <c r="K2589" s="84">
        <f t="shared" si="395"/>
        <v>0</v>
      </c>
      <c r="L2589" s="118">
        <f t="shared" si="394"/>
        <v>0</v>
      </c>
      <c r="O2589" s="48"/>
      <c r="P2589" s="49"/>
    </row>
    <row r="2590" spans="1:16" x14ac:dyDescent="0.4">
      <c r="B2590" s="122"/>
      <c r="C2590" s="309"/>
      <c r="D2590" s="310"/>
      <c r="E2590" s="116"/>
      <c r="F2590" s="83"/>
      <c r="G2590" s="74"/>
      <c r="I2590" s="117">
        <f>IF(C2590=0,0,VLOOKUP(C2590,Tabla1[],3,FALSE))</f>
        <v>0</v>
      </c>
      <c r="K2590" s="84">
        <f t="shared" si="395"/>
        <v>0</v>
      </c>
      <c r="L2590" s="118">
        <f t="shared" si="394"/>
        <v>0</v>
      </c>
      <c r="O2590" s="48"/>
      <c r="P2590" s="49"/>
    </row>
    <row r="2591" spans="1:16" x14ac:dyDescent="0.4">
      <c r="B2591" s="122"/>
      <c r="C2591" s="319"/>
      <c r="D2591" s="318"/>
      <c r="E2591" s="116"/>
      <c r="F2591" s="83"/>
      <c r="G2591" s="74"/>
      <c r="I2591" s="117">
        <f>IF(C2591=0,0,VLOOKUP(C2591,Tabla1[],3,FALSE))</f>
        <v>0</v>
      </c>
      <c r="K2591" s="84">
        <f t="shared" si="395"/>
        <v>0</v>
      </c>
      <c r="L2591" s="118">
        <f t="shared" si="394"/>
        <v>0</v>
      </c>
      <c r="O2591" s="48"/>
      <c r="P2591" s="49"/>
    </row>
    <row r="2592" spans="1:16" ht="17.399999999999999" thickBot="1" x14ac:dyDescent="0.45"/>
    <row r="2593" spans="2:16" ht="17.399999999999999" thickBot="1" x14ac:dyDescent="0.35">
      <c r="F2593" s="292" t="s">
        <v>9</v>
      </c>
      <c r="G2593" s="293"/>
      <c r="H2593" s="293"/>
      <c r="I2593" s="294"/>
      <c r="K2593" s="229">
        <f>+SUM(K2582:K2591)</f>
        <v>1415</v>
      </c>
      <c r="L2593" s="119">
        <f>+SUM(L2582:L2591)</f>
        <v>1415</v>
      </c>
      <c r="O2593" s="38"/>
      <c r="P2593" s="38"/>
    </row>
    <row r="2594" spans="2:16" ht="17.399999999999999" thickBot="1" x14ac:dyDescent="0.45">
      <c r="O2594" s="42"/>
      <c r="P2594" s="43"/>
    </row>
    <row r="2595" spans="2:16" ht="17.399999999999999" thickBot="1" x14ac:dyDescent="0.45">
      <c r="B2595" s="110" t="s">
        <v>10</v>
      </c>
      <c r="C2595" s="300" t="s">
        <v>11</v>
      </c>
      <c r="D2595" s="300"/>
      <c r="E2595" s="300"/>
      <c r="F2595" s="300"/>
      <c r="G2595" s="301"/>
    </row>
    <row r="2596" spans="2:16" x14ac:dyDescent="0.4">
      <c r="B2596" s="114" t="s">
        <v>6</v>
      </c>
      <c r="C2596" s="302" t="s">
        <v>1</v>
      </c>
      <c r="D2596" s="303"/>
      <c r="E2596" s="112" t="s">
        <v>193</v>
      </c>
      <c r="F2596" s="120" t="s">
        <v>2</v>
      </c>
      <c r="G2596" s="114" t="s">
        <v>3</v>
      </c>
      <c r="H2596" s="106"/>
      <c r="I2596" s="107" t="s">
        <v>7</v>
      </c>
      <c r="J2596" s="136"/>
      <c r="K2596" s="107" t="s">
        <v>8</v>
      </c>
      <c r="L2596" s="115" t="s">
        <v>194</v>
      </c>
    </row>
    <row r="2597" spans="2:16" x14ac:dyDescent="0.4">
      <c r="B2597" s="122"/>
      <c r="C2597" s="306"/>
      <c r="D2597" s="306"/>
      <c r="E2597" s="116"/>
      <c r="F2597" s="83"/>
      <c r="G2597" s="74"/>
      <c r="I2597" s="117">
        <f>IF(C2597=0,0,VLOOKUP(C2597,Tabla3[],3,FALSE))</f>
        <v>0</v>
      </c>
      <c r="K2597" s="84">
        <f>F2597*I2597</f>
        <v>0</v>
      </c>
      <c r="L2597" s="118">
        <f>E2597*I2597</f>
        <v>0</v>
      </c>
    </row>
    <row r="2598" spans="2:16" x14ac:dyDescent="0.4">
      <c r="B2598" s="74"/>
      <c r="C2598" s="309"/>
      <c r="D2598" s="310"/>
      <c r="E2598" s="121"/>
      <c r="F2598" s="72"/>
      <c r="G2598" s="74"/>
      <c r="I2598" s="117">
        <f>IF(C2598=0,0,VLOOKUP(C2598,Tabla3[],3,FALSE))</f>
        <v>0</v>
      </c>
      <c r="K2598" s="84">
        <f t="shared" ref="K2598:K2600" si="396">+F2598*I2598</f>
        <v>0</v>
      </c>
      <c r="L2598" s="118">
        <f t="shared" ref="L2598:L2600" si="397">E2598*I2598</f>
        <v>0</v>
      </c>
    </row>
    <row r="2599" spans="2:16" x14ac:dyDescent="0.4">
      <c r="B2599" s="74"/>
      <c r="C2599" s="309"/>
      <c r="D2599" s="310"/>
      <c r="E2599" s="121"/>
      <c r="F2599" s="72"/>
      <c r="G2599" s="74"/>
      <c r="I2599" s="117">
        <f>IF(C2599=0,0,VLOOKUP(C2599,Tabla3[],3,FALSE))</f>
        <v>0</v>
      </c>
      <c r="K2599" s="84">
        <f t="shared" si="396"/>
        <v>0</v>
      </c>
      <c r="L2599" s="118">
        <f t="shared" si="397"/>
        <v>0</v>
      </c>
    </row>
    <row r="2600" spans="2:16" x14ac:dyDescent="0.4">
      <c r="B2600" s="74"/>
      <c r="C2600" s="304"/>
      <c r="D2600" s="305"/>
      <c r="E2600" s="121"/>
      <c r="F2600" s="72"/>
      <c r="G2600" s="74"/>
      <c r="I2600" s="117">
        <f>IF(C2600=0,0,VLOOKUP(C2600,Tabla3[],3,FALSE))</f>
        <v>0</v>
      </c>
      <c r="K2600" s="84">
        <f t="shared" si="396"/>
        <v>0</v>
      </c>
      <c r="L2600" s="118">
        <f t="shared" si="397"/>
        <v>0</v>
      </c>
    </row>
    <row r="2601" spans="2:16" ht="17.399999999999999" thickBot="1" x14ac:dyDescent="0.45"/>
    <row r="2602" spans="2:16" ht="17.399999999999999" thickBot="1" x14ac:dyDescent="0.45">
      <c r="F2602" s="292" t="s">
        <v>12</v>
      </c>
      <c r="G2602" s="293"/>
      <c r="H2602" s="293"/>
      <c r="I2602" s="294"/>
      <c r="K2602" s="229">
        <f>+SUM(K2597:K2600)</f>
        <v>0</v>
      </c>
      <c r="L2602" s="119">
        <f>+SUM(L2597:L2600)</f>
        <v>0</v>
      </c>
    </row>
    <row r="2603" spans="2:16" ht="17.399999999999999" thickBot="1" x14ac:dyDescent="0.45"/>
    <row r="2604" spans="2:16" ht="17.399999999999999" thickBot="1" x14ac:dyDescent="0.45">
      <c r="B2604" s="110" t="s">
        <v>13</v>
      </c>
      <c r="C2604" s="300" t="s">
        <v>14</v>
      </c>
      <c r="D2604" s="300"/>
      <c r="E2604" s="300"/>
      <c r="F2604" s="300"/>
      <c r="G2604" s="301"/>
    </row>
    <row r="2605" spans="2:16" x14ac:dyDescent="0.4">
      <c r="B2605" s="114" t="s">
        <v>6</v>
      </c>
      <c r="C2605" s="302" t="s">
        <v>1</v>
      </c>
      <c r="D2605" s="303"/>
      <c r="E2605" s="112" t="s">
        <v>193</v>
      </c>
      <c r="F2605" s="120" t="s">
        <v>2</v>
      </c>
      <c r="G2605" s="114" t="s">
        <v>3</v>
      </c>
      <c r="H2605" s="106"/>
      <c r="I2605" s="107" t="s">
        <v>7</v>
      </c>
      <c r="J2605" s="136"/>
      <c r="K2605" s="107" t="s">
        <v>8</v>
      </c>
      <c r="L2605" s="115" t="s">
        <v>194</v>
      </c>
    </row>
    <row r="2606" spans="2:16" x14ac:dyDescent="0.4">
      <c r="B2606" s="122">
        <v>1</v>
      </c>
      <c r="C2606" s="306" t="s">
        <v>318</v>
      </c>
      <c r="D2606" s="306"/>
      <c r="E2606" s="116">
        <f>I2578</f>
        <v>1</v>
      </c>
      <c r="F2606" s="83">
        <f>ROUND(E2606/I2578,2)</f>
        <v>1</v>
      </c>
      <c r="G2606" s="74" t="str">
        <f>IF(C2606=0,0,VLOOKUP(C2606,Tabla2[],2,FALSE))</f>
        <v>Unidad</v>
      </c>
      <c r="I2606" s="117">
        <f>IF(C2606=0,0,VLOOKUP(C2606,Tabla2[],3,FALSE))</f>
        <v>50</v>
      </c>
      <c r="K2606" s="84">
        <f>+F2606*I2606</f>
        <v>50</v>
      </c>
      <c r="L2606" s="118">
        <f>E2606*I2606</f>
        <v>50</v>
      </c>
    </row>
    <row r="2607" spans="2:16" x14ac:dyDescent="0.4">
      <c r="B2607" s="122"/>
      <c r="C2607" s="306"/>
      <c r="D2607" s="306"/>
      <c r="E2607" s="116"/>
      <c r="F2607" s="83"/>
      <c r="G2607" s="74"/>
      <c r="I2607" s="117">
        <f>IF(C2607=0,0,VLOOKUP(C2607,Tabla2[],3,FALSE))</f>
        <v>0</v>
      </c>
      <c r="K2607" s="84">
        <f>+F2607*I2607</f>
        <v>0</v>
      </c>
      <c r="L2607" s="118">
        <f>E2607*I2607</f>
        <v>0</v>
      </c>
    </row>
    <row r="2608" spans="2:16" ht="17.399999999999999" thickBot="1" x14ac:dyDescent="0.45">
      <c r="B2608" s="123"/>
      <c r="C2608" s="307"/>
      <c r="D2608" s="308"/>
      <c r="E2608" s="124"/>
      <c r="F2608" s="125"/>
      <c r="G2608" s="74"/>
      <c r="I2608" s="117">
        <f>IF(C2608=0,0,VLOOKUP(C2608,Tabla2[],3,FALSE))</f>
        <v>0</v>
      </c>
      <c r="K2608" s="84">
        <f t="shared" ref="K2608" si="398">+F2608*I2608</f>
        <v>0</v>
      </c>
      <c r="L2608" s="118">
        <f t="shared" ref="L2608:L2609" si="399">E2608*I2608</f>
        <v>0</v>
      </c>
    </row>
    <row r="2609" spans="2:16" ht="17.399999999999999" thickBot="1" x14ac:dyDescent="0.45">
      <c r="B2609" s="297" t="s">
        <v>15</v>
      </c>
      <c r="C2609" s="298"/>
      <c r="D2609" s="298"/>
      <c r="E2609" s="298"/>
      <c r="F2609" s="298"/>
      <c r="G2609" s="299"/>
      <c r="I2609" s="84">
        <v>0</v>
      </c>
      <c r="K2609" s="84">
        <v>0</v>
      </c>
      <c r="L2609" s="118">
        <f t="shared" si="399"/>
        <v>0</v>
      </c>
    </row>
    <row r="2610" spans="2:16" ht="17.399999999999999" thickBot="1" x14ac:dyDescent="0.45"/>
    <row r="2611" spans="2:16" ht="17.399999999999999" thickBot="1" x14ac:dyDescent="0.45">
      <c r="F2611" s="292" t="s">
        <v>16</v>
      </c>
      <c r="G2611" s="293"/>
      <c r="H2611" s="293"/>
      <c r="I2611" s="294"/>
      <c r="K2611" s="229">
        <f>+SUM(K2606:K2609)</f>
        <v>50</v>
      </c>
      <c r="L2611" s="119">
        <f>+SUM(L2606:L2609)</f>
        <v>50</v>
      </c>
    </row>
    <row r="2612" spans="2:16" ht="17.399999999999999" thickBot="1" x14ac:dyDescent="0.45"/>
    <row r="2613" spans="2:16" ht="17.399999999999999" thickBot="1" x14ac:dyDescent="0.45">
      <c r="B2613" s="110" t="s">
        <v>17</v>
      </c>
      <c r="C2613" s="300" t="s">
        <v>18</v>
      </c>
      <c r="D2613" s="300"/>
      <c r="E2613" s="300"/>
      <c r="F2613" s="300"/>
      <c r="G2613" s="301"/>
    </row>
    <row r="2614" spans="2:16" x14ac:dyDescent="0.4">
      <c r="B2614" s="114" t="s">
        <v>6</v>
      </c>
      <c r="C2614" s="302" t="s">
        <v>1</v>
      </c>
      <c r="D2614" s="303"/>
      <c r="E2614" s="126"/>
      <c r="F2614" s="120" t="s">
        <v>2</v>
      </c>
      <c r="G2614" s="114" t="s">
        <v>3</v>
      </c>
      <c r="H2614" s="106"/>
      <c r="I2614" s="107" t="s">
        <v>7</v>
      </c>
      <c r="J2614" s="136"/>
      <c r="K2614" s="107" t="s">
        <v>8</v>
      </c>
      <c r="L2614" s="115" t="s">
        <v>194</v>
      </c>
    </row>
    <row r="2615" spans="2:16" x14ac:dyDescent="0.4">
      <c r="B2615" s="74"/>
      <c r="C2615" s="304"/>
      <c r="D2615" s="305"/>
      <c r="E2615" s="127"/>
      <c r="F2615" s="72"/>
      <c r="G2615" s="74"/>
      <c r="I2615" s="84">
        <v>0</v>
      </c>
      <c r="K2615" s="84">
        <f>+F2615*I2615</f>
        <v>0</v>
      </c>
      <c r="L2615" s="118">
        <f>E2615*I2615</f>
        <v>0</v>
      </c>
    </row>
    <row r="2616" spans="2:16" x14ac:dyDescent="0.4">
      <c r="B2616" s="74"/>
      <c r="C2616" s="304"/>
      <c r="D2616" s="305"/>
      <c r="E2616" s="127"/>
      <c r="F2616" s="72"/>
      <c r="G2616" s="74"/>
      <c r="I2616" s="84">
        <v>0</v>
      </c>
      <c r="K2616" s="84">
        <f t="shared" ref="K2616:K2617" si="400">+F2616*I2616</f>
        <v>0</v>
      </c>
      <c r="L2616" s="118">
        <f t="shared" ref="L2616:L2617" si="401">E2616*I2616</f>
        <v>0</v>
      </c>
    </row>
    <row r="2617" spans="2:16" x14ac:dyDescent="0.4">
      <c r="B2617" s="74"/>
      <c r="C2617" s="304"/>
      <c r="D2617" s="305"/>
      <c r="E2617" s="127"/>
      <c r="F2617" s="72"/>
      <c r="G2617" s="74"/>
      <c r="I2617" s="84">
        <v>0</v>
      </c>
      <c r="K2617" s="84">
        <f t="shared" si="400"/>
        <v>0</v>
      </c>
      <c r="L2617" s="118">
        <f t="shared" si="401"/>
        <v>0</v>
      </c>
    </row>
    <row r="2618" spans="2:16" ht="17.399999999999999" thickBot="1" x14ac:dyDescent="0.45">
      <c r="L2618" s="118"/>
    </row>
    <row r="2619" spans="2:16" ht="17.399999999999999" thickBot="1" x14ac:dyDescent="0.45">
      <c r="F2619" s="292" t="s">
        <v>19</v>
      </c>
      <c r="G2619" s="293"/>
      <c r="H2619" s="293"/>
      <c r="I2619" s="294"/>
      <c r="K2619" s="229">
        <f>+SUM(K2615:K2617)</f>
        <v>0</v>
      </c>
      <c r="L2619" s="119">
        <f>+SUM(L2614:L2617)</f>
        <v>0</v>
      </c>
    </row>
    <row r="2620" spans="2:16" ht="15" customHeight="1" x14ac:dyDescent="0.4">
      <c r="F2620" s="128"/>
      <c r="G2620" s="129"/>
      <c r="H2620" s="130"/>
      <c r="I2620" s="108"/>
      <c r="K2620" s="230"/>
    </row>
    <row r="2621" spans="2:16" ht="15" customHeight="1" thickBot="1" x14ac:dyDescent="0.45"/>
    <row r="2622" spans="2:16" ht="17.399999999999999" thickBot="1" x14ac:dyDescent="0.45">
      <c r="F2622" s="292" t="s">
        <v>20</v>
      </c>
      <c r="G2622" s="293"/>
      <c r="H2622" s="293"/>
      <c r="I2622" s="294"/>
      <c r="K2622" s="229">
        <f>(+K2593+K2602+K2611+K2619)</f>
        <v>1465</v>
      </c>
      <c r="L2622" s="119">
        <f>(+L2593+L2602+L2611+L2619)</f>
        <v>1465</v>
      </c>
      <c r="N2622" s="131"/>
      <c r="O2622" s="39"/>
      <c r="P2622" s="40"/>
    </row>
    <row r="2623" spans="2:16" ht="7.5" customHeight="1" thickBot="1" x14ac:dyDescent="0.45">
      <c r="N2623" s="131"/>
      <c r="O2623" s="41"/>
      <c r="P2623" s="40"/>
    </row>
    <row r="2624" spans="2:16" ht="17.399999999999999" thickBot="1" x14ac:dyDescent="0.45">
      <c r="F2624" s="292" t="s">
        <v>21</v>
      </c>
      <c r="G2624" s="293"/>
      <c r="H2624" s="293"/>
      <c r="I2624" s="294"/>
      <c r="K2624" s="229">
        <f>K2622*$N$2</f>
        <v>586</v>
      </c>
      <c r="L2624" s="119">
        <f>L2622*$N$2</f>
        <v>586</v>
      </c>
    </row>
    <row r="2625" spans="1:16" ht="7.5" customHeight="1" thickBot="1" x14ac:dyDescent="0.45"/>
    <row r="2626" spans="1:16" ht="17.399999999999999" thickBot="1" x14ac:dyDescent="0.45">
      <c r="F2626" s="292" t="s">
        <v>22</v>
      </c>
      <c r="G2626" s="293"/>
      <c r="H2626" s="293"/>
      <c r="I2626" s="294"/>
      <c r="K2626" s="229">
        <f>+K2622+K2624</f>
        <v>2051</v>
      </c>
      <c r="L2626" s="119">
        <f>+L2622+L2624</f>
        <v>2051</v>
      </c>
    </row>
    <row r="2627" spans="1:16" ht="17.399999999999999" thickBot="1" x14ac:dyDescent="0.45">
      <c r="F2627" s="128"/>
      <c r="G2627" s="129"/>
      <c r="H2627" s="130"/>
      <c r="I2627" s="108"/>
      <c r="K2627" s="231"/>
      <c r="L2627" s="132">
        <f>L2626/I2578</f>
        <v>2051</v>
      </c>
      <c r="M2627" s="133">
        <f>(K2626-L2627)*I2578</f>
        <v>0</v>
      </c>
    </row>
    <row r="2628" spans="1:16" x14ac:dyDescent="0.4">
      <c r="F2628" s="128"/>
      <c r="G2628" s="129"/>
      <c r="H2628" s="130"/>
      <c r="I2628" s="108"/>
      <c r="K2628" s="232"/>
      <c r="L2628" s="131"/>
      <c r="M2628" s="134"/>
      <c r="N2628" s="135"/>
    </row>
    <row r="2629" spans="1:16" ht="17.399999999999999" thickBot="1" x14ac:dyDescent="0.45">
      <c r="B2629" s="295"/>
      <c r="C2629" s="295"/>
      <c r="D2629" s="295"/>
    </row>
    <row r="2630" spans="1:16" x14ac:dyDescent="0.4">
      <c r="B2630" s="296" t="s">
        <v>23</v>
      </c>
      <c r="C2630" s="296"/>
      <c r="D2630" s="296"/>
    </row>
    <row r="2631" spans="1:16" x14ac:dyDescent="0.4">
      <c r="B2631" s="157"/>
      <c r="C2631" s="157"/>
      <c r="D2631" s="157"/>
    </row>
    <row r="2632" spans="1:16" x14ac:dyDescent="0.4">
      <c r="B2632" s="157"/>
      <c r="C2632" s="157"/>
      <c r="D2632" s="157"/>
    </row>
    <row r="2633" spans="1:16" x14ac:dyDescent="0.4">
      <c r="B2633" s="105" t="s">
        <v>43</v>
      </c>
      <c r="C2633" s="106"/>
      <c r="D2633" s="311" t="s">
        <v>1</v>
      </c>
      <c r="E2633" s="311"/>
      <c r="F2633" s="311"/>
      <c r="G2633" s="311"/>
      <c r="H2633" s="106"/>
      <c r="I2633" s="107" t="s">
        <v>2</v>
      </c>
      <c r="J2633" s="136"/>
      <c r="K2633" s="107" t="s">
        <v>3</v>
      </c>
    </row>
    <row r="2634" spans="1:16" s="4" customFormat="1" ht="30.75" customHeight="1" x14ac:dyDescent="0.3">
      <c r="A2634" s="31"/>
      <c r="B2634" s="213">
        <f>CATALOGO!B69</f>
        <v>1002.01</v>
      </c>
      <c r="C2634" s="71"/>
      <c r="D2634" s="324" t="str">
        <f>CATALOGO!C69</f>
        <v>LAVAMANOS EMPOTRADO</v>
      </c>
      <c r="E2634" s="324"/>
      <c r="F2634" s="324"/>
      <c r="G2634" s="324"/>
      <c r="H2634" s="71"/>
      <c r="I2634" s="213">
        <f>CATALOGO!D69</f>
        <v>2</v>
      </c>
      <c r="J2634" s="109"/>
      <c r="K2634" s="227" t="str">
        <f>CATALOGO!E69</f>
        <v>Unidad</v>
      </c>
      <c r="L2634" s="71"/>
      <c r="M2634" s="71"/>
      <c r="N2634" s="104"/>
      <c r="O2634" s="37"/>
      <c r="P2634" s="37"/>
    </row>
    <row r="2635" spans="1:16" ht="17.399999999999999" thickBot="1" x14ac:dyDescent="0.45"/>
    <row r="2636" spans="1:16" ht="17.399999999999999" thickBot="1" x14ac:dyDescent="0.45">
      <c r="B2636" s="110" t="s">
        <v>4</v>
      </c>
      <c r="C2636" s="300" t="s">
        <v>5</v>
      </c>
      <c r="D2636" s="300"/>
      <c r="E2636" s="300"/>
      <c r="F2636" s="300"/>
      <c r="G2636" s="301"/>
    </row>
    <row r="2637" spans="1:16" x14ac:dyDescent="0.3">
      <c r="B2637" s="111" t="s">
        <v>6</v>
      </c>
      <c r="C2637" s="313" t="s">
        <v>1</v>
      </c>
      <c r="D2637" s="314"/>
      <c r="E2637" s="112" t="s">
        <v>193</v>
      </c>
      <c r="F2637" s="113" t="s">
        <v>2</v>
      </c>
      <c r="G2637" s="114" t="s">
        <v>3</v>
      </c>
      <c r="H2637" s="106"/>
      <c r="I2637" s="107" t="s">
        <v>7</v>
      </c>
      <c r="J2637" s="136"/>
      <c r="K2637" s="228" t="s">
        <v>8</v>
      </c>
      <c r="L2637" s="115" t="s">
        <v>194</v>
      </c>
      <c r="O2637" s="323"/>
      <c r="P2637" s="323"/>
    </row>
    <row r="2638" spans="1:16" ht="17.25" customHeight="1" x14ac:dyDescent="0.3">
      <c r="B2638" s="122">
        <v>1</v>
      </c>
      <c r="C2638" s="315" t="s">
        <v>392</v>
      </c>
      <c r="D2638" s="316"/>
      <c r="E2638" s="116">
        <f>1*I2634</f>
        <v>2</v>
      </c>
      <c r="F2638" s="83">
        <f>ROUND(E2638/I2634,2)</f>
        <v>1</v>
      </c>
      <c r="G2638" s="74" t="str">
        <f>IF(C2638=0,0,VLOOKUP(C2638,Tabla1[],2,FALSE))</f>
        <v>Unidad</v>
      </c>
      <c r="I2638" s="117">
        <f>IF(C2638=0,0,VLOOKUP(C2638,Tabla1[],3,FALSE))</f>
        <v>700</v>
      </c>
      <c r="K2638" s="84">
        <f>F2638*I2638</f>
        <v>700</v>
      </c>
      <c r="L2638" s="118">
        <f t="shared" ref="L2638:L2647" si="402">E2638*I2638</f>
        <v>1400</v>
      </c>
      <c r="O2638" s="44"/>
      <c r="P2638" s="45"/>
    </row>
    <row r="2639" spans="1:16" ht="16.5" customHeight="1" x14ac:dyDescent="0.4">
      <c r="B2639" s="122">
        <v>2</v>
      </c>
      <c r="C2639" s="319" t="s">
        <v>96</v>
      </c>
      <c r="D2639" s="318"/>
      <c r="E2639" s="116">
        <f>I2634*0.5</f>
        <v>1</v>
      </c>
      <c r="F2639" s="83">
        <f>ROUND(E2639/I2634,2)</f>
        <v>0.5</v>
      </c>
      <c r="G2639" s="74" t="str">
        <f>IF(C2639=0,0,VLOOKUP(C2639,Tabla1[],2,FALSE))</f>
        <v>Libra</v>
      </c>
      <c r="I2639" s="117">
        <f>IF(C2639=0,0,VLOOKUP(C2639,Tabla1[],3,FALSE))</f>
        <v>20</v>
      </c>
      <c r="K2639" s="84">
        <f t="shared" ref="K2639:K2647" si="403">+F2639*I2639</f>
        <v>10</v>
      </c>
      <c r="L2639" s="118">
        <f t="shared" si="402"/>
        <v>20</v>
      </c>
      <c r="P2639" s="45"/>
    </row>
    <row r="2640" spans="1:16" x14ac:dyDescent="0.4">
      <c r="B2640" s="122">
        <v>3</v>
      </c>
      <c r="C2640" s="319" t="s">
        <v>591</v>
      </c>
      <c r="D2640" s="318"/>
      <c r="E2640" s="116">
        <f>I2634</f>
        <v>2</v>
      </c>
      <c r="F2640" s="83">
        <f>ROUND(E2640/I2634,2)</f>
        <v>1</v>
      </c>
      <c r="G2640" s="74" t="str">
        <f>IF(C2640=0,0,VLOOKUP(C2640,Tabla1[],2,FALSE))</f>
        <v>Unidad</v>
      </c>
      <c r="I2640" s="117">
        <f>IF(C2640=0,0,VLOOKUP(C2640,Tabla1[],3,FALSE))</f>
        <v>250</v>
      </c>
      <c r="K2640" s="84">
        <f t="shared" si="403"/>
        <v>250</v>
      </c>
      <c r="L2640" s="118">
        <f t="shared" si="402"/>
        <v>500</v>
      </c>
      <c r="O2640" s="48"/>
      <c r="P2640" s="49"/>
    </row>
    <row r="2641" spans="2:16" x14ac:dyDescent="0.4">
      <c r="B2641" s="122"/>
      <c r="C2641" s="319"/>
      <c r="D2641" s="318"/>
      <c r="E2641" s="116"/>
      <c r="F2641" s="83"/>
      <c r="G2641" s="74"/>
      <c r="I2641" s="117">
        <f>IF(C2641=0,0,VLOOKUP(C2641,Tabla1[],3,FALSE))</f>
        <v>0</v>
      </c>
      <c r="K2641" s="84">
        <f t="shared" si="403"/>
        <v>0</v>
      </c>
      <c r="L2641" s="118">
        <f t="shared" si="402"/>
        <v>0</v>
      </c>
      <c r="O2641" s="48"/>
      <c r="P2641" s="49"/>
    </row>
    <row r="2642" spans="2:16" x14ac:dyDescent="0.4">
      <c r="B2642" s="122"/>
      <c r="C2642" s="319"/>
      <c r="D2642" s="318"/>
      <c r="E2642" s="116"/>
      <c r="F2642" s="83"/>
      <c r="G2642" s="74"/>
      <c r="I2642" s="117">
        <f>IF(C2642=0,0,VLOOKUP(C2642,Tabla1[],3,FALSE))</f>
        <v>0</v>
      </c>
      <c r="K2642" s="84">
        <f t="shared" si="403"/>
        <v>0</v>
      </c>
      <c r="L2642" s="118">
        <f t="shared" si="402"/>
        <v>0</v>
      </c>
      <c r="O2642" s="48"/>
      <c r="P2642" s="49"/>
    </row>
    <row r="2643" spans="2:16" x14ac:dyDescent="0.4">
      <c r="B2643" s="122"/>
      <c r="C2643" s="319"/>
      <c r="D2643" s="318"/>
      <c r="E2643" s="116"/>
      <c r="F2643" s="83"/>
      <c r="G2643" s="74"/>
      <c r="I2643" s="117">
        <f>IF(C2643=0,0,VLOOKUP(C2643,Tabla1[],3,FALSE))</f>
        <v>0</v>
      </c>
      <c r="K2643" s="84">
        <f t="shared" si="403"/>
        <v>0</v>
      </c>
      <c r="L2643" s="118">
        <f t="shared" si="402"/>
        <v>0</v>
      </c>
      <c r="O2643" s="48"/>
      <c r="P2643" s="49"/>
    </row>
    <row r="2644" spans="2:16" x14ac:dyDescent="0.4">
      <c r="B2644" s="122"/>
      <c r="C2644" s="319"/>
      <c r="D2644" s="318"/>
      <c r="E2644" s="116"/>
      <c r="F2644" s="83"/>
      <c r="G2644" s="74"/>
      <c r="I2644" s="117">
        <f>IF(C2644=0,0,VLOOKUP(C2644,Tabla1[],3,FALSE))</f>
        <v>0</v>
      </c>
      <c r="K2644" s="84">
        <f t="shared" si="403"/>
        <v>0</v>
      </c>
      <c r="L2644" s="118">
        <f t="shared" si="402"/>
        <v>0</v>
      </c>
      <c r="O2644" s="48"/>
      <c r="P2644" s="49"/>
    </row>
    <row r="2645" spans="2:16" x14ac:dyDescent="0.4">
      <c r="B2645" s="122"/>
      <c r="C2645" s="317"/>
      <c r="D2645" s="318"/>
      <c r="E2645" s="116"/>
      <c r="F2645" s="83"/>
      <c r="G2645" s="74"/>
      <c r="I2645" s="117">
        <f>IF(C2645=0,0,VLOOKUP(C2645,Tabla1[],3,FALSE))</f>
        <v>0</v>
      </c>
      <c r="K2645" s="84">
        <f t="shared" si="403"/>
        <v>0</v>
      </c>
      <c r="L2645" s="118">
        <f t="shared" si="402"/>
        <v>0</v>
      </c>
      <c r="O2645" s="48"/>
      <c r="P2645" s="49"/>
    </row>
    <row r="2646" spans="2:16" x14ac:dyDescent="0.4">
      <c r="B2646" s="122"/>
      <c r="C2646" s="309"/>
      <c r="D2646" s="310"/>
      <c r="E2646" s="116"/>
      <c r="F2646" s="83"/>
      <c r="G2646" s="74"/>
      <c r="I2646" s="117">
        <f>IF(C2646=0,0,VLOOKUP(C2646,Tabla1[],3,FALSE))</f>
        <v>0</v>
      </c>
      <c r="K2646" s="84">
        <f t="shared" si="403"/>
        <v>0</v>
      </c>
      <c r="L2646" s="118">
        <f t="shared" si="402"/>
        <v>0</v>
      </c>
      <c r="O2646" s="48"/>
      <c r="P2646" s="49"/>
    </row>
    <row r="2647" spans="2:16" x14ac:dyDescent="0.4">
      <c r="B2647" s="122"/>
      <c r="C2647" s="319"/>
      <c r="D2647" s="318"/>
      <c r="E2647" s="116"/>
      <c r="F2647" s="83"/>
      <c r="G2647" s="74"/>
      <c r="I2647" s="117">
        <f>IF(C2647=0,0,VLOOKUP(C2647,Tabla1[],3,FALSE))</f>
        <v>0</v>
      </c>
      <c r="K2647" s="84">
        <f t="shared" si="403"/>
        <v>0</v>
      </c>
      <c r="L2647" s="118">
        <f t="shared" si="402"/>
        <v>0</v>
      </c>
      <c r="O2647" s="48"/>
      <c r="P2647" s="49"/>
    </row>
    <row r="2648" spans="2:16" ht="17.399999999999999" thickBot="1" x14ac:dyDescent="0.45"/>
    <row r="2649" spans="2:16" ht="17.399999999999999" thickBot="1" x14ac:dyDescent="0.35">
      <c r="F2649" s="292" t="s">
        <v>9</v>
      </c>
      <c r="G2649" s="293"/>
      <c r="H2649" s="293"/>
      <c r="I2649" s="294"/>
      <c r="K2649" s="229">
        <f>+SUM(K2638:K2647)</f>
        <v>960</v>
      </c>
      <c r="L2649" s="119">
        <f>+SUM(L2638:L2647)</f>
        <v>1920</v>
      </c>
      <c r="O2649" s="38"/>
      <c r="P2649" s="38"/>
    </row>
    <row r="2650" spans="2:16" ht="17.399999999999999" thickBot="1" x14ac:dyDescent="0.45">
      <c r="O2650" s="42"/>
      <c r="P2650" s="43"/>
    </row>
    <row r="2651" spans="2:16" ht="17.399999999999999" thickBot="1" x14ac:dyDescent="0.45">
      <c r="B2651" s="110" t="s">
        <v>10</v>
      </c>
      <c r="C2651" s="300" t="s">
        <v>11</v>
      </c>
      <c r="D2651" s="300"/>
      <c r="E2651" s="300"/>
      <c r="F2651" s="300"/>
      <c r="G2651" s="301"/>
    </row>
    <row r="2652" spans="2:16" x14ac:dyDescent="0.4">
      <c r="B2652" s="114" t="s">
        <v>6</v>
      </c>
      <c r="C2652" s="302" t="s">
        <v>1</v>
      </c>
      <c r="D2652" s="303"/>
      <c r="E2652" s="112" t="s">
        <v>193</v>
      </c>
      <c r="F2652" s="120" t="s">
        <v>2</v>
      </c>
      <c r="G2652" s="114" t="s">
        <v>3</v>
      </c>
      <c r="H2652" s="106"/>
      <c r="I2652" s="107" t="s">
        <v>7</v>
      </c>
      <c r="J2652" s="136"/>
      <c r="K2652" s="107" t="s">
        <v>8</v>
      </c>
      <c r="L2652" s="115" t="s">
        <v>194</v>
      </c>
    </row>
    <row r="2653" spans="2:16" x14ac:dyDescent="0.4">
      <c r="B2653" s="122"/>
      <c r="C2653" s="306"/>
      <c r="D2653" s="306"/>
      <c r="E2653" s="116"/>
      <c r="F2653" s="83"/>
      <c r="G2653" s="74"/>
      <c r="I2653" s="117">
        <f>IF(C2653=0,0,VLOOKUP(C2653,Tabla3[],3,FALSE))</f>
        <v>0</v>
      </c>
      <c r="K2653" s="84">
        <f>F2653*I2653</f>
        <v>0</v>
      </c>
      <c r="L2653" s="118">
        <f>E2653*I2653</f>
        <v>0</v>
      </c>
    </row>
    <row r="2654" spans="2:16" x14ac:dyDescent="0.4">
      <c r="B2654" s="74"/>
      <c r="C2654" s="309"/>
      <c r="D2654" s="310"/>
      <c r="E2654" s="121"/>
      <c r="F2654" s="72"/>
      <c r="G2654" s="74"/>
      <c r="I2654" s="117">
        <f>IF(C2654=0,0,VLOOKUP(C2654,Tabla3[],3,FALSE))</f>
        <v>0</v>
      </c>
      <c r="K2654" s="84">
        <f t="shared" ref="K2654:K2656" si="404">+F2654*I2654</f>
        <v>0</v>
      </c>
      <c r="L2654" s="118">
        <f t="shared" ref="L2654:L2656" si="405">E2654*I2654</f>
        <v>0</v>
      </c>
    </row>
    <row r="2655" spans="2:16" x14ac:dyDescent="0.4">
      <c r="B2655" s="74"/>
      <c r="C2655" s="309"/>
      <c r="D2655" s="310"/>
      <c r="E2655" s="121"/>
      <c r="F2655" s="72"/>
      <c r="G2655" s="74"/>
      <c r="I2655" s="117">
        <f>IF(C2655=0,0,VLOOKUP(C2655,Tabla3[],3,FALSE))</f>
        <v>0</v>
      </c>
      <c r="K2655" s="84">
        <f t="shared" si="404"/>
        <v>0</v>
      </c>
      <c r="L2655" s="118">
        <f t="shared" si="405"/>
        <v>0</v>
      </c>
    </row>
    <row r="2656" spans="2:16" x14ac:dyDescent="0.4">
      <c r="B2656" s="74"/>
      <c r="C2656" s="304"/>
      <c r="D2656" s="305"/>
      <c r="E2656" s="121"/>
      <c r="F2656" s="72"/>
      <c r="G2656" s="74"/>
      <c r="I2656" s="117">
        <f>IF(C2656=0,0,VLOOKUP(C2656,Tabla3[],3,FALSE))</f>
        <v>0</v>
      </c>
      <c r="K2656" s="84">
        <f t="shared" si="404"/>
        <v>0</v>
      </c>
      <c r="L2656" s="118">
        <f t="shared" si="405"/>
        <v>0</v>
      </c>
    </row>
    <row r="2657" spans="2:12" ht="17.399999999999999" thickBot="1" x14ac:dyDescent="0.45"/>
    <row r="2658" spans="2:12" ht="17.399999999999999" thickBot="1" x14ac:dyDescent="0.45">
      <c r="F2658" s="292" t="s">
        <v>12</v>
      </c>
      <c r="G2658" s="293"/>
      <c r="H2658" s="293"/>
      <c r="I2658" s="294"/>
      <c r="K2658" s="229">
        <f>+SUM(K2653:K2656)</f>
        <v>0</v>
      </c>
      <c r="L2658" s="119">
        <f>+SUM(L2653:L2656)</f>
        <v>0</v>
      </c>
    </row>
    <row r="2659" spans="2:12" ht="17.399999999999999" thickBot="1" x14ac:dyDescent="0.45"/>
    <row r="2660" spans="2:12" ht="17.399999999999999" thickBot="1" x14ac:dyDescent="0.45">
      <c r="B2660" s="110" t="s">
        <v>13</v>
      </c>
      <c r="C2660" s="300" t="s">
        <v>14</v>
      </c>
      <c r="D2660" s="300"/>
      <c r="E2660" s="300"/>
      <c r="F2660" s="300"/>
      <c r="G2660" s="301"/>
    </row>
    <row r="2661" spans="2:12" x14ac:dyDescent="0.4">
      <c r="B2661" s="114" t="s">
        <v>6</v>
      </c>
      <c r="C2661" s="302" t="s">
        <v>1</v>
      </c>
      <c r="D2661" s="303"/>
      <c r="E2661" s="112" t="s">
        <v>193</v>
      </c>
      <c r="F2661" s="120" t="s">
        <v>2</v>
      </c>
      <c r="G2661" s="114" t="s">
        <v>3</v>
      </c>
      <c r="H2661" s="106"/>
      <c r="I2661" s="107" t="s">
        <v>7</v>
      </c>
      <c r="J2661" s="136"/>
      <c r="K2661" s="107" t="s">
        <v>8</v>
      </c>
      <c r="L2661" s="115" t="s">
        <v>194</v>
      </c>
    </row>
    <row r="2662" spans="2:12" x14ac:dyDescent="0.4">
      <c r="B2662" s="122">
        <v>1</v>
      </c>
      <c r="C2662" s="306" t="s">
        <v>344</v>
      </c>
      <c r="D2662" s="306"/>
      <c r="E2662" s="116">
        <f>I2634</f>
        <v>2</v>
      </c>
      <c r="F2662" s="83">
        <f>ROUND(E2662/I2634,2)</f>
        <v>1</v>
      </c>
      <c r="G2662" s="74" t="str">
        <f>IF(C2662=0,0,VLOOKUP(C2662,Tabla2[],2,FALSE))</f>
        <v>Unidad</v>
      </c>
      <c r="I2662" s="117">
        <f>IF(C2662=0,0,VLOOKUP(C2662,Tabla2[],3,FALSE))</f>
        <v>60</v>
      </c>
      <c r="K2662" s="84">
        <f>+F2662*I2662</f>
        <v>60</v>
      </c>
      <c r="L2662" s="118">
        <f>E2662*I2662</f>
        <v>120</v>
      </c>
    </row>
    <row r="2663" spans="2:12" x14ac:dyDescent="0.4">
      <c r="B2663" s="122"/>
      <c r="C2663" s="306"/>
      <c r="D2663" s="306"/>
      <c r="E2663" s="116"/>
      <c r="F2663" s="83"/>
      <c r="G2663" s="74"/>
      <c r="I2663" s="117">
        <f>IF(C2663=0,0,VLOOKUP(C2663,Tabla2[],3,FALSE))</f>
        <v>0</v>
      </c>
      <c r="K2663" s="84">
        <f>+F2663*I2663</f>
        <v>0</v>
      </c>
      <c r="L2663" s="118">
        <f>E2663*I2663</f>
        <v>0</v>
      </c>
    </row>
    <row r="2664" spans="2:12" ht="17.399999999999999" thickBot="1" x14ac:dyDescent="0.45">
      <c r="B2664" s="123"/>
      <c r="C2664" s="307"/>
      <c r="D2664" s="308"/>
      <c r="E2664" s="124"/>
      <c r="F2664" s="125"/>
      <c r="G2664" s="74"/>
      <c r="I2664" s="117">
        <f>IF(C2664=0,0,VLOOKUP(C2664,Tabla2[],3,FALSE))</f>
        <v>0</v>
      </c>
      <c r="K2664" s="84">
        <f t="shared" ref="K2664" si="406">+F2664*I2664</f>
        <v>0</v>
      </c>
      <c r="L2664" s="118">
        <f t="shared" ref="L2664:L2665" si="407">E2664*I2664</f>
        <v>0</v>
      </c>
    </row>
    <row r="2665" spans="2:12" ht="17.399999999999999" thickBot="1" x14ac:dyDescent="0.45">
      <c r="B2665" s="297" t="s">
        <v>15</v>
      </c>
      <c r="C2665" s="298"/>
      <c r="D2665" s="298"/>
      <c r="E2665" s="298"/>
      <c r="F2665" s="298"/>
      <c r="G2665" s="299"/>
      <c r="I2665" s="84">
        <v>0</v>
      </c>
      <c r="K2665" s="84">
        <v>0</v>
      </c>
      <c r="L2665" s="118">
        <f t="shared" si="407"/>
        <v>0</v>
      </c>
    </row>
    <row r="2666" spans="2:12" ht="17.399999999999999" thickBot="1" x14ac:dyDescent="0.45"/>
    <row r="2667" spans="2:12" ht="17.399999999999999" thickBot="1" x14ac:dyDescent="0.45">
      <c r="F2667" s="292" t="s">
        <v>16</v>
      </c>
      <c r="G2667" s="293"/>
      <c r="H2667" s="293"/>
      <c r="I2667" s="294"/>
      <c r="K2667" s="229">
        <f>+SUM(K2662:K2665)</f>
        <v>60</v>
      </c>
      <c r="L2667" s="119">
        <f>+SUM(L2662:L2665)</f>
        <v>120</v>
      </c>
    </row>
    <row r="2668" spans="2:12" ht="17.399999999999999" thickBot="1" x14ac:dyDescent="0.45"/>
    <row r="2669" spans="2:12" ht="17.399999999999999" thickBot="1" x14ac:dyDescent="0.45">
      <c r="B2669" s="110" t="s">
        <v>17</v>
      </c>
      <c r="C2669" s="300" t="s">
        <v>18</v>
      </c>
      <c r="D2669" s="300"/>
      <c r="E2669" s="300"/>
      <c r="F2669" s="300"/>
      <c r="G2669" s="301"/>
    </row>
    <row r="2670" spans="2:12" x14ac:dyDescent="0.4">
      <c r="B2670" s="114" t="s">
        <v>6</v>
      </c>
      <c r="C2670" s="302" t="s">
        <v>1</v>
      </c>
      <c r="D2670" s="303"/>
      <c r="E2670" s="126"/>
      <c r="F2670" s="120" t="s">
        <v>2</v>
      </c>
      <c r="G2670" s="114" t="s">
        <v>3</v>
      </c>
      <c r="H2670" s="106"/>
      <c r="I2670" s="107" t="s">
        <v>7</v>
      </c>
      <c r="J2670" s="136"/>
      <c r="K2670" s="107" t="s">
        <v>8</v>
      </c>
      <c r="L2670" s="115" t="s">
        <v>194</v>
      </c>
    </row>
    <row r="2671" spans="2:12" x14ac:dyDescent="0.4">
      <c r="B2671" s="74"/>
      <c r="C2671" s="304"/>
      <c r="D2671" s="305"/>
      <c r="E2671" s="127"/>
      <c r="F2671" s="72"/>
      <c r="G2671" s="74"/>
      <c r="I2671" s="84">
        <v>0</v>
      </c>
      <c r="K2671" s="84">
        <f>+F2671*I2671</f>
        <v>0</v>
      </c>
      <c r="L2671" s="118">
        <f>E2671*I2671</f>
        <v>0</v>
      </c>
    </row>
    <row r="2672" spans="2:12" x14ac:dyDescent="0.4">
      <c r="B2672" s="74"/>
      <c r="C2672" s="304"/>
      <c r="D2672" s="305"/>
      <c r="E2672" s="127"/>
      <c r="F2672" s="72"/>
      <c r="G2672" s="74"/>
      <c r="I2672" s="84">
        <v>0</v>
      </c>
      <c r="K2672" s="84">
        <f t="shared" ref="K2672:K2673" si="408">+F2672*I2672</f>
        <v>0</v>
      </c>
      <c r="L2672" s="118">
        <f t="shared" ref="L2672:L2673" si="409">E2672*I2672</f>
        <v>0</v>
      </c>
    </row>
    <row r="2673" spans="2:16" x14ac:dyDescent="0.4">
      <c r="B2673" s="74"/>
      <c r="C2673" s="304"/>
      <c r="D2673" s="305"/>
      <c r="E2673" s="127"/>
      <c r="F2673" s="72"/>
      <c r="G2673" s="74"/>
      <c r="I2673" s="84">
        <v>0</v>
      </c>
      <c r="K2673" s="84">
        <f t="shared" si="408"/>
        <v>0</v>
      </c>
      <c r="L2673" s="118">
        <f t="shared" si="409"/>
        <v>0</v>
      </c>
    </row>
    <row r="2674" spans="2:16" ht="17.399999999999999" thickBot="1" x14ac:dyDescent="0.45">
      <c r="L2674" s="118"/>
    </row>
    <row r="2675" spans="2:16" ht="17.399999999999999" thickBot="1" x14ac:dyDescent="0.45">
      <c r="F2675" s="292" t="s">
        <v>19</v>
      </c>
      <c r="G2675" s="293"/>
      <c r="H2675" s="293"/>
      <c r="I2675" s="294"/>
      <c r="K2675" s="229">
        <f>+SUM(K2671:K2673)</f>
        <v>0</v>
      </c>
      <c r="L2675" s="119">
        <f>+SUM(L2670:L2673)</f>
        <v>0</v>
      </c>
    </row>
    <row r="2676" spans="2:16" ht="15" customHeight="1" x14ac:dyDescent="0.4">
      <c r="F2676" s="128"/>
      <c r="G2676" s="129"/>
      <c r="H2676" s="130"/>
      <c r="I2676" s="108"/>
      <c r="K2676" s="230"/>
    </row>
    <row r="2677" spans="2:16" ht="15" customHeight="1" thickBot="1" x14ac:dyDescent="0.45"/>
    <row r="2678" spans="2:16" ht="17.399999999999999" thickBot="1" x14ac:dyDescent="0.45">
      <c r="F2678" s="292" t="s">
        <v>20</v>
      </c>
      <c r="G2678" s="293"/>
      <c r="H2678" s="293"/>
      <c r="I2678" s="294"/>
      <c r="K2678" s="229">
        <f>(+K2649+K2658+K2667+K2675)</f>
        <v>1020</v>
      </c>
      <c r="L2678" s="119">
        <f>(+L2649+L2658+L2667+L2675)</f>
        <v>2040</v>
      </c>
      <c r="N2678" s="131"/>
      <c r="O2678" s="39"/>
      <c r="P2678" s="40"/>
    </row>
    <row r="2679" spans="2:16" ht="7.5" customHeight="1" thickBot="1" x14ac:dyDescent="0.45">
      <c r="N2679" s="131"/>
      <c r="O2679" s="41"/>
      <c r="P2679" s="40"/>
    </row>
    <row r="2680" spans="2:16" ht="17.399999999999999" thickBot="1" x14ac:dyDescent="0.45">
      <c r="F2680" s="292" t="s">
        <v>21</v>
      </c>
      <c r="G2680" s="293"/>
      <c r="H2680" s="293"/>
      <c r="I2680" s="294"/>
      <c r="K2680" s="229">
        <f>K2678*$N$2</f>
        <v>408</v>
      </c>
      <c r="L2680" s="119">
        <f>L2678*$N$2</f>
        <v>816</v>
      </c>
    </row>
    <row r="2681" spans="2:16" ht="7.5" customHeight="1" thickBot="1" x14ac:dyDescent="0.45"/>
    <row r="2682" spans="2:16" ht="17.399999999999999" thickBot="1" x14ac:dyDescent="0.45">
      <c r="F2682" s="292" t="s">
        <v>22</v>
      </c>
      <c r="G2682" s="293"/>
      <c r="H2682" s="293"/>
      <c r="I2682" s="294"/>
      <c r="K2682" s="229">
        <f>+K2678+K2680</f>
        <v>1428</v>
      </c>
      <c r="L2682" s="119">
        <f>+L2678+L2680</f>
        <v>2856</v>
      </c>
    </row>
    <row r="2683" spans="2:16" ht="17.399999999999999" thickBot="1" x14ac:dyDescent="0.45">
      <c r="F2683" s="128"/>
      <c r="G2683" s="129"/>
      <c r="H2683" s="130"/>
      <c r="I2683" s="108"/>
      <c r="K2683" s="231"/>
      <c r="L2683" s="132">
        <f>L2682/I2634</f>
        <v>1428</v>
      </c>
      <c r="M2683" s="133">
        <f>(K2682-L2683)*I2634</f>
        <v>0</v>
      </c>
    </row>
    <row r="2684" spans="2:16" x14ac:dyDescent="0.4">
      <c r="F2684" s="128"/>
      <c r="G2684" s="129"/>
      <c r="H2684" s="130"/>
      <c r="I2684" s="108"/>
      <c r="K2684" s="232"/>
      <c r="L2684" s="131"/>
      <c r="M2684" s="134"/>
      <c r="N2684" s="135"/>
    </row>
    <row r="2685" spans="2:16" ht="17.399999999999999" thickBot="1" x14ac:dyDescent="0.45">
      <c r="B2685" s="295"/>
      <c r="C2685" s="295"/>
      <c r="D2685" s="295"/>
    </row>
    <row r="2686" spans="2:16" x14ac:dyDescent="0.4">
      <c r="B2686" s="296" t="s">
        <v>23</v>
      </c>
      <c r="C2686" s="296"/>
      <c r="D2686" s="296"/>
    </row>
    <row r="2687" spans="2:16" x14ac:dyDescent="0.4">
      <c r="B2687" s="157"/>
      <c r="C2687" s="157"/>
      <c r="D2687" s="157"/>
    </row>
    <row r="2688" spans="2:16" x14ac:dyDescent="0.4">
      <c r="B2688" s="157"/>
      <c r="C2688" s="157"/>
      <c r="D2688" s="157"/>
    </row>
    <row r="2689" spans="1:16" x14ac:dyDescent="0.4">
      <c r="B2689" s="105" t="s">
        <v>43</v>
      </c>
      <c r="C2689" s="106"/>
      <c r="D2689" s="311" t="s">
        <v>1</v>
      </c>
      <c r="E2689" s="311"/>
      <c r="F2689" s="311"/>
      <c r="G2689" s="311"/>
      <c r="H2689" s="106"/>
      <c r="I2689" s="107" t="s">
        <v>2</v>
      </c>
      <c r="J2689" s="136"/>
      <c r="K2689" s="107" t="s">
        <v>3</v>
      </c>
    </row>
    <row r="2690" spans="1:16" s="4" customFormat="1" ht="30.75" customHeight="1" x14ac:dyDescent="0.3">
      <c r="A2690" s="31"/>
      <c r="B2690" s="213">
        <f>CATALOGO!B70</f>
        <v>1007.01</v>
      </c>
      <c r="C2690" s="71"/>
      <c r="D2690" s="324" t="str">
        <f>CATALOGO!C70</f>
        <v>ESPEJO SIN MARCO</v>
      </c>
      <c r="E2690" s="324"/>
      <c r="F2690" s="324"/>
      <c r="G2690" s="324"/>
      <c r="H2690" s="71"/>
      <c r="I2690" s="213">
        <f>CATALOGO!D70</f>
        <v>2</v>
      </c>
      <c r="J2690" s="109"/>
      <c r="K2690" s="227" t="str">
        <f>CATALOGO!E70</f>
        <v>m²</v>
      </c>
      <c r="L2690" s="71"/>
      <c r="M2690" s="71"/>
      <c r="N2690" s="104"/>
      <c r="O2690" s="37"/>
      <c r="P2690" s="37"/>
    </row>
    <row r="2691" spans="1:16" ht="17.399999999999999" thickBot="1" x14ac:dyDescent="0.45"/>
    <row r="2692" spans="1:16" ht="17.399999999999999" thickBot="1" x14ac:dyDescent="0.45">
      <c r="B2692" s="110" t="s">
        <v>4</v>
      </c>
      <c r="C2692" s="300" t="s">
        <v>5</v>
      </c>
      <c r="D2692" s="300"/>
      <c r="E2692" s="300"/>
      <c r="F2692" s="300"/>
      <c r="G2692" s="301"/>
    </row>
    <row r="2693" spans="1:16" x14ac:dyDescent="0.3">
      <c r="B2693" s="111" t="s">
        <v>6</v>
      </c>
      <c r="C2693" s="313" t="s">
        <v>1</v>
      </c>
      <c r="D2693" s="314"/>
      <c r="E2693" s="112" t="s">
        <v>193</v>
      </c>
      <c r="F2693" s="113" t="s">
        <v>2</v>
      </c>
      <c r="G2693" s="114" t="s">
        <v>3</v>
      </c>
      <c r="H2693" s="106"/>
      <c r="I2693" s="107" t="s">
        <v>7</v>
      </c>
      <c r="J2693" s="136"/>
      <c r="K2693" s="228" t="s">
        <v>8</v>
      </c>
      <c r="L2693" s="115" t="s">
        <v>194</v>
      </c>
      <c r="O2693" s="323"/>
      <c r="P2693" s="323"/>
    </row>
    <row r="2694" spans="1:16" ht="17.25" customHeight="1" x14ac:dyDescent="0.3">
      <c r="B2694" s="122">
        <v>1</v>
      </c>
      <c r="C2694" s="315" t="s">
        <v>592</v>
      </c>
      <c r="D2694" s="316"/>
      <c r="E2694" s="116">
        <f>1*I2690</f>
        <v>2</v>
      </c>
      <c r="F2694" s="83">
        <f>ROUND(E2694/I2690,2)</f>
        <v>1</v>
      </c>
      <c r="G2694" s="74" t="str">
        <f>IF(C2694=0,0,VLOOKUP(C2694,Tabla1[],2,FALSE))</f>
        <v>m²</v>
      </c>
      <c r="I2694" s="117">
        <f>IF(C2694=0,0,VLOOKUP(C2694,Tabla1[],3,FALSE))</f>
        <v>295</v>
      </c>
      <c r="K2694" s="84">
        <f>F2694*I2694</f>
        <v>295</v>
      </c>
      <c r="L2694" s="118">
        <f t="shared" ref="L2694:L2703" si="410">E2694*I2694</f>
        <v>590</v>
      </c>
      <c r="O2694" s="44"/>
      <c r="P2694" s="45"/>
    </row>
    <row r="2695" spans="1:16" ht="16.5" customHeight="1" x14ac:dyDescent="0.4">
      <c r="B2695" s="122"/>
      <c r="C2695" s="319"/>
      <c r="D2695" s="318"/>
      <c r="E2695" s="116"/>
      <c r="F2695" s="83"/>
      <c r="G2695" s="74"/>
      <c r="I2695" s="117">
        <f>IF(C2695=0,0,VLOOKUP(C2695,Tabla1[],3,FALSE))</f>
        <v>0</v>
      </c>
      <c r="K2695" s="84">
        <f t="shared" ref="K2695:K2703" si="411">+F2695*I2695</f>
        <v>0</v>
      </c>
      <c r="L2695" s="118">
        <f t="shared" si="410"/>
        <v>0</v>
      </c>
      <c r="P2695" s="45"/>
    </row>
    <row r="2696" spans="1:16" x14ac:dyDescent="0.4">
      <c r="B2696" s="122"/>
      <c r="C2696" s="319"/>
      <c r="D2696" s="318"/>
      <c r="E2696" s="116"/>
      <c r="F2696" s="83"/>
      <c r="G2696" s="74"/>
      <c r="I2696" s="117">
        <f>IF(C2696=0,0,VLOOKUP(C2696,Tabla1[],3,FALSE))</f>
        <v>0</v>
      </c>
      <c r="K2696" s="84">
        <f t="shared" si="411"/>
        <v>0</v>
      </c>
      <c r="L2696" s="118">
        <f t="shared" si="410"/>
        <v>0</v>
      </c>
      <c r="O2696" s="48"/>
      <c r="P2696" s="49"/>
    </row>
    <row r="2697" spans="1:16" x14ac:dyDescent="0.4">
      <c r="B2697" s="122"/>
      <c r="C2697" s="319"/>
      <c r="D2697" s="318"/>
      <c r="E2697" s="116"/>
      <c r="F2697" s="83"/>
      <c r="G2697" s="74"/>
      <c r="I2697" s="117">
        <f>IF(C2697=0,0,VLOOKUP(C2697,Tabla1[],3,FALSE))</f>
        <v>0</v>
      </c>
      <c r="K2697" s="84">
        <f t="shared" si="411"/>
        <v>0</v>
      </c>
      <c r="L2697" s="118">
        <f t="shared" si="410"/>
        <v>0</v>
      </c>
      <c r="O2697" s="48"/>
      <c r="P2697" s="49"/>
    </row>
    <row r="2698" spans="1:16" x14ac:dyDescent="0.4">
      <c r="B2698" s="122"/>
      <c r="C2698" s="319"/>
      <c r="D2698" s="318"/>
      <c r="E2698" s="116"/>
      <c r="F2698" s="83"/>
      <c r="G2698" s="74"/>
      <c r="I2698" s="117">
        <f>IF(C2698=0,0,VLOOKUP(C2698,Tabla1[],3,FALSE))</f>
        <v>0</v>
      </c>
      <c r="K2698" s="84">
        <f t="shared" si="411"/>
        <v>0</v>
      </c>
      <c r="L2698" s="118">
        <f t="shared" si="410"/>
        <v>0</v>
      </c>
      <c r="O2698" s="48"/>
      <c r="P2698" s="49"/>
    </row>
    <row r="2699" spans="1:16" x14ac:dyDescent="0.4">
      <c r="B2699" s="122"/>
      <c r="C2699" s="319"/>
      <c r="D2699" s="318"/>
      <c r="E2699" s="116"/>
      <c r="F2699" s="83"/>
      <c r="G2699" s="74"/>
      <c r="I2699" s="117">
        <f>IF(C2699=0,0,VLOOKUP(C2699,Tabla1[],3,FALSE))</f>
        <v>0</v>
      </c>
      <c r="K2699" s="84">
        <f t="shared" si="411"/>
        <v>0</v>
      </c>
      <c r="L2699" s="118">
        <f t="shared" si="410"/>
        <v>0</v>
      </c>
      <c r="O2699" s="48"/>
      <c r="P2699" s="49"/>
    </row>
    <row r="2700" spans="1:16" x14ac:dyDescent="0.4">
      <c r="B2700" s="122"/>
      <c r="C2700" s="319"/>
      <c r="D2700" s="318"/>
      <c r="E2700" s="116"/>
      <c r="F2700" s="83"/>
      <c r="G2700" s="74"/>
      <c r="I2700" s="117">
        <f>IF(C2700=0,0,VLOOKUP(C2700,Tabla1[],3,FALSE))</f>
        <v>0</v>
      </c>
      <c r="K2700" s="84">
        <f t="shared" si="411"/>
        <v>0</v>
      </c>
      <c r="L2700" s="118">
        <f t="shared" si="410"/>
        <v>0</v>
      </c>
      <c r="O2700" s="48"/>
      <c r="P2700" s="49"/>
    </row>
    <row r="2701" spans="1:16" x14ac:dyDescent="0.4">
      <c r="B2701" s="122"/>
      <c r="C2701" s="317"/>
      <c r="D2701" s="318"/>
      <c r="E2701" s="116"/>
      <c r="F2701" s="83"/>
      <c r="G2701" s="74"/>
      <c r="I2701" s="117">
        <f>IF(C2701=0,0,VLOOKUP(C2701,Tabla1[],3,FALSE))</f>
        <v>0</v>
      </c>
      <c r="K2701" s="84">
        <f t="shared" si="411"/>
        <v>0</v>
      </c>
      <c r="L2701" s="118">
        <f t="shared" si="410"/>
        <v>0</v>
      </c>
      <c r="O2701" s="48"/>
      <c r="P2701" s="49"/>
    </row>
    <row r="2702" spans="1:16" x14ac:dyDescent="0.4">
      <c r="B2702" s="122"/>
      <c r="C2702" s="309"/>
      <c r="D2702" s="310"/>
      <c r="E2702" s="116"/>
      <c r="F2702" s="83"/>
      <c r="G2702" s="74"/>
      <c r="I2702" s="117">
        <f>IF(C2702=0,0,VLOOKUP(C2702,Tabla1[],3,FALSE))</f>
        <v>0</v>
      </c>
      <c r="K2702" s="84">
        <f t="shared" si="411"/>
        <v>0</v>
      </c>
      <c r="L2702" s="118">
        <f t="shared" si="410"/>
        <v>0</v>
      </c>
      <c r="O2702" s="48"/>
      <c r="P2702" s="49"/>
    </row>
    <row r="2703" spans="1:16" x14ac:dyDescent="0.4">
      <c r="B2703" s="122"/>
      <c r="C2703" s="319"/>
      <c r="D2703" s="318"/>
      <c r="E2703" s="116"/>
      <c r="F2703" s="83"/>
      <c r="G2703" s="74"/>
      <c r="I2703" s="117">
        <f>IF(C2703=0,0,VLOOKUP(C2703,Tabla1[],3,FALSE))</f>
        <v>0</v>
      </c>
      <c r="K2703" s="84">
        <f t="shared" si="411"/>
        <v>0</v>
      </c>
      <c r="L2703" s="118">
        <f t="shared" si="410"/>
        <v>0</v>
      </c>
      <c r="O2703" s="48"/>
      <c r="P2703" s="49"/>
    </row>
    <row r="2704" spans="1:16" ht="17.399999999999999" thickBot="1" x14ac:dyDescent="0.45"/>
    <row r="2705" spans="2:16" ht="17.399999999999999" thickBot="1" x14ac:dyDescent="0.35">
      <c r="F2705" s="292" t="s">
        <v>9</v>
      </c>
      <c r="G2705" s="293"/>
      <c r="H2705" s="293"/>
      <c r="I2705" s="294"/>
      <c r="K2705" s="229">
        <f>+SUM(K2694:K2703)</f>
        <v>295</v>
      </c>
      <c r="L2705" s="119">
        <f>+SUM(L2694:L2703)</f>
        <v>590</v>
      </c>
      <c r="O2705" s="38"/>
      <c r="P2705" s="38"/>
    </row>
    <row r="2706" spans="2:16" ht="17.399999999999999" thickBot="1" x14ac:dyDescent="0.45">
      <c r="O2706" s="42"/>
      <c r="P2706" s="43"/>
    </row>
    <row r="2707" spans="2:16" ht="17.399999999999999" thickBot="1" x14ac:dyDescent="0.45">
      <c r="B2707" s="110" t="s">
        <v>10</v>
      </c>
      <c r="C2707" s="300" t="s">
        <v>11</v>
      </c>
      <c r="D2707" s="300"/>
      <c r="E2707" s="300"/>
      <c r="F2707" s="300"/>
      <c r="G2707" s="301"/>
    </row>
    <row r="2708" spans="2:16" x14ac:dyDescent="0.4">
      <c r="B2708" s="114" t="s">
        <v>6</v>
      </c>
      <c r="C2708" s="302" t="s">
        <v>1</v>
      </c>
      <c r="D2708" s="303"/>
      <c r="E2708" s="112" t="s">
        <v>193</v>
      </c>
      <c r="F2708" s="120" t="s">
        <v>2</v>
      </c>
      <c r="G2708" s="114" t="s">
        <v>3</v>
      </c>
      <c r="H2708" s="106"/>
      <c r="I2708" s="107" t="s">
        <v>7</v>
      </c>
      <c r="J2708" s="136"/>
      <c r="K2708" s="107" t="s">
        <v>8</v>
      </c>
      <c r="L2708" s="115" t="s">
        <v>194</v>
      </c>
    </row>
    <row r="2709" spans="2:16" x14ac:dyDescent="0.4">
      <c r="B2709" s="122"/>
      <c r="C2709" s="306"/>
      <c r="D2709" s="306"/>
      <c r="E2709" s="116"/>
      <c r="F2709" s="83"/>
      <c r="G2709" s="74"/>
      <c r="I2709" s="117">
        <f>IF(C2709=0,0,VLOOKUP(C2709,Tabla3[],3,FALSE))</f>
        <v>0</v>
      </c>
      <c r="K2709" s="84">
        <f>F2709*I2709</f>
        <v>0</v>
      </c>
      <c r="L2709" s="118">
        <f>E2709*I2709</f>
        <v>0</v>
      </c>
    </row>
    <row r="2710" spans="2:16" x14ac:dyDescent="0.4">
      <c r="B2710" s="74"/>
      <c r="C2710" s="309"/>
      <c r="D2710" s="310"/>
      <c r="E2710" s="121"/>
      <c r="F2710" s="72"/>
      <c r="G2710" s="74"/>
      <c r="I2710" s="117">
        <f>IF(C2710=0,0,VLOOKUP(C2710,Tabla3[],3,FALSE))</f>
        <v>0</v>
      </c>
      <c r="K2710" s="84">
        <f t="shared" ref="K2710:K2712" si="412">+F2710*I2710</f>
        <v>0</v>
      </c>
      <c r="L2710" s="118">
        <f t="shared" ref="L2710:L2712" si="413">E2710*I2710</f>
        <v>0</v>
      </c>
    </row>
    <row r="2711" spans="2:16" x14ac:dyDescent="0.4">
      <c r="B2711" s="74"/>
      <c r="C2711" s="309"/>
      <c r="D2711" s="310"/>
      <c r="E2711" s="121"/>
      <c r="F2711" s="72"/>
      <c r="G2711" s="74"/>
      <c r="I2711" s="117">
        <f>IF(C2711=0,0,VLOOKUP(C2711,Tabla3[],3,FALSE))</f>
        <v>0</v>
      </c>
      <c r="K2711" s="84">
        <f t="shared" si="412"/>
        <v>0</v>
      </c>
      <c r="L2711" s="118">
        <f t="shared" si="413"/>
        <v>0</v>
      </c>
    </row>
    <row r="2712" spans="2:16" x14ac:dyDescent="0.4">
      <c r="B2712" s="74"/>
      <c r="C2712" s="304"/>
      <c r="D2712" s="305"/>
      <c r="E2712" s="121"/>
      <c r="F2712" s="72"/>
      <c r="G2712" s="74"/>
      <c r="I2712" s="117">
        <f>IF(C2712=0,0,VLOOKUP(C2712,Tabla3[],3,FALSE))</f>
        <v>0</v>
      </c>
      <c r="K2712" s="84">
        <f t="shared" si="412"/>
        <v>0</v>
      </c>
      <c r="L2712" s="118">
        <f t="shared" si="413"/>
        <v>0</v>
      </c>
    </row>
    <row r="2713" spans="2:16" ht="17.399999999999999" thickBot="1" x14ac:dyDescent="0.45"/>
    <row r="2714" spans="2:16" ht="17.399999999999999" thickBot="1" x14ac:dyDescent="0.45">
      <c r="F2714" s="292" t="s">
        <v>12</v>
      </c>
      <c r="G2714" s="293"/>
      <c r="H2714" s="293"/>
      <c r="I2714" s="294"/>
      <c r="K2714" s="229">
        <f>+SUM(K2709:K2712)</f>
        <v>0</v>
      </c>
      <c r="L2714" s="119">
        <f>+SUM(L2709:L2712)</f>
        <v>0</v>
      </c>
    </row>
    <row r="2715" spans="2:16" ht="17.399999999999999" thickBot="1" x14ac:dyDescent="0.45"/>
    <row r="2716" spans="2:16" ht="17.399999999999999" thickBot="1" x14ac:dyDescent="0.45">
      <c r="B2716" s="110" t="s">
        <v>13</v>
      </c>
      <c r="C2716" s="300" t="s">
        <v>14</v>
      </c>
      <c r="D2716" s="300"/>
      <c r="E2716" s="300"/>
      <c r="F2716" s="300"/>
      <c r="G2716" s="301"/>
    </row>
    <row r="2717" spans="2:16" x14ac:dyDescent="0.4">
      <c r="B2717" s="114" t="s">
        <v>6</v>
      </c>
      <c r="C2717" s="302" t="s">
        <v>1</v>
      </c>
      <c r="D2717" s="303"/>
      <c r="E2717" s="112" t="s">
        <v>193</v>
      </c>
      <c r="F2717" s="120" t="s">
        <v>2</v>
      </c>
      <c r="G2717" s="114" t="s">
        <v>3</v>
      </c>
      <c r="H2717" s="106"/>
      <c r="I2717" s="107" t="s">
        <v>7</v>
      </c>
      <c r="J2717" s="136"/>
      <c r="K2717" s="107" t="s">
        <v>8</v>
      </c>
      <c r="L2717" s="115" t="s">
        <v>194</v>
      </c>
    </row>
    <row r="2718" spans="2:16" x14ac:dyDescent="0.4">
      <c r="B2718" s="122">
        <v>1</v>
      </c>
      <c r="C2718" s="306" t="s">
        <v>593</v>
      </c>
      <c r="D2718" s="306"/>
      <c r="E2718" s="116">
        <f>I2690</f>
        <v>2</v>
      </c>
      <c r="F2718" s="83">
        <f>ROUND(E2718/I2690,2)</f>
        <v>1</v>
      </c>
      <c r="G2718" s="74" t="str">
        <f>IF(C2718=0,0,VLOOKUP(C2718,Tabla2[],2,FALSE))</f>
        <v>m²</v>
      </c>
      <c r="I2718" s="117">
        <f>IF(C2718=0,0,VLOOKUP(C2718,Tabla2[],3,FALSE))</f>
        <v>50</v>
      </c>
      <c r="K2718" s="84">
        <f>+F2718*I2718</f>
        <v>50</v>
      </c>
      <c r="L2718" s="118">
        <f>E2718*I2718</f>
        <v>100</v>
      </c>
    </row>
    <row r="2719" spans="2:16" x14ac:dyDescent="0.4">
      <c r="B2719" s="122"/>
      <c r="C2719" s="306"/>
      <c r="D2719" s="306"/>
      <c r="E2719" s="116"/>
      <c r="F2719" s="83"/>
      <c r="G2719" s="74"/>
      <c r="I2719" s="117">
        <f>IF(C2719=0,0,VLOOKUP(C2719,Tabla2[],3,FALSE))</f>
        <v>0</v>
      </c>
      <c r="K2719" s="84">
        <f>+F2719*I2719</f>
        <v>0</v>
      </c>
      <c r="L2719" s="118">
        <f>E2719*I2719</f>
        <v>0</v>
      </c>
    </row>
    <row r="2720" spans="2:16" ht="17.399999999999999" thickBot="1" x14ac:dyDescent="0.45">
      <c r="B2720" s="123"/>
      <c r="C2720" s="307"/>
      <c r="D2720" s="308"/>
      <c r="E2720" s="124"/>
      <c r="F2720" s="125"/>
      <c r="G2720" s="74"/>
      <c r="I2720" s="117">
        <f>IF(C2720=0,0,VLOOKUP(C2720,Tabla2[],3,FALSE))</f>
        <v>0</v>
      </c>
      <c r="K2720" s="84">
        <f t="shared" ref="K2720" si="414">+F2720*I2720</f>
        <v>0</v>
      </c>
      <c r="L2720" s="118">
        <f t="shared" ref="L2720:L2721" si="415">E2720*I2720</f>
        <v>0</v>
      </c>
    </row>
    <row r="2721" spans="2:16" ht="17.399999999999999" thickBot="1" x14ac:dyDescent="0.45">
      <c r="B2721" s="297" t="s">
        <v>15</v>
      </c>
      <c r="C2721" s="298"/>
      <c r="D2721" s="298"/>
      <c r="E2721" s="298"/>
      <c r="F2721" s="298"/>
      <c r="G2721" s="299"/>
      <c r="I2721" s="84">
        <v>0</v>
      </c>
      <c r="K2721" s="84">
        <v>0</v>
      </c>
      <c r="L2721" s="118">
        <f t="shared" si="415"/>
        <v>0</v>
      </c>
    </row>
    <row r="2722" spans="2:16" ht="17.399999999999999" thickBot="1" x14ac:dyDescent="0.45"/>
    <row r="2723" spans="2:16" ht="17.399999999999999" thickBot="1" x14ac:dyDescent="0.45">
      <c r="F2723" s="292" t="s">
        <v>16</v>
      </c>
      <c r="G2723" s="293"/>
      <c r="H2723" s="293"/>
      <c r="I2723" s="294"/>
      <c r="K2723" s="229">
        <f>+SUM(K2718:K2721)</f>
        <v>50</v>
      </c>
      <c r="L2723" s="119">
        <f>+SUM(L2718:L2721)</f>
        <v>100</v>
      </c>
    </row>
    <row r="2724" spans="2:16" ht="17.399999999999999" thickBot="1" x14ac:dyDescent="0.45"/>
    <row r="2725" spans="2:16" ht="17.399999999999999" thickBot="1" x14ac:dyDescent="0.45">
      <c r="B2725" s="110" t="s">
        <v>17</v>
      </c>
      <c r="C2725" s="300" t="s">
        <v>18</v>
      </c>
      <c r="D2725" s="300"/>
      <c r="E2725" s="300"/>
      <c r="F2725" s="300"/>
      <c r="G2725" s="301"/>
    </row>
    <row r="2726" spans="2:16" x14ac:dyDescent="0.4">
      <c r="B2726" s="114" t="s">
        <v>6</v>
      </c>
      <c r="C2726" s="302" t="s">
        <v>1</v>
      </c>
      <c r="D2726" s="303"/>
      <c r="E2726" s="126"/>
      <c r="F2726" s="120" t="s">
        <v>2</v>
      </c>
      <c r="G2726" s="114" t="s">
        <v>3</v>
      </c>
      <c r="H2726" s="106"/>
      <c r="I2726" s="107" t="s">
        <v>7</v>
      </c>
      <c r="J2726" s="136"/>
      <c r="K2726" s="107" t="s">
        <v>8</v>
      </c>
      <c r="L2726" s="115" t="s">
        <v>194</v>
      </c>
    </row>
    <row r="2727" spans="2:16" x14ac:dyDescent="0.4">
      <c r="B2727" s="74"/>
      <c r="C2727" s="304"/>
      <c r="D2727" s="305"/>
      <c r="E2727" s="127"/>
      <c r="F2727" s="72"/>
      <c r="G2727" s="74"/>
      <c r="I2727" s="84">
        <v>0</v>
      </c>
      <c r="K2727" s="84">
        <f>+F2727*I2727</f>
        <v>0</v>
      </c>
      <c r="L2727" s="118">
        <f>E2727*I2727</f>
        <v>0</v>
      </c>
    </row>
    <row r="2728" spans="2:16" x14ac:dyDescent="0.4">
      <c r="B2728" s="74"/>
      <c r="C2728" s="304"/>
      <c r="D2728" s="305"/>
      <c r="E2728" s="127"/>
      <c r="F2728" s="72"/>
      <c r="G2728" s="74"/>
      <c r="I2728" s="84">
        <v>0</v>
      </c>
      <c r="K2728" s="84">
        <f t="shared" ref="K2728:K2729" si="416">+F2728*I2728</f>
        <v>0</v>
      </c>
      <c r="L2728" s="118">
        <f t="shared" ref="L2728:L2729" si="417">E2728*I2728</f>
        <v>0</v>
      </c>
    </row>
    <row r="2729" spans="2:16" x14ac:dyDescent="0.4">
      <c r="B2729" s="74"/>
      <c r="C2729" s="304"/>
      <c r="D2729" s="305"/>
      <c r="E2729" s="127"/>
      <c r="F2729" s="72"/>
      <c r="G2729" s="74"/>
      <c r="I2729" s="84">
        <v>0</v>
      </c>
      <c r="K2729" s="84">
        <f t="shared" si="416"/>
        <v>0</v>
      </c>
      <c r="L2729" s="118">
        <f t="shared" si="417"/>
        <v>0</v>
      </c>
    </row>
    <row r="2730" spans="2:16" ht="17.399999999999999" thickBot="1" x14ac:dyDescent="0.45">
      <c r="L2730" s="118"/>
    </row>
    <row r="2731" spans="2:16" ht="17.399999999999999" thickBot="1" x14ac:dyDescent="0.45">
      <c r="F2731" s="292" t="s">
        <v>19</v>
      </c>
      <c r="G2731" s="293"/>
      <c r="H2731" s="293"/>
      <c r="I2731" s="294"/>
      <c r="K2731" s="229">
        <f>+SUM(K2727:K2729)</f>
        <v>0</v>
      </c>
      <c r="L2731" s="119">
        <f>+SUM(L2726:L2729)</f>
        <v>0</v>
      </c>
    </row>
    <row r="2732" spans="2:16" ht="15" customHeight="1" x14ac:dyDescent="0.4">
      <c r="F2732" s="128"/>
      <c r="G2732" s="129"/>
      <c r="H2732" s="130"/>
      <c r="I2732" s="108"/>
      <c r="K2732" s="230"/>
    </row>
    <row r="2733" spans="2:16" ht="15" customHeight="1" thickBot="1" x14ac:dyDescent="0.45"/>
    <row r="2734" spans="2:16" ht="17.399999999999999" thickBot="1" x14ac:dyDescent="0.45">
      <c r="F2734" s="292" t="s">
        <v>20</v>
      </c>
      <c r="G2734" s="293"/>
      <c r="H2734" s="293"/>
      <c r="I2734" s="294"/>
      <c r="K2734" s="229">
        <f>(+K2705+K2714+K2723+K2731)</f>
        <v>345</v>
      </c>
      <c r="L2734" s="119">
        <f>(+L2705+L2714+L2723+L2731)</f>
        <v>690</v>
      </c>
      <c r="N2734" s="131"/>
      <c r="O2734" s="39"/>
      <c r="P2734" s="40"/>
    </row>
    <row r="2735" spans="2:16" ht="7.5" customHeight="1" thickBot="1" x14ac:dyDescent="0.45">
      <c r="N2735" s="131"/>
      <c r="O2735" s="41"/>
      <c r="P2735" s="40"/>
    </row>
    <row r="2736" spans="2:16" ht="17.399999999999999" thickBot="1" x14ac:dyDescent="0.45">
      <c r="F2736" s="292" t="s">
        <v>21</v>
      </c>
      <c r="G2736" s="293"/>
      <c r="H2736" s="293"/>
      <c r="I2736" s="294"/>
      <c r="K2736" s="229">
        <f>K2734*$N$2</f>
        <v>138</v>
      </c>
      <c r="L2736" s="119">
        <f>L2734*$N$2</f>
        <v>276</v>
      </c>
    </row>
    <row r="2737" spans="1:16" ht="7.5" customHeight="1" thickBot="1" x14ac:dyDescent="0.45"/>
    <row r="2738" spans="1:16" ht="17.399999999999999" thickBot="1" x14ac:dyDescent="0.45">
      <c r="F2738" s="292" t="s">
        <v>22</v>
      </c>
      <c r="G2738" s="293"/>
      <c r="H2738" s="293"/>
      <c r="I2738" s="294"/>
      <c r="K2738" s="229">
        <f>+K2734+K2736</f>
        <v>483</v>
      </c>
      <c r="L2738" s="119">
        <f>+L2734+L2736</f>
        <v>966</v>
      </c>
    </row>
    <row r="2739" spans="1:16" ht="17.399999999999999" thickBot="1" x14ac:dyDescent="0.45">
      <c r="F2739" s="128"/>
      <c r="G2739" s="129"/>
      <c r="H2739" s="130"/>
      <c r="I2739" s="108"/>
      <c r="K2739" s="231"/>
      <c r="L2739" s="132">
        <f>L2738/I2690</f>
        <v>483</v>
      </c>
      <c r="M2739" s="133">
        <f>(K2738-L2739)*I2690</f>
        <v>0</v>
      </c>
    </row>
    <row r="2740" spans="1:16" x14ac:dyDescent="0.4">
      <c r="F2740" s="128"/>
      <c r="G2740" s="129"/>
      <c r="H2740" s="130"/>
      <c r="I2740" s="108"/>
      <c r="K2740" s="232"/>
      <c r="L2740" s="131"/>
      <c r="M2740" s="134"/>
      <c r="N2740" s="135"/>
    </row>
    <row r="2741" spans="1:16" ht="17.399999999999999" thickBot="1" x14ac:dyDescent="0.45">
      <c r="B2741" s="295"/>
      <c r="C2741" s="295"/>
      <c r="D2741" s="295"/>
    </row>
    <row r="2742" spans="1:16" x14ac:dyDescent="0.4">
      <c r="B2742" s="296" t="s">
        <v>23</v>
      </c>
      <c r="C2742" s="296"/>
      <c r="D2742" s="296"/>
    </row>
    <row r="2743" spans="1:16" x14ac:dyDescent="0.4">
      <c r="B2743" s="157"/>
      <c r="C2743" s="157"/>
      <c r="D2743" s="157"/>
    </row>
    <row r="2744" spans="1:16" x14ac:dyDescent="0.4">
      <c r="B2744" s="157"/>
      <c r="C2744" s="157"/>
      <c r="D2744" s="157"/>
    </row>
    <row r="2745" spans="1:16" x14ac:dyDescent="0.4">
      <c r="B2745" s="105" t="s">
        <v>43</v>
      </c>
      <c r="C2745" s="106"/>
      <c r="D2745" s="311" t="s">
        <v>1</v>
      </c>
      <c r="E2745" s="311"/>
      <c r="F2745" s="311"/>
      <c r="G2745" s="311"/>
      <c r="H2745" s="106"/>
      <c r="I2745" s="107" t="s">
        <v>2</v>
      </c>
      <c r="J2745" s="136"/>
      <c r="K2745" s="107" t="s">
        <v>3</v>
      </c>
    </row>
    <row r="2746" spans="1:16" s="4" customFormat="1" ht="30.75" customHeight="1" x14ac:dyDescent="0.3">
      <c r="A2746" s="31"/>
      <c r="B2746" s="213">
        <f>CATALOGO!B71</f>
        <v>1007.02</v>
      </c>
      <c r="C2746" s="71"/>
      <c r="D2746" s="324" t="str">
        <f>CATALOGO!C71</f>
        <v>BOTE DE BASURA PLÁSTICO 20 LITROS</v>
      </c>
      <c r="E2746" s="324"/>
      <c r="F2746" s="324"/>
      <c r="G2746" s="324"/>
      <c r="H2746" s="71"/>
      <c r="I2746" s="213">
        <f>CATALOGO!D71</f>
        <v>3</v>
      </c>
      <c r="J2746" s="109"/>
      <c r="K2746" s="227" t="str">
        <f>CATALOGO!E71</f>
        <v>Unidad</v>
      </c>
      <c r="L2746" s="71"/>
      <c r="M2746" s="71"/>
      <c r="N2746" s="104"/>
      <c r="O2746" s="37"/>
      <c r="P2746" s="37"/>
    </row>
    <row r="2747" spans="1:16" ht="17.399999999999999" thickBot="1" x14ac:dyDescent="0.45"/>
    <row r="2748" spans="1:16" ht="17.399999999999999" thickBot="1" x14ac:dyDescent="0.45">
      <c r="B2748" s="110" t="s">
        <v>4</v>
      </c>
      <c r="C2748" s="300" t="s">
        <v>5</v>
      </c>
      <c r="D2748" s="300"/>
      <c r="E2748" s="300"/>
      <c r="F2748" s="300"/>
      <c r="G2748" s="301"/>
    </row>
    <row r="2749" spans="1:16" x14ac:dyDescent="0.3">
      <c r="B2749" s="111" t="s">
        <v>6</v>
      </c>
      <c r="C2749" s="313" t="s">
        <v>1</v>
      </c>
      <c r="D2749" s="314"/>
      <c r="E2749" s="112" t="s">
        <v>193</v>
      </c>
      <c r="F2749" s="113" t="s">
        <v>2</v>
      </c>
      <c r="G2749" s="114" t="s">
        <v>3</v>
      </c>
      <c r="H2749" s="106"/>
      <c r="I2749" s="107" t="s">
        <v>7</v>
      </c>
      <c r="J2749" s="136"/>
      <c r="K2749" s="228" t="s">
        <v>8</v>
      </c>
      <c r="L2749" s="115" t="s">
        <v>194</v>
      </c>
      <c r="O2749" s="323"/>
      <c r="P2749" s="323"/>
    </row>
    <row r="2750" spans="1:16" ht="17.25" customHeight="1" x14ac:dyDescent="0.3">
      <c r="B2750" s="122">
        <v>1</v>
      </c>
      <c r="C2750" s="315" t="s">
        <v>319</v>
      </c>
      <c r="D2750" s="316"/>
      <c r="E2750" s="116">
        <f>1*I2746</f>
        <v>3</v>
      </c>
      <c r="F2750" s="83">
        <f>ROUND(E2750/I2746,2)</f>
        <v>1</v>
      </c>
      <c r="G2750" s="74" t="str">
        <f>IF(C2750=0,0,VLOOKUP(C2750,Tabla1[],2,FALSE))</f>
        <v>Unidad</v>
      </c>
      <c r="I2750" s="117">
        <f>IF(C2750=0,0,VLOOKUP(C2750,Tabla1[],3,FALSE))</f>
        <v>25</v>
      </c>
      <c r="K2750" s="84">
        <f>F2750*I2750</f>
        <v>25</v>
      </c>
      <c r="L2750" s="118">
        <f t="shared" ref="L2750:L2759" si="418">E2750*I2750</f>
        <v>75</v>
      </c>
      <c r="O2750" s="44"/>
      <c r="P2750" s="45"/>
    </row>
    <row r="2751" spans="1:16" ht="16.5" customHeight="1" x14ac:dyDescent="0.4">
      <c r="B2751" s="122"/>
      <c r="C2751" s="319"/>
      <c r="D2751" s="318"/>
      <c r="E2751" s="116"/>
      <c r="F2751" s="83"/>
      <c r="G2751" s="74"/>
      <c r="I2751" s="117">
        <f>IF(C2751=0,0,VLOOKUP(C2751,Tabla1[],3,FALSE))</f>
        <v>0</v>
      </c>
      <c r="K2751" s="84">
        <f t="shared" ref="K2751:K2759" si="419">+F2751*I2751</f>
        <v>0</v>
      </c>
      <c r="L2751" s="118">
        <f t="shared" si="418"/>
        <v>0</v>
      </c>
      <c r="P2751" s="45"/>
    </row>
    <row r="2752" spans="1:16" x14ac:dyDescent="0.4">
      <c r="B2752" s="122"/>
      <c r="C2752" s="319"/>
      <c r="D2752" s="318"/>
      <c r="E2752" s="116"/>
      <c r="F2752" s="83"/>
      <c r="G2752" s="74"/>
      <c r="I2752" s="117">
        <f>IF(C2752=0,0,VLOOKUP(C2752,Tabla1[],3,FALSE))</f>
        <v>0</v>
      </c>
      <c r="K2752" s="84">
        <f t="shared" si="419"/>
        <v>0</v>
      </c>
      <c r="L2752" s="118">
        <f t="shared" si="418"/>
        <v>0</v>
      </c>
      <c r="O2752" s="48"/>
      <c r="P2752" s="49"/>
    </row>
    <row r="2753" spans="2:16" x14ac:dyDescent="0.4">
      <c r="B2753" s="122"/>
      <c r="C2753" s="319"/>
      <c r="D2753" s="318"/>
      <c r="E2753" s="116"/>
      <c r="F2753" s="83"/>
      <c r="G2753" s="74"/>
      <c r="I2753" s="117">
        <f>IF(C2753=0,0,VLOOKUP(C2753,Tabla1[],3,FALSE))</f>
        <v>0</v>
      </c>
      <c r="K2753" s="84">
        <f t="shared" si="419"/>
        <v>0</v>
      </c>
      <c r="L2753" s="118">
        <f t="shared" si="418"/>
        <v>0</v>
      </c>
      <c r="O2753" s="48"/>
      <c r="P2753" s="49"/>
    </row>
    <row r="2754" spans="2:16" x14ac:dyDescent="0.4">
      <c r="B2754" s="122"/>
      <c r="C2754" s="319"/>
      <c r="D2754" s="318"/>
      <c r="E2754" s="116"/>
      <c r="F2754" s="83"/>
      <c r="G2754" s="74"/>
      <c r="I2754" s="117">
        <f>IF(C2754=0,0,VLOOKUP(C2754,Tabla1[],3,FALSE))</f>
        <v>0</v>
      </c>
      <c r="K2754" s="84">
        <f t="shared" si="419"/>
        <v>0</v>
      </c>
      <c r="L2754" s="118">
        <f t="shared" si="418"/>
        <v>0</v>
      </c>
      <c r="O2754" s="48"/>
      <c r="P2754" s="49"/>
    </row>
    <row r="2755" spans="2:16" x14ac:dyDescent="0.4">
      <c r="B2755" s="122"/>
      <c r="C2755" s="319"/>
      <c r="D2755" s="318"/>
      <c r="E2755" s="116"/>
      <c r="F2755" s="83"/>
      <c r="G2755" s="74"/>
      <c r="I2755" s="117">
        <f>IF(C2755=0,0,VLOOKUP(C2755,Tabla1[],3,FALSE))</f>
        <v>0</v>
      </c>
      <c r="K2755" s="84">
        <f t="shared" si="419"/>
        <v>0</v>
      </c>
      <c r="L2755" s="118">
        <f t="shared" si="418"/>
        <v>0</v>
      </c>
      <c r="O2755" s="48"/>
      <c r="P2755" s="49"/>
    </row>
    <row r="2756" spans="2:16" x14ac:dyDescent="0.4">
      <c r="B2756" s="122"/>
      <c r="C2756" s="319"/>
      <c r="D2756" s="318"/>
      <c r="E2756" s="116"/>
      <c r="F2756" s="83"/>
      <c r="G2756" s="74"/>
      <c r="I2756" s="117">
        <f>IF(C2756=0,0,VLOOKUP(C2756,Tabla1[],3,FALSE))</f>
        <v>0</v>
      </c>
      <c r="K2756" s="84">
        <f t="shared" si="419"/>
        <v>0</v>
      </c>
      <c r="L2756" s="118">
        <f t="shared" si="418"/>
        <v>0</v>
      </c>
      <c r="O2756" s="48"/>
      <c r="P2756" s="49"/>
    </row>
    <row r="2757" spans="2:16" x14ac:dyDescent="0.4">
      <c r="B2757" s="122"/>
      <c r="C2757" s="317"/>
      <c r="D2757" s="318"/>
      <c r="E2757" s="116"/>
      <c r="F2757" s="83"/>
      <c r="G2757" s="74"/>
      <c r="I2757" s="117">
        <f>IF(C2757=0,0,VLOOKUP(C2757,Tabla1[],3,FALSE))</f>
        <v>0</v>
      </c>
      <c r="K2757" s="84">
        <f t="shared" si="419"/>
        <v>0</v>
      </c>
      <c r="L2757" s="118">
        <f t="shared" si="418"/>
        <v>0</v>
      </c>
      <c r="O2757" s="48"/>
      <c r="P2757" s="49"/>
    </row>
    <row r="2758" spans="2:16" x14ac:dyDescent="0.4">
      <c r="B2758" s="122"/>
      <c r="C2758" s="309"/>
      <c r="D2758" s="310"/>
      <c r="E2758" s="116"/>
      <c r="F2758" s="83"/>
      <c r="G2758" s="74"/>
      <c r="I2758" s="117">
        <f>IF(C2758=0,0,VLOOKUP(C2758,Tabla1[],3,FALSE))</f>
        <v>0</v>
      </c>
      <c r="K2758" s="84">
        <f t="shared" si="419"/>
        <v>0</v>
      </c>
      <c r="L2758" s="118">
        <f t="shared" si="418"/>
        <v>0</v>
      </c>
      <c r="O2758" s="48"/>
      <c r="P2758" s="49"/>
    </row>
    <row r="2759" spans="2:16" x14ac:dyDescent="0.4">
      <c r="B2759" s="122"/>
      <c r="C2759" s="319"/>
      <c r="D2759" s="318"/>
      <c r="E2759" s="116"/>
      <c r="F2759" s="83"/>
      <c r="G2759" s="74"/>
      <c r="I2759" s="117">
        <f>IF(C2759=0,0,VLOOKUP(C2759,Tabla1[],3,FALSE))</f>
        <v>0</v>
      </c>
      <c r="K2759" s="84">
        <f t="shared" si="419"/>
        <v>0</v>
      </c>
      <c r="L2759" s="118">
        <f t="shared" si="418"/>
        <v>0</v>
      </c>
      <c r="O2759" s="48"/>
      <c r="P2759" s="49"/>
    </row>
    <row r="2760" spans="2:16" ht="17.399999999999999" thickBot="1" x14ac:dyDescent="0.45"/>
    <row r="2761" spans="2:16" ht="17.399999999999999" thickBot="1" x14ac:dyDescent="0.35">
      <c r="F2761" s="292" t="s">
        <v>9</v>
      </c>
      <c r="G2761" s="293"/>
      <c r="H2761" s="293"/>
      <c r="I2761" s="294"/>
      <c r="K2761" s="229">
        <f>+SUM(K2750:K2759)</f>
        <v>25</v>
      </c>
      <c r="L2761" s="119">
        <f>+SUM(L2750:L2759)</f>
        <v>75</v>
      </c>
      <c r="O2761" s="38"/>
      <c r="P2761" s="38"/>
    </row>
    <row r="2762" spans="2:16" ht="17.399999999999999" thickBot="1" x14ac:dyDescent="0.45">
      <c r="O2762" s="42"/>
      <c r="P2762" s="43"/>
    </row>
    <row r="2763" spans="2:16" ht="17.399999999999999" thickBot="1" x14ac:dyDescent="0.45">
      <c r="B2763" s="110" t="s">
        <v>10</v>
      </c>
      <c r="C2763" s="300" t="s">
        <v>11</v>
      </c>
      <c r="D2763" s="300"/>
      <c r="E2763" s="300"/>
      <c r="F2763" s="300"/>
      <c r="G2763" s="301"/>
    </row>
    <row r="2764" spans="2:16" x14ac:dyDescent="0.4">
      <c r="B2764" s="114" t="s">
        <v>6</v>
      </c>
      <c r="C2764" s="302" t="s">
        <v>1</v>
      </c>
      <c r="D2764" s="303"/>
      <c r="E2764" s="112" t="s">
        <v>193</v>
      </c>
      <c r="F2764" s="120" t="s">
        <v>2</v>
      </c>
      <c r="G2764" s="114" t="s">
        <v>3</v>
      </c>
      <c r="H2764" s="106"/>
      <c r="I2764" s="107" t="s">
        <v>7</v>
      </c>
      <c r="J2764" s="136"/>
      <c r="K2764" s="107" t="s">
        <v>8</v>
      </c>
      <c r="L2764" s="115" t="s">
        <v>194</v>
      </c>
    </row>
    <row r="2765" spans="2:16" x14ac:dyDescent="0.4">
      <c r="B2765" s="122"/>
      <c r="C2765" s="306"/>
      <c r="D2765" s="306"/>
      <c r="E2765" s="116"/>
      <c r="F2765" s="83"/>
      <c r="G2765" s="74"/>
      <c r="I2765" s="117">
        <f>IF(C2765=0,0,VLOOKUP(C2765,Tabla3[],3,FALSE))</f>
        <v>0</v>
      </c>
      <c r="K2765" s="84">
        <f>F2765*I2765</f>
        <v>0</v>
      </c>
      <c r="L2765" s="118">
        <f>E2765*I2765</f>
        <v>0</v>
      </c>
    </row>
    <row r="2766" spans="2:16" x14ac:dyDescent="0.4">
      <c r="B2766" s="74"/>
      <c r="C2766" s="309"/>
      <c r="D2766" s="310"/>
      <c r="E2766" s="121"/>
      <c r="F2766" s="72"/>
      <c r="G2766" s="74"/>
      <c r="I2766" s="117">
        <f>IF(C2766=0,0,VLOOKUP(C2766,Tabla3[],3,FALSE))</f>
        <v>0</v>
      </c>
      <c r="K2766" s="84">
        <f t="shared" ref="K2766:K2768" si="420">+F2766*I2766</f>
        <v>0</v>
      </c>
      <c r="L2766" s="118">
        <f t="shared" ref="L2766:L2768" si="421">E2766*I2766</f>
        <v>0</v>
      </c>
    </row>
    <row r="2767" spans="2:16" x14ac:dyDescent="0.4">
      <c r="B2767" s="74"/>
      <c r="C2767" s="309"/>
      <c r="D2767" s="310"/>
      <c r="E2767" s="121"/>
      <c r="F2767" s="72"/>
      <c r="G2767" s="74"/>
      <c r="I2767" s="117">
        <f>IF(C2767=0,0,VLOOKUP(C2767,Tabla3[],3,FALSE))</f>
        <v>0</v>
      </c>
      <c r="K2767" s="84">
        <f t="shared" si="420"/>
        <v>0</v>
      </c>
      <c r="L2767" s="118">
        <f t="shared" si="421"/>
        <v>0</v>
      </c>
    </row>
    <row r="2768" spans="2:16" x14ac:dyDescent="0.4">
      <c r="B2768" s="74"/>
      <c r="C2768" s="304"/>
      <c r="D2768" s="305"/>
      <c r="E2768" s="121"/>
      <c r="F2768" s="72"/>
      <c r="G2768" s="74"/>
      <c r="I2768" s="117">
        <f>IF(C2768=0,0,VLOOKUP(C2768,Tabla3[],3,FALSE))</f>
        <v>0</v>
      </c>
      <c r="K2768" s="84">
        <f t="shared" si="420"/>
        <v>0</v>
      </c>
      <c r="L2768" s="118">
        <f t="shared" si="421"/>
        <v>0</v>
      </c>
    </row>
    <row r="2769" spans="2:12" ht="17.399999999999999" thickBot="1" x14ac:dyDescent="0.45"/>
    <row r="2770" spans="2:12" ht="17.399999999999999" thickBot="1" x14ac:dyDescent="0.45">
      <c r="F2770" s="292" t="s">
        <v>12</v>
      </c>
      <c r="G2770" s="293"/>
      <c r="H2770" s="293"/>
      <c r="I2770" s="294"/>
      <c r="K2770" s="229">
        <f>+SUM(K2765:K2768)</f>
        <v>0</v>
      </c>
      <c r="L2770" s="119">
        <f>+SUM(L2765:L2768)</f>
        <v>0</v>
      </c>
    </row>
    <row r="2771" spans="2:12" ht="17.399999999999999" thickBot="1" x14ac:dyDescent="0.45"/>
    <row r="2772" spans="2:12" ht="17.399999999999999" thickBot="1" x14ac:dyDescent="0.45">
      <c r="B2772" s="110" t="s">
        <v>13</v>
      </c>
      <c r="C2772" s="300" t="s">
        <v>14</v>
      </c>
      <c r="D2772" s="300"/>
      <c r="E2772" s="300"/>
      <c r="F2772" s="300"/>
      <c r="G2772" s="301"/>
    </row>
    <row r="2773" spans="2:12" x14ac:dyDescent="0.4">
      <c r="B2773" s="114" t="s">
        <v>6</v>
      </c>
      <c r="C2773" s="302" t="s">
        <v>1</v>
      </c>
      <c r="D2773" s="303"/>
      <c r="E2773" s="112" t="s">
        <v>193</v>
      </c>
      <c r="F2773" s="120" t="s">
        <v>2</v>
      </c>
      <c r="G2773" s="114" t="s">
        <v>3</v>
      </c>
      <c r="H2773" s="106"/>
      <c r="I2773" s="107" t="s">
        <v>7</v>
      </c>
      <c r="J2773" s="136"/>
      <c r="K2773" s="107" t="s">
        <v>8</v>
      </c>
      <c r="L2773" s="115" t="s">
        <v>194</v>
      </c>
    </row>
    <row r="2774" spans="2:12" x14ac:dyDescent="0.4">
      <c r="B2774" s="122"/>
      <c r="C2774" s="306"/>
      <c r="D2774" s="306"/>
      <c r="E2774" s="116"/>
      <c r="F2774" s="83"/>
      <c r="G2774" s="74"/>
      <c r="I2774" s="117">
        <f>IF(C2774=0,0,VLOOKUP(C2774,Tabla2[],3,FALSE))</f>
        <v>0</v>
      </c>
      <c r="K2774" s="84">
        <f>+F2774*I2774</f>
        <v>0</v>
      </c>
      <c r="L2774" s="118">
        <f>E2774*I2774</f>
        <v>0</v>
      </c>
    </row>
    <row r="2775" spans="2:12" x14ac:dyDescent="0.4">
      <c r="B2775" s="122"/>
      <c r="C2775" s="306"/>
      <c r="D2775" s="306"/>
      <c r="E2775" s="116"/>
      <c r="F2775" s="83"/>
      <c r="G2775" s="74"/>
      <c r="I2775" s="117">
        <f>IF(C2775=0,0,VLOOKUP(C2775,Tabla2[],3,FALSE))</f>
        <v>0</v>
      </c>
      <c r="K2775" s="84">
        <f>+F2775*I2775</f>
        <v>0</v>
      </c>
      <c r="L2775" s="118">
        <f>E2775*I2775</f>
        <v>0</v>
      </c>
    </row>
    <row r="2776" spans="2:12" ht="17.399999999999999" thickBot="1" x14ac:dyDescent="0.45">
      <c r="B2776" s="123"/>
      <c r="C2776" s="307"/>
      <c r="D2776" s="308"/>
      <c r="E2776" s="124"/>
      <c r="F2776" s="125"/>
      <c r="G2776" s="74"/>
      <c r="I2776" s="117">
        <f>IF(C2776=0,0,VLOOKUP(C2776,Tabla2[],3,FALSE))</f>
        <v>0</v>
      </c>
      <c r="K2776" s="84">
        <f t="shared" ref="K2776" si="422">+F2776*I2776</f>
        <v>0</v>
      </c>
      <c r="L2776" s="118">
        <f t="shared" ref="L2776:L2777" si="423">E2776*I2776</f>
        <v>0</v>
      </c>
    </row>
    <row r="2777" spans="2:12" ht="17.399999999999999" thickBot="1" x14ac:dyDescent="0.45">
      <c r="B2777" s="297" t="s">
        <v>15</v>
      </c>
      <c r="C2777" s="298"/>
      <c r="D2777" s="298"/>
      <c r="E2777" s="298"/>
      <c r="F2777" s="298"/>
      <c r="G2777" s="299"/>
      <c r="I2777" s="84">
        <v>0</v>
      </c>
      <c r="K2777" s="84">
        <v>0</v>
      </c>
      <c r="L2777" s="118">
        <f t="shared" si="423"/>
        <v>0</v>
      </c>
    </row>
    <row r="2778" spans="2:12" ht="17.399999999999999" thickBot="1" x14ac:dyDescent="0.45"/>
    <row r="2779" spans="2:12" ht="17.399999999999999" thickBot="1" x14ac:dyDescent="0.45">
      <c r="F2779" s="292" t="s">
        <v>16</v>
      </c>
      <c r="G2779" s="293"/>
      <c r="H2779" s="293"/>
      <c r="I2779" s="294"/>
      <c r="K2779" s="229">
        <f>+SUM(K2774:K2777)</f>
        <v>0</v>
      </c>
      <c r="L2779" s="119">
        <f>+SUM(L2774:L2777)</f>
        <v>0</v>
      </c>
    </row>
    <row r="2780" spans="2:12" ht="17.399999999999999" thickBot="1" x14ac:dyDescent="0.45"/>
    <row r="2781" spans="2:12" ht="17.399999999999999" thickBot="1" x14ac:dyDescent="0.45">
      <c r="B2781" s="110" t="s">
        <v>17</v>
      </c>
      <c r="C2781" s="300" t="s">
        <v>18</v>
      </c>
      <c r="D2781" s="300"/>
      <c r="E2781" s="300"/>
      <c r="F2781" s="300"/>
      <c r="G2781" s="301"/>
    </row>
    <row r="2782" spans="2:12" x14ac:dyDescent="0.4">
      <c r="B2782" s="114" t="s">
        <v>6</v>
      </c>
      <c r="C2782" s="302" t="s">
        <v>1</v>
      </c>
      <c r="D2782" s="303"/>
      <c r="E2782" s="126"/>
      <c r="F2782" s="120" t="s">
        <v>2</v>
      </c>
      <c r="G2782" s="114" t="s">
        <v>3</v>
      </c>
      <c r="H2782" s="106"/>
      <c r="I2782" s="107" t="s">
        <v>7</v>
      </c>
      <c r="J2782" s="136"/>
      <c r="K2782" s="107" t="s">
        <v>8</v>
      </c>
      <c r="L2782" s="115" t="s">
        <v>194</v>
      </c>
    </row>
    <row r="2783" spans="2:12" x14ac:dyDescent="0.4">
      <c r="B2783" s="74"/>
      <c r="C2783" s="304"/>
      <c r="D2783" s="305"/>
      <c r="E2783" s="127"/>
      <c r="F2783" s="72"/>
      <c r="G2783" s="74"/>
      <c r="I2783" s="84">
        <v>0</v>
      </c>
      <c r="K2783" s="84">
        <f>+F2783*I2783</f>
        <v>0</v>
      </c>
      <c r="L2783" s="118">
        <f>E2783*I2783</f>
        <v>0</v>
      </c>
    </row>
    <row r="2784" spans="2:12" x14ac:dyDescent="0.4">
      <c r="B2784" s="74"/>
      <c r="C2784" s="304"/>
      <c r="D2784" s="305"/>
      <c r="E2784" s="127"/>
      <c r="F2784" s="72"/>
      <c r="G2784" s="74"/>
      <c r="I2784" s="84">
        <v>0</v>
      </c>
      <c r="K2784" s="84">
        <f t="shared" ref="K2784:K2785" si="424">+F2784*I2784</f>
        <v>0</v>
      </c>
      <c r="L2784" s="118">
        <f t="shared" ref="L2784:L2785" si="425">E2784*I2784</f>
        <v>0</v>
      </c>
    </row>
    <row r="2785" spans="2:16" x14ac:dyDescent="0.4">
      <c r="B2785" s="74"/>
      <c r="C2785" s="304"/>
      <c r="D2785" s="305"/>
      <c r="E2785" s="127"/>
      <c r="F2785" s="72"/>
      <c r="G2785" s="74"/>
      <c r="I2785" s="84">
        <v>0</v>
      </c>
      <c r="K2785" s="84">
        <f t="shared" si="424"/>
        <v>0</v>
      </c>
      <c r="L2785" s="118">
        <f t="shared" si="425"/>
        <v>0</v>
      </c>
    </row>
    <row r="2786" spans="2:16" ht="17.399999999999999" thickBot="1" x14ac:dyDescent="0.45">
      <c r="L2786" s="118"/>
    </row>
    <row r="2787" spans="2:16" ht="17.399999999999999" thickBot="1" x14ac:dyDescent="0.45">
      <c r="F2787" s="292" t="s">
        <v>19</v>
      </c>
      <c r="G2787" s="293"/>
      <c r="H2787" s="293"/>
      <c r="I2787" s="294"/>
      <c r="K2787" s="229">
        <f>+SUM(K2783:K2785)</f>
        <v>0</v>
      </c>
      <c r="L2787" s="119">
        <f>+SUM(L2782:L2785)</f>
        <v>0</v>
      </c>
    </row>
    <row r="2788" spans="2:16" ht="15" customHeight="1" x14ac:dyDescent="0.4">
      <c r="F2788" s="128"/>
      <c r="G2788" s="129"/>
      <c r="H2788" s="130"/>
      <c r="I2788" s="108"/>
      <c r="K2788" s="230"/>
    </row>
    <row r="2789" spans="2:16" ht="15" customHeight="1" thickBot="1" x14ac:dyDescent="0.45"/>
    <row r="2790" spans="2:16" ht="17.399999999999999" thickBot="1" x14ac:dyDescent="0.45">
      <c r="F2790" s="292" t="s">
        <v>20</v>
      </c>
      <c r="G2790" s="293"/>
      <c r="H2790" s="293"/>
      <c r="I2790" s="294"/>
      <c r="K2790" s="229">
        <f>(+K2761+K2770+K2779+K2787)</f>
        <v>25</v>
      </c>
      <c r="L2790" s="119">
        <f>(+L2761+L2770+L2779+L2787)</f>
        <v>75</v>
      </c>
      <c r="N2790" s="131"/>
      <c r="O2790" s="39"/>
      <c r="P2790" s="40"/>
    </row>
    <row r="2791" spans="2:16" ht="7.5" customHeight="1" thickBot="1" x14ac:dyDescent="0.45">
      <c r="N2791" s="131"/>
      <c r="O2791" s="41"/>
      <c r="P2791" s="40"/>
    </row>
    <row r="2792" spans="2:16" ht="17.399999999999999" thickBot="1" x14ac:dyDescent="0.45">
      <c r="F2792" s="292" t="s">
        <v>21</v>
      </c>
      <c r="G2792" s="293"/>
      <c r="H2792" s="293"/>
      <c r="I2792" s="294"/>
      <c r="K2792" s="229">
        <f>K2790*$N$2</f>
        <v>10</v>
      </c>
      <c r="L2792" s="119">
        <f>L2790*$N$2</f>
        <v>30</v>
      </c>
    </row>
    <row r="2793" spans="2:16" ht="7.5" customHeight="1" thickBot="1" x14ac:dyDescent="0.45"/>
    <row r="2794" spans="2:16" ht="17.399999999999999" thickBot="1" x14ac:dyDescent="0.45">
      <c r="F2794" s="292" t="s">
        <v>22</v>
      </c>
      <c r="G2794" s="293"/>
      <c r="H2794" s="293"/>
      <c r="I2794" s="294"/>
      <c r="K2794" s="229">
        <f>+K2790+K2792</f>
        <v>35</v>
      </c>
      <c r="L2794" s="119">
        <f>+L2790+L2792</f>
        <v>105</v>
      </c>
    </row>
    <row r="2795" spans="2:16" ht="17.399999999999999" thickBot="1" x14ac:dyDescent="0.45">
      <c r="F2795" s="128"/>
      <c r="G2795" s="129"/>
      <c r="H2795" s="130"/>
      <c r="I2795" s="108"/>
      <c r="K2795" s="231"/>
      <c r="L2795" s="132">
        <f>L2794/I2746</f>
        <v>35</v>
      </c>
      <c r="M2795" s="133">
        <f>(K2794-L2795)*I2746</f>
        <v>0</v>
      </c>
    </row>
    <row r="2796" spans="2:16" x14ac:dyDescent="0.4">
      <c r="F2796" s="128"/>
      <c r="G2796" s="129"/>
      <c r="H2796" s="130"/>
      <c r="I2796" s="108"/>
      <c r="K2796" s="232"/>
      <c r="L2796" s="131"/>
      <c r="M2796" s="134"/>
      <c r="N2796" s="135"/>
    </row>
    <row r="2797" spans="2:16" ht="17.399999999999999" thickBot="1" x14ac:dyDescent="0.45">
      <c r="B2797" s="295"/>
      <c r="C2797" s="295"/>
      <c r="D2797" s="295"/>
    </row>
    <row r="2798" spans="2:16" x14ac:dyDescent="0.4">
      <c r="B2798" s="296" t="s">
        <v>23</v>
      </c>
      <c r="C2798" s="296"/>
      <c r="D2798" s="296"/>
    </row>
    <row r="2799" spans="2:16" x14ac:dyDescent="0.4">
      <c r="B2799" s="157"/>
      <c r="C2799" s="157"/>
      <c r="D2799" s="157"/>
    </row>
    <row r="2800" spans="2:16" x14ac:dyDescent="0.4">
      <c r="B2800" s="157"/>
      <c r="C2800" s="157"/>
      <c r="D2800" s="157"/>
    </row>
    <row r="2801" spans="1:16" x14ac:dyDescent="0.4">
      <c r="B2801" s="105" t="s">
        <v>43</v>
      </c>
      <c r="C2801" s="106"/>
      <c r="D2801" s="311" t="s">
        <v>1</v>
      </c>
      <c r="E2801" s="311"/>
      <c r="F2801" s="311"/>
      <c r="G2801" s="311"/>
      <c r="H2801" s="106"/>
      <c r="I2801" s="107" t="s">
        <v>2</v>
      </c>
      <c r="J2801" s="136"/>
      <c r="K2801" s="107" t="s">
        <v>3</v>
      </c>
    </row>
    <row r="2802" spans="1:16" s="4" customFormat="1" ht="30.75" customHeight="1" x14ac:dyDescent="0.3">
      <c r="A2802" s="31"/>
      <c r="B2802" s="213">
        <f>CATALOGO!B72</f>
        <v>1007.05</v>
      </c>
      <c r="C2802" s="71"/>
      <c r="D2802" s="324" t="str">
        <f>CATALOGO!C72</f>
        <v>DISPENSADOR PARA PAPEL HIGIÉNICO</v>
      </c>
      <c r="E2802" s="324"/>
      <c r="F2802" s="324"/>
      <c r="G2802" s="324"/>
      <c r="H2802" s="71"/>
      <c r="I2802" s="213">
        <f>CATALOGO!D72</f>
        <v>1</v>
      </c>
      <c r="J2802" s="109"/>
      <c r="K2802" s="227" t="str">
        <f>CATALOGO!E72</f>
        <v>Unidad</v>
      </c>
      <c r="L2802" s="71"/>
      <c r="M2802" s="71"/>
      <c r="N2802" s="104"/>
      <c r="O2802" s="37"/>
      <c r="P2802" s="37"/>
    </row>
    <row r="2803" spans="1:16" ht="17.399999999999999" thickBot="1" x14ac:dyDescent="0.45"/>
    <row r="2804" spans="1:16" ht="17.399999999999999" thickBot="1" x14ac:dyDescent="0.45">
      <c r="B2804" s="110" t="s">
        <v>4</v>
      </c>
      <c r="C2804" s="300" t="s">
        <v>5</v>
      </c>
      <c r="D2804" s="300"/>
      <c r="E2804" s="300"/>
      <c r="F2804" s="300"/>
      <c r="G2804" s="301"/>
    </row>
    <row r="2805" spans="1:16" x14ac:dyDescent="0.3">
      <c r="B2805" s="111" t="s">
        <v>6</v>
      </c>
      <c r="C2805" s="313" t="s">
        <v>1</v>
      </c>
      <c r="D2805" s="314"/>
      <c r="E2805" s="112" t="s">
        <v>193</v>
      </c>
      <c r="F2805" s="113" t="s">
        <v>2</v>
      </c>
      <c r="G2805" s="114" t="s">
        <v>3</v>
      </c>
      <c r="H2805" s="106"/>
      <c r="I2805" s="107" t="s">
        <v>7</v>
      </c>
      <c r="J2805" s="136"/>
      <c r="K2805" s="228" t="s">
        <v>8</v>
      </c>
      <c r="L2805" s="115" t="s">
        <v>194</v>
      </c>
      <c r="O2805" s="323"/>
      <c r="P2805" s="323"/>
    </row>
    <row r="2806" spans="1:16" ht="17.25" customHeight="1" x14ac:dyDescent="0.3">
      <c r="B2806" s="122">
        <v>1</v>
      </c>
      <c r="C2806" s="315" t="s">
        <v>320</v>
      </c>
      <c r="D2806" s="316"/>
      <c r="E2806" s="116">
        <f>1*I2802</f>
        <v>1</v>
      </c>
      <c r="F2806" s="83">
        <f>ROUND(E2806/I2802,2)</f>
        <v>1</v>
      </c>
      <c r="G2806" s="74" t="str">
        <f>IF(C2806=0,0,VLOOKUP(C2806,Tabla1[],2,FALSE))</f>
        <v>Unidad</v>
      </c>
      <c r="I2806" s="117">
        <f>IF(C2806=0,0,VLOOKUP(C2806,Tabla1[],3,FALSE))</f>
        <v>620</v>
      </c>
      <c r="K2806" s="84">
        <f>F2806*I2806</f>
        <v>620</v>
      </c>
      <c r="L2806" s="118">
        <f t="shared" ref="L2806:L2815" si="426">E2806*I2806</f>
        <v>620</v>
      </c>
      <c r="O2806" s="44"/>
      <c r="P2806" s="45"/>
    </row>
    <row r="2807" spans="1:16" ht="16.5" customHeight="1" x14ac:dyDescent="0.4">
      <c r="B2807" s="122"/>
      <c r="C2807" s="319"/>
      <c r="D2807" s="318"/>
      <c r="E2807" s="116"/>
      <c r="F2807" s="83"/>
      <c r="G2807" s="74"/>
      <c r="I2807" s="117">
        <f>IF(C2807=0,0,VLOOKUP(C2807,Tabla1[],3,FALSE))</f>
        <v>0</v>
      </c>
      <c r="K2807" s="84">
        <f t="shared" ref="K2807:K2815" si="427">+F2807*I2807</f>
        <v>0</v>
      </c>
      <c r="L2807" s="118">
        <f t="shared" si="426"/>
        <v>0</v>
      </c>
      <c r="P2807" s="45"/>
    </row>
    <row r="2808" spans="1:16" x14ac:dyDescent="0.4">
      <c r="B2808" s="122"/>
      <c r="C2808" s="319"/>
      <c r="D2808" s="318"/>
      <c r="E2808" s="116"/>
      <c r="F2808" s="83"/>
      <c r="G2808" s="74"/>
      <c r="I2808" s="117">
        <f>IF(C2808=0,0,VLOOKUP(C2808,Tabla1[],3,FALSE))</f>
        <v>0</v>
      </c>
      <c r="K2808" s="84">
        <f t="shared" si="427"/>
        <v>0</v>
      </c>
      <c r="L2808" s="118">
        <f t="shared" si="426"/>
        <v>0</v>
      </c>
      <c r="O2808" s="48"/>
      <c r="P2808" s="49"/>
    </row>
    <row r="2809" spans="1:16" x14ac:dyDescent="0.4">
      <c r="B2809" s="122"/>
      <c r="C2809" s="319"/>
      <c r="D2809" s="318"/>
      <c r="E2809" s="116"/>
      <c r="F2809" s="83"/>
      <c r="G2809" s="74"/>
      <c r="I2809" s="117">
        <f>IF(C2809=0,0,VLOOKUP(C2809,Tabla1[],3,FALSE))</f>
        <v>0</v>
      </c>
      <c r="K2809" s="84">
        <f t="shared" si="427"/>
        <v>0</v>
      </c>
      <c r="L2809" s="118">
        <f t="shared" si="426"/>
        <v>0</v>
      </c>
      <c r="O2809" s="48"/>
      <c r="P2809" s="49"/>
    </row>
    <row r="2810" spans="1:16" x14ac:dyDescent="0.4">
      <c r="B2810" s="122"/>
      <c r="C2810" s="319"/>
      <c r="D2810" s="318"/>
      <c r="E2810" s="116"/>
      <c r="F2810" s="83"/>
      <c r="G2810" s="74"/>
      <c r="I2810" s="117">
        <f>IF(C2810=0,0,VLOOKUP(C2810,Tabla1[],3,FALSE))</f>
        <v>0</v>
      </c>
      <c r="K2810" s="84">
        <f t="shared" si="427"/>
        <v>0</v>
      </c>
      <c r="L2810" s="118">
        <f t="shared" si="426"/>
        <v>0</v>
      </c>
      <c r="O2810" s="48"/>
      <c r="P2810" s="49"/>
    </row>
    <row r="2811" spans="1:16" x14ac:dyDescent="0.4">
      <c r="B2811" s="122"/>
      <c r="C2811" s="319"/>
      <c r="D2811" s="318"/>
      <c r="E2811" s="116"/>
      <c r="F2811" s="83"/>
      <c r="G2811" s="74"/>
      <c r="I2811" s="117">
        <f>IF(C2811=0,0,VLOOKUP(C2811,Tabla1[],3,FALSE))</f>
        <v>0</v>
      </c>
      <c r="K2811" s="84">
        <f t="shared" si="427"/>
        <v>0</v>
      </c>
      <c r="L2811" s="118">
        <f t="shared" si="426"/>
        <v>0</v>
      </c>
      <c r="O2811" s="48"/>
      <c r="P2811" s="49"/>
    </row>
    <row r="2812" spans="1:16" x14ac:dyDescent="0.4">
      <c r="B2812" s="122"/>
      <c r="C2812" s="319"/>
      <c r="D2812" s="318"/>
      <c r="E2812" s="116"/>
      <c r="F2812" s="83"/>
      <c r="G2812" s="74"/>
      <c r="I2812" s="117">
        <f>IF(C2812=0,0,VLOOKUP(C2812,Tabla1[],3,FALSE))</f>
        <v>0</v>
      </c>
      <c r="K2812" s="84">
        <f t="shared" si="427"/>
        <v>0</v>
      </c>
      <c r="L2812" s="118">
        <f t="shared" si="426"/>
        <v>0</v>
      </c>
      <c r="O2812" s="48"/>
      <c r="P2812" s="49"/>
    </row>
    <row r="2813" spans="1:16" x14ac:dyDescent="0.4">
      <c r="B2813" s="122"/>
      <c r="C2813" s="317"/>
      <c r="D2813" s="318"/>
      <c r="E2813" s="116"/>
      <c r="F2813" s="83"/>
      <c r="G2813" s="74"/>
      <c r="I2813" s="117">
        <f>IF(C2813=0,0,VLOOKUP(C2813,Tabla1[],3,FALSE))</f>
        <v>0</v>
      </c>
      <c r="K2813" s="84">
        <f t="shared" si="427"/>
        <v>0</v>
      </c>
      <c r="L2813" s="118">
        <f t="shared" si="426"/>
        <v>0</v>
      </c>
      <c r="O2813" s="48"/>
      <c r="P2813" s="49"/>
    </row>
    <row r="2814" spans="1:16" x14ac:dyDescent="0.4">
      <c r="B2814" s="122"/>
      <c r="C2814" s="309"/>
      <c r="D2814" s="310"/>
      <c r="E2814" s="116"/>
      <c r="F2814" s="83"/>
      <c r="G2814" s="74"/>
      <c r="I2814" s="117">
        <f>IF(C2814=0,0,VLOOKUP(C2814,Tabla1[],3,FALSE))</f>
        <v>0</v>
      </c>
      <c r="K2814" s="84">
        <f t="shared" si="427"/>
        <v>0</v>
      </c>
      <c r="L2814" s="118">
        <f t="shared" si="426"/>
        <v>0</v>
      </c>
      <c r="O2814" s="48"/>
      <c r="P2814" s="49"/>
    </row>
    <row r="2815" spans="1:16" x14ac:dyDescent="0.4">
      <c r="B2815" s="122"/>
      <c r="C2815" s="319"/>
      <c r="D2815" s="318"/>
      <c r="E2815" s="116"/>
      <c r="F2815" s="83"/>
      <c r="G2815" s="74"/>
      <c r="I2815" s="117">
        <f>IF(C2815=0,0,VLOOKUP(C2815,Tabla1[],3,FALSE))</f>
        <v>0</v>
      </c>
      <c r="K2815" s="84">
        <f t="shared" si="427"/>
        <v>0</v>
      </c>
      <c r="L2815" s="118">
        <f t="shared" si="426"/>
        <v>0</v>
      </c>
      <c r="O2815" s="48"/>
      <c r="P2815" s="49"/>
    </row>
    <row r="2816" spans="1:16" ht="17.399999999999999" thickBot="1" x14ac:dyDescent="0.45"/>
    <row r="2817" spans="2:16" ht="17.399999999999999" thickBot="1" x14ac:dyDescent="0.35">
      <c r="F2817" s="292" t="s">
        <v>9</v>
      </c>
      <c r="G2817" s="293"/>
      <c r="H2817" s="293"/>
      <c r="I2817" s="294"/>
      <c r="K2817" s="229">
        <f>+SUM(K2806:K2815)</f>
        <v>620</v>
      </c>
      <c r="L2817" s="119">
        <f>+SUM(L2806:L2815)</f>
        <v>620</v>
      </c>
      <c r="O2817" s="38"/>
      <c r="P2817" s="38"/>
    </row>
    <row r="2818" spans="2:16" ht="17.399999999999999" thickBot="1" x14ac:dyDescent="0.45">
      <c r="O2818" s="42"/>
      <c r="P2818" s="43"/>
    </row>
    <row r="2819" spans="2:16" ht="17.399999999999999" thickBot="1" x14ac:dyDescent="0.45">
      <c r="B2819" s="110" t="s">
        <v>10</v>
      </c>
      <c r="C2819" s="300" t="s">
        <v>11</v>
      </c>
      <c r="D2819" s="300"/>
      <c r="E2819" s="300"/>
      <c r="F2819" s="300"/>
      <c r="G2819" s="301"/>
    </row>
    <row r="2820" spans="2:16" x14ac:dyDescent="0.4">
      <c r="B2820" s="114" t="s">
        <v>6</v>
      </c>
      <c r="C2820" s="302" t="s">
        <v>1</v>
      </c>
      <c r="D2820" s="303"/>
      <c r="E2820" s="112" t="s">
        <v>193</v>
      </c>
      <c r="F2820" s="120" t="s">
        <v>2</v>
      </c>
      <c r="G2820" s="114" t="s">
        <v>3</v>
      </c>
      <c r="H2820" s="106"/>
      <c r="I2820" s="107" t="s">
        <v>7</v>
      </c>
      <c r="J2820" s="136"/>
      <c r="K2820" s="107" t="s">
        <v>8</v>
      </c>
      <c r="L2820" s="115" t="s">
        <v>194</v>
      </c>
    </row>
    <row r="2821" spans="2:16" x14ac:dyDescent="0.4">
      <c r="B2821" s="122"/>
      <c r="C2821" s="306"/>
      <c r="D2821" s="306"/>
      <c r="E2821" s="116"/>
      <c r="F2821" s="83"/>
      <c r="G2821" s="74"/>
      <c r="I2821" s="117">
        <f>IF(C2821=0,0,VLOOKUP(C2821,Tabla3[],3,FALSE))</f>
        <v>0</v>
      </c>
      <c r="K2821" s="84">
        <f>F2821*I2821</f>
        <v>0</v>
      </c>
      <c r="L2821" s="118">
        <f>E2821*I2821</f>
        <v>0</v>
      </c>
    </row>
    <row r="2822" spans="2:16" x14ac:dyDescent="0.4">
      <c r="B2822" s="74"/>
      <c r="C2822" s="309"/>
      <c r="D2822" s="310"/>
      <c r="E2822" s="121"/>
      <c r="F2822" s="72"/>
      <c r="G2822" s="74"/>
      <c r="I2822" s="117">
        <f>IF(C2822=0,0,VLOOKUP(C2822,Tabla3[],3,FALSE))</f>
        <v>0</v>
      </c>
      <c r="K2822" s="84">
        <f t="shared" ref="K2822:K2824" si="428">+F2822*I2822</f>
        <v>0</v>
      </c>
      <c r="L2822" s="118">
        <f t="shared" ref="L2822:L2824" si="429">E2822*I2822</f>
        <v>0</v>
      </c>
    </row>
    <row r="2823" spans="2:16" x14ac:dyDescent="0.4">
      <c r="B2823" s="74"/>
      <c r="C2823" s="309"/>
      <c r="D2823" s="310"/>
      <c r="E2823" s="121"/>
      <c r="F2823" s="72"/>
      <c r="G2823" s="74"/>
      <c r="I2823" s="117">
        <f>IF(C2823=0,0,VLOOKUP(C2823,Tabla3[],3,FALSE))</f>
        <v>0</v>
      </c>
      <c r="K2823" s="84">
        <f t="shared" si="428"/>
        <v>0</v>
      </c>
      <c r="L2823" s="118">
        <f t="shared" si="429"/>
        <v>0</v>
      </c>
    </row>
    <row r="2824" spans="2:16" x14ac:dyDescent="0.4">
      <c r="B2824" s="74"/>
      <c r="C2824" s="304"/>
      <c r="D2824" s="305"/>
      <c r="E2824" s="121"/>
      <c r="F2824" s="72"/>
      <c r="G2824" s="74"/>
      <c r="I2824" s="117">
        <f>IF(C2824=0,0,VLOOKUP(C2824,Tabla3[],3,FALSE))</f>
        <v>0</v>
      </c>
      <c r="K2824" s="84">
        <f t="shared" si="428"/>
        <v>0</v>
      </c>
      <c r="L2824" s="118">
        <f t="shared" si="429"/>
        <v>0</v>
      </c>
    </row>
    <row r="2825" spans="2:16" ht="17.399999999999999" thickBot="1" x14ac:dyDescent="0.45"/>
    <row r="2826" spans="2:16" ht="17.399999999999999" thickBot="1" x14ac:dyDescent="0.45">
      <c r="F2826" s="292" t="s">
        <v>12</v>
      </c>
      <c r="G2826" s="293"/>
      <c r="H2826" s="293"/>
      <c r="I2826" s="294"/>
      <c r="K2826" s="229">
        <f>+SUM(K2821:K2824)</f>
        <v>0</v>
      </c>
      <c r="L2826" s="119">
        <f>+SUM(L2821:L2824)</f>
        <v>0</v>
      </c>
    </row>
    <row r="2827" spans="2:16" ht="17.399999999999999" thickBot="1" x14ac:dyDescent="0.45"/>
    <row r="2828" spans="2:16" ht="17.399999999999999" thickBot="1" x14ac:dyDescent="0.45">
      <c r="B2828" s="110" t="s">
        <v>13</v>
      </c>
      <c r="C2828" s="300" t="s">
        <v>14</v>
      </c>
      <c r="D2828" s="300"/>
      <c r="E2828" s="300"/>
      <c r="F2828" s="300"/>
      <c r="G2828" s="301"/>
    </row>
    <row r="2829" spans="2:16" x14ac:dyDescent="0.4">
      <c r="B2829" s="114" t="s">
        <v>6</v>
      </c>
      <c r="C2829" s="302" t="s">
        <v>1</v>
      </c>
      <c r="D2829" s="303"/>
      <c r="E2829" s="112" t="s">
        <v>193</v>
      </c>
      <c r="F2829" s="120" t="s">
        <v>2</v>
      </c>
      <c r="G2829" s="114" t="s">
        <v>3</v>
      </c>
      <c r="H2829" s="106"/>
      <c r="I2829" s="107" t="s">
        <v>7</v>
      </c>
      <c r="J2829" s="136"/>
      <c r="K2829" s="107" t="s">
        <v>8</v>
      </c>
      <c r="L2829" s="115" t="s">
        <v>194</v>
      </c>
    </row>
    <row r="2830" spans="2:16" x14ac:dyDescent="0.4">
      <c r="B2830" s="122">
        <v>1</v>
      </c>
      <c r="C2830" s="306" t="s">
        <v>321</v>
      </c>
      <c r="D2830" s="306"/>
      <c r="E2830" s="116">
        <f>1*I2802</f>
        <v>1</v>
      </c>
      <c r="F2830" s="83">
        <f>ROUND(E2830/I2802,2)</f>
        <v>1</v>
      </c>
      <c r="G2830" s="74" t="str">
        <f>IF(C2830=0,0,VLOOKUP(C2830,Tabla2[],2,FALSE))</f>
        <v>Unidad</v>
      </c>
      <c r="I2830" s="117">
        <f>IF(C2830=0,0,VLOOKUP(C2830,Tabla2[],3,FALSE))</f>
        <v>50</v>
      </c>
      <c r="K2830" s="84">
        <f>+F2830*I2830</f>
        <v>50</v>
      </c>
      <c r="L2830" s="118">
        <f>E2830*I2830</f>
        <v>50</v>
      </c>
    </row>
    <row r="2831" spans="2:16" x14ac:dyDescent="0.4">
      <c r="B2831" s="122"/>
      <c r="C2831" s="306"/>
      <c r="D2831" s="306"/>
      <c r="E2831" s="116"/>
      <c r="F2831" s="83"/>
      <c r="G2831" s="74"/>
      <c r="I2831" s="117">
        <f>IF(C2831=0,0,VLOOKUP(C2831,Tabla2[],3,FALSE))</f>
        <v>0</v>
      </c>
      <c r="K2831" s="84">
        <f>+F2831*I2831</f>
        <v>0</v>
      </c>
      <c r="L2831" s="118">
        <f>E2831*I2831</f>
        <v>0</v>
      </c>
    </row>
    <row r="2832" spans="2:16" ht="17.399999999999999" thickBot="1" x14ac:dyDescent="0.45">
      <c r="B2832" s="123"/>
      <c r="C2832" s="307"/>
      <c r="D2832" s="308"/>
      <c r="E2832" s="124"/>
      <c r="F2832" s="125"/>
      <c r="G2832" s="74"/>
      <c r="I2832" s="117">
        <f>IF(C2832=0,0,VLOOKUP(C2832,Tabla2[],3,FALSE))</f>
        <v>0</v>
      </c>
      <c r="K2832" s="84">
        <f t="shared" ref="K2832" si="430">+F2832*I2832</f>
        <v>0</v>
      </c>
      <c r="L2832" s="118">
        <f t="shared" ref="L2832:L2833" si="431">E2832*I2832</f>
        <v>0</v>
      </c>
    </row>
    <row r="2833" spans="2:16" ht="17.399999999999999" thickBot="1" x14ac:dyDescent="0.45">
      <c r="B2833" s="297" t="s">
        <v>15</v>
      </c>
      <c r="C2833" s="298"/>
      <c r="D2833" s="298"/>
      <c r="E2833" s="298"/>
      <c r="F2833" s="298"/>
      <c r="G2833" s="299"/>
      <c r="I2833" s="84">
        <v>0</v>
      </c>
      <c r="K2833" s="84">
        <v>0</v>
      </c>
      <c r="L2833" s="118">
        <f t="shared" si="431"/>
        <v>0</v>
      </c>
    </row>
    <row r="2834" spans="2:16" ht="17.399999999999999" thickBot="1" x14ac:dyDescent="0.45"/>
    <row r="2835" spans="2:16" ht="17.399999999999999" thickBot="1" x14ac:dyDescent="0.45">
      <c r="F2835" s="292" t="s">
        <v>16</v>
      </c>
      <c r="G2835" s="293"/>
      <c r="H2835" s="293"/>
      <c r="I2835" s="294"/>
      <c r="K2835" s="229">
        <f>+SUM(K2830:K2833)</f>
        <v>50</v>
      </c>
      <c r="L2835" s="119">
        <f>+SUM(L2830:L2833)</f>
        <v>50</v>
      </c>
    </row>
    <row r="2836" spans="2:16" ht="17.399999999999999" thickBot="1" x14ac:dyDescent="0.45"/>
    <row r="2837" spans="2:16" ht="17.399999999999999" thickBot="1" x14ac:dyDescent="0.45">
      <c r="B2837" s="110" t="s">
        <v>17</v>
      </c>
      <c r="C2837" s="300" t="s">
        <v>18</v>
      </c>
      <c r="D2837" s="300"/>
      <c r="E2837" s="300"/>
      <c r="F2837" s="300"/>
      <c r="G2837" s="301"/>
    </row>
    <row r="2838" spans="2:16" x14ac:dyDescent="0.4">
      <c r="B2838" s="114" t="s">
        <v>6</v>
      </c>
      <c r="C2838" s="302" t="s">
        <v>1</v>
      </c>
      <c r="D2838" s="303"/>
      <c r="E2838" s="126"/>
      <c r="F2838" s="120" t="s">
        <v>2</v>
      </c>
      <c r="G2838" s="114" t="s">
        <v>3</v>
      </c>
      <c r="H2838" s="106"/>
      <c r="I2838" s="107" t="s">
        <v>7</v>
      </c>
      <c r="J2838" s="136"/>
      <c r="K2838" s="107" t="s">
        <v>8</v>
      </c>
      <c r="L2838" s="115" t="s">
        <v>194</v>
      </c>
    </row>
    <row r="2839" spans="2:16" x14ac:dyDescent="0.4">
      <c r="B2839" s="74"/>
      <c r="C2839" s="304"/>
      <c r="D2839" s="305"/>
      <c r="E2839" s="127"/>
      <c r="F2839" s="72"/>
      <c r="G2839" s="74"/>
      <c r="I2839" s="84">
        <v>0</v>
      </c>
      <c r="K2839" s="84">
        <f>+F2839*I2839</f>
        <v>0</v>
      </c>
      <c r="L2839" s="118">
        <f>E2839*I2839</f>
        <v>0</v>
      </c>
    </row>
    <row r="2840" spans="2:16" x14ac:dyDescent="0.4">
      <c r="B2840" s="74"/>
      <c r="C2840" s="304"/>
      <c r="D2840" s="305"/>
      <c r="E2840" s="127"/>
      <c r="F2840" s="72"/>
      <c r="G2840" s="74"/>
      <c r="I2840" s="84">
        <v>0</v>
      </c>
      <c r="K2840" s="84">
        <f t="shared" ref="K2840:K2841" si="432">+F2840*I2840</f>
        <v>0</v>
      </c>
      <c r="L2840" s="118">
        <f t="shared" ref="L2840:L2841" si="433">E2840*I2840</f>
        <v>0</v>
      </c>
    </row>
    <row r="2841" spans="2:16" x14ac:dyDescent="0.4">
      <c r="B2841" s="74"/>
      <c r="C2841" s="304"/>
      <c r="D2841" s="305"/>
      <c r="E2841" s="127"/>
      <c r="F2841" s="72"/>
      <c r="G2841" s="74"/>
      <c r="I2841" s="84">
        <v>0</v>
      </c>
      <c r="K2841" s="84">
        <f t="shared" si="432"/>
        <v>0</v>
      </c>
      <c r="L2841" s="118">
        <f t="shared" si="433"/>
        <v>0</v>
      </c>
    </row>
    <row r="2842" spans="2:16" ht="17.399999999999999" thickBot="1" x14ac:dyDescent="0.45">
      <c r="L2842" s="118"/>
    </row>
    <row r="2843" spans="2:16" ht="17.399999999999999" thickBot="1" x14ac:dyDescent="0.45">
      <c r="F2843" s="292" t="s">
        <v>19</v>
      </c>
      <c r="G2843" s="293"/>
      <c r="H2843" s="293"/>
      <c r="I2843" s="294"/>
      <c r="K2843" s="229">
        <f>+SUM(K2839:K2841)</f>
        <v>0</v>
      </c>
      <c r="L2843" s="119">
        <f>+SUM(L2838:L2841)</f>
        <v>0</v>
      </c>
    </row>
    <row r="2844" spans="2:16" ht="15" customHeight="1" x14ac:dyDescent="0.4">
      <c r="F2844" s="128"/>
      <c r="G2844" s="129"/>
      <c r="H2844" s="130"/>
      <c r="I2844" s="108"/>
      <c r="K2844" s="230"/>
    </row>
    <row r="2845" spans="2:16" ht="15" customHeight="1" thickBot="1" x14ac:dyDescent="0.45"/>
    <row r="2846" spans="2:16" ht="17.399999999999999" thickBot="1" x14ac:dyDescent="0.45">
      <c r="F2846" s="292" t="s">
        <v>20</v>
      </c>
      <c r="G2846" s="293"/>
      <c r="H2846" s="293"/>
      <c r="I2846" s="294"/>
      <c r="K2846" s="229">
        <f>(+K2817+K2826+K2835+K2843)</f>
        <v>670</v>
      </c>
      <c r="L2846" s="119">
        <f>(+L2817+L2826+L2835+L2843)</f>
        <v>670</v>
      </c>
      <c r="N2846" s="131"/>
      <c r="O2846" s="39"/>
      <c r="P2846" s="40"/>
    </row>
    <row r="2847" spans="2:16" ht="7.5" customHeight="1" thickBot="1" x14ac:dyDescent="0.45">
      <c r="N2847" s="131"/>
      <c r="O2847" s="41"/>
      <c r="P2847" s="40"/>
    </row>
    <row r="2848" spans="2:16" ht="17.399999999999999" thickBot="1" x14ac:dyDescent="0.45">
      <c r="F2848" s="292" t="s">
        <v>21</v>
      </c>
      <c r="G2848" s="293"/>
      <c r="H2848" s="293"/>
      <c r="I2848" s="294"/>
      <c r="K2848" s="229">
        <f>K2846*$N$2</f>
        <v>268</v>
      </c>
      <c r="L2848" s="119">
        <f>L2846*$N$2</f>
        <v>268</v>
      </c>
    </row>
    <row r="2849" spans="1:16" ht="7.5" customHeight="1" thickBot="1" x14ac:dyDescent="0.45"/>
    <row r="2850" spans="1:16" ht="17.399999999999999" thickBot="1" x14ac:dyDescent="0.45">
      <c r="F2850" s="292" t="s">
        <v>22</v>
      </c>
      <c r="G2850" s="293"/>
      <c r="H2850" s="293"/>
      <c r="I2850" s="294"/>
      <c r="K2850" s="229">
        <f>+K2846+K2848</f>
        <v>938</v>
      </c>
      <c r="L2850" s="119">
        <f>+L2846+L2848</f>
        <v>938</v>
      </c>
    </row>
    <row r="2851" spans="1:16" ht="17.399999999999999" thickBot="1" x14ac:dyDescent="0.45">
      <c r="F2851" s="128"/>
      <c r="G2851" s="129"/>
      <c r="H2851" s="130"/>
      <c r="I2851" s="108"/>
      <c r="K2851" s="231"/>
      <c r="L2851" s="132">
        <f>L2850/I2802</f>
        <v>938</v>
      </c>
      <c r="M2851" s="133">
        <f>(K2850-L2851)*I2802</f>
        <v>0</v>
      </c>
    </row>
    <row r="2852" spans="1:16" x14ac:dyDescent="0.4">
      <c r="F2852" s="128"/>
      <c r="G2852" s="129"/>
      <c r="H2852" s="130"/>
      <c r="I2852" s="108"/>
      <c r="K2852" s="232"/>
      <c r="L2852" s="131"/>
      <c r="M2852" s="134"/>
      <c r="N2852" s="135"/>
    </row>
    <row r="2853" spans="1:16" ht="17.399999999999999" thickBot="1" x14ac:dyDescent="0.45">
      <c r="B2853" s="295"/>
      <c r="C2853" s="295"/>
      <c r="D2853" s="295"/>
    </row>
    <row r="2854" spans="1:16" x14ac:dyDescent="0.4">
      <c r="B2854" s="296" t="s">
        <v>23</v>
      </c>
      <c r="C2854" s="296"/>
      <c r="D2854" s="296"/>
    </row>
    <row r="2855" spans="1:16" x14ac:dyDescent="0.4">
      <c r="B2855" s="157"/>
      <c r="C2855" s="157"/>
      <c r="D2855" s="157"/>
    </row>
    <row r="2856" spans="1:16" x14ac:dyDescent="0.4">
      <c r="B2856" s="157"/>
      <c r="C2856" s="157"/>
      <c r="D2856" s="157"/>
    </row>
    <row r="2857" spans="1:16" x14ac:dyDescent="0.4">
      <c r="B2857" s="105" t="s">
        <v>43</v>
      </c>
      <c r="C2857" s="106"/>
      <c r="D2857" s="311" t="s">
        <v>1</v>
      </c>
      <c r="E2857" s="311"/>
      <c r="F2857" s="311"/>
      <c r="G2857" s="311"/>
      <c r="H2857" s="106"/>
      <c r="I2857" s="107" t="s">
        <v>2</v>
      </c>
      <c r="J2857" s="136"/>
      <c r="K2857" s="107" t="s">
        <v>3</v>
      </c>
    </row>
    <row r="2858" spans="1:16" s="4" customFormat="1" ht="30.75" customHeight="1" x14ac:dyDescent="0.3">
      <c r="A2858" s="31"/>
      <c r="B2858" s="213">
        <f>CATALOGO!B73</f>
        <v>1007.06</v>
      </c>
      <c r="C2858" s="71"/>
      <c r="D2858" s="324" t="str">
        <f>CATALOGO!C73</f>
        <v>DISPENSADOR DE PAPEL PARA MANOS</v>
      </c>
      <c r="E2858" s="324"/>
      <c r="F2858" s="324"/>
      <c r="G2858" s="324"/>
      <c r="H2858" s="71"/>
      <c r="I2858" s="213">
        <f>CATALOGO!D73</f>
        <v>1</v>
      </c>
      <c r="J2858" s="109"/>
      <c r="K2858" s="227" t="str">
        <f>CATALOGO!E73</f>
        <v>Unidad</v>
      </c>
      <c r="L2858" s="71"/>
      <c r="M2858" s="71"/>
      <c r="N2858" s="104"/>
      <c r="O2858" s="37"/>
      <c r="P2858" s="37"/>
    </row>
    <row r="2859" spans="1:16" ht="17.399999999999999" thickBot="1" x14ac:dyDescent="0.45"/>
    <row r="2860" spans="1:16" ht="17.399999999999999" thickBot="1" x14ac:dyDescent="0.45">
      <c r="B2860" s="110" t="s">
        <v>4</v>
      </c>
      <c r="C2860" s="300" t="s">
        <v>5</v>
      </c>
      <c r="D2860" s="300"/>
      <c r="E2860" s="300"/>
      <c r="F2860" s="300"/>
      <c r="G2860" s="301"/>
    </row>
    <row r="2861" spans="1:16" x14ac:dyDescent="0.3">
      <c r="B2861" s="111" t="s">
        <v>6</v>
      </c>
      <c r="C2861" s="313" t="s">
        <v>1</v>
      </c>
      <c r="D2861" s="314"/>
      <c r="E2861" s="112" t="s">
        <v>193</v>
      </c>
      <c r="F2861" s="113" t="s">
        <v>2</v>
      </c>
      <c r="G2861" s="114" t="s">
        <v>3</v>
      </c>
      <c r="H2861" s="106"/>
      <c r="I2861" s="107" t="s">
        <v>7</v>
      </c>
      <c r="J2861" s="136"/>
      <c r="K2861" s="228" t="s">
        <v>8</v>
      </c>
      <c r="L2861" s="115" t="s">
        <v>194</v>
      </c>
      <c r="O2861" s="323"/>
      <c r="P2861" s="323"/>
    </row>
    <row r="2862" spans="1:16" ht="17.25" customHeight="1" x14ac:dyDescent="0.3">
      <c r="B2862" s="122">
        <v>1</v>
      </c>
      <c r="C2862" s="315" t="s">
        <v>322</v>
      </c>
      <c r="D2862" s="316"/>
      <c r="E2862" s="116">
        <f>1*I2858</f>
        <v>1</v>
      </c>
      <c r="F2862" s="83">
        <f>ROUND(E2862/I2858,2)</f>
        <v>1</v>
      </c>
      <c r="G2862" s="74" t="str">
        <f>IF(C2862=0,0,VLOOKUP(C2862,Tabla1[],2,FALSE))</f>
        <v>Unidad</v>
      </c>
      <c r="I2862" s="117">
        <f>IF(C2862=0,0,VLOOKUP(C2862,Tabla1[],3,FALSE))</f>
        <v>620</v>
      </c>
      <c r="K2862" s="84">
        <f>F2862*I2862</f>
        <v>620</v>
      </c>
      <c r="L2862" s="118">
        <f t="shared" ref="L2862:L2871" si="434">E2862*I2862</f>
        <v>620</v>
      </c>
      <c r="O2862" s="44"/>
      <c r="P2862" s="45"/>
    </row>
    <row r="2863" spans="1:16" ht="16.5" customHeight="1" x14ac:dyDescent="0.4">
      <c r="B2863" s="122"/>
      <c r="C2863" s="319"/>
      <c r="D2863" s="318"/>
      <c r="E2863" s="116"/>
      <c r="F2863" s="83"/>
      <c r="G2863" s="74"/>
      <c r="I2863" s="117">
        <f>IF(C2863=0,0,VLOOKUP(C2863,Tabla1[],3,FALSE))</f>
        <v>0</v>
      </c>
      <c r="K2863" s="84">
        <f t="shared" ref="K2863:K2871" si="435">+F2863*I2863</f>
        <v>0</v>
      </c>
      <c r="L2863" s="118">
        <f t="shared" si="434"/>
        <v>0</v>
      </c>
      <c r="P2863" s="45"/>
    </row>
    <row r="2864" spans="1:16" x14ac:dyDescent="0.4">
      <c r="B2864" s="122"/>
      <c r="C2864" s="319"/>
      <c r="D2864" s="318"/>
      <c r="E2864" s="116"/>
      <c r="F2864" s="83"/>
      <c r="G2864" s="74"/>
      <c r="I2864" s="117">
        <f>IF(C2864=0,0,VLOOKUP(C2864,Tabla1[],3,FALSE))</f>
        <v>0</v>
      </c>
      <c r="K2864" s="84">
        <f t="shared" si="435"/>
        <v>0</v>
      </c>
      <c r="L2864" s="118">
        <f t="shared" si="434"/>
        <v>0</v>
      </c>
      <c r="O2864" s="48"/>
      <c r="P2864" s="49"/>
    </row>
    <row r="2865" spans="2:16" x14ac:dyDescent="0.4">
      <c r="B2865" s="122"/>
      <c r="C2865" s="319"/>
      <c r="D2865" s="318"/>
      <c r="E2865" s="116"/>
      <c r="F2865" s="83"/>
      <c r="G2865" s="74"/>
      <c r="I2865" s="117">
        <f>IF(C2865=0,0,VLOOKUP(C2865,Tabla1[],3,FALSE))</f>
        <v>0</v>
      </c>
      <c r="K2865" s="84">
        <f t="shared" si="435"/>
        <v>0</v>
      </c>
      <c r="L2865" s="118">
        <f t="shared" si="434"/>
        <v>0</v>
      </c>
      <c r="O2865" s="48"/>
      <c r="P2865" s="49"/>
    </row>
    <row r="2866" spans="2:16" x14ac:dyDescent="0.4">
      <c r="B2866" s="122"/>
      <c r="C2866" s="319"/>
      <c r="D2866" s="318"/>
      <c r="E2866" s="116"/>
      <c r="F2866" s="83"/>
      <c r="G2866" s="74"/>
      <c r="I2866" s="117">
        <f>IF(C2866=0,0,VLOOKUP(C2866,Tabla1[],3,FALSE))</f>
        <v>0</v>
      </c>
      <c r="K2866" s="84">
        <f t="shared" si="435"/>
        <v>0</v>
      </c>
      <c r="L2866" s="118">
        <f t="shared" si="434"/>
        <v>0</v>
      </c>
      <c r="O2866" s="48"/>
      <c r="P2866" s="49"/>
    </row>
    <row r="2867" spans="2:16" x14ac:dyDescent="0.4">
      <c r="B2867" s="122"/>
      <c r="C2867" s="319"/>
      <c r="D2867" s="318"/>
      <c r="E2867" s="116"/>
      <c r="F2867" s="83"/>
      <c r="G2867" s="74"/>
      <c r="I2867" s="117">
        <f>IF(C2867=0,0,VLOOKUP(C2867,Tabla1[],3,FALSE))</f>
        <v>0</v>
      </c>
      <c r="K2867" s="84">
        <f t="shared" si="435"/>
        <v>0</v>
      </c>
      <c r="L2867" s="118">
        <f t="shared" si="434"/>
        <v>0</v>
      </c>
      <c r="O2867" s="48"/>
      <c r="P2867" s="49"/>
    </row>
    <row r="2868" spans="2:16" x14ac:dyDescent="0.4">
      <c r="B2868" s="122"/>
      <c r="C2868" s="319"/>
      <c r="D2868" s="318"/>
      <c r="E2868" s="116"/>
      <c r="F2868" s="83"/>
      <c r="G2868" s="74"/>
      <c r="I2868" s="117">
        <f>IF(C2868=0,0,VLOOKUP(C2868,Tabla1[],3,FALSE))</f>
        <v>0</v>
      </c>
      <c r="K2868" s="84">
        <f t="shared" si="435"/>
        <v>0</v>
      </c>
      <c r="L2868" s="118">
        <f t="shared" si="434"/>
        <v>0</v>
      </c>
      <c r="O2868" s="48"/>
      <c r="P2868" s="49"/>
    </row>
    <row r="2869" spans="2:16" x14ac:dyDescent="0.4">
      <c r="B2869" s="122"/>
      <c r="C2869" s="317"/>
      <c r="D2869" s="318"/>
      <c r="E2869" s="116"/>
      <c r="F2869" s="83"/>
      <c r="G2869" s="74"/>
      <c r="I2869" s="117">
        <f>IF(C2869=0,0,VLOOKUP(C2869,Tabla1[],3,FALSE))</f>
        <v>0</v>
      </c>
      <c r="K2869" s="84">
        <f t="shared" si="435"/>
        <v>0</v>
      </c>
      <c r="L2869" s="118">
        <f t="shared" si="434"/>
        <v>0</v>
      </c>
      <c r="O2869" s="48"/>
      <c r="P2869" s="49"/>
    </row>
    <row r="2870" spans="2:16" x14ac:dyDescent="0.4">
      <c r="B2870" s="122"/>
      <c r="C2870" s="309"/>
      <c r="D2870" s="310"/>
      <c r="E2870" s="116"/>
      <c r="F2870" s="83"/>
      <c r="G2870" s="74"/>
      <c r="I2870" s="117">
        <f>IF(C2870=0,0,VLOOKUP(C2870,Tabla1[],3,FALSE))</f>
        <v>0</v>
      </c>
      <c r="K2870" s="84">
        <f t="shared" si="435"/>
        <v>0</v>
      </c>
      <c r="L2870" s="118">
        <f t="shared" si="434"/>
        <v>0</v>
      </c>
      <c r="O2870" s="48"/>
      <c r="P2870" s="49"/>
    </row>
    <row r="2871" spans="2:16" x14ac:dyDescent="0.4">
      <c r="B2871" s="122"/>
      <c r="C2871" s="319"/>
      <c r="D2871" s="318"/>
      <c r="E2871" s="116"/>
      <c r="F2871" s="83"/>
      <c r="G2871" s="74"/>
      <c r="I2871" s="117">
        <f>IF(C2871=0,0,VLOOKUP(C2871,Tabla1[],3,FALSE))</f>
        <v>0</v>
      </c>
      <c r="K2871" s="84">
        <f t="shared" si="435"/>
        <v>0</v>
      </c>
      <c r="L2871" s="118">
        <f t="shared" si="434"/>
        <v>0</v>
      </c>
      <c r="O2871" s="48"/>
      <c r="P2871" s="49"/>
    </row>
    <row r="2872" spans="2:16" ht="17.399999999999999" thickBot="1" x14ac:dyDescent="0.45"/>
    <row r="2873" spans="2:16" ht="17.399999999999999" thickBot="1" x14ac:dyDescent="0.35">
      <c r="F2873" s="292" t="s">
        <v>9</v>
      </c>
      <c r="G2873" s="293"/>
      <c r="H2873" s="293"/>
      <c r="I2873" s="294"/>
      <c r="K2873" s="229">
        <f>+SUM(K2862:K2871)</f>
        <v>620</v>
      </c>
      <c r="L2873" s="119">
        <f>+SUM(L2862:L2871)</f>
        <v>620</v>
      </c>
      <c r="O2873" s="38"/>
      <c r="P2873" s="38"/>
    </row>
    <row r="2874" spans="2:16" ht="17.399999999999999" thickBot="1" x14ac:dyDescent="0.45">
      <c r="O2874" s="42"/>
      <c r="P2874" s="43"/>
    </row>
    <row r="2875" spans="2:16" ht="17.399999999999999" thickBot="1" x14ac:dyDescent="0.45">
      <c r="B2875" s="110" t="s">
        <v>10</v>
      </c>
      <c r="C2875" s="300" t="s">
        <v>11</v>
      </c>
      <c r="D2875" s="300"/>
      <c r="E2875" s="300"/>
      <c r="F2875" s="300"/>
      <c r="G2875" s="301"/>
    </row>
    <row r="2876" spans="2:16" x14ac:dyDescent="0.4">
      <c r="B2876" s="114" t="s">
        <v>6</v>
      </c>
      <c r="C2876" s="302" t="s">
        <v>1</v>
      </c>
      <c r="D2876" s="303"/>
      <c r="E2876" s="112" t="s">
        <v>193</v>
      </c>
      <c r="F2876" s="120" t="s">
        <v>2</v>
      </c>
      <c r="G2876" s="114" t="s">
        <v>3</v>
      </c>
      <c r="H2876" s="106"/>
      <c r="I2876" s="107" t="s">
        <v>7</v>
      </c>
      <c r="J2876" s="136"/>
      <c r="K2876" s="107" t="s">
        <v>8</v>
      </c>
      <c r="L2876" s="115" t="s">
        <v>194</v>
      </c>
    </row>
    <row r="2877" spans="2:16" x14ac:dyDescent="0.4">
      <c r="B2877" s="122"/>
      <c r="C2877" s="306"/>
      <c r="D2877" s="306"/>
      <c r="E2877" s="116"/>
      <c r="F2877" s="83"/>
      <c r="G2877" s="74"/>
      <c r="I2877" s="117">
        <f>IF(C2877=0,0,VLOOKUP(C2877,Tabla3[],3,FALSE))</f>
        <v>0</v>
      </c>
      <c r="K2877" s="84">
        <f>F2877*I2877</f>
        <v>0</v>
      </c>
      <c r="L2877" s="118">
        <f>E2877*I2877</f>
        <v>0</v>
      </c>
    </row>
    <row r="2878" spans="2:16" x14ac:dyDescent="0.4">
      <c r="B2878" s="74"/>
      <c r="C2878" s="309"/>
      <c r="D2878" s="310"/>
      <c r="E2878" s="121"/>
      <c r="F2878" s="72"/>
      <c r="G2878" s="74"/>
      <c r="I2878" s="117">
        <f>IF(C2878=0,0,VLOOKUP(C2878,Tabla3[],3,FALSE))</f>
        <v>0</v>
      </c>
      <c r="K2878" s="84">
        <f t="shared" ref="K2878:K2880" si="436">+F2878*I2878</f>
        <v>0</v>
      </c>
      <c r="L2878" s="118">
        <f t="shared" ref="L2878:L2880" si="437">E2878*I2878</f>
        <v>0</v>
      </c>
    </row>
    <row r="2879" spans="2:16" x14ac:dyDescent="0.4">
      <c r="B2879" s="74"/>
      <c r="C2879" s="309"/>
      <c r="D2879" s="310"/>
      <c r="E2879" s="121"/>
      <c r="F2879" s="72"/>
      <c r="G2879" s="74"/>
      <c r="I2879" s="117">
        <f>IF(C2879=0,0,VLOOKUP(C2879,Tabla3[],3,FALSE))</f>
        <v>0</v>
      </c>
      <c r="K2879" s="84">
        <f t="shared" si="436"/>
        <v>0</v>
      </c>
      <c r="L2879" s="118">
        <f t="shared" si="437"/>
        <v>0</v>
      </c>
    </row>
    <row r="2880" spans="2:16" x14ac:dyDescent="0.4">
      <c r="B2880" s="74"/>
      <c r="C2880" s="304"/>
      <c r="D2880" s="305"/>
      <c r="E2880" s="121"/>
      <c r="F2880" s="72"/>
      <c r="G2880" s="74"/>
      <c r="I2880" s="117">
        <f>IF(C2880=0,0,VLOOKUP(C2880,Tabla3[],3,FALSE))</f>
        <v>0</v>
      </c>
      <c r="K2880" s="84">
        <f t="shared" si="436"/>
        <v>0</v>
      </c>
      <c r="L2880" s="118">
        <f t="shared" si="437"/>
        <v>0</v>
      </c>
    </row>
    <row r="2881" spans="2:12" ht="17.399999999999999" thickBot="1" x14ac:dyDescent="0.45"/>
    <row r="2882" spans="2:12" ht="17.399999999999999" thickBot="1" x14ac:dyDescent="0.45">
      <c r="F2882" s="292" t="s">
        <v>12</v>
      </c>
      <c r="G2882" s="293"/>
      <c r="H2882" s="293"/>
      <c r="I2882" s="294"/>
      <c r="K2882" s="229">
        <f>+SUM(K2877:K2880)</f>
        <v>0</v>
      </c>
      <c r="L2882" s="119">
        <f>+SUM(L2877:L2880)</f>
        <v>0</v>
      </c>
    </row>
    <row r="2883" spans="2:12" ht="17.399999999999999" thickBot="1" x14ac:dyDescent="0.45"/>
    <row r="2884" spans="2:12" ht="17.399999999999999" thickBot="1" x14ac:dyDescent="0.45">
      <c r="B2884" s="110" t="s">
        <v>13</v>
      </c>
      <c r="C2884" s="300" t="s">
        <v>14</v>
      </c>
      <c r="D2884" s="300"/>
      <c r="E2884" s="300"/>
      <c r="F2884" s="300"/>
      <c r="G2884" s="301"/>
    </row>
    <row r="2885" spans="2:12" x14ac:dyDescent="0.4">
      <c r="B2885" s="114" t="s">
        <v>6</v>
      </c>
      <c r="C2885" s="302" t="s">
        <v>1</v>
      </c>
      <c r="D2885" s="303"/>
      <c r="E2885" s="112" t="s">
        <v>193</v>
      </c>
      <c r="F2885" s="120" t="s">
        <v>2</v>
      </c>
      <c r="G2885" s="114" t="s">
        <v>3</v>
      </c>
      <c r="H2885" s="106"/>
      <c r="I2885" s="107" t="s">
        <v>7</v>
      </c>
      <c r="J2885" s="136"/>
      <c r="K2885" s="107" t="s">
        <v>8</v>
      </c>
      <c r="L2885" s="115" t="s">
        <v>194</v>
      </c>
    </row>
    <row r="2886" spans="2:12" x14ac:dyDescent="0.4">
      <c r="B2886" s="122">
        <v>1</v>
      </c>
      <c r="C2886" s="306" t="s">
        <v>321</v>
      </c>
      <c r="D2886" s="306"/>
      <c r="E2886" s="116">
        <f>1*I2858</f>
        <v>1</v>
      </c>
      <c r="F2886" s="83">
        <f>ROUND(E2886/I2858,2)</f>
        <v>1</v>
      </c>
      <c r="G2886" s="74" t="str">
        <f>IF(C2886=0,0,VLOOKUP(C2886,Tabla2[],2,FALSE))</f>
        <v>Unidad</v>
      </c>
      <c r="I2886" s="117">
        <f>IF(C2886=0,0,VLOOKUP(C2886,Tabla2[],3,FALSE))</f>
        <v>50</v>
      </c>
      <c r="K2886" s="84">
        <f>+F2886*I2886</f>
        <v>50</v>
      </c>
      <c r="L2886" s="118">
        <f>E2886*I2886</f>
        <v>50</v>
      </c>
    </row>
    <row r="2887" spans="2:12" x14ac:dyDescent="0.4">
      <c r="B2887" s="122"/>
      <c r="C2887" s="306"/>
      <c r="D2887" s="306"/>
      <c r="E2887" s="116"/>
      <c r="F2887" s="83"/>
      <c r="G2887" s="74"/>
      <c r="I2887" s="117">
        <f>IF(C2887=0,0,VLOOKUP(C2887,Tabla2[],3,FALSE))</f>
        <v>0</v>
      </c>
      <c r="K2887" s="84">
        <f>+F2887*I2887</f>
        <v>0</v>
      </c>
      <c r="L2887" s="118">
        <f>E2887*I2887</f>
        <v>0</v>
      </c>
    </row>
    <row r="2888" spans="2:12" ht="17.399999999999999" thickBot="1" x14ac:dyDescent="0.45">
      <c r="B2888" s="123"/>
      <c r="C2888" s="307"/>
      <c r="D2888" s="308"/>
      <c r="E2888" s="124"/>
      <c r="F2888" s="125"/>
      <c r="G2888" s="74"/>
      <c r="I2888" s="117">
        <f>IF(C2888=0,0,VLOOKUP(C2888,Tabla2[],3,FALSE))</f>
        <v>0</v>
      </c>
      <c r="K2888" s="84">
        <f t="shared" ref="K2888" si="438">+F2888*I2888</f>
        <v>0</v>
      </c>
      <c r="L2888" s="118">
        <f t="shared" ref="L2888:L2889" si="439">E2888*I2888</f>
        <v>0</v>
      </c>
    </row>
    <row r="2889" spans="2:12" ht="17.399999999999999" thickBot="1" x14ac:dyDescent="0.45">
      <c r="B2889" s="297" t="s">
        <v>15</v>
      </c>
      <c r="C2889" s="298"/>
      <c r="D2889" s="298"/>
      <c r="E2889" s="298"/>
      <c r="F2889" s="298"/>
      <c r="G2889" s="299"/>
      <c r="I2889" s="84">
        <v>0</v>
      </c>
      <c r="K2889" s="84">
        <v>0</v>
      </c>
      <c r="L2889" s="118">
        <f t="shared" si="439"/>
        <v>0</v>
      </c>
    </row>
    <row r="2890" spans="2:12" ht="17.399999999999999" thickBot="1" x14ac:dyDescent="0.45"/>
    <row r="2891" spans="2:12" ht="17.399999999999999" thickBot="1" x14ac:dyDescent="0.45">
      <c r="F2891" s="292" t="s">
        <v>16</v>
      </c>
      <c r="G2891" s="293"/>
      <c r="H2891" s="293"/>
      <c r="I2891" s="294"/>
      <c r="K2891" s="229">
        <f>+SUM(K2886:K2889)</f>
        <v>50</v>
      </c>
      <c r="L2891" s="119">
        <f>+SUM(L2886:L2889)</f>
        <v>50</v>
      </c>
    </row>
    <row r="2892" spans="2:12" ht="17.399999999999999" thickBot="1" x14ac:dyDescent="0.45"/>
    <row r="2893" spans="2:12" ht="17.399999999999999" thickBot="1" x14ac:dyDescent="0.45">
      <c r="B2893" s="110" t="s">
        <v>17</v>
      </c>
      <c r="C2893" s="300" t="s">
        <v>18</v>
      </c>
      <c r="D2893" s="300"/>
      <c r="E2893" s="300"/>
      <c r="F2893" s="300"/>
      <c r="G2893" s="301"/>
    </row>
    <row r="2894" spans="2:12" x14ac:dyDescent="0.4">
      <c r="B2894" s="114" t="s">
        <v>6</v>
      </c>
      <c r="C2894" s="302" t="s">
        <v>1</v>
      </c>
      <c r="D2894" s="303"/>
      <c r="E2894" s="126"/>
      <c r="F2894" s="120" t="s">
        <v>2</v>
      </c>
      <c r="G2894" s="114" t="s">
        <v>3</v>
      </c>
      <c r="H2894" s="106"/>
      <c r="I2894" s="107" t="s">
        <v>7</v>
      </c>
      <c r="J2894" s="136"/>
      <c r="K2894" s="107" t="s">
        <v>8</v>
      </c>
      <c r="L2894" s="115" t="s">
        <v>194</v>
      </c>
    </row>
    <row r="2895" spans="2:12" x14ac:dyDescent="0.4">
      <c r="B2895" s="74"/>
      <c r="C2895" s="304"/>
      <c r="D2895" s="305"/>
      <c r="E2895" s="127"/>
      <c r="F2895" s="72"/>
      <c r="G2895" s="74"/>
      <c r="I2895" s="84">
        <v>0</v>
      </c>
      <c r="K2895" s="84">
        <f>+F2895*I2895</f>
        <v>0</v>
      </c>
      <c r="L2895" s="118">
        <f>E2895*I2895</f>
        <v>0</v>
      </c>
    </row>
    <row r="2896" spans="2:12" x14ac:dyDescent="0.4">
      <c r="B2896" s="74"/>
      <c r="C2896" s="304"/>
      <c r="D2896" s="305"/>
      <c r="E2896" s="127"/>
      <c r="F2896" s="72"/>
      <c r="G2896" s="74"/>
      <c r="I2896" s="84">
        <v>0</v>
      </c>
      <c r="K2896" s="84">
        <f t="shared" ref="K2896:K2897" si="440">+F2896*I2896</f>
        <v>0</v>
      </c>
      <c r="L2896" s="118">
        <f t="shared" ref="L2896:L2897" si="441">E2896*I2896</f>
        <v>0</v>
      </c>
    </row>
    <row r="2897" spans="2:16" x14ac:dyDescent="0.4">
      <c r="B2897" s="74"/>
      <c r="C2897" s="304"/>
      <c r="D2897" s="305"/>
      <c r="E2897" s="127"/>
      <c r="F2897" s="72"/>
      <c r="G2897" s="74"/>
      <c r="I2897" s="84">
        <v>0</v>
      </c>
      <c r="K2897" s="84">
        <f t="shared" si="440"/>
        <v>0</v>
      </c>
      <c r="L2897" s="118">
        <f t="shared" si="441"/>
        <v>0</v>
      </c>
    </row>
    <row r="2898" spans="2:16" ht="17.399999999999999" thickBot="1" x14ac:dyDescent="0.45">
      <c r="L2898" s="118"/>
    </row>
    <row r="2899" spans="2:16" ht="17.399999999999999" thickBot="1" x14ac:dyDescent="0.45">
      <c r="F2899" s="292" t="s">
        <v>19</v>
      </c>
      <c r="G2899" s="293"/>
      <c r="H2899" s="293"/>
      <c r="I2899" s="294"/>
      <c r="K2899" s="229">
        <f>+SUM(K2895:K2897)</f>
        <v>0</v>
      </c>
      <c r="L2899" s="119">
        <f>+SUM(L2894:L2897)</f>
        <v>0</v>
      </c>
    </row>
    <row r="2900" spans="2:16" ht="15" customHeight="1" x14ac:dyDescent="0.4">
      <c r="F2900" s="128"/>
      <c r="G2900" s="129"/>
      <c r="H2900" s="130"/>
      <c r="I2900" s="108"/>
      <c r="K2900" s="230"/>
    </row>
    <row r="2901" spans="2:16" ht="15" customHeight="1" thickBot="1" x14ac:dyDescent="0.45"/>
    <row r="2902" spans="2:16" ht="17.399999999999999" thickBot="1" x14ac:dyDescent="0.45">
      <c r="F2902" s="292" t="s">
        <v>20</v>
      </c>
      <c r="G2902" s="293"/>
      <c r="H2902" s="293"/>
      <c r="I2902" s="294"/>
      <c r="K2902" s="229">
        <f>(+K2873+K2882+K2891+K2899)</f>
        <v>670</v>
      </c>
      <c r="L2902" s="119">
        <f>(+L2873+L2882+L2891+L2899)</f>
        <v>670</v>
      </c>
      <c r="N2902" s="131"/>
      <c r="O2902" s="39"/>
      <c r="P2902" s="40"/>
    </row>
    <row r="2903" spans="2:16" ht="7.5" customHeight="1" thickBot="1" x14ac:dyDescent="0.45">
      <c r="N2903" s="131"/>
      <c r="O2903" s="41"/>
      <c r="P2903" s="40"/>
    </row>
    <row r="2904" spans="2:16" ht="17.399999999999999" thickBot="1" x14ac:dyDescent="0.45">
      <c r="F2904" s="292" t="s">
        <v>21</v>
      </c>
      <c r="G2904" s="293"/>
      <c r="H2904" s="293"/>
      <c r="I2904" s="294"/>
      <c r="K2904" s="229">
        <f>K2902*$N$2</f>
        <v>268</v>
      </c>
      <c r="L2904" s="119">
        <f>L2902*$N$2</f>
        <v>268</v>
      </c>
    </row>
    <row r="2905" spans="2:16" ht="7.5" customHeight="1" thickBot="1" x14ac:dyDescent="0.45"/>
    <row r="2906" spans="2:16" ht="17.399999999999999" thickBot="1" x14ac:dyDescent="0.45">
      <c r="F2906" s="292" t="s">
        <v>22</v>
      </c>
      <c r="G2906" s="293"/>
      <c r="H2906" s="293"/>
      <c r="I2906" s="294"/>
      <c r="K2906" s="229">
        <f>+K2902+K2904</f>
        <v>938</v>
      </c>
      <c r="L2906" s="119">
        <f>+L2902+L2904</f>
        <v>938</v>
      </c>
    </row>
    <row r="2907" spans="2:16" ht="17.399999999999999" thickBot="1" x14ac:dyDescent="0.45">
      <c r="F2907" s="128"/>
      <c r="G2907" s="129"/>
      <c r="H2907" s="130"/>
      <c r="I2907" s="108"/>
      <c r="K2907" s="231"/>
      <c r="L2907" s="132">
        <f>L2906/I2858</f>
        <v>938</v>
      </c>
      <c r="M2907" s="133">
        <f>(K2906-L2907)*I2858</f>
        <v>0</v>
      </c>
    </row>
    <row r="2908" spans="2:16" x14ac:dyDescent="0.4">
      <c r="F2908" s="128"/>
      <c r="G2908" s="129"/>
      <c r="H2908" s="130"/>
      <c r="I2908" s="108"/>
      <c r="K2908" s="232"/>
      <c r="L2908" s="131"/>
      <c r="M2908" s="134"/>
      <c r="N2908" s="135"/>
    </row>
    <row r="2909" spans="2:16" ht="17.399999999999999" thickBot="1" x14ac:dyDescent="0.45">
      <c r="B2909" s="295"/>
      <c r="C2909" s="295"/>
      <c r="D2909" s="295"/>
    </row>
    <row r="2910" spans="2:16" x14ac:dyDescent="0.4">
      <c r="B2910" s="296" t="s">
        <v>23</v>
      </c>
      <c r="C2910" s="296"/>
      <c r="D2910" s="296"/>
    </row>
    <row r="2911" spans="2:16" x14ac:dyDescent="0.4">
      <c r="B2911" s="157"/>
      <c r="C2911" s="157"/>
      <c r="D2911" s="157"/>
    </row>
    <row r="2912" spans="2:16" x14ac:dyDescent="0.4">
      <c r="B2912" s="157"/>
      <c r="C2912" s="157"/>
      <c r="D2912" s="157"/>
    </row>
    <row r="2913" spans="1:16" x14ac:dyDescent="0.4">
      <c r="B2913" s="105" t="s">
        <v>43</v>
      </c>
      <c r="C2913" s="106"/>
      <c r="D2913" s="311" t="s">
        <v>1</v>
      </c>
      <c r="E2913" s="311"/>
      <c r="F2913" s="311"/>
      <c r="G2913" s="311"/>
      <c r="H2913" s="106"/>
      <c r="I2913" s="107" t="s">
        <v>2</v>
      </c>
      <c r="J2913" s="136"/>
      <c r="K2913" s="107" t="s">
        <v>3</v>
      </c>
    </row>
    <row r="2914" spans="1:16" s="4" customFormat="1" ht="30.75" customHeight="1" x14ac:dyDescent="0.3">
      <c r="A2914" s="31"/>
      <c r="B2914" s="213">
        <f>CATALOGO!B74</f>
        <v>1007.08</v>
      </c>
      <c r="C2914" s="71"/>
      <c r="D2914" s="324" t="str">
        <f>CATALOGO!C74</f>
        <v>DISPENSADOR PARA JABÓN LÍQUIDO ACERO INOXIDABLE</v>
      </c>
      <c r="E2914" s="324"/>
      <c r="F2914" s="324"/>
      <c r="G2914" s="324"/>
      <c r="H2914" s="71"/>
      <c r="I2914" s="213">
        <f>CATALOGO!D74</f>
        <v>1</v>
      </c>
      <c r="J2914" s="109"/>
      <c r="K2914" s="227" t="str">
        <f>CATALOGO!E74</f>
        <v>Unidad</v>
      </c>
      <c r="L2914" s="71"/>
      <c r="M2914" s="71"/>
      <c r="N2914" s="104"/>
      <c r="O2914" s="37"/>
      <c r="P2914" s="37"/>
    </row>
    <row r="2915" spans="1:16" ht="17.399999999999999" thickBot="1" x14ac:dyDescent="0.45"/>
    <row r="2916" spans="1:16" ht="17.399999999999999" thickBot="1" x14ac:dyDescent="0.45">
      <c r="B2916" s="110" t="s">
        <v>4</v>
      </c>
      <c r="C2916" s="300" t="s">
        <v>5</v>
      </c>
      <c r="D2916" s="300"/>
      <c r="E2916" s="300"/>
      <c r="F2916" s="300"/>
      <c r="G2916" s="301"/>
    </row>
    <row r="2917" spans="1:16" x14ac:dyDescent="0.3">
      <c r="B2917" s="111" t="s">
        <v>6</v>
      </c>
      <c r="C2917" s="313" t="s">
        <v>1</v>
      </c>
      <c r="D2917" s="314"/>
      <c r="E2917" s="112" t="s">
        <v>193</v>
      </c>
      <c r="F2917" s="113" t="s">
        <v>2</v>
      </c>
      <c r="G2917" s="114" t="s">
        <v>3</v>
      </c>
      <c r="H2917" s="106"/>
      <c r="I2917" s="107" t="s">
        <v>7</v>
      </c>
      <c r="J2917" s="136"/>
      <c r="K2917" s="228" t="s">
        <v>8</v>
      </c>
      <c r="L2917" s="115" t="s">
        <v>194</v>
      </c>
      <c r="O2917" s="323"/>
      <c r="P2917" s="323"/>
    </row>
    <row r="2918" spans="1:16" ht="17.25" customHeight="1" x14ac:dyDescent="0.3">
      <c r="B2918" s="122">
        <v>1</v>
      </c>
      <c r="C2918" s="315" t="s">
        <v>323</v>
      </c>
      <c r="D2918" s="316"/>
      <c r="E2918" s="116">
        <f>1*I2914</f>
        <v>1</v>
      </c>
      <c r="F2918" s="83">
        <f>ROUND(E2918/I2914,2)</f>
        <v>1</v>
      </c>
      <c r="G2918" s="74" t="str">
        <f>IF(C2918=0,0,VLOOKUP(C2918,Tabla1[],2,FALSE))</f>
        <v>Unidad</v>
      </c>
      <c r="I2918" s="117">
        <f>IF(C2918=0,0,VLOOKUP(C2918,Tabla1[],3,FALSE))</f>
        <v>1040</v>
      </c>
      <c r="K2918" s="84">
        <f>F2918*I2918</f>
        <v>1040</v>
      </c>
      <c r="L2918" s="118">
        <f t="shared" ref="L2918:L2927" si="442">E2918*I2918</f>
        <v>1040</v>
      </c>
      <c r="O2918" s="44"/>
      <c r="P2918" s="45"/>
    </row>
    <row r="2919" spans="1:16" ht="16.5" customHeight="1" x14ac:dyDescent="0.4">
      <c r="B2919" s="122"/>
      <c r="C2919" s="319"/>
      <c r="D2919" s="318"/>
      <c r="E2919" s="116"/>
      <c r="F2919" s="83"/>
      <c r="G2919" s="74"/>
      <c r="I2919" s="117">
        <f>IF(C2919=0,0,VLOOKUP(C2919,Tabla1[],3,FALSE))</f>
        <v>0</v>
      </c>
      <c r="K2919" s="84">
        <f t="shared" ref="K2919:K2927" si="443">+F2919*I2919</f>
        <v>0</v>
      </c>
      <c r="L2919" s="118">
        <f t="shared" si="442"/>
        <v>0</v>
      </c>
      <c r="P2919" s="45"/>
    </row>
    <row r="2920" spans="1:16" x14ac:dyDescent="0.4">
      <c r="B2920" s="122"/>
      <c r="C2920" s="319"/>
      <c r="D2920" s="318"/>
      <c r="E2920" s="116"/>
      <c r="F2920" s="83"/>
      <c r="G2920" s="74"/>
      <c r="I2920" s="117">
        <f>IF(C2920=0,0,VLOOKUP(C2920,Tabla1[],3,FALSE))</f>
        <v>0</v>
      </c>
      <c r="K2920" s="84">
        <f t="shared" si="443"/>
        <v>0</v>
      </c>
      <c r="L2920" s="118">
        <f t="shared" si="442"/>
        <v>0</v>
      </c>
      <c r="O2920" s="48"/>
      <c r="P2920" s="49"/>
    </row>
    <row r="2921" spans="1:16" x14ac:dyDescent="0.4">
      <c r="B2921" s="122"/>
      <c r="C2921" s="319"/>
      <c r="D2921" s="318"/>
      <c r="E2921" s="116"/>
      <c r="F2921" s="83"/>
      <c r="G2921" s="74"/>
      <c r="I2921" s="117">
        <f>IF(C2921=0,0,VLOOKUP(C2921,Tabla1[],3,FALSE))</f>
        <v>0</v>
      </c>
      <c r="K2921" s="84">
        <f t="shared" si="443"/>
        <v>0</v>
      </c>
      <c r="L2921" s="118">
        <f t="shared" si="442"/>
        <v>0</v>
      </c>
      <c r="O2921" s="48"/>
      <c r="P2921" s="49"/>
    </row>
    <row r="2922" spans="1:16" x14ac:dyDescent="0.4">
      <c r="B2922" s="122"/>
      <c r="C2922" s="319"/>
      <c r="D2922" s="318"/>
      <c r="E2922" s="116"/>
      <c r="F2922" s="83"/>
      <c r="G2922" s="74"/>
      <c r="I2922" s="117">
        <f>IF(C2922=0,0,VLOOKUP(C2922,Tabla1[],3,FALSE))</f>
        <v>0</v>
      </c>
      <c r="K2922" s="84">
        <f t="shared" si="443"/>
        <v>0</v>
      </c>
      <c r="L2922" s="118">
        <f t="shared" si="442"/>
        <v>0</v>
      </c>
      <c r="O2922" s="48"/>
      <c r="P2922" s="49"/>
    </row>
    <row r="2923" spans="1:16" x14ac:dyDescent="0.4">
      <c r="B2923" s="122"/>
      <c r="C2923" s="319"/>
      <c r="D2923" s="318"/>
      <c r="E2923" s="116"/>
      <c r="F2923" s="83"/>
      <c r="G2923" s="74"/>
      <c r="I2923" s="117">
        <f>IF(C2923=0,0,VLOOKUP(C2923,Tabla1[],3,FALSE))</f>
        <v>0</v>
      </c>
      <c r="K2923" s="84">
        <f t="shared" si="443"/>
        <v>0</v>
      </c>
      <c r="L2923" s="118">
        <f t="shared" si="442"/>
        <v>0</v>
      </c>
      <c r="O2923" s="48"/>
      <c r="P2923" s="49"/>
    </row>
    <row r="2924" spans="1:16" x14ac:dyDescent="0.4">
      <c r="B2924" s="122"/>
      <c r="C2924" s="319"/>
      <c r="D2924" s="318"/>
      <c r="E2924" s="116"/>
      <c r="F2924" s="83"/>
      <c r="G2924" s="74"/>
      <c r="I2924" s="117">
        <f>IF(C2924=0,0,VLOOKUP(C2924,Tabla1[],3,FALSE))</f>
        <v>0</v>
      </c>
      <c r="K2924" s="84">
        <f t="shared" si="443"/>
        <v>0</v>
      </c>
      <c r="L2924" s="118">
        <f t="shared" si="442"/>
        <v>0</v>
      </c>
      <c r="O2924" s="48"/>
      <c r="P2924" s="49"/>
    </row>
    <row r="2925" spans="1:16" x14ac:dyDescent="0.4">
      <c r="B2925" s="122"/>
      <c r="C2925" s="317"/>
      <c r="D2925" s="318"/>
      <c r="E2925" s="116"/>
      <c r="F2925" s="83"/>
      <c r="G2925" s="74"/>
      <c r="I2925" s="117">
        <f>IF(C2925=0,0,VLOOKUP(C2925,Tabla1[],3,FALSE))</f>
        <v>0</v>
      </c>
      <c r="K2925" s="84">
        <f t="shared" si="443"/>
        <v>0</v>
      </c>
      <c r="L2925" s="118">
        <f t="shared" si="442"/>
        <v>0</v>
      </c>
      <c r="O2925" s="48"/>
      <c r="P2925" s="49"/>
    </row>
    <row r="2926" spans="1:16" x14ac:dyDescent="0.4">
      <c r="B2926" s="122"/>
      <c r="C2926" s="309"/>
      <c r="D2926" s="310"/>
      <c r="E2926" s="116"/>
      <c r="F2926" s="83"/>
      <c r="G2926" s="74"/>
      <c r="I2926" s="117">
        <f>IF(C2926=0,0,VLOOKUP(C2926,Tabla1[],3,FALSE))</f>
        <v>0</v>
      </c>
      <c r="K2926" s="84">
        <f t="shared" si="443"/>
        <v>0</v>
      </c>
      <c r="L2926" s="118">
        <f t="shared" si="442"/>
        <v>0</v>
      </c>
      <c r="O2926" s="48"/>
      <c r="P2926" s="49"/>
    </row>
    <row r="2927" spans="1:16" x14ac:dyDescent="0.4">
      <c r="B2927" s="122"/>
      <c r="C2927" s="319"/>
      <c r="D2927" s="318"/>
      <c r="E2927" s="116"/>
      <c r="F2927" s="83"/>
      <c r="G2927" s="74"/>
      <c r="I2927" s="117">
        <f>IF(C2927=0,0,VLOOKUP(C2927,Tabla1[],3,FALSE))</f>
        <v>0</v>
      </c>
      <c r="K2927" s="84">
        <f t="shared" si="443"/>
        <v>0</v>
      </c>
      <c r="L2927" s="118">
        <f t="shared" si="442"/>
        <v>0</v>
      </c>
      <c r="O2927" s="48"/>
      <c r="P2927" s="49"/>
    </row>
    <row r="2928" spans="1:16" ht="17.399999999999999" thickBot="1" x14ac:dyDescent="0.45"/>
    <row r="2929" spans="2:16" ht="17.399999999999999" thickBot="1" x14ac:dyDescent="0.35">
      <c r="F2929" s="292" t="s">
        <v>9</v>
      </c>
      <c r="G2929" s="293"/>
      <c r="H2929" s="293"/>
      <c r="I2929" s="294"/>
      <c r="K2929" s="229">
        <f>+SUM(K2918:K2927)</f>
        <v>1040</v>
      </c>
      <c r="L2929" s="119">
        <f>+SUM(L2918:L2927)</f>
        <v>1040</v>
      </c>
      <c r="O2929" s="38"/>
      <c r="P2929" s="38"/>
    </row>
    <row r="2930" spans="2:16" ht="17.399999999999999" thickBot="1" x14ac:dyDescent="0.45">
      <c r="O2930" s="42"/>
      <c r="P2930" s="43"/>
    </row>
    <row r="2931" spans="2:16" ht="17.399999999999999" thickBot="1" x14ac:dyDescent="0.45">
      <c r="B2931" s="110" t="s">
        <v>10</v>
      </c>
      <c r="C2931" s="300" t="s">
        <v>11</v>
      </c>
      <c r="D2931" s="300"/>
      <c r="E2931" s="300"/>
      <c r="F2931" s="300"/>
      <c r="G2931" s="301"/>
    </row>
    <row r="2932" spans="2:16" x14ac:dyDescent="0.4">
      <c r="B2932" s="114" t="s">
        <v>6</v>
      </c>
      <c r="C2932" s="302" t="s">
        <v>1</v>
      </c>
      <c r="D2932" s="303"/>
      <c r="E2932" s="112" t="s">
        <v>193</v>
      </c>
      <c r="F2932" s="120" t="s">
        <v>2</v>
      </c>
      <c r="G2932" s="114" t="s">
        <v>3</v>
      </c>
      <c r="H2932" s="106"/>
      <c r="I2932" s="107" t="s">
        <v>7</v>
      </c>
      <c r="J2932" s="136"/>
      <c r="K2932" s="107" t="s">
        <v>8</v>
      </c>
      <c r="L2932" s="115" t="s">
        <v>194</v>
      </c>
    </row>
    <row r="2933" spans="2:16" x14ac:dyDescent="0.4">
      <c r="B2933" s="122"/>
      <c r="C2933" s="306"/>
      <c r="D2933" s="306"/>
      <c r="E2933" s="116"/>
      <c r="F2933" s="83"/>
      <c r="G2933" s="74"/>
      <c r="I2933" s="117">
        <f>IF(C2933=0,0,VLOOKUP(C2933,Tabla3[],3,FALSE))</f>
        <v>0</v>
      </c>
      <c r="K2933" s="84">
        <f>F2933*I2933</f>
        <v>0</v>
      </c>
      <c r="L2933" s="118">
        <f>E2933*I2933</f>
        <v>0</v>
      </c>
    </row>
    <row r="2934" spans="2:16" x14ac:dyDescent="0.4">
      <c r="B2934" s="74"/>
      <c r="C2934" s="309"/>
      <c r="D2934" s="310"/>
      <c r="E2934" s="121"/>
      <c r="F2934" s="72"/>
      <c r="G2934" s="74"/>
      <c r="I2934" s="117">
        <f>IF(C2934=0,0,VLOOKUP(C2934,Tabla3[],3,FALSE))</f>
        <v>0</v>
      </c>
      <c r="K2934" s="84">
        <f t="shared" ref="K2934:K2936" si="444">+F2934*I2934</f>
        <v>0</v>
      </c>
      <c r="L2934" s="118">
        <f t="shared" ref="L2934:L2936" si="445">E2934*I2934</f>
        <v>0</v>
      </c>
    </row>
    <row r="2935" spans="2:16" x14ac:dyDescent="0.4">
      <c r="B2935" s="74"/>
      <c r="C2935" s="309"/>
      <c r="D2935" s="310"/>
      <c r="E2935" s="121"/>
      <c r="F2935" s="72"/>
      <c r="G2935" s="74"/>
      <c r="I2935" s="117">
        <f>IF(C2935=0,0,VLOOKUP(C2935,Tabla3[],3,FALSE))</f>
        <v>0</v>
      </c>
      <c r="K2935" s="84">
        <f t="shared" si="444"/>
        <v>0</v>
      </c>
      <c r="L2935" s="118">
        <f t="shared" si="445"/>
        <v>0</v>
      </c>
    </row>
    <row r="2936" spans="2:16" x14ac:dyDescent="0.4">
      <c r="B2936" s="74"/>
      <c r="C2936" s="304"/>
      <c r="D2936" s="305"/>
      <c r="E2936" s="121"/>
      <c r="F2936" s="72"/>
      <c r="G2936" s="74"/>
      <c r="I2936" s="117">
        <f>IF(C2936=0,0,VLOOKUP(C2936,Tabla3[],3,FALSE))</f>
        <v>0</v>
      </c>
      <c r="K2936" s="84">
        <f t="shared" si="444"/>
        <v>0</v>
      </c>
      <c r="L2936" s="118">
        <f t="shared" si="445"/>
        <v>0</v>
      </c>
    </row>
    <row r="2937" spans="2:16" ht="17.399999999999999" thickBot="1" x14ac:dyDescent="0.45"/>
    <row r="2938" spans="2:16" ht="17.399999999999999" thickBot="1" x14ac:dyDescent="0.45">
      <c r="F2938" s="292" t="s">
        <v>12</v>
      </c>
      <c r="G2938" s="293"/>
      <c r="H2938" s="293"/>
      <c r="I2938" s="294"/>
      <c r="K2938" s="229">
        <f>+SUM(K2933:K2936)</f>
        <v>0</v>
      </c>
      <c r="L2938" s="119">
        <f>+SUM(L2933:L2936)</f>
        <v>0</v>
      </c>
    </row>
    <row r="2939" spans="2:16" ht="17.399999999999999" thickBot="1" x14ac:dyDescent="0.45"/>
    <row r="2940" spans="2:16" ht="17.399999999999999" thickBot="1" x14ac:dyDescent="0.45">
      <c r="B2940" s="110" t="s">
        <v>13</v>
      </c>
      <c r="C2940" s="300" t="s">
        <v>14</v>
      </c>
      <c r="D2940" s="300"/>
      <c r="E2940" s="300"/>
      <c r="F2940" s="300"/>
      <c r="G2940" s="301"/>
    </row>
    <row r="2941" spans="2:16" x14ac:dyDescent="0.4">
      <c r="B2941" s="114" t="s">
        <v>6</v>
      </c>
      <c r="C2941" s="302" t="s">
        <v>1</v>
      </c>
      <c r="D2941" s="303"/>
      <c r="E2941" s="112" t="s">
        <v>193</v>
      </c>
      <c r="F2941" s="120" t="s">
        <v>2</v>
      </c>
      <c r="G2941" s="114" t="s">
        <v>3</v>
      </c>
      <c r="H2941" s="106"/>
      <c r="I2941" s="107" t="s">
        <v>7</v>
      </c>
      <c r="J2941" s="136"/>
      <c r="K2941" s="107" t="s">
        <v>8</v>
      </c>
      <c r="L2941" s="115" t="s">
        <v>194</v>
      </c>
    </row>
    <row r="2942" spans="2:16" x14ac:dyDescent="0.4">
      <c r="B2942" s="122">
        <v>1</v>
      </c>
      <c r="C2942" s="306" t="s">
        <v>324</v>
      </c>
      <c r="D2942" s="306"/>
      <c r="E2942" s="116">
        <f>1*I2914</f>
        <v>1</v>
      </c>
      <c r="F2942" s="83">
        <f>ROUND(E2942/I2914,2)</f>
        <v>1</v>
      </c>
      <c r="G2942" s="74" t="str">
        <f>IF(C2942=0,0,VLOOKUP(C2942,Tabla2[],2,FALSE))</f>
        <v>Unidad</v>
      </c>
      <c r="I2942" s="117">
        <f>IF(C2942=0,0,VLOOKUP(C2942,Tabla2[],3,FALSE))</f>
        <v>50</v>
      </c>
      <c r="K2942" s="84">
        <f>+F2942*I2942</f>
        <v>50</v>
      </c>
      <c r="L2942" s="118">
        <f>E2942*I2942</f>
        <v>50</v>
      </c>
    </row>
    <row r="2943" spans="2:16" x14ac:dyDescent="0.4">
      <c r="B2943" s="122"/>
      <c r="C2943" s="306"/>
      <c r="D2943" s="306"/>
      <c r="E2943" s="116"/>
      <c r="F2943" s="83"/>
      <c r="G2943" s="74"/>
      <c r="I2943" s="117">
        <f>IF(C2943=0,0,VLOOKUP(C2943,Tabla2[],3,FALSE))</f>
        <v>0</v>
      </c>
      <c r="K2943" s="84">
        <f>+F2943*I2943</f>
        <v>0</v>
      </c>
      <c r="L2943" s="118">
        <f>E2943*I2943</f>
        <v>0</v>
      </c>
    </row>
    <row r="2944" spans="2:16" ht="17.399999999999999" thickBot="1" x14ac:dyDescent="0.45">
      <c r="B2944" s="123"/>
      <c r="C2944" s="307"/>
      <c r="D2944" s="308"/>
      <c r="E2944" s="124"/>
      <c r="F2944" s="125"/>
      <c r="G2944" s="74"/>
      <c r="I2944" s="117">
        <f>IF(C2944=0,0,VLOOKUP(C2944,Tabla2[],3,FALSE))</f>
        <v>0</v>
      </c>
      <c r="K2944" s="84">
        <f t="shared" ref="K2944" si="446">+F2944*I2944</f>
        <v>0</v>
      </c>
      <c r="L2944" s="118">
        <f t="shared" ref="L2944:L2945" si="447">E2944*I2944</f>
        <v>0</v>
      </c>
    </row>
    <row r="2945" spans="2:16" ht="17.399999999999999" thickBot="1" x14ac:dyDescent="0.45">
      <c r="B2945" s="297" t="s">
        <v>15</v>
      </c>
      <c r="C2945" s="298"/>
      <c r="D2945" s="298"/>
      <c r="E2945" s="298"/>
      <c r="F2945" s="298"/>
      <c r="G2945" s="299"/>
      <c r="I2945" s="84">
        <v>0</v>
      </c>
      <c r="K2945" s="84">
        <v>0</v>
      </c>
      <c r="L2945" s="118">
        <f t="shared" si="447"/>
        <v>0</v>
      </c>
    </row>
    <row r="2946" spans="2:16" ht="17.399999999999999" thickBot="1" x14ac:dyDescent="0.45"/>
    <row r="2947" spans="2:16" ht="17.399999999999999" thickBot="1" x14ac:dyDescent="0.45">
      <c r="F2947" s="292" t="s">
        <v>16</v>
      </c>
      <c r="G2947" s="293"/>
      <c r="H2947" s="293"/>
      <c r="I2947" s="294"/>
      <c r="K2947" s="229">
        <f>+SUM(K2942:K2945)</f>
        <v>50</v>
      </c>
      <c r="L2947" s="119">
        <f>+SUM(L2942:L2945)</f>
        <v>50</v>
      </c>
    </row>
    <row r="2948" spans="2:16" ht="17.399999999999999" thickBot="1" x14ac:dyDescent="0.45"/>
    <row r="2949" spans="2:16" ht="17.399999999999999" thickBot="1" x14ac:dyDescent="0.45">
      <c r="B2949" s="110" t="s">
        <v>17</v>
      </c>
      <c r="C2949" s="300" t="s">
        <v>18</v>
      </c>
      <c r="D2949" s="300"/>
      <c r="E2949" s="300"/>
      <c r="F2949" s="300"/>
      <c r="G2949" s="301"/>
    </row>
    <row r="2950" spans="2:16" x14ac:dyDescent="0.4">
      <c r="B2950" s="114" t="s">
        <v>6</v>
      </c>
      <c r="C2950" s="302" t="s">
        <v>1</v>
      </c>
      <c r="D2950" s="303"/>
      <c r="E2950" s="126"/>
      <c r="F2950" s="120" t="s">
        <v>2</v>
      </c>
      <c r="G2950" s="114" t="s">
        <v>3</v>
      </c>
      <c r="H2950" s="106"/>
      <c r="I2950" s="107" t="s">
        <v>7</v>
      </c>
      <c r="J2950" s="136"/>
      <c r="K2950" s="107" t="s">
        <v>8</v>
      </c>
      <c r="L2950" s="115" t="s">
        <v>194</v>
      </c>
    </row>
    <row r="2951" spans="2:16" x14ac:dyDescent="0.4">
      <c r="B2951" s="74"/>
      <c r="C2951" s="304"/>
      <c r="D2951" s="305"/>
      <c r="E2951" s="127"/>
      <c r="F2951" s="72"/>
      <c r="G2951" s="74"/>
      <c r="I2951" s="84">
        <v>0</v>
      </c>
      <c r="K2951" s="84">
        <f>+F2951*I2951</f>
        <v>0</v>
      </c>
      <c r="L2951" s="118">
        <f>E2951*I2951</f>
        <v>0</v>
      </c>
    </row>
    <row r="2952" spans="2:16" x14ac:dyDescent="0.4">
      <c r="B2952" s="74"/>
      <c r="C2952" s="304"/>
      <c r="D2952" s="305"/>
      <c r="E2952" s="127"/>
      <c r="F2952" s="72"/>
      <c r="G2952" s="74"/>
      <c r="I2952" s="84">
        <v>0</v>
      </c>
      <c r="K2952" s="84">
        <f t="shared" ref="K2952:K2953" si="448">+F2952*I2952</f>
        <v>0</v>
      </c>
      <c r="L2952" s="118">
        <f t="shared" ref="L2952:L2953" si="449">E2952*I2952</f>
        <v>0</v>
      </c>
    </row>
    <row r="2953" spans="2:16" x14ac:dyDescent="0.4">
      <c r="B2953" s="74"/>
      <c r="C2953" s="304"/>
      <c r="D2953" s="305"/>
      <c r="E2953" s="127"/>
      <c r="F2953" s="72"/>
      <c r="G2953" s="74"/>
      <c r="I2953" s="84">
        <v>0</v>
      </c>
      <c r="K2953" s="84">
        <f t="shared" si="448"/>
        <v>0</v>
      </c>
      <c r="L2953" s="118">
        <f t="shared" si="449"/>
        <v>0</v>
      </c>
    </row>
    <row r="2954" spans="2:16" ht="17.399999999999999" thickBot="1" x14ac:dyDescent="0.45">
      <c r="L2954" s="118"/>
    </row>
    <row r="2955" spans="2:16" ht="17.399999999999999" thickBot="1" x14ac:dyDescent="0.45">
      <c r="F2955" s="292" t="s">
        <v>19</v>
      </c>
      <c r="G2955" s="293"/>
      <c r="H2955" s="293"/>
      <c r="I2955" s="294"/>
      <c r="K2955" s="229">
        <f>+SUM(K2951:K2953)</f>
        <v>0</v>
      </c>
      <c r="L2955" s="119">
        <f>+SUM(L2950:L2953)</f>
        <v>0</v>
      </c>
    </row>
    <row r="2956" spans="2:16" ht="15" customHeight="1" x14ac:dyDescent="0.4">
      <c r="F2956" s="128"/>
      <c r="G2956" s="129"/>
      <c r="H2956" s="130"/>
      <c r="I2956" s="108"/>
      <c r="K2956" s="230"/>
    </row>
    <row r="2957" spans="2:16" ht="15" customHeight="1" thickBot="1" x14ac:dyDescent="0.45"/>
    <row r="2958" spans="2:16" ht="17.399999999999999" thickBot="1" x14ac:dyDescent="0.45">
      <c r="F2958" s="292" t="s">
        <v>20</v>
      </c>
      <c r="G2958" s="293"/>
      <c r="H2958" s="293"/>
      <c r="I2958" s="294"/>
      <c r="K2958" s="229">
        <f>(+K2929+K2938+K2947+K2955)</f>
        <v>1090</v>
      </c>
      <c r="L2958" s="119">
        <f>(+L2929+L2938+L2947+L2955)</f>
        <v>1090</v>
      </c>
      <c r="N2958" s="131"/>
      <c r="O2958" s="39"/>
      <c r="P2958" s="40"/>
    </row>
    <row r="2959" spans="2:16" ht="7.5" customHeight="1" thickBot="1" x14ac:dyDescent="0.45">
      <c r="N2959" s="131"/>
      <c r="O2959" s="41"/>
      <c r="P2959" s="40"/>
    </row>
    <row r="2960" spans="2:16" ht="17.399999999999999" thickBot="1" x14ac:dyDescent="0.45">
      <c r="F2960" s="292" t="s">
        <v>21</v>
      </c>
      <c r="G2960" s="293"/>
      <c r="H2960" s="293"/>
      <c r="I2960" s="294"/>
      <c r="K2960" s="229">
        <f>K2958*$N$2</f>
        <v>436</v>
      </c>
      <c r="L2960" s="119">
        <f>L2958*$N$2</f>
        <v>436</v>
      </c>
    </row>
    <row r="2961" spans="1:16" ht="7.5" customHeight="1" thickBot="1" x14ac:dyDescent="0.45"/>
    <row r="2962" spans="1:16" ht="17.399999999999999" thickBot="1" x14ac:dyDescent="0.45">
      <c r="F2962" s="292" t="s">
        <v>22</v>
      </c>
      <c r="G2962" s="293"/>
      <c r="H2962" s="293"/>
      <c r="I2962" s="294"/>
      <c r="K2962" s="229">
        <f>+K2958+K2960</f>
        <v>1526</v>
      </c>
      <c r="L2962" s="119">
        <f>+L2958+L2960</f>
        <v>1526</v>
      </c>
    </row>
    <row r="2963" spans="1:16" ht="17.399999999999999" thickBot="1" x14ac:dyDescent="0.45">
      <c r="F2963" s="128"/>
      <c r="G2963" s="129"/>
      <c r="H2963" s="130"/>
      <c r="I2963" s="108"/>
      <c r="K2963" s="231"/>
      <c r="L2963" s="132">
        <f>L2962/I2914</f>
        <v>1526</v>
      </c>
      <c r="M2963" s="133">
        <f>(K2962-L2963)*I2914</f>
        <v>0</v>
      </c>
    </row>
    <row r="2964" spans="1:16" x14ac:dyDescent="0.4">
      <c r="F2964" s="128"/>
      <c r="G2964" s="129"/>
      <c r="H2964" s="130"/>
      <c r="I2964" s="108"/>
      <c r="K2964" s="232"/>
      <c r="L2964" s="131"/>
      <c r="M2964" s="134"/>
      <c r="N2964" s="135"/>
    </row>
    <row r="2965" spans="1:16" ht="17.399999999999999" thickBot="1" x14ac:dyDescent="0.45">
      <c r="B2965" s="295"/>
      <c r="C2965" s="295"/>
      <c r="D2965" s="295"/>
    </row>
    <row r="2966" spans="1:16" x14ac:dyDescent="0.4">
      <c r="B2966" s="296" t="s">
        <v>23</v>
      </c>
      <c r="C2966" s="296"/>
      <c r="D2966" s="296"/>
    </row>
    <row r="2967" spans="1:16" x14ac:dyDescent="0.4">
      <c r="B2967" s="157"/>
      <c r="C2967" s="157"/>
      <c r="D2967" s="157"/>
    </row>
    <row r="2968" spans="1:16" x14ac:dyDescent="0.4">
      <c r="B2968" s="157"/>
      <c r="C2968" s="157"/>
      <c r="D2968" s="157"/>
    </row>
    <row r="2969" spans="1:16" x14ac:dyDescent="0.4">
      <c r="B2969" s="105" t="s">
        <v>43</v>
      </c>
      <c r="C2969" s="106"/>
      <c r="D2969" s="311" t="s">
        <v>1</v>
      </c>
      <c r="E2969" s="311"/>
      <c r="F2969" s="311"/>
      <c r="G2969" s="311"/>
      <c r="H2969" s="106"/>
      <c r="I2969" s="107" t="s">
        <v>2</v>
      </c>
      <c r="J2969" s="136"/>
      <c r="K2969" s="107" t="s">
        <v>3</v>
      </c>
    </row>
    <row r="2970" spans="1:16" s="4" customFormat="1" ht="30.75" customHeight="1" x14ac:dyDescent="0.3">
      <c r="A2970" s="31"/>
      <c r="B2970" s="213">
        <f>CATALOGO!B75</f>
        <v>1007.09</v>
      </c>
      <c r="C2970" s="71"/>
      <c r="D2970" s="324" t="str">
        <f>CATALOGO!C75</f>
        <v>DISPENSADOR DE ALCOHOL EN GEL (400ml)</v>
      </c>
      <c r="E2970" s="324"/>
      <c r="F2970" s="324"/>
      <c r="G2970" s="324"/>
      <c r="H2970" s="71"/>
      <c r="I2970" s="213">
        <f>CATALOGO!D75</f>
        <v>2</v>
      </c>
      <c r="J2970" s="109"/>
      <c r="K2970" s="227" t="str">
        <f>CATALOGO!E75</f>
        <v>Unidad</v>
      </c>
      <c r="L2970" s="71"/>
      <c r="M2970" s="71"/>
      <c r="N2970" s="104"/>
      <c r="O2970" s="37"/>
      <c r="P2970" s="37"/>
    </row>
    <row r="2971" spans="1:16" ht="17.399999999999999" thickBot="1" x14ac:dyDescent="0.45"/>
    <row r="2972" spans="1:16" ht="17.399999999999999" thickBot="1" x14ac:dyDescent="0.45">
      <c r="B2972" s="110" t="s">
        <v>4</v>
      </c>
      <c r="C2972" s="300" t="s">
        <v>5</v>
      </c>
      <c r="D2972" s="300"/>
      <c r="E2972" s="300"/>
      <c r="F2972" s="300"/>
      <c r="G2972" s="301"/>
    </row>
    <row r="2973" spans="1:16" x14ac:dyDescent="0.3">
      <c r="B2973" s="111" t="s">
        <v>6</v>
      </c>
      <c r="C2973" s="313" t="s">
        <v>1</v>
      </c>
      <c r="D2973" s="314"/>
      <c r="E2973" s="112" t="s">
        <v>193</v>
      </c>
      <c r="F2973" s="113" t="s">
        <v>2</v>
      </c>
      <c r="G2973" s="114" t="s">
        <v>3</v>
      </c>
      <c r="H2973" s="106"/>
      <c r="I2973" s="107" t="s">
        <v>7</v>
      </c>
      <c r="J2973" s="136"/>
      <c r="K2973" s="228" t="s">
        <v>8</v>
      </c>
      <c r="L2973" s="115" t="s">
        <v>194</v>
      </c>
      <c r="O2973" s="323"/>
      <c r="P2973" s="323"/>
    </row>
    <row r="2974" spans="1:16" ht="17.25" customHeight="1" x14ac:dyDescent="0.3">
      <c r="B2974" s="122">
        <v>1</v>
      </c>
      <c r="C2974" s="315" t="s">
        <v>92</v>
      </c>
      <c r="D2974" s="316"/>
      <c r="E2974" s="116">
        <f>1*I2970</f>
        <v>2</v>
      </c>
      <c r="F2974" s="83">
        <f>ROUND(E2974/I2970,2)</f>
        <v>1</v>
      </c>
      <c r="G2974" s="74" t="str">
        <f>IF(C2974=0,0,VLOOKUP(C2974,Tabla1[],2,FALSE))</f>
        <v>Unidad</v>
      </c>
      <c r="I2974" s="117">
        <f>IF(C2974=0,0,VLOOKUP(C2974,Tabla1[],3,FALSE))</f>
        <v>225</v>
      </c>
      <c r="K2974" s="84">
        <f>F2974*I2974</f>
        <v>225</v>
      </c>
      <c r="L2974" s="118">
        <f t="shared" ref="L2974:L2983" si="450">E2974*I2974</f>
        <v>450</v>
      </c>
      <c r="O2974" s="44"/>
      <c r="P2974" s="45"/>
    </row>
    <row r="2975" spans="1:16" ht="16.5" customHeight="1" x14ac:dyDescent="0.4">
      <c r="B2975" s="122"/>
      <c r="C2975" s="319"/>
      <c r="D2975" s="318"/>
      <c r="E2975" s="116"/>
      <c r="F2975" s="83"/>
      <c r="G2975" s="74"/>
      <c r="I2975" s="117">
        <f>IF(C2975=0,0,VLOOKUP(C2975,Tabla1[],3,FALSE))</f>
        <v>0</v>
      </c>
      <c r="K2975" s="84">
        <f t="shared" ref="K2975:K2983" si="451">+F2975*I2975</f>
        <v>0</v>
      </c>
      <c r="L2975" s="118">
        <f t="shared" si="450"/>
        <v>0</v>
      </c>
      <c r="P2975" s="45"/>
    </row>
    <row r="2976" spans="1:16" x14ac:dyDescent="0.4">
      <c r="B2976" s="122"/>
      <c r="C2976" s="319"/>
      <c r="D2976" s="318"/>
      <c r="E2976" s="116"/>
      <c r="F2976" s="83"/>
      <c r="G2976" s="74"/>
      <c r="I2976" s="117">
        <f>IF(C2976=0,0,VLOOKUP(C2976,Tabla1[],3,FALSE))</f>
        <v>0</v>
      </c>
      <c r="K2976" s="84">
        <f t="shared" si="451"/>
        <v>0</v>
      </c>
      <c r="L2976" s="118">
        <f t="shared" si="450"/>
        <v>0</v>
      </c>
      <c r="O2976" s="48"/>
      <c r="P2976" s="49"/>
    </row>
    <row r="2977" spans="2:16" x14ac:dyDescent="0.4">
      <c r="B2977" s="122"/>
      <c r="C2977" s="319"/>
      <c r="D2977" s="318"/>
      <c r="E2977" s="116"/>
      <c r="F2977" s="83"/>
      <c r="G2977" s="74"/>
      <c r="I2977" s="117">
        <f>IF(C2977=0,0,VLOOKUP(C2977,Tabla1[],3,FALSE))</f>
        <v>0</v>
      </c>
      <c r="K2977" s="84">
        <f t="shared" si="451"/>
        <v>0</v>
      </c>
      <c r="L2977" s="118">
        <f t="shared" si="450"/>
        <v>0</v>
      </c>
      <c r="O2977" s="48"/>
      <c r="P2977" s="49"/>
    </row>
    <row r="2978" spans="2:16" x14ac:dyDescent="0.4">
      <c r="B2978" s="122"/>
      <c r="C2978" s="319"/>
      <c r="D2978" s="318"/>
      <c r="E2978" s="116"/>
      <c r="F2978" s="83"/>
      <c r="G2978" s="74"/>
      <c r="I2978" s="117">
        <f>IF(C2978=0,0,VLOOKUP(C2978,Tabla1[],3,FALSE))</f>
        <v>0</v>
      </c>
      <c r="K2978" s="84">
        <f t="shared" si="451"/>
        <v>0</v>
      </c>
      <c r="L2978" s="118">
        <f t="shared" si="450"/>
        <v>0</v>
      </c>
      <c r="O2978" s="48"/>
      <c r="P2978" s="49"/>
    </row>
    <row r="2979" spans="2:16" x14ac:dyDescent="0.4">
      <c r="B2979" s="122"/>
      <c r="C2979" s="319"/>
      <c r="D2979" s="318"/>
      <c r="E2979" s="116"/>
      <c r="F2979" s="83"/>
      <c r="G2979" s="74"/>
      <c r="I2979" s="117">
        <f>IF(C2979=0,0,VLOOKUP(C2979,Tabla1[],3,FALSE))</f>
        <v>0</v>
      </c>
      <c r="K2979" s="84">
        <f t="shared" si="451"/>
        <v>0</v>
      </c>
      <c r="L2979" s="118">
        <f t="shared" si="450"/>
        <v>0</v>
      </c>
      <c r="O2979" s="48"/>
      <c r="P2979" s="49"/>
    </row>
    <row r="2980" spans="2:16" x14ac:dyDescent="0.4">
      <c r="B2980" s="122"/>
      <c r="C2980" s="319"/>
      <c r="D2980" s="318"/>
      <c r="E2980" s="116"/>
      <c r="F2980" s="83"/>
      <c r="G2980" s="74"/>
      <c r="I2980" s="117">
        <f>IF(C2980=0,0,VLOOKUP(C2980,Tabla1[],3,FALSE))</f>
        <v>0</v>
      </c>
      <c r="K2980" s="84">
        <f t="shared" si="451"/>
        <v>0</v>
      </c>
      <c r="L2980" s="118">
        <f t="shared" si="450"/>
        <v>0</v>
      </c>
      <c r="O2980" s="48"/>
      <c r="P2980" s="49"/>
    </row>
    <row r="2981" spans="2:16" x14ac:dyDescent="0.4">
      <c r="B2981" s="122"/>
      <c r="C2981" s="317"/>
      <c r="D2981" s="318"/>
      <c r="E2981" s="116"/>
      <c r="F2981" s="83"/>
      <c r="G2981" s="74"/>
      <c r="I2981" s="117">
        <f>IF(C2981=0,0,VLOOKUP(C2981,Tabla1[],3,FALSE))</f>
        <v>0</v>
      </c>
      <c r="K2981" s="84">
        <f t="shared" si="451"/>
        <v>0</v>
      </c>
      <c r="L2981" s="118">
        <f t="shared" si="450"/>
        <v>0</v>
      </c>
      <c r="O2981" s="48"/>
      <c r="P2981" s="49"/>
    </row>
    <row r="2982" spans="2:16" x14ac:dyDescent="0.4">
      <c r="B2982" s="122"/>
      <c r="C2982" s="309"/>
      <c r="D2982" s="310"/>
      <c r="E2982" s="116"/>
      <c r="F2982" s="83"/>
      <c r="G2982" s="74"/>
      <c r="I2982" s="117">
        <f>IF(C2982=0,0,VLOOKUP(C2982,Tabla1[],3,FALSE))</f>
        <v>0</v>
      </c>
      <c r="K2982" s="84">
        <f t="shared" si="451"/>
        <v>0</v>
      </c>
      <c r="L2982" s="118">
        <f t="shared" si="450"/>
        <v>0</v>
      </c>
      <c r="O2982" s="48"/>
      <c r="P2982" s="49"/>
    </row>
    <row r="2983" spans="2:16" x14ac:dyDescent="0.4">
      <c r="B2983" s="122"/>
      <c r="C2983" s="319"/>
      <c r="D2983" s="318"/>
      <c r="E2983" s="116"/>
      <c r="F2983" s="83"/>
      <c r="G2983" s="74"/>
      <c r="I2983" s="117">
        <f>IF(C2983=0,0,VLOOKUP(C2983,Tabla1[],3,FALSE))</f>
        <v>0</v>
      </c>
      <c r="K2983" s="84">
        <f t="shared" si="451"/>
        <v>0</v>
      </c>
      <c r="L2983" s="118">
        <f t="shared" si="450"/>
        <v>0</v>
      </c>
      <c r="O2983" s="48"/>
      <c r="P2983" s="49"/>
    </row>
    <row r="2984" spans="2:16" ht="17.399999999999999" thickBot="1" x14ac:dyDescent="0.45"/>
    <row r="2985" spans="2:16" ht="17.399999999999999" thickBot="1" x14ac:dyDescent="0.35">
      <c r="F2985" s="292" t="s">
        <v>9</v>
      </c>
      <c r="G2985" s="293"/>
      <c r="H2985" s="293"/>
      <c r="I2985" s="294"/>
      <c r="K2985" s="229">
        <f>+SUM(K2974:K2983)</f>
        <v>225</v>
      </c>
      <c r="L2985" s="119">
        <f>+SUM(L2974:L2983)</f>
        <v>450</v>
      </c>
      <c r="O2985" s="38"/>
      <c r="P2985" s="38"/>
    </row>
    <row r="2986" spans="2:16" ht="17.399999999999999" thickBot="1" x14ac:dyDescent="0.45">
      <c r="O2986" s="42"/>
      <c r="P2986" s="43"/>
    </row>
    <row r="2987" spans="2:16" ht="17.399999999999999" thickBot="1" x14ac:dyDescent="0.45">
      <c r="B2987" s="110" t="s">
        <v>10</v>
      </c>
      <c r="C2987" s="300" t="s">
        <v>11</v>
      </c>
      <c r="D2987" s="300"/>
      <c r="E2987" s="300"/>
      <c r="F2987" s="300"/>
      <c r="G2987" s="301"/>
    </row>
    <row r="2988" spans="2:16" x14ac:dyDescent="0.4">
      <c r="B2988" s="114" t="s">
        <v>6</v>
      </c>
      <c r="C2988" s="302" t="s">
        <v>1</v>
      </c>
      <c r="D2988" s="303"/>
      <c r="E2988" s="112" t="s">
        <v>193</v>
      </c>
      <c r="F2988" s="120" t="s">
        <v>2</v>
      </c>
      <c r="G2988" s="114" t="s">
        <v>3</v>
      </c>
      <c r="H2988" s="106"/>
      <c r="I2988" s="107" t="s">
        <v>7</v>
      </c>
      <c r="J2988" s="136"/>
      <c r="K2988" s="107" t="s">
        <v>8</v>
      </c>
      <c r="L2988" s="115" t="s">
        <v>194</v>
      </c>
    </row>
    <row r="2989" spans="2:16" x14ac:dyDescent="0.4">
      <c r="B2989" s="122"/>
      <c r="C2989" s="306"/>
      <c r="D2989" s="306"/>
      <c r="E2989" s="116"/>
      <c r="F2989" s="83"/>
      <c r="G2989" s="74"/>
      <c r="I2989" s="117">
        <f>IF(C2989=0,0,VLOOKUP(C2989,Tabla3[],3,FALSE))</f>
        <v>0</v>
      </c>
      <c r="K2989" s="84">
        <f>F2989*I2989</f>
        <v>0</v>
      </c>
      <c r="L2989" s="118">
        <f>E2989*I2989</f>
        <v>0</v>
      </c>
    </row>
    <row r="2990" spans="2:16" x14ac:dyDescent="0.4">
      <c r="B2990" s="74"/>
      <c r="C2990" s="309"/>
      <c r="D2990" s="310"/>
      <c r="E2990" s="121"/>
      <c r="F2990" s="72"/>
      <c r="G2990" s="74"/>
      <c r="I2990" s="117">
        <f>IF(C2990=0,0,VLOOKUP(C2990,Tabla3[],3,FALSE))</f>
        <v>0</v>
      </c>
      <c r="K2990" s="84">
        <f t="shared" ref="K2990:K2992" si="452">+F2990*I2990</f>
        <v>0</v>
      </c>
      <c r="L2990" s="118">
        <f t="shared" ref="L2990:L2992" si="453">E2990*I2990</f>
        <v>0</v>
      </c>
    </row>
    <row r="2991" spans="2:16" x14ac:dyDescent="0.4">
      <c r="B2991" s="74"/>
      <c r="C2991" s="309"/>
      <c r="D2991" s="310"/>
      <c r="E2991" s="121"/>
      <c r="F2991" s="72"/>
      <c r="G2991" s="74"/>
      <c r="I2991" s="117">
        <f>IF(C2991=0,0,VLOOKUP(C2991,Tabla3[],3,FALSE))</f>
        <v>0</v>
      </c>
      <c r="K2991" s="84">
        <f t="shared" si="452"/>
        <v>0</v>
      </c>
      <c r="L2991" s="118">
        <f t="shared" si="453"/>
        <v>0</v>
      </c>
    </row>
    <row r="2992" spans="2:16" x14ac:dyDescent="0.4">
      <c r="B2992" s="74"/>
      <c r="C2992" s="304"/>
      <c r="D2992" s="305"/>
      <c r="E2992" s="121"/>
      <c r="F2992" s="72"/>
      <c r="G2992" s="74"/>
      <c r="I2992" s="117">
        <f>IF(C2992=0,0,VLOOKUP(C2992,Tabla3[],3,FALSE))</f>
        <v>0</v>
      </c>
      <c r="K2992" s="84">
        <f t="shared" si="452"/>
        <v>0</v>
      </c>
      <c r="L2992" s="118">
        <f t="shared" si="453"/>
        <v>0</v>
      </c>
    </row>
    <row r="2993" spans="2:12" ht="17.399999999999999" thickBot="1" x14ac:dyDescent="0.45"/>
    <row r="2994" spans="2:12" ht="17.399999999999999" thickBot="1" x14ac:dyDescent="0.45">
      <c r="F2994" s="292" t="s">
        <v>12</v>
      </c>
      <c r="G2994" s="293"/>
      <c r="H2994" s="293"/>
      <c r="I2994" s="294"/>
      <c r="K2994" s="229">
        <f>+SUM(K2989:K2992)</f>
        <v>0</v>
      </c>
      <c r="L2994" s="119">
        <f>+SUM(L2989:L2992)</f>
        <v>0</v>
      </c>
    </row>
    <row r="2995" spans="2:12" ht="17.399999999999999" thickBot="1" x14ac:dyDescent="0.45"/>
    <row r="2996" spans="2:12" ht="17.399999999999999" thickBot="1" x14ac:dyDescent="0.45">
      <c r="B2996" s="110" t="s">
        <v>13</v>
      </c>
      <c r="C2996" s="300" t="s">
        <v>14</v>
      </c>
      <c r="D2996" s="300"/>
      <c r="E2996" s="300"/>
      <c r="F2996" s="300"/>
      <c r="G2996" s="301"/>
    </row>
    <row r="2997" spans="2:12" x14ac:dyDescent="0.4">
      <c r="B2997" s="114" t="s">
        <v>6</v>
      </c>
      <c r="C2997" s="302" t="s">
        <v>1</v>
      </c>
      <c r="D2997" s="303"/>
      <c r="E2997" s="112" t="s">
        <v>193</v>
      </c>
      <c r="F2997" s="120" t="s">
        <v>2</v>
      </c>
      <c r="G2997" s="114" t="s">
        <v>3</v>
      </c>
      <c r="H2997" s="106"/>
      <c r="I2997" s="107" t="s">
        <v>7</v>
      </c>
      <c r="J2997" s="136"/>
      <c r="K2997" s="107" t="s">
        <v>8</v>
      </c>
      <c r="L2997" s="115" t="s">
        <v>194</v>
      </c>
    </row>
    <row r="2998" spans="2:12" x14ac:dyDescent="0.4">
      <c r="B2998" s="122">
        <v>1</v>
      </c>
      <c r="C2998" s="306" t="s">
        <v>93</v>
      </c>
      <c r="D2998" s="306"/>
      <c r="E2998" s="116">
        <f>1*I2970</f>
        <v>2</v>
      </c>
      <c r="F2998" s="83">
        <f>ROUND(E2998/I2970,2)</f>
        <v>1</v>
      </c>
      <c r="G2998" s="74" t="str">
        <f>IF(C2998=0,0,VLOOKUP(C2998,Tabla2[],2,FALSE))</f>
        <v>Unidad</v>
      </c>
      <c r="I2998" s="117">
        <f>IF(C2998=0,0,VLOOKUP(C2998,Tabla2[],3,FALSE))</f>
        <v>50</v>
      </c>
      <c r="K2998" s="84">
        <f>+F2998*I2998</f>
        <v>50</v>
      </c>
      <c r="L2998" s="118">
        <f>E2998*I2998</f>
        <v>100</v>
      </c>
    </row>
    <row r="2999" spans="2:12" x14ac:dyDescent="0.4">
      <c r="B2999" s="122"/>
      <c r="C2999" s="306"/>
      <c r="D2999" s="306"/>
      <c r="E2999" s="116"/>
      <c r="F2999" s="83"/>
      <c r="G2999" s="74"/>
      <c r="I2999" s="117">
        <f>IF(C2999=0,0,VLOOKUP(C2999,Tabla2[],3,FALSE))</f>
        <v>0</v>
      </c>
      <c r="K2999" s="84">
        <f>+F2999*I2999</f>
        <v>0</v>
      </c>
      <c r="L2999" s="118">
        <f>E2999*I2999</f>
        <v>0</v>
      </c>
    </row>
    <row r="3000" spans="2:12" ht="17.399999999999999" thickBot="1" x14ac:dyDescent="0.45">
      <c r="B3000" s="123"/>
      <c r="C3000" s="307"/>
      <c r="D3000" s="308"/>
      <c r="E3000" s="124"/>
      <c r="F3000" s="125"/>
      <c r="G3000" s="74"/>
      <c r="I3000" s="117">
        <f>IF(C3000=0,0,VLOOKUP(C3000,Tabla2[],3,FALSE))</f>
        <v>0</v>
      </c>
      <c r="K3000" s="84">
        <f t="shared" ref="K3000" si="454">+F3000*I3000</f>
        <v>0</v>
      </c>
      <c r="L3000" s="118">
        <f t="shared" ref="L3000:L3001" si="455">E3000*I3000</f>
        <v>0</v>
      </c>
    </row>
    <row r="3001" spans="2:12" ht="17.399999999999999" thickBot="1" x14ac:dyDescent="0.45">
      <c r="B3001" s="297" t="s">
        <v>15</v>
      </c>
      <c r="C3001" s="298"/>
      <c r="D3001" s="298"/>
      <c r="E3001" s="298"/>
      <c r="F3001" s="298"/>
      <c r="G3001" s="299"/>
      <c r="I3001" s="84">
        <v>0</v>
      </c>
      <c r="K3001" s="84">
        <v>0</v>
      </c>
      <c r="L3001" s="118">
        <f t="shared" si="455"/>
        <v>0</v>
      </c>
    </row>
    <row r="3002" spans="2:12" ht="17.399999999999999" thickBot="1" x14ac:dyDescent="0.45"/>
    <row r="3003" spans="2:12" ht="17.399999999999999" thickBot="1" x14ac:dyDescent="0.45">
      <c r="F3003" s="292" t="s">
        <v>16</v>
      </c>
      <c r="G3003" s="293"/>
      <c r="H3003" s="293"/>
      <c r="I3003" s="294"/>
      <c r="K3003" s="229">
        <f>+SUM(K2998:K3001)</f>
        <v>50</v>
      </c>
      <c r="L3003" s="119">
        <f>+SUM(L2998:L3001)</f>
        <v>100</v>
      </c>
    </row>
    <row r="3004" spans="2:12" ht="17.399999999999999" thickBot="1" x14ac:dyDescent="0.45"/>
    <row r="3005" spans="2:12" ht="17.399999999999999" thickBot="1" x14ac:dyDescent="0.45">
      <c r="B3005" s="110" t="s">
        <v>17</v>
      </c>
      <c r="C3005" s="300" t="s">
        <v>18</v>
      </c>
      <c r="D3005" s="300"/>
      <c r="E3005" s="300"/>
      <c r="F3005" s="300"/>
      <c r="G3005" s="301"/>
    </row>
    <row r="3006" spans="2:12" x14ac:dyDescent="0.4">
      <c r="B3006" s="114" t="s">
        <v>6</v>
      </c>
      <c r="C3006" s="302" t="s">
        <v>1</v>
      </c>
      <c r="D3006" s="303"/>
      <c r="E3006" s="126"/>
      <c r="F3006" s="120" t="s">
        <v>2</v>
      </c>
      <c r="G3006" s="114" t="s">
        <v>3</v>
      </c>
      <c r="H3006" s="106"/>
      <c r="I3006" s="107" t="s">
        <v>7</v>
      </c>
      <c r="J3006" s="136"/>
      <c r="K3006" s="107" t="s">
        <v>8</v>
      </c>
      <c r="L3006" s="115" t="s">
        <v>194</v>
      </c>
    </row>
    <row r="3007" spans="2:12" x14ac:dyDescent="0.4">
      <c r="B3007" s="74"/>
      <c r="C3007" s="304"/>
      <c r="D3007" s="305"/>
      <c r="E3007" s="127"/>
      <c r="F3007" s="72"/>
      <c r="G3007" s="74"/>
      <c r="I3007" s="84">
        <v>0</v>
      </c>
      <c r="K3007" s="84">
        <f>+F3007*I3007</f>
        <v>0</v>
      </c>
      <c r="L3007" s="118">
        <f>E3007*I3007</f>
        <v>0</v>
      </c>
    </row>
    <row r="3008" spans="2:12" x14ac:dyDescent="0.4">
      <c r="B3008" s="74"/>
      <c r="C3008" s="304"/>
      <c r="D3008" s="305"/>
      <c r="E3008" s="127"/>
      <c r="F3008" s="72"/>
      <c r="G3008" s="74"/>
      <c r="I3008" s="84">
        <v>0</v>
      </c>
      <c r="K3008" s="84">
        <f t="shared" ref="K3008:K3009" si="456">+F3008*I3008</f>
        <v>0</v>
      </c>
      <c r="L3008" s="118">
        <f t="shared" ref="L3008:L3009" si="457">E3008*I3008</f>
        <v>0</v>
      </c>
    </row>
    <row r="3009" spans="2:16" x14ac:dyDescent="0.4">
      <c r="B3009" s="74"/>
      <c r="C3009" s="304"/>
      <c r="D3009" s="305"/>
      <c r="E3009" s="127"/>
      <c r="F3009" s="72"/>
      <c r="G3009" s="74"/>
      <c r="I3009" s="84">
        <v>0</v>
      </c>
      <c r="K3009" s="84">
        <f t="shared" si="456"/>
        <v>0</v>
      </c>
      <c r="L3009" s="118">
        <f t="shared" si="457"/>
        <v>0</v>
      </c>
    </row>
    <row r="3010" spans="2:16" ht="17.399999999999999" thickBot="1" x14ac:dyDescent="0.45">
      <c r="L3010" s="118"/>
    </row>
    <row r="3011" spans="2:16" ht="17.399999999999999" thickBot="1" x14ac:dyDescent="0.45">
      <c r="F3011" s="292" t="s">
        <v>19</v>
      </c>
      <c r="G3011" s="293"/>
      <c r="H3011" s="293"/>
      <c r="I3011" s="294"/>
      <c r="K3011" s="229">
        <f>+SUM(K3007:K3009)</f>
        <v>0</v>
      </c>
      <c r="L3011" s="119">
        <f>+SUM(L3006:L3009)</f>
        <v>0</v>
      </c>
    </row>
    <row r="3012" spans="2:16" ht="15" customHeight="1" x14ac:dyDescent="0.4">
      <c r="F3012" s="128"/>
      <c r="G3012" s="129"/>
      <c r="H3012" s="130"/>
      <c r="I3012" s="108"/>
      <c r="K3012" s="230"/>
    </row>
    <row r="3013" spans="2:16" ht="15" customHeight="1" thickBot="1" x14ac:dyDescent="0.45"/>
    <row r="3014" spans="2:16" ht="17.399999999999999" thickBot="1" x14ac:dyDescent="0.45">
      <c r="F3014" s="292" t="s">
        <v>20</v>
      </c>
      <c r="G3014" s="293"/>
      <c r="H3014" s="293"/>
      <c r="I3014" s="294"/>
      <c r="K3014" s="229">
        <f>(+K2985+K2994+K3003+K3011)</f>
        <v>275</v>
      </c>
      <c r="L3014" s="119">
        <f>(+L2985+L2994+L3003+L3011)</f>
        <v>550</v>
      </c>
      <c r="N3014" s="131"/>
      <c r="O3014" s="39"/>
      <c r="P3014" s="40"/>
    </row>
    <row r="3015" spans="2:16" ht="7.5" customHeight="1" thickBot="1" x14ac:dyDescent="0.45">
      <c r="N3015" s="131"/>
      <c r="O3015" s="41"/>
      <c r="P3015" s="40"/>
    </row>
    <row r="3016" spans="2:16" ht="17.399999999999999" thickBot="1" x14ac:dyDescent="0.45">
      <c r="F3016" s="292" t="s">
        <v>21</v>
      </c>
      <c r="G3016" s="293"/>
      <c r="H3016" s="293"/>
      <c r="I3016" s="294"/>
      <c r="K3016" s="229">
        <f>K3014*$N$2</f>
        <v>110</v>
      </c>
      <c r="L3016" s="119">
        <f>L3014*$N$2</f>
        <v>220</v>
      </c>
    </row>
    <row r="3017" spans="2:16" ht="7.5" customHeight="1" thickBot="1" x14ac:dyDescent="0.45"/>
    <row r="3018" spans="2:16" ht="17.399999999999999" thickBot="1" x14ac:dyDescent="0.45">
      <c r="F3018" s="292" t="s">
        <v>22</v>
      </c>
      <c r="G3018" s="293"/>
      <c r="H3018" s="293"/>
      <c r="I3018" s="294"/>
      <c r="K3018" s="229">
        <f>+K3014+K3016</f>
        <v>385</v>
      </c>
      <c r="L3018" s="119">
        <f>+L3014+L3016</f>
        <v>770</v>
      </c>
    </row>
    <row r="3019" spans="2:16" ht="17.399999999999999" thickBot="1" x14ac:dyDescent="0.45">
      <c r="F3019" s="128"/>
      <c r="G3019" s="129"/>
      <c r="H3019" s="130"/>
      <c r="I3019" s="108"/>
      <c r="K3019" s="231"/>
      <c r="L3019" s="132">
        <f>L3018/I2970</f>
        <v>385</v>
      </c>
      <c r="M3019" s="133">
        <f>(K3018-L3019)*I2970</f>
        <v>0</v>
      </c>
    </row>
    <row r="3020" spans="2:16" x14ac:dyDescent="0.4">
      <c r="F3020" s="128"/>
      <c r="G3020" s="129"/>
      <c r="H3020" s="130"/>
      <c r="I3020" s="108"/>
      <c r="K3020" s="232"/>
      <c r="L3020" s="131"/>
      <c r="M3020" s="134"/>
      <c r="N3020" s="135"/>
    </row>
    <row r="3021" spans="2:16" ht="17.399999999999999" thickBot="1" x14ac:dyDescent="0.45">
      <c r="B3021" s="295"/>
      <c r="C3021" s="295"/>
      <c r="D3021" s="295"/>
    </row>
    <row r="3022" spans="2:16" x14ac:dyDescent="0.4">
      <c r="B3022" s="296" t="s">
        <v>23</v>
      </c>
      <c r="C3022" s="296"/>
      <c r="D3022" s="296"/>
    </row>
    <row r="3023" spans="2:16" x14ac:dyDescent="0.4">
      <c r="B3023" s="157"/>
      <c r="C3023" s="157"/>
      <c r="D3023" s="157"/>
    </row>
    <row r="3025" spans="1:16" x14ac:dyDescent="0.4">
      <c r="B3025" s="105" t="s">
        <v>43</v>
      </c>
      <c r="C3025" s="106"/>
      <c r="D3025" s="311" t="s">
        <v>1</v>
      </c>
      <c r="E3025" s="311"/>
      <c r="F3025" s="311"/>
      <c r="G3025" s="311"/>
      <c r="H3025" s="106"/>
      <c r="I3025" s="107" t="s">
        <v>2</v>
      </c>
      <c r="J3025" s="136"/>
      <c r="K3025" s="107" t="s">
        <v>3</v>
      </c>
    </row>
    <row r="3026" spans="1:16" s="4" customFormat="1" ht="30.75" customHeight="1" x14ac:dyDescent="0.3">
      <c r="A3026" s="31"/>
      <c r="B3026" s="213">
        <f>CATALOGO!B77</f>
        <v>1005.03</v>
      </c>
      <c r="C3026" s="71"/>
      <c r="D3026" s="324" t="str">
        <f>CATALOGO!C77</f>
        <v>TABLERO ELÉCTRICO (08 POLOS)</v>
      </c>
      <c r="E3026" s="324"/>
      <c r="F3026" s="324"/>
      <c r="G3026" s="324"/>
      <c r="H3026" s="71"/>
      <c r="I3026" s="213">
        <f>CATALOGO!D77</f>
        <v>1</v>
      </c>
      <c r="J3026" s="109"/>
      <c r="K3026" s="227" t="str">
        <f>CATALOGO!E77</f>
        <v>Unidad</v>
      </c>
      <c r="L3026" s="71"/>
      <c r="M3026" s="71"/>
      <c r="N3026" s="104"/>
      <c r="O3026" s="37"/>
      <c r="P3026" s="37"/>
    </row>
    <row r="3027" spans="1:16" ht="17.399999999999999" thickBot="1" x14ac:dyDescent="0.45"/>
    <row r="3028" spans="1:16" ht="17.399999999999999" thickBot="1" x14ac:dyDescent="0.45">
      <c r="B3028" s="110" t="s">
        <v>4</v>
      </c>
      <c r="C3028" s="300" t="s">
        <v>5</v>
      </c>
      <c r="D3028" s="300"/>
      <c r="E3028" s="300"/>
      <c r="F3028" s="300"/>
      <c r="G3028" s="301"/>
    </row>
    <row r="3029" spans="1:16" x14ac:dyDescent="0.3">
      <c r="B3029" s="111" t="s">
        <v>6</v>
      </c>
      <c r="C3029" s="313" t="s">
        <v>1</v>
      </c>
      <c r="D3029" s="314"/>
      <c r="E3029" s="112" t="s">
        <v>193</v>
      </c>
      <c r="F3029" s="113" t="s">
        <v>2</v>
      </c>
      <c r="G3029" s="114" t="s">
        <v>3</v>
      </c>
      <c r="H3029" s="106"/>
      <c r="I3029" s="107" t="s">
        <v>7</v>
      </c>
      <c r="J3029" s="136"/>
      <c r="K3029" s="228" t="s">
        <v>8</v>
      </c>
      <c r="L3029" s="115" t="s">
        <v>194</v>
      </c>
      <c r="O3029" s="323"/>
      <c r="P3029" s="323"/>
    </row>
    <row r="3030" spans="1:16" x14ac:dyDescent="0.3">
      <c r="B3030" s="122">
        <v>1</v>
      </c>
      <c r="C3030" s="315" t="s">
        <v>123</v>
      </c>
      <c r="D3030" s="316"/>
      <c r="E3030" s="116">
        <f>I3026</f>
        <v>1</v>
      </c>
      <c r="F3030" s="83">
        <f>ROUND(E3030/I3026,2)</f>
        <v>1</v>
      </c>
      <c r="G3030" s="74" t="str">
        <f>IF(C3030=0,0,VLOOKUP(C3030,Tabla1[],2,FALSE))</f>
        <v>Unidad</v>
      </c>
      <c r="I3030" s="117">
        <f>IF(C3030=0,0,VLOOKUP(C3030,Tabla1[],3,FALSE))</f>
        <v>350</v>
      </c>
      <c r="K3030" s="84">
        <f>F3030*I3030</f>
        <v>350</v>
      </c>
      <c r="L3030" s="118">
        <f t="shared" ref="L3030:L3036" si="458">E3030*I3030</f>
        <v>350</v>
      </c>
      <c r="O3030" s="44"/>
      <c r="P3030" s="45"/>
    </row>
    <row r="3031" spans="1:16" x14ac:dyDescent="0.3">
      <c r="B3031" s="122">
        <v>2</v>
      </c>
      <c r="C3031" s="315" t="s">
        <v>244</v>
      </c>
      <c r="D3031" s="316"/>
      <c r="E3031" s="116">
        <f>E3030*8</f>
        <v>8</v>
      </c>
      <c r="F3031" s="83">
        <f>ROUND(E3031/I3026,2)</f>
        <v>8</v>
      </c>
      <c r="G3031" s="74" t="str">
        <f>IF(C3031=0,0,VLOOKUP(C3031,Tabla1[],2,FALSE))</f>
        <v>Unidad</v>
      </c>
      <c r="I3031" s="117">
        <f>IF(C3031=0,0,VLOOKUP(C3031,Tabla1[],3,FALSE))</f>
        <v>50</v>
      </c>
      <c r="K3031" s="84">
        <f>F3031*I3031</f>
        <v>400</v>
      </c>
      <c r="L3031" s="118">
        <f t="shared" si="458"/>
        <v>400</v>
      </c>
      <c r="O3031" s="44"/>
      <c r="P3031" s="45"/>
    </row>
    <row r="3032" spans="1:16" x14ac:dyDescent="0.3">
      <c r="B3032" s="122">
        <v>3</v>
      </c>
      <c r="C3032" s="319" t="s">
        <v>252</v>
      </c>
      <c r="D3032" s="318"/>
      <c r="E3032" s="116">
        <f>I3026*31.5</f>
        <v>31.5</v>
      </c>
      <c r="F3032" s="83">
        <f>ROUND(E3032/I3026,1)</f>
        <v>31.5</v>
      </c>
      <c r="G3032" s="74" t="str">
        <f>IF(C3032=0,0,VLOOKUP(C3032,Tabla1[],2,FALSE))</f>
        <v>ml</v>
      </c>
      <c r="I3032" s="117">
        <f>IF(C3032=0,0,VLOOKUP(C3032,Tabla1[],3,FALSE))</f>
        <v>10</v>
      </c>
      <c r="K3032" s="84">
        <f t="shared" ref="K3032:K3036" si="459">+F3032*I3032</f>
        <v>315</v>
      </c>
      <c r="L3032" s="118">
        <f t="shared" si="458"/>
        <v>315</v>
      </c>
      <c r="O3032" s="44"/>
      <c r="P3032" s="46"/>
    </row>
    <row r="3033" spans="1:16" x14ac:dyDescent="0.3">
      <c r="B3033" s="122">
        <v>4</v>
      </c>
      <c r="C3033" s="319" t="s">
        <v>255</v>
      </c>
      <c r="D3033" s="318"/>
      <c r="E3033" s="116">
        <f>E3034*2</f>
        <v>10</v>
      </c>
      <c r="F3033" s="83">
        <f>ROUND(E3033/I3026,2)</f>
        <v>10</v>
      </c>
      <c r="G3033" s="74" t="str">
        <f>IF(C3033=0,0,VLOOKUP(C3033,Tabla1[],2,FALSE))</f>
        <v>Unidad</v>
      </c>
      <c r="I3033" s="117">
        <f>IF(C3033=0,0,VLOOKUP(C3033,Tabla1[],3,FALSE))</f>
        <v>5</v>
      </c>
      <c r="K3033" s="84">
        <f t="shared" si="459"/>
        <v>50</v>
      </c>
      <c r="L3033" s="118">
        <f t="shared" si="458"/>
        <v>50</v>
      </c>
      <c r="O3033" s="44"/>
      <c r="P3033" s="46"/>
    </row>
    <row r="3034" spans="1:16" x14ac:dyDescent="0.4">
      <c r="B3034" s="122">
        <v>5</v>
      </c>
      <c r="C3034" s="319" t="s">
        <v>254</v>
      </c>
      <c r="D3034" s="318"/>
      <c r="E3034" s="116">
        <f>I3026*5</f>
        <v>5</v>
      </c>
      <c r="F3034" s="83">
        <f>ROUND(E3034/I3026,2)</f>
        <v>5</v>
      </c>
      <c r="G3034" s="74" t="str">
        <f>IF(C3034=0,0,VLOOKUP(C3034,Tabla1[],2,FALSE))</f>
        <v>Unidad</v>
      </c>
      <c r="I3034" s="117">
        <f>IF(C3034=0,0,VLOOKUP(C3034,Tabla1[],3,FALSE))</f>
        <v>20</v>
      </c>
      <c r="K3034" s="84">
        <f t="shared" si="459"/>
        <v>100</v>
      </c>
      <c r="L3034" s="118">
        <f t="shared" si="458"/>
        <v>100</v>
      </c>
      <c r="O3034" s="48"/>
      <c r="P3034" s="49"/>
    </row>
    <row r="3035" spans="1:16" x14ac:dyDescent="0.4">
      <c r="B3035" s="122">
        <v>6</v>
      </c>
      <c r="C3035" s="319" t="s">
        <v>256</v>
      </c>
      <c r="D3035" s="318"/>
      <c r="E3035" s="116">
        <f>I3026</f>
        <v>1</v>
      </c>
      <c r="F3035" s="83">
        <f>ROUND(E3035/I3026,2)</f>
        <v>1</v>
      </c>
      <c r="G3035" s="74" t="str">
        <f>IF(C3035=0,0,VLOOKUP(C3035,Tabla1[],2,FALSE))</f>
        <v>Unidad</v>
      </c>
      <c r="I3035" s="117">
        <f>IF(C3035=0,0,VLOOKUP(C3035,Tabla1[],3,FALSE))</f>
        <v>10</v>
      </c>
      <c r="K3035" s="84">
        <f t="shared" si="459"/>
        <v>10</v>
      </c>
      <c r="L3035" s="118">
        <f t="shared" si="458"/>
        <v>10</v>
      </c>
      <c r="O3035" s="48"/>
      <c r="P3035" s="49"/>
    </row>
    <row r="3036" spans="1:16" x14ac:dyDescent="0.4">
      <c r="B3036" s="122">
        <v>7</v>
      </c>
      <c r="C3036" s="319" t="s">
        <v>257</v>
      </c>
      <c r="D3036" s="318"/>
      <c r="E3036" s="116">
        <f>I3026</f>
        <v>1</v>
      </c>
      <c r="F3036" s="83">
        <f>ROUND(E3036/I3026,2)</f>
        <v>1</v>
      </c>
      <c r="G3036" s="74" t="str">
        <f>IF(C3036=0,0,VLOOKUP(C3036,Tabla1[],2,FALSE))</f>
        <v>Unidad</v>
      </c>
      <c r="I3036" s="117">
        <f>IF(C3036=0,0,VLOOKUP(C3036,Tabla1[],3,FALSE))</f>
        <v>60</v>
      </c>
      <c r="K3036" s="84">
        <f t="shared" si="459"/>
        <v>60</v>
      </c>
      <c r="L3036" s="118">
        <f t="shared" si="458"/>
        <v>60</v>
      </c>
      <c r="O3036" s="48"/>
      <c r="P3036" s="49"/>
    </row>
    <row r="3037" spans="1:16" ht="17.399999999999999" thickBot="1" x14ac:dyDescent="0.45"/>
    <row r="3038" spans="1:16" ht="17.399999999999999" thickBot="1" x14ac:dyDescent="0.35">
      <c r="F3038" s="292" t="s">
        <v>9</v>
      </c>
      <c r="G3038" s="293"/>
      <c r="H3038" s="293"/>
      <c r="I3038" s="294"/>
      <c r="K3038" s="229">
        <f>+SUM(K3030:K3036)</f>
        <v>1285</v>
      </c>
      <c r="L3038" s="119">
        <f>+SUM(L3030:L3036)</f>
        <v>1285</v>
      </c>
      <c r="O3038" s="38"/>
      <c r="P3038" s="38"/>
    </row>
    <row r="3039" spans="1:16" ht="17.399999999999999" thickBot="1" x14ac:dyDescent="0.45">
      <c r="O3039" s="42"/>
      <c r="P3039" s="43"/>
    </row>
    <row r="3040" spans="1:16" ht="17.399999999999999" thickBot="1" x14ac:dyDescent="0.45">
      <c r="B3040" s="110" t="s">
        <v>10</v>
      </c>
      <c r="C3040" s="300" t="s">
        <v>11</v>
      </c>
      <c r="D3040" s="300"/>
      <c r="E3040" s="300"/>
      <c r="F3040" s="300"/>
      <c r="G3040" s="301"/>
    </row>
    <row r="3041" spans="2:12" x14ac:dyDescent="0.4">
      <c r="B3041" s="114" t="s">
        <v>6</v>
      </c>
      <c r="C3041" s="302" t="s">
        <v>1</v>
      </c>
      <c r="D3041" s="303"/>
      <c r="E3041" s="112" t="s">
        <v>193</v>
      </c>
      <c r="F3041" s="120" t="s">
        <v>2</v>
      </c>
      <c r="G3041" s="114" t="s">
        <v>3</v>
      </c>
      <c r="H3041" s="106"/>
      <c r="I3041" s="107" t="s">
        <v>7</v>
      </c>
      <c r="J3041" s="136"/>
      <c r="K3041" s="107" t="s">
        <v>8</v>
      </c>
      <c r="L3041" s="115" t="s">
        <v>194</v>
      </c>
    </row>
    <row r="3042" spans="2:12" x14ac:dyDescent="0.4">
      <c r="B3042" s="122"/>
      <c r="C3042" s="306"/>
      <c r="D3042" s="306"/>
      <c r="E3042" s="116"/>
      <c r="F3042" s="83"/>
      <c r="G3042" s="74"/>
      <c r="I3042" s="117">
        <f>IF(C3042=0,0,VLOOKUP(C3042,Tabla3[],3,FALSE))</f>
        <v>0</v>
      </c>
      <c r="K3042" s="84">
        <f>F3042*I3042</f>
        <v>0</v>
      </c>
      <c r="L3042" s="118">
        <f>E3042*I3042</f>
        <v>0</v>
      </c>
    </row>
    <row r="3043" spans="2:12" x14ac:dyDescent="0.4">
      <c r="B3043" s="74"/>
      <c r="C3043" s="309"/>
      <c r="D3043" s="310"/>
      <c r="E3043" s="121"/>
      <c r="F3043" s="72"/>
      <c r="G3043" s="74"/>
      <c r="I3043" s="117">
        <f>IF(C3043=0,0,VLOOKUP(C3043,Tabla3[],3,FALSE))</f>
        <v>0</v>
      </c>
      <c r="K3043" s="84">
        <f t="shared" ref="K3043:K3045" si="460">+F3043*I3043</f>
        <v>0</v>
      </c>
      <c r="L3043" s="118">
        <f t="shared" ref="L3043:L3045" si="461">E3043*I3043</f>
        <v>0</v>
      </c>
    </row>
    <row r="3044" spans="2:12" x14ac:dyDescent="0.4">
      <c r="B3044" s="74"/>
      <c r="C3044" s="309"/>
      <c r="D3044" s="310"/>
      <c r="E3044" s="121"/>
      <c r="F3044" s="72"/>
      <c r="G3044" s="74"/>
      <c r="I3044" s="117">
        <f>IF(C3044=0,0,VLOOKUP(C3044,Tabla3[],3,FALSE))</f>
        <v>0</v>
      </c>
      <c r="K3044" s="84">
        <f t="shared" si="460"/>
        <v>0</v>
      </c>
      <c r="L3044" s="118">
        <f t="shared" si="461"/>
        <v>0</v>
      </c>
    </row>
    <row r="3045" spans="2:12" x14ac:dyDescent="0.4">
      <c r="B3045" s="74"/>
      <c r="C3045" s="304"/>
      <c r="D3045" s="305"/>
      <c r="E3045" s="121"/>
      <c r="F3045" s="72"/>
      <c r="G3045" s="74"/>
      <c r="I3045" s="117">
        <f>IF(C3045=0,0,VLOOKUP(C3045,Tabla3[],3,FALSE))</f>
        <v>0</v>
      </c>
      <c r="K3045" s="84">
        <f t="shared" si="460"/>
        <v>0</v>
      </c>
      <c r="L3045" s="118">
        <f t="shared" si="461"/>
        <v>0</v>
      </c>
    </row>
    <row r="3046" spans="2:12" ht="17.399999999999999" thickBot="1" x14ac:dyDescent="0.45"/>
    <row r="3047" spans="2:12" ht="17.399999999999999" thickBot="1" x14ac:dyDescent="0.45">
      <c r="F3047" s="292" t="s">
        <v>12</v>
      </c>
      <c r="G3047" s="293"/>
      <c r="H3047" s="293"/>
      <c r="I3047" s="294"/>
      <c r="K3047" s="229">
        <f>+SUM(K3042:K3045)</f>
        <v>0</v>
      </c>
      <c r="L3047" s="119">
        <f>+SUM(L3042:L3045)</f>
        <v>0</v>
      </c>
    </row>
    <row r="3048" spans="2:12" ht="17.399999999999999" thickBot="1" x14ac:dyDescent="0.45"/>
    <row r="3049" spans="2:12" ht="17.399999999999999" thickBot="1" x14ac:dyDescent="0.45">
      <c r="B3049" s="110" t="s">
        <v>13</v>
      </c>
      <c r="C3049" s="300" t="s">
        <v>14</v>
      </c>
      <c r="D3049" s="300"/>
      <c r="E3049" s="300"/>
      <c r="F3049" s="300"/>
      <c r="G3049" s="301"/>
    </row>
    <row r="3050" spans="2:12" x14ac:dyDescent="0.4">
      <c r="B3050" s="114" t="s">
        <v>6</v>
      </c>
      <c r="C3050" s="302" t="s">
        <v>1</v>
      </c>
      <c r="D3050" s="303"/>
      <c r="E3050" s="112" t="s">
        <v>193</v>
      </c>
      <c r="F3050" s="120" t="s">
        <v>2</v>
      </c>
      <c r="G3050" s="114" t="s">
        <v>3</v>
      </c>
      <c r="H3050" s="106"/>
      <c r="I3050" s="107" t="s">
        <v>7</v>
      </c>
      <c r="J3050" s="136"/>
      <c r="K3050" s="107" t="s">
        <v>8</v>
      </c>
      <c r="L3050" s="115" t="s">
        <v>194</v>
      </c>
    </row>
    <row r="3051" spans="2:12" x14ac:dyDescent="0.4">
      <c r="B3051" s="122">
        <v>1</v>
      </c>
      <c r="C3051" s="306" t="s">
        <v>253</v>
      </c>
      <c r="D3051" s="306"/>
      <c r="E3051" s="116">
        <f>I3026</f>
        <v>1</v>
      </c>
      <c r="F3051" s="83">
        <f>ROUND(E3051/I3026,2)</f>
        <v>1</v>
      </c>
      <c r="G3051" s="74" t="str">
        <f>IF(C3051=0,0,VLOOKUP(C3051,Tabla2[],2,FALSE))</f>
        <v>Unidad</v>
      </c>
      <c r="I3051" s="117">
        <f>IF(C3051=0,0,VLOOKUP(C3051,Tabla2[],3,FALSE))</f>
        <v>250</v>
      </c>
      <c r="K3051" s="84">
        <f>+F3051*I3051</f>
        <v>250</v>
      </c>
      <c r="L3051" s="118">
        <f>E3051*I3051</f>
        <v>250</v>
      </c>
    </row>
    <row r="3052" spans="2:12" x14ac:dyDescent="0.4">
      <c r="B3052" s="122"/>
      <c r="C3052" s="306"/>
      <c r="D3052" s="306"/>
      <c r="E3052" s="116"/>
      <c r="F3052" s="83"/>
      <c r="G3052" s="74"/>
      <c r="I3052" s="117">
        <f>IF(C3052=0,0,VLOOKUP(C3052,Tabla2[],3,FALSE))</f>
        <v>0</v>
      </c>
      <c r="K3052" s="84">
        <f>+F3052*I3052</f>
        <v>0</v>
      </c>
      <c r="L3052" s="118">
        <f>E3052*I3052</f>
        <v>0</v>
      </c>
    </row>
    <row r="3053" spans="2:12" ht="17.399999999999999" thickBot="1" x14ac:dyDescent="0.45">
      <c r="B3053" s="123"/>
      <c r="C3053" s="307"/>
      <c r="D3053" s="308"/>
      <c r="E3053" s="124"/>
      <c r="F3053" s="125"/>
      <c r="G3053" s="74"/>
      <c r="I3053" s="117">
        <f>IF(C3053=0,0,VLOOKUP(C3053,Tabla2[],3,FALSE))</f>
        <v>0</v>
      </c>
      <c r="K3053" s="84">
        <f t="shared" ref="K3053" si="462">+F3053*I3053</f>
        <v>0</v>
      </c>
      <c r="L3053" s="118">
        <f t="shared" ref="L3053:L3054" si="463">E3053*I3053</f>
        <v>0</v>
      </c>
    </row>
    <row r="3054" spans="2:12" ht="17.399999999999999" thickBot="1" x14ac:dyDescent="0.45">
      <c r="B3054" s="297" t="s">
        <v>15</v>
      </c>
      <c r="C3054" s="298"/>
      <c r="D3054" s="298"/>
      <c r="E3054" s="298"/>
      <c r="F3054" s="298"/>
      <c r="G3054" s="299"/>
      <c r="I3054" s="84">
        <v>0</v>
      </c>
      <c r="K3054" s="84">
        <v>0</v>
      </c>
      <c r="L3054" s="118">
        <f t="shared" si="463"/>
        <v>0</v>
      </c>
    </row>
    <row r="3055" spans="2:12" ht="17.399999999999999" thickBot="1" x14ac:dyDescent="0.45"/>
    <row r="3056" spans="2:12" ht="17.399999999999999" thickBot="1" x14ac:dyDescent="0.45">
      <c r="F3056" s="292" t="s">
        <v>16</v>
      </c>
      <c r="G3056" s="293"/>
      <c r="H3056" s="293"/>
      <c r="I3056" s="294"/>
      <c r="K3056" s="229">
        <f>+SUM(K3051:K3054)</f>
        <v>250</v>
      </c>
      <c r="L3056" s="119">
        <f>+SUM(L3051:L3054)</f>
        <v>250</v>
      </c>
    </row>
    <row r="3057" spans="2:16" ht="17.399999999999999" thickBot="1" x14ac:dyDescent="0.45"/>
    <row r="3058" spans="2:16" ht="17.399999999999999" thickBot="1" x14ac:dyDescent="0.45">
      <c r="B3058" s="110" t="s">
        <v>17</v>
      </c>
      <c r="C3058" s="300" t="s">
        <v>18</v>
      </c>
      <c r="D3058" s="300"/>
      <c r="E3058" s="300"/>
      <c r="F3058" s="300"/>
      <c r="G3058" s="301"/>
    </row>
    <row r="3059" spans="2:16" x14ac:dyDescent="0.4">
      <c r="B3059" s="114" t="s">
        <v>6</v>
      </c>
      <c r="C3059" s="302" t="s">
        <v>1</v>
      </c>
      <c r="D3059" s="303"/>
      <c r="E3059" s="126"/>
      <c r="F3059" s="120" t="s">
        <v>2</v>
      </c>
      <c r="G3059" s="114" t="s">
        <v>3</v>
      </c>
      <c r="H3059" s="106"/>
      <c r="I3059" s="107" t="s">
        <v>7</v>
      </c>
      <c r="J3059" s="136"/>
      <c r="K3059" s="107" t="s">
        <v>8</v>
      </c>
      <c r="L3059" s="115" t="s">
        <v>194</v>
      </c>
    </row>
    <row r="3060" spans="2:16" x14ac:dyDescent="0.4">
      <c r="B3060" s="74"/>
      <c r="C3060" s="304"/>
      <c r="D3060" s="305"/>
      <c r="E3060" s="127"/>
      <c r="F3060" s="72"/>
      <c r="G3060" s="74"/>
      <c r="I3060" s="84">
        <v>0</v>
      </c>
      <c r="K3060" s="84">
        <f>+F3060*I3060</f>
        <v>0</v>
      </c>
      <c r="L3060" s="118">
        <f>E3060*I3060</f>
        <v>0</v>
      </c>
    </row>
    <row r="3061" spans="2:16" x14ac:dyDescent="0.4">
      <c r="B3061" s="74"/>
      <c r="C3061" s="304"/>
      <c r="D3061" s="305"/>
      <c r="E3061" s="127"/>
      <c r="F3061" s="72"/>
      <c r="G3061" s="74"/>
      <c r="I3061" s="84">
        <v>0</v>
      </c>
      <c r="K3061" s="84">
        <f t="shared" ref="K3061:K3062" si="464">+F3061*I3061</f>
        <v>0</v>
      </c>
      <c r="L3061" s="118">
        <f t="shared" ref="L3061:L3062" si="465">E3061*I3061</f>
        <v>0</v>
      </c>
    </row>
    <row r="3062" spans="2:16" x14ac:dyDescent="0.4">
      <c r="B3062" s="74"/>
      <c r="C3062" s="304"/>
      <c r="D3062" s="305"/>
      <c r="E3062" s="127"/>
      <c r="F3062" s="72"/>
      <c r="G3062" s="74"/>
      <c r="I3062" s="84">
        <v>0</v>
      </c>
      <c r="K3062" s="84">
        <f t="shared" si="464"/>
        <v>0</v>
      </c>
      <c r="L3062" s="118">
        <f t="shared" si="465"/>
        <v>0</v>
      </c>
    </row>
    <row r="3063" spans="2:16" ht="17.399999999999999" thickBot="1" x14ac:dyDescent="0.45">
      <c r="L3063" s="118"/>
    </row>
    <row r="3064" spans="2:16" ht="17.399999999999999" thickBot="1" x14ac:dyDescent="0.45">
      <c r="F3064" s="292" t="s">
        <v>19</v>
      </c>
      <c r="G3064" s="293"/>
      <c r="H3064" s="293"/>
      <c r="I3064" s="294"/>
      <c r="K3064" s="229">
        <f>+SUM(K3060:K3062)</f>
        <v>0</v>
      </c>
      <c r="L3064" s="119">
        <f>+SUM(L3059:L3062)</f>
        <v>0</v>
      </c>
    </row>
    <row r="3065" spans="2:16" ht="15" customHeight="1" x14ac:dyDescent="0.4">
      <c r="F3065" s="128"/>
      <c r="G3065" s="129"/>
      <c r="H3065" s="130"/>
      <c r="I3065" s="108"/>
      <c r="K3065" s="230"/>
    </row>
    <row r="3066" spans="2:16" ht="15" customHeight="1" thickBot="1" x14ac:dyDescent="0.45"/>
    <row r="3067" spans="2:16" ht="17.399999999999999" thickBot="1" x14ac:dyDescent="0.45">
      <c r="F3067" s="292" t="s">
        <v>20</v>
      </c>
      <c r="G3067" s="293"/>
      <c r="H3067" s="293"/>
      <c r="I3067" s="294"/>
      <c r="K3067" s="229">
        <f>(+K3038+K3047+K3056+K3064)</f>
        <v>1535</v>
      </c>
      <c r="L3067" s="119">
        <f>(+L3038+L3047+L3056+L3064)</f>
        <v>1535</v>
      </c>
      <c r="N3067" s="131"/>
      <c r="O3067" s="39"/>
      <c r="P3067" s="40"/>
    </row>
    <row r="3068" spans="2:16" ht="7.5" customHeight="1" thickBot="1" x14ac:dyDescent="0.45">
      <c r="N3068" s="131"/>
      <c r="O3068" s="41"/>
      <c r="P3068" s="40"/>
    </row>
    <row r="3069" spans="2:16" ht="17.399999999999999" thickBot="1" x14ac:dyDescent="0.45">
      <c r="F3069" s="292" t="s">
        <v>21</v>
      </c>
      <c r="G3069" s="293"/>
      <c r="H3069" s="293"/>
      <c r="I3069" s="294"/>
      <c r="K3069" s="229">
        <f>K3067*$N$2</f>
        <v>614</v>
      </c>
      <c r="L3069" s="119">
        <f>L3067*$N$2</f>
        <v>614</v>
      </c>
    </row>
    <row r="3070" spans="2:16" ht="7.5" customHeight="1" thickBot="1" x14ac:dyDescent="0.45"/>
    <row r="3071" spans="2:16" ht="17.399999999999999" thickBot="1" x14ac:dyDescent="0.45">
      <c r="F3071" s="292" t="s">
        <v>22</v>
      </c>
      <c r="G3071" s="293"/>
      <c r="H3071" s="293"/>
      <c r="I3071" s="294"/>
      <c r="K3071" s="229">
        <f>+K3067+K3069</f>
        <v>2149</v>
      </c>
      <c r="L3071" s="119">
        <f>+L3067+L3069</f>
        <v>2149</v>
      </c>
    </row>
    <row r="3072" spans="2:16" ht="17.399999999999999" thickBot="1" x14ac:dyDescent="0.45">
      <c r="F3072" s="128"/>
      <c r="G3072" s="129"/>
      <c r="H3072" s="130"/>
      <c r="I3072" s="108"/>
      <c r="K3072" s="231"/>
      <c r="L3072" s="132">
        <f>L3071/I3026</f>
        <v>2149</v>
      </c>
      <c r="M3072" s="133">
        <f>(K3071-L3072)*I3026</f>
        <v>0</v>
      </c>
    </row>
    <row r="3073" spans="1:16" x14ac:dyDescent="0.4">
      <c r="F3073" s="128"/>
      <c r="G3073" s="129"/>
      <c r="H3073" s="130"/>
      <c r="I3073" s="108"/>
      <c r="K3073" s="232"/>
      <c r="L3073" s="131"/>
      <c r="M3073" s="134"/>
      <c r="N3073" s="135"/>
    </row>
    <row r="3074" spans="1:16" ht="17.399999999999999" thickBot="1" x14ac:dyDescent="0.45">
      <c r="B3074" s="295"/>
      <c r="C3074" s="295"/>
      <c r="D3074" s="295"/>
    </row>
    <row r="3075" spans="1:16" x14ac:dyDescent="0.4">
      <c r="B3075" s="296" t="s">
        <v>23</v>
      </c>
      <c r="C3075" s="296"/>
      <c r="D3075" s="296"/>
    </row>
    <row r="3076" spans="1:16" x14ac:dyDescent="0.4">
      <c r="B3076" s="157"/>
      <c r="C3076" s="157"/>
      <c r="D3076" s="157"/>
    </row>
    <row r="3078" spans="1:16" x14ac:dyDescent="0.4">
      <c r="B3078" s="105" t="s">
        <v>43</v>
      </c>
      <c r="C3078" s="106"/>
      <c r="D3078" s="311" t="s">
        <v>1</v>
      </c>
      <c r="E3078" s="311"/>
      <c r="F3078" s="311"/>
      <c r="G3078" s="311"/>
      <c r="H3078" s="106"/>
      <c r="I3078" s="107" t="s">
        <v>2</v>
      </c>
      <c r="J3078" s="136"/>
      <c r="K3078" s="107" t="s">
        <v>3</v>
      </c>
    </row>
    <row r="3079" spans="1:16" s="4" customFormat="1" ht="30.75" customHeight="1" x14ac:dyDescent="0.3">
      <c r="A3079" s="31"/>
      <c r="B3079" s="213">
        <f>CATALOGO!B78</f>
        <v>1009.03</v>
      </c>
      <c r="C3079" s="71"/>
      <c r="D3079" s="326" t="str">
        <f>CATALOGO!C78</f>
        <v>LÁMPARA LED TIPO LISTON 2 TUBOS (18 WATS)</v>
      </c>
      <c r="E3079" s="326"/>
      <c r="F3079" s="326"/>
      <c r="G3079" s="326"/>
      <c r="H3079" s="71"/>
      <c r="I3079" s="213">
        <f>CATALOGO!D78</f>
        <v>7</v>
      </c>
      <c r="J3079" s="109"/>
      <c r="K3079" s="227" t="str">
        <f>CATALOGO!E78</f>
        <v>Unidad</v>
      </c>
      <c r="L3079" s="71"/>
      <c r="M3079" s="71"/>
      <c r="N3079" s="71"/>
      <c r="O3079" s="37"/>
      <c r="P3079" s="37"/>
    </row>
    <row r="3080" spans="1:16" ht="17.399999999999999" thickBot="1" x14ac:dyDescent="0.45"/>
    <row r="3081" spans="1:16" ht="17.399999999999999" thickBot="1" x14ac:dyDescent="0.45">
      <c r="B3081" s="110" t="s">
        <v>4</v>
      </c>
      <c r="C3081" s="300" t="s">
        <v>5</v>
      </c>
      <c r="D3081" s="300"/>
      <c r="E3081" s="300"/>
      <c r="F3081" s="300"/>
      <c r="G3081" s="301"/>
    </row>
    <row r="3082" spans="1:16" x14ac:dyDescent="0.3">
      <c r="B3082" s="111" t="s">
        <v>6</v>
      </c>
      <c r="C3082" s="313" t="s">
        <v>1</v>
      </c>
      <c r="D3082" s="314"/>
      <c r="E3082" s="112" t="s">
        <v>193</v>
      </c>
      <c r="F3082" s="113" t="s">
        <v>2</v>
      </c>
      <c r="G3082" s="114" t="s">
        <v>3</v>
      </c>
      <c r="H3082" s="106"/>
      <c r="I3082" s="107" t="s">
        <v>7</v>
      </c>
      <c r="J3082" s="136"/>
      <c r="K3082" s="228" t="s">
        <v>8</v>
      </c>
      <c r="L3082" s="115" t="s">
        <v>194</v>
      </c>
      <c r="O3082" s="323"/>
      <c r="P3082" s="323"/>
    </row>
    <row r="3083" spans="1:16" ht="17.25" customHeight="1" x14ac:dyDescent="0.3">
      <c r="B3083" s="122">
        <v>1</v>
      </c>
      <c r="C3083" s="315" t="s">
        <v>258</v>
      </c>
      <c r="D3083" s="316"/>
      <c r="E3083" s="116">
        <f>I3079</f>
        <v>7</v>
      </c>
      <c r="F3083" s="83">
        <f>ROUND(E3083/I3079,2)</f>
        <v>1</v>
      </c>
      <c r="G3083" s="74" t="str">
        <f>IF(C3083=0,0,VLOOKUP(C3083,Tabla1[],2,FALSE))</f>
        <v>Unidad</v>
      </c>
      <c r="I3083" s="117">
        <f>IF(C3083=0,0,VLOOKUP(C3083,Tabla1[],3,FALSE))</f>
        <v>75</v>
      </c>
      <c r="K3083" s="84">
        <f>F3083*I3083</f>
        <v>75</v>
      </c>
      <c r="L3083" s="118">
        <f t="shared" ref="L3083:L3088" si="466">E3083*I3083</f>
        <v>525</v>
      </c>
      <c r="O3083" s="44"/>
      <c r="P3083" s="45"/>
    </row>
    <row r="3084" spans="1:16" ht="17.25" customHeight="1" x14ac:dyDescent="0.3">
      <c r="B3084" s="122">
        <v>2</v>
      </c>
      <c r="C3084" s="315" t="s">
        <v>259</v>
      </c>
      <c r="D3084" s="316"/>
      <c r="E3084" s="116">
        <f>E3083*2</f>
        <v>14</v>
      </c>
      <c r="F3084" s="83">
        <f>ROUND(E3084/I3079,2)</f>
        <v>2</v>
      </c>
      <c r="G3084" s="74" t="str">
        <f>IF(C3084=0,0,VLOOKUP(C3084,Tabla1[],2,FALSE))</f>
        <v>Unidad</v>
      </c>
      <c r="I3084" s="117">
        <f>IF(C3084=0,0,VLOOKUP(C3084,Tabla1[],3,FALSE))</f>
        <v>40</v>
      </c>
      <c r="K3084" s="84">
        <f>F3084*I3084</f>
        <v>80</v>
      </c>
      <c r="L3084" s="118">
        <f t="shared" si="466"/>
        <v>560</v>
      </c>
      <c r="O3084" s="44"/>
      <c r="P3084" s="45"/>
    </row>
    <row r="3085" spans="1:16" x14ac:dyDescent="0.3">
      <c r="B3085" s="122">
        <v>3</v>
      </c>
      <c r="C3085" s="319" t="s">
        <v>250</v>
      </c>
      <c r="D3085" s="318"/>
      <c r="E3085" s="116">
        <f>I3079*45</f>
        <v>315</v>
      </c>
      <c r="F3085" s="83">
        <f>ROUND(E3085/I3079,1)</f>
        <v>45</v>
      </c>
      <c r="G3085" s="74" t="str">
        <f>IF(C3085=0,0,VLOOKUP(C3085,Tabla1[],2,FALSE))</f>
        <v>ml</v>
      </c>
      <c r="I3085" s="117">
        <f>IF(C3085=0,0,VLOOKUP(C3085,Tabla1[],3,FALSE))</f>
        <v>5</v>
      </c>
      <c r="K3085" s="84">
        <f t="shared" ref="K3085:K3088" si="467">+F3085*I3085</f>
        <v>225</v>
      </c>
      <c r="L3085" s="118">
        <f t="shared" si="466"/>
        <v>1575</v>
      </c>
      <c r="O3085" s="44"/>
      <c r="P3085" s="46"/>
    </row>
    <row r="3086" spans="1:16" x14ac:dyDescent="0.3">
      <c r="B3086" s="122">
        <v>4</v>
      </c>
      <c r="C3086" s="319" t="s">
        <v>255</v>
      </c>
      <c r="D3086" s="318"/>
      <c r="E3086" s="116">
        <f>I3079</f>
        <v>7</v>
      </c>
      <c r="F3086" s="83">
        <f>ROUND(E3086/I3079,1)</f>
        <v>1</v>
      </c>
      <c r="G3086" s="74" t="str">
        <f>IF(C3086=0,0,VLOOKUP(C3086,Tabla1[],2,FALSE))</f>
        <v>Unidad</v>
      </c>
      <c r="I3086" s="117">
        <f>IF(C3086=0,0,VLOOKUP(C3086,Tabla1[],3,FALSE))</f>
        <v>5</v>
      </c>
      <c r="K3086" s="84">
        <f t="shared" si="467"/>
        <v>5</v>
      </c>
      <c r="L3086" s="118">
        <f t="shared" si="466"/>
        <v>35</v>
      </c>
      <c r="O3086" s="44"/>
      <c r="P3086" s="46"/>
    </row>
    <row r="3087" spans="1:16" x14ac:dyDescent="0.4">
      <c r="B3087" s="122">
        <v>5</v>
      </c>
      <c r="C3087" s="319" t="s">
        <v>254</v>
      </c>
      <c r="D3087" s="318"/>
      <c r="E3087" s="116">
        <f>I3079*2.5</f>
        <v>17.5</v>
      </c>
      <c r="F3087" s="83">
        <f>ROUND(E3087/I3079,2)</f>
        <v>2.5</v>
      </c>
      <c r="G3087" s="74" t="str">
        <f>IF(C3087=0,0,VLOOKUP(C3087,Tabla1[],2,FALSE))</f>
        <v>Unidad</v>
      </c>
      <c r="I3087" s="117">
        <f>IF(C3087=0,0,VLOOKUP(C3087,Tabla1[],3,FALSE))</f>
        <v>20</v>
      </c>
      <c r="K3087" s="84">
        <f t="shared" si="467"/>
        <v>50</v>
      </c>
      <c r="L3087" s="118">
        <f t="shared" si="466"/>
        <v>350</v>
      </c>
      <c r="O3087" s="48"/>
      <c r="P3087" s="49"/>
    </row>
    <row r="3088" spans="1:16" x14ac:dyDescent="0.4">
      <c r="B3088" s="122">
        <v>6</v>
      </c>
      <c r="C3088" s="319" t="s">
        <v>260</v>
      </c>
      <c r="D3088" s="318"/>
      <c r="E3088" s="116">
        <f>I3079*6</f>
        <v>42</v>
      </c>
      <c r="F3088" s="83">
        <f>ROUND(E3088/I3079,2)</f>
        <v>6</v>
      </c>
      <c r="G3088" s="74" t="str">
        <f>IF(C3088=0,0,VLOOKUP(C3088,Tabla1[],2,FALSE))</f>
        <v>Unidad</v>
      </c>
      <c r="I3088" s="117">
        <f>IF(C3088=0,0,VLOOKUP(C3088,Tabla1[],3,FALSE))</f>
        <v>5</v>
      </c>
      <c r="K3088" s="84">
        <f t="shared" si="467"/>
        <v>30</v>
      </c>
      <c r="L3088" s="118">
        <f t="shared" si="466"/>
        <v>210</v>
      </c>
      <c r="O3088" s="48"/>
      <c r="P3088" s="49"/>
    </row>
    <row r="3089" spans="2:16" ht="17.399999999999999" thickBot="1" x14ac:dyDescent="0.45"/>
    <row r="3090" spans="2:16" ht="17.399999999999999" thickBot="1" x14ac:dyDescent="0.35">
      <c r="F3090" s="292" t="s">
        <v>9</v>
      </c>
      <c r="G3090" s="293"/>
      <c r="H3090" s="293"/>
      <c r="I3090" s="294"/>
      <c r="K3090" s="229">
        <f>+SUM(K3083:K3088)</f>
        <v>465</v>
      </c>
      <c r="L3090" s="119">
        <f>+SUM(L3083:L3088)</f>
        <v>3255</v>
      </c>
      <c r="O3090" s="38"/>
      <c r="P3090" s="38"/>
    </row>
    <row r="3091" spans="2:16" ht="17.399999999999999" thickBot="1" x14ac:dyDescent="0.45">
      <c r="O3091" s="42"/>
      <c r="P3091" s="43"/>
    </row>
    <row r="3092" spans="2:16" ht="17.399999999999999" thickBot="1" x14ac:dyDescent="0.45">
      <c r="B3092" s="110" t="s">
        <v>10</v>
      </c>
      <c r="C3092" s="300" t="s">
        <v>11</v>
      </c>
      <c r="D3092" s="300"/>
      <c r="E3092" s="300"/>
      <c r="F3092" s="300"/>
      <c r="G3092" s="301"/>
    </row>
    <row r="3093" spans="2:16" x14ac:dyDescent="0.4">
      <c r="B3093" s="114" t="s">
        <v>6</v>
      </c>
      <c r="C3093" s="302" t="s">
        <v>1</v>
      </c>
      <c r="D3093" s="303"/>
      <c r="E3093" s="112" t="s">
        <v>193</v>
      </c>
      <c r="F3093" s="120" t="s">
        <v>2</v>
      </c>
      <c r="G3093" s="114" t="s">
        <v>3</v>
      </c>
      <c r="H3093" s="106"/>
      <c r="I3093" s="107" t="s">
        <v>7</v>
      </c>
      <c r="J3093" s="136"/>
      <c r="K3093" s="107" t="s">
        <v>8</v>
      </c>
      <c r="L3093" s="115" t="s">
        <v>194</v>
      </c>
    </row>
    <row r="3094" spans="2:16" x14ac:dyDescent="0.4">
      <c r="B3094" s="122"/>
      <c r="C3094" s="306"/>
      <c r="D3094" s="306"/>
      <c r="E3094" s="116"/>
      <c r="F3094" s="83"/>
      <c r="G3094" s="74"/>
      <c r="I3094" s="117">
        <f>IF(C3094=0,0,VLOOKUP(C3094,Tabla3[],3,FALSE))</f>
        <v>0</v>
      </c>
      <c r="K3094" s="84">
        <f>F3094*I3094</f>
        <v>0</v>
      </c>
      <c r="L3094" s="118">
        <f>E3094*I3094</f>
        <v>0</v>
      </c>
    </row>
    <row r="3095" spans="2:16" x14ac:dyDescent="0.4">
      <c r="B3095" s="74"/>
      <c r="C3095" s="309"/>
      <c r="D3095" s="310"/>
      <c r="E3095" s="121"/>
      <c r="F3095" s="72"/>
      <c r="G3095" s="74"/>
      <c r="I3095" s="117">
        <f>IF(C3095=0,0,VLOOKUP(C3095,Tabla3[],3,FALSE))</f>
        <v>0</v>
      </c>
      <c r="K3095" s="84">
        <f t="shared" ref="K3095:K3097" si="468">+F3095*I3095</f>
        <v>0</v>
      </c>
      <c r="L3095" s="118">
        <f t="shared" ref="L3095:L3097" si="469">E3095*I3095</f>
        <v>0</v>
      </c>
    </row>
    <row r="3096" spans="2:16" x14ac:dyDescent="0.4">
      <c r="B3096" s="74"/>
      <c r="C3096" s="309"/>
      <c r="D3096" s="310"/>
      <c r="E3096" s="121"/>
      <c r="F3096" s="72"/>
      <c r="G3096" s="74"/>
      <c r="I3096" s="117">
        <f>IF(C3096=0,0,VLOOKUP(C3096,Tabla3[],3,FALSE))</f>
        <v>0</v>
      </c>
      <c r="K3096" s="84">
        <f t="shared" si="468"/>
        <v>0</v>
      </c>
      <c r="L3096" s="118">
        <f t="shared" si="469"/>
        <v>0</v>
      </c>
    </row>
    <row r="3097" spans="2:16" x14ac:dyDescent="0.4">
      <c r="B3097" s="74"/>
      <c r="C3097" s="304"/>
      <c r="D3097" s="305"/>
      <c r="E3097" s="121"/>
      <c r="F3097" s="72"/>
      <c r="G3097" s="74"/>
      <c r="I3097" s="117">
        <f>IF(C3097=0,0,VLOOKUP(C3097,Tabla3[],3,FALSE))</f>
        <v>0</v>
      </c>
      <c r="K3097" s="84">
        <f t="shared" si="468"/>
        <v>0</v>
      </c>
      <c r="L3097" s="118">
        <f t="shared" si="469"/>
        <v>0</v>
      </c>
    </row>
    <row r="3098" spans="2:16" ht="17.399999999999999" thickBot="1" x14ac:dyDescent="0.45"/>
    <row r="3099" spans="2:16" ht="17.399999999999999" thickBot="1" x14ac:dyDescent="0.45">
      <c r="F3099" s="292" t="s">
        <v>12</v>
      </c>
      <c r="G3099" s="293"/>
      <c r="H3099" s="293"/>
      <c r="I3099" s="294"/>
      <c r="K3099" s="229">
        <f>+SUM(K3094:K3097)</f>
        <v>0</v>
      </c>
      <c r="L3099" s="119">
        <f>+SUM(L3094:L3097)</f>
        <v>0</v>
      </c>
    </row>
    <row r="3100" spans="2:16" ht="17.399999999999999" thickBot="1" x14ac:dyDescent="0.45"/>
    <row r="3101" spans="2:16" ht="17.399999999999999" thickBot="1" x14ac:dyDescent="0.45">
      <c r="B3101" s="110" t="s">
        <v>13</v>
      </c>
      <c r="C3101" s="300" t="s">
        <v>14</v>
      </c>
      <c r="D3101" s="300"/>
      <c r="E3101" s="300"/>
      <c r="F3101" s="300"/>
      <c r="G3101" s="301"/>
    </row>
    <row r="3102" spans="2:16" x14ac:dyDescent="0.4">
      <c r="B3102" s="114" t="s">
        <v>6</v>
      </c>
      <c r="C3102" s="302" t="s">
        <v>1</v>
      </c>
      <c r="D3102" s="303"/>
      <c r="E3102" s="112" t="s">
        <v>193</v>
      </c>
      <c r="F3102" s="120" t="s">
        <v>2</v>
      </c>
      <c r="G3102" s="114" t="s">
        <v>3</v>
      </c>
      <c r="H3102" s="106"/>
      <c r="I3102" s="107" t="s">
        <v>7</v>
      </c>
      <c r="J3102" s="136"/>
      <c r="K3102" s="107" t="s">
        <v>8</v>
      </c>
      <c r="L3102" s="115" t="s">
        <v>194</v>
      </c>
    </row>
    <row r="3103" spans="2:16" x14ac:dyDescent="0.4">
      <c r="B3103" s="122">
        <v>1</v>
      </c>
      <c r="C3103" s="306" t="s">
        <v>86</v>
      </c>
      <c r="D3103" s="306"/>
      <c r="E3103" s="116">
        <f>I3079</f>
        <v>7</v>
      </c>
      <c r="F3103" s="83">
        <f>ROUND(E3103/I3079,2)</f>
        <v>1</v>
      </c>
      <c r="G3103" s="74" t="str">
        <f>IF(C3103=0,0,VLOOKUP(C3103,Tabla2[],2,FALSE))</f>
        <v>Unidad</v>
      </c>
      <c r="I3103" s="117">
        <f>IF(C3103=0,0,VLOOKUP(C3103,Tabla2[],3,FALSE))</f>
        <v>120</v>
      </c>
      <c r="K3103" s="84">
        <f>+F3103*I3103</f>
        <v>120</v>
      </c>
      <c r="L3103" s="118">
        <f>E3103*I3103</f>
        <v>840</v>
      </c>
    </row>
    <row r="3104" spans="2:16" x14ac:dyDescent="0.4">
      <c r="B3104" s="122"/>
      <c r="C3104" s="306"/>
      <c r="D3104" s="306"/>
      <c r="E3104" s="116"/>
      <c r="F3104" s="83"/>
      <c r="G3104" s="74"/>
      <c r="I3104" s="117">
        <f>IF(C3104=0,0,VLOOKUP(C3104,Tabla2[],3,FALSE))</f>
        <v>0</v>
      </c>
      <c r="K3104" s="84">
        <f>+F3104*I3104</f>
        <v>0</v>
      </c>
      <c r="L3104" s="118">
        <f>E3104*I3104</f>
        <v>0</v>
      </c>
    </row>
    <row r="3105" spans="2:16" ht="17.399999999999999" thickBot="1" x14ac:dyDescent="0.45">
      <c r="B3105" s="123"/>
      <c r="C3105" s="307"/>
      <c r="D3105" s="308"/>
      <c r="E3105" s="124"/>
      <c r="F3105" s="125"/>
      <c r="G3105" s="74"/>
      <c r="I3105" s="117">
        <f>IF(C3105=0,0,VLOOKUP(C3105,Tabla2[],3,FALSE))</f>
        <v>0</v>
      </c>
      <c r="K3105" s="84">
        <f t="shared" ref="K3105" si="470">+F3105*I3105</f>
        <v>0</v>
      </c>
      <c r="L3105" s="118">
        <f t="shared" ref="L3105:L3106" si="471">E3105*I3105</f>
        <v>0</v>
      </c>
    </row>
    <row r="3106" spans="2:16" ht="17.399999999999999" thickBot="1" x14ac:dyDescent="0.45">
      <c r="B3106" s="297" t="s">
        <v>15</v>
      </c>
      <c r="C3106" s="298"/>
      <c r="D3106" s="298"/>
      <c r="E3106" s="298"/>
      <c r="F3106" s="298"/>
      <c r="G3106" s="299"/>
      <c r="I3106" s="84">
        <v>0</v>
      </c>
      <c r="K3106" s="84">
        <v>0</v>
      </c>
      <c r="L3106" s="118">
        <f t="shared" si="471"/>
        <v>0</v>
      </c>
    </row>
    <row r="3107" spans="2:16" ht="17.399999999999999" thickBot="1" x14ac:dyDescent="0.45"/>
    <row r="3108" spans="2:16" ht="17.399999999999999" thickBot="1" x14ac:dyDescent="0.45">
      <c r="F3108" s="292" t="s">
        <v>16</v>
      </c>
      <c r="G3108" s="293"/>
      <c r="H3108" s="293"/>
      <c r="I3108" s="294"/>
      <c r="K3108" s="229">
        <f>+SUM(K3103:K3106)</f>
        <v>120</v>
      </c>
      <c r="L3108" s="119">
        <f>+SUM(L3103:L3106)</f>
        <v>840</v>
      </c>
    </row>
    <row r="3109" spans="2:16" ht="17.399999999999999" thickBot="1" x14ac:dyDescent="0.45"/>
    <row r="3110" spans="2:16" ht="17.399999999999999" thickBot="1" x14ac:dyDescent="0.45">
      <c r="B3110" s="110" t="s">
        <v>17</v>
      </c>
      <c r="C3110" s="300" t="s">
        <v>18</v>
      </c>
      <c r="D3110" s="300"/>
      <c r="E3110" s="300"/>
      <c r="F3110" s="300"/>
      <c r="G3110" s="301"/>
    </row>
    <row r="3111" spans="2:16" x14ac:dyDescent="0.4">
      <c r="B3111" s="114" t="s">
        <v>6</v>
      </c>
      <c r="C3111" s="302" t="s">
        <v>1</v>
      </c>
      <c r="D3111" s="303"/>
      <c r="E3111" s="126"/>
      <c r="F3111" s="120" t="s">
        <v>2</v>
      </c>
      <c r="G3111" s="114" t="s">
        <v>3</v>
      </c>
      <c r="H3111" s="106"/>
      <c r="I3111" s="107" t="s">
        <v>7</v>
      </c>
      <c r="J3111" s="136"/>
      <c r="K3111" s="107" t="s">
        <v>8</v>
      </c>
      <c r="L3111" s="115" t="s">
        <v>194</v>
      </c>
    </row>
    <row r="3112" spans="2:16" x14ac:dyDescent="0.4">
      <c r="B3112" s="74"/>
      <c r="C3112" s="304"/>
      <c r="D3112" s="305"/>
      <c r="E3112" s="127"/>
      <c r="F3112" s="72"/>
      <c r="G3112" s="74"/>
      <c r="I3112" s="84">
        <v>0</v>
      </c>
      <c r="K3112" s="84">
        <f>+F3112*I3112</f>
        <v>0</v>
      </c>
      <c r="L3112" s="118">
        <f>E3112*I3112</f>
        <v>0</v>
      </c>
    </row>
    <row r="3113" spans="2:16" x14ac:dyDescent="0.4">
      <c r="B3113" s="74"/>
      <c r="C3113" s="304"/>
      <c r="D3113" s="305"/>
      <c r="E3113" s="127"/>
      <c r="F3113" s="72"/>
      <c r="G3113" s="74"/>
      <c r="I3113" s="84">
        <v>0</v>
      </c>
      <c r="K3113" s="84">
        <f t="shared" ref="K3113:K3114" si="472">+F3113*I3113</f>
        <v>0</v>
      </c>
      <c r="L3113" s="118">
        <f t="shared" ref="L3113:L3114" si="473">E3113*I3113</f>
        <v>0</v>
      </c>
    </row>
    <row r="3114" spans="2:16" x14ac:dyDescent="0.4">
      <c r="B3114" s="74"/>
      <c r="C3114" s="304"/>
      <c r="D3114" s="305"/>
      <c r="E3114" s="127"/>
      <c r="F3114" s="72"/>
      <c r="G3114" s="74"/>
      <c r="I3114" s="84">
        <v>0</v>
      </c>
      <c r="K3114" s="84">
        <f t="shared" si="472"/>
        <v>0</v>
      </c>
      <c r="L3114" s="118">
        <f t="shared" si="473"/>
        <v>0</v>
      </c>
    </row>
    <row r="3115" spans="2:16" ht="17.399999999999999" thickBot="1" x14ac:dyDescent="0.45">
      <c r="L3115" s="118"/>
    </row>
    <row r="3116" spans="2:16" ht="17.399999999999999" thickBot="1" x14ac:dyDescent="0.45">
      <c r="F3116" s="292" t="s">
        <v>19</v>
      </c>
      <c r="G3116" s="293"/>
      <c r="H3116" s="293"/>
      <c r="I3116" s="294"/>
      <c r="K3116" s="229">
        <f>+SUM(K3112:K3114)</f>
        <v>0</v>
      </c>
      <c r="L3116" s="119">
        <f>+SUM(L3111:L3114)</f>
        <v>0</v>
      </c>
    </row>
    <row r="3117" spans="2:16" ht="15" customHeight="1" x14ac:dyDescent="0.4">
      <c r="F3117" s="128"/>
      <c r="G3117" s="129"/>
      <c r="H3117" s="130"/>
      <c r="I3117" s="108"/>
      <c r="K3117" s="230"/>
    </row>
    <row r="3118" spans="2:16" ht="15" customHeight="1" thickBot="1" x14ac:dyDescent="0.45"/>
    <row r="3119" spans="2:16" ht="17.399999999999999" thickBot="1" x14ac:dyDescent="0.45">
      <c r="F3119" s="292" t="s">
        <v>20</v>
      </c>
      <c r="G3119" s="293"/>
      <c r="H3119" s="293"/>
      <c r="I3119" s="294"/>
      <c r="K3119" s="229">
        <f>(+K3090+K3099+K3108+K3116)</f>
        <v>585</v>
      </c>
      <c r="L3119" s="119">
        <f>(+L3090+L3099+L3108+L3116)</f>
        <v>4095</v>
      </c>
      <c r="N3119" s="131"/>
      <c r="O3119" s="39"/>
      <c r="P3119" s="40"/>
    </row>
    <row r="3120" spans="2:16" ht="7.5" customHeight="1" thickBot="1" x14ac:dyDescent="0.45">
      <c r="N3120" s="131"/>
      <c r="O3120" s="41"/>
      <c r="P3120" s="40"/>
    </row>
    <row r="3121" spans="1:16" ht="17.399999999999999" thickBot="1" x14ac:dyDescent="0.45">
      <c r="F3121" s="292" t="s">
        <v>21</v>
      </c>
      <c r="G3121" s="293"/>
      <c r="H3121" s="293"/>
      <c r="I3121" s="294"/>
      <c r="K3121" s="229">
        <f>K3119*$N$2</f>
        <v>234</v>
      </c>
      <c r="L3121" s="119">
        <f>L3119*$N$2</f>
        <v>1638</v>
      </c>
    </row>
    <row r="3122" spans="1:16" ht="7.5" customHeight="1" thickBot="1" x14ac:dyDescent="0.45"/>
    <row r="3123" spans="1:16" ht="17.399999999999999" thickBot="1" x14ac:dyDescent="0.45">
      <c r="F3123" s="292" t="s">
        <v>22</v>
      </c>
      <c r="G3123" s="293"/>
      <c r="H3123" s="293"/>
      <c r="I3123" s="294"/>
      <c r="K3123" s="229">
        <f>+K3119+K3121</f>
        <v>819</v>
      </c>
      <c r="L3123" s="119">
        <f>+L3119+L3121</f>
        <v>5733</v>
      </c>
    </row>
    <row r="3124" spans="1:16" ht="17.399999999999999" thickBot="1" x14ac:dyDescent="0.45">
      <c r="F3124" s="128"/>
      <c r="G3124" s="129"/>
      <c r="H3124" s="130"/>
      <c r="I3124" s="108"/>
      <c r="K3124" s="231"/>
      <c r="L3124" s="132">
        <f>L3123/I3079</f>
        <v>819</v>
      </c>
      <c r="M3124" s="133">
        <f>(K3123-L3124)*I3079</f>
        <v>0</v>
      </c>
    </row>
    <row r="3125" spans="1:16" x14ac:dyDescent="0.4">
      <c r="F3125" s="128"/>
      <c r="G3125" s="129"/>
      <c r="H3125" s="130"/>
      <c r="I3125" s="108"/>
      <c r="K3125" s="232"/>
      <c r="L3125" s="131"/>
      <c r="M3125" s="134"/>
      <c r="N3125" s="135"/>
    </row>
    <row r="3126" spans="1:16" ht="17.399999999999999" thickBot="1" x14ac:dyDescent="0.45">
      <c r="B3126" s="295"/>
      <c r="C3126" s="295"/>
      <c r="D3126" s="295"/>
    </row>
    <row r="3127" spans="1:16" x14ac:dyDescent="0.4">
      <c r="B3127" s="296" t="s">
        <v>23</v>
      </c>
      <c r="C3127" s="296"/>
      <c r="D3127" s="296"/>
    </row>
    <row r="3128" spans="1:16" x14ac:dyDescent="0.4">
      <c r="B3128" s="157"/>
      <c r="C3128" s="157"/>
      <c r="D3128" s="157"/>
    </row>
    <row r="3130" spans="1:16" x14ac:dyDescent="0.4">
      <c r="B3130" s="105" t="s">
        <v>43</v>
      </c>
      <c r="C3130" s="106"/>
      <c r="D3130" s="311" t="s">
        <v>1</v>
      </c>
      <c r="E3130" s="311"/>
      <c r="F3130" s="311"/>
      <c r="G3130" s="311"/>
      <c r="H3130" s="106"/>
      <c r="I3130" s="107" t="s">
        <v>2</v>
      </c>
      <c r="J3130" s="136"/>
      <c r="K3130" s="107" t="s">
        <v>3</v>
      </c>
    </row>
    <row r="3131" spans="1:16" s="4" customFormat="1" ht="30.75" customHeight="1" x14ac:dyDescent="0.3">
      <c r="A3131" s="31"/>
      <c r="B3131" s="213">
        <f>CATALOGO!B79</f>
        <v>1011.01</v>
      </c>
      <c r="C3131" s="71"/>
      <c r="D3131" s="324" t="str">
        <f>CATALOGO!C79</f>
        <v>INTERRUPTOR SENCILLO</v>
      </c>
      <c r="E3131" s="324"/>
      <c r="F3131" s="324"/>
      <c r="G3131" s="324"/>
      <c r="H3131" s="71"/>
      <c r="I3131" s="213">
        <f>CATALOGO!D79</f>
        <v>2</v>
      </c>
      <c r="J3131" s="109"/>
      <c r="K3131" s="227" t="str">
        <f>CATALOGO!E79</f>
        <v>Unidad</v>
      </c>
      <c r="L3131" s="71"/>
      <c r="M3131" s="71"/>
      <c r="N3131" s="104"/>
      <c r="O3131" s="37"/>
      <c r="P3131" s="37"/>
    </row>
    <row r="3132" spans="1:16" ht="17.399999999999999" thickBot="1" x14ac:dyDescent="0.45"/>
    <row r="3133" spans="1:16" ht="17.399999999999999" thickBot="1" x14ac:dyDescent="0.45">
      <c r="B3133" s="110" t="s">
        <v>4</v>
      </c>
      <c r="C3133" s="300" t="s">
        <v>5</v>
      </c>
      <c r="D3133" s="300"/>
      <c r="E3133" s="300"/>
      <c r="F3133" s="300"/>
      <c r="G3133" s="301"/>
    </row>
    <row r="3134" spans="1:16" x14ac:dyDescent="0.3">
      <c r="B3134" s="111" t="s">
        <v>6</v>
      </c>
      <c r="C3134" s="313" t="s">
        <v>1</v>
      </c>
      <c r="D3134" s="314"/>
      <c r="E3134" s="112" t="s">
        <v>193</v>
      </c>
      <c r="F3134" s="113" t="s">
        <v>2</v>
      </c>
      <c r="G3134" s="114" t="s">
        <v>3</v>
      </c>
      <c r="H3134" s="106"/>
      <c r="I3134" s="107" t="s">
        <v>7</v>
      </c>
      <c r="J3134" s="136"/>
      <c r="K3134" s="228" t="s">
        <v>8</v>
      </c>
      <c r="L3134" s="115" t="s">
        <v>194</v>
      </c>
      <c r="O3134" s="323"/>
      <c r="P3134" s="323"/>
    </row>
    <row r="3135" spans="1:16" ht="16.5" customHeight="1" x14ac:dyDescent="0.3">
      <c r="B3135" s="122">
        <v>1</v>
      </c>
      <c r="C3135" s="315" t="s">
        <v>281</v>
      </c>
      <c r="D3135" s="316"/>
      <c r="E3135" s="116">
        <f>I3131</f>
        <v>2</v>
      </c>
      <c r="F3135" s="83">
        <f>ROUND(E3135/I3131,2)</f>
        <v>1</v>
      </c>
      <c r="G3135" s="74" t="str">
        <f>IF(C3135=0,0,VLOOKUP(C3135,Tabla1[],2,FALSE))</f>
        <v>Unidad</v>
      </c>
      <c r="I3135" s="117">
        <f>IF(C3135=0,0,VLOOKUP(C3135,Tabla1[],3,FALSE))</f>
        <v>40</v>
      </c>
      <c r="K3135" s="84">
        <f>F3135*I3135</f>
        <v>40</v>
      </c>
      <c r="L3135" s="118">
        <f t="shared" ref="L3135:L3137" si="474">E3135*I3135</f>
        <v>80</v>
      </c>
      <c r="O3135" s="44"/>
      <c r="P3135" s="45"/>
    </row>
    <row r="3136" spans="1:16" ht="16.5" customHeight="1" x14ac:dyDescent="0.3">
      <c r="B3136" s="122">
        <v>2</v>
      </c>
      <c r="C3136" s="315" t="s">
        <v>87</v>
      </c>
      <c r="D3136" s="316"/>
      <c r="E3136" s="116">
        <f>I3131</f>
        <v>2</v>
      </c>
      <c r="F3136" s="83">
        <f>ROUND(E3136/I3131,2)</f>
        <v>1</v>
      </c>
      <c r="G3136" s="74" t="str">
        <f>IF(C3136=0,0,VLOOKUP(C3136,Tabla1[],2,FALSE))</f>
        <v>Unidad</v>
      </c>
      <c r="I3136" s="117">
        <f>IF(C3136=0,0,VLOOKUP(C3136,Tabla1[],3,FALSE))</f>
        <v>10</v>
      </c>
      <c r="K3136" s="84">
        <f>F3136*I3136</f>
        <v>10</v>
      </c>
      <c r="L3136" s="118">
        <f t="shared" si="474"/>
        <v>20</v>
      </c>
      <c r="O3136" s="44"/>
      <c r="P3136" s="45"/>
    </row>
    <row r="3137" spans="2:16" x14ac:dyDescent="0.4">
      <c r="B3137" s="122">
        <v>3</v>
      </c>
      <c r="C3137" s="317" t="s">
        <v>269</v>
      </c>
      <c r="D3137" s="318"/>
      <c r="E3137" s="116">
        <f>I3131</f>
        <v>2</v>
      </c>
      <c r="F3137" s="83">
        <f>ROUND(E3137/I3131,2)</f>
        <v>1</v>
      </c>
      <c r="G3137" s="74" t="str">
        <f>IF(C3137=0,0,VLOOKUP(C3137,Tabla1[],2,FALSE))</f>
        <v>Unidad</v>
      </c>
      <c r="I3137" s="117">
        <f>IF(C3137=0,0,VLOOKUP(C3137,Tabla1[],3,FALSE))</f>
        <v>50</v>
      </c>
      <c r="K3137" s="84">
        <f t="shared" ref="K3137" si="475">+F3137*I3137</f>
        <v>50</v>
      </c>
      <c r="L3137" s="118">
        <f t="shared" si="474"/>
        <v>100</v>
      </c>
      <c r="P3137" s="45"/>
    </row>
    <row r="3138" spans="2:16" ht="17.399999999999999" thickBot="1" x14ac:dyDescent="0.45"/>
    <row r="3139" spans="2:16" ht="17.399999999999999" thickBot="1" x14ac:dyDescent="0.35">
      <c r="F3139" s="292" t="s">
        <v>9</v>
      </c>
      <c r="G3139" s="293"/>
      <c r="H3139" s="293"/>
      <c r="I3139" s="294"/>
      <c r="K3139" s="229">
        <f>+SUM(K3135:K3137)</f>
        <v>100</v>
      </c>
      <c r="L3139" s="119">
        <f>+SUM(L3135:L3137)</f>
        <v>200</v>
      </c>
      <c r="O3139" s="38"/>
      <c r="P3139" s="38"/>
    </row>
    <row r="3140" spans="2:16" ht="17.399999999999999" thickBot="1" x14ac:dyDescent="0.45">
      <c r="O3140" s="42"/>
      <c r="P3140" s="43"/>
    </row>
    <row r="3141" spans="2:16" ht="17.399999999999999" thickBot="1" x14ac:dyDescent="0.45">
      <c r="B3141" s="110" t="s">
        <v>10</v>
      </c>
      <c r="C3141" s="300" t="s">
        <v>11</v>
      </c>
      <c r="D3141" s="300"/>
      <c r="E3141" s="300"/>
      <c r="F3141" s="300"/>
      <c r="G3141" s="301"/>
    </row>
    <row r="3142" spans="2:16" x14ac:dyDescent="0.4">
      <c r="B3142" s="114" t="s">
        <v>6</v>
      </c>
      <c r="C3142" s="302" t="s">
        <v>1</v>
      </c>
      <c r="D3142" s="303"/>
      <c r="E3142" s="112" t="s">
        <v>193</v>
      </c>
      <c r="F3142" s="120" t="s">
        <v>2</v>
      </c>
      <c r="G3142" s="114" t="s">
        <v>3</v>
      </c>
      <c r="H3142" s="106"/>
      <c r="I3142" s="107" t="s">
        <v>7</v>
      </c>
      <c r="J3142" s="136"/>
      <c r="K3142" s="107" t="s">
        <v>8</v>
      </c>
      <c r="L3142" s="115" t="s">
        <v>194</v>
      </c>
    </row>
    <row r="3143" spans="2:16" x14ac:dyDescent="0.4">
      <c r="B3143" s="122"/>
      <c r="C3143" s="306"/>
      <c r="D3143" s="306"/>
      <c r="E3143" s="116"/>
      <c r="F3143" s="83"/>
      <c r="G3143" s="74"/>
      <c r="I3143" s="117">
        <f>IF(C3143=0,0,VLOOKUP(C3143,Tabla3[],3,FALSE))</f>
        <v>0</v>
      </c>
      <c r="K3143" s="84">
        <f>F3143*I3143</f>
        <v>0</v>
      </c>
      <c r="L3143" s="118">
        <f>E3143*I3143</f>
        <v>0</v>
      </c>
    </row>
    <row r="3144" spans="2:16" x14ac:dyDescent="0.4">
      <c r="B3144" s="74"/>
      <c r="C3144" s="309"/>
      <c r="D3144" s="310"/>
      <c r="E3144" s="121"/>
      <c r="F3144" s="72"/>
      <c r="G3144" s="74"/>
      <c r="I3144" s="117">
        <f>IF(C3144=0,0,VLOOKUP(C3144,Tabla3[],3,FALSE))</f>
        <v>0</v>
      </c>
      <c r="K3144" s="84">
        <f t="shared" ref="K3144:K3146" si="476">+F3144*I3144</f>
        <v>0</v>
      </c>
      <c r="L3144" s="118">
        <f t="shared" ref="L3144:L3146" si="477">E3144*I3144</f>
        <v>0</v>
      </c>
    </row>
    <row r="3145" spans="2:16" x14ac:dyDescent="0.4">
      <c r="B3145" s="74"/>
      <c r="C3145" s="309"/>
      <c r="D3145" s="310"/>
      <c r="E3145" s="121"/>
      <c r="F3145" s="72"/>
      <c r="G3145" s="74"/>
      <c r="I3145" s="117">
        <f>IF(C3145=0,0,VLOOKUP(C3145,Tabla3[],3,FALSE))</f>
        <v>0</v>
      </c>
      <c r="K3145" s="84">
        <f t="shared" si="476"/>
        <v>0</v>
      </c>
      <c r="L3145" s="118">
        <f t="shared" si="477"/>
        <v>0</v>
      </c>
    </row>
    <row r="3146" spans="2:16" x14ac:dyDescent="0.4">
      <c r="B3146" s="74"/>
      <c r="C3146" s="304"/>
      <c r="D3146" s="305"/>
      <c r="E3146" s="121"/>
      <c r="F3146" s="72"/>
      <c r="G3146" s="74"/>
      <c r="I3146" s="117">
        <f>IF(C3146=0,0,VLOOKUP(C3146,Tabla3[],3,FALSE))</f>
        <v>0</v>
      </c>
      <c r="K3146" s="84">
        <f t="shared" si="476"/>
        <v>0</v>
      </c>
      <c r="L3146" s="118">
        <f t="shared" si="477"/>
        <v>0</v>
      </c>
    </row>
    <row r="3147" spans="2:16" ht="17.399999999999999" thickBot="1" x14ac:dyDescent="0.45"/>
    <row r="3148" spans="2:16" ht="17.399999999999999" thickBot="1" x14ac:dyDescent="0.45">
      <c r="F3148" s="292" t="s">
        <v>12</v>
      </c>
      <c r="G3148" s="293"/>
      <c r="H3148" s="293"/>
      <c r="I3148" s="294"/>
      <c r="K3148" s="229">
        <f>+SUM(K3143:K3146)</f>
        <v>0</v>
      </c>
      <c r="L3148" s="119">
        <f>+SUM(L3143:L3146)</f>
        <v>0</v>
      </c>
    </row>
    <row r="3149" spans="2:16" ht="17.399999999999999" thickBot="1" x14ac:dyDescent="0.45"/>
    <row r="3150" spans="2:16" ht="17.399999999999999" thickBot="1" x14ac:dyDescent="0.45">
      <c r="B3150" s="110" t="s">
        <v>13</v>
      </c>
      <c r="C3150" s="300" t="s">
        <v>14</v>
      </c>
      <c r="D3150" s="300"/>
      <c r="E3150" s="300"/>
      <c r="F3150" s="300"/>
      <c r="G3150" s="301"/>
    </row>
    <row r="3151" spans="2:16" x14ac:dyDescent="0.4">
      <c r="B3151" s="114" t="s">
        <v>6</v>
      </c>
      <c r="C3151" s="302" t="s">
        <v>1</v>
      </c>
      <c r="D3151" s="303"/>
      <c r="E3151" s="112" t="s">
        <v>193</v>
      </c>
      <c r="F3151" s="120" t="s">
        <v>2</v>
      </c>
      <c r="G3151" s="114" t="s">
        <v>3</v>
      </c>
      <c r="H3151" s="106"/>
      <c r="I3151" s="107" t="s">
        <v>7</v>
      </c>
      <c r="J3151" s="136"/>
      <c r="K3151" s="107" t="s">
        <v>8</v>
      </c>
      <c r="L3151" s="115" t="s">
        <v>194</v>
      </c>
    </row>
    <row r="3152" spans="2:16" x14ac:dyDescent="0.4">
      <c r="B3152" s="122">
        <v>1</v>
      </c>
      <c r="C3152" s="306" t="s">
        <v>267</v>
      </c>
      <c r="D3152" s="306"/>
      <c r="E3152" s="116">
        <f>I3131</f>
        <v>2</v>
      </c>
      <c r="F3152" s="83">
        <f>ROUND(E3152/I3131,2)</f>
        <v>1</v>
      </c>
      <c r="G3152" s="74" t="str">
        <f>IF(C3152=0,0,VLOOKUP(C3152,Tabla2[],2,FALSE))</f>
        <v>Unidad</v>
      </c>
      <c r="I3152" s="117">
        <f>IF(C3152=0,0,VLOOKUP(C3152,Tabla2[],3,FALSE))</f>
        <v>100</v>
      </c>
      <c r="K3152" s="84">
        <f>+F3152*I3152</f>
        <v>100</v>
      </c>
      <c r="L3152" s="118">
        <f>E3152*I3152</f>
        <v>200</v>
      </c>
    </row>
    <row r="3153" spans="2:16" x14ac:dyDescent="0.4">
      <c r="B3153" s="122"/>
      <c r="C3153" s="306"/>
      <c r="D3153" s="306"/>
      <c r="E3153" s="116"/>
      <c r="F3153" s="83"/>
      <c r="G3153" s="74"/>
      <c r="I3153" s="117">
        <f>IF(C3153=0,0,VLOOKUP(C3153,Tabla2[],3,FALSE))</f>
        <v>0</v>
      </c>
      <c r="K3153" s="84">
        <f>+F3153*I3153</f>
        <v>0</v>
      </c>
      <c r="L3153" s="118">
        <f>E3153*I3153</f>
        <v>0</v>
      </c>
    </row>
    <row r="3154" spans="2:16" ht="17.399999999999999" thickBot="1" x14ac:dyDescent="0.45">
      <c r="B3154" s="123"/>
      <c r="C3154" s="307"/>
      <c r="D3154" s="308"/>
      <c r="E3154" s="124"/>
      <c r="F3154" s="125"/>
      <c r="G3154" s="74"/>
      <c r="I3154" s="117">
        <f>IF(C3154=0,0,VLOOKUP(C3154,Tabla2[],3,FALSE))</f>
        <v>0</v>
      </c>
      <c r="K3154" s="84">
        <f t="shared" ref="K3154" si="478">+F3154*I3154</f>
        <v>0</v>
      </c>
      <c r="L3154" s="118">
        <f t="shared" ref="L3154:L3155" si="479">E3154*I3154</f>
        <v>0</v>
      </c>
    </row>
    <row r="3155" spans="2:16" ht="17.399999999999999" thickBot="1" x14ac:dyDescent="0.45">
      <c r="B3155" s="297" t="s">
        <v>15</v>
      </c>
      <c r="C3155" s="298"/>
      <c r="D3155" s="298"/>
      <c r="E3155" s="298"/>
      <c r="F3155" s="298"/>
      <c r="G3155" s="299"/>
      <c r="I3155" s="84">
        <v>0</v>
      </c>
      <c r="K3155" s="84">
        <v>0</v>
      </c>
      <c r="L3155" s="118">
        <f t="shared" si="479"/>
        <v>0</v>
      </c>
    </row>
    <row r="3156" spans="2:16" ht="17.399999999999999" thickBot="1" x14ac:dyDescent="0.45"/>
    <row r="3157" spans="2:16" ht="17.399999999999999" thickBot="1" x14ac:dyDescent="0.45">
      <c r="F3157" s="292" t="s">
        <v>16</v>
      </c>
      <c r="G3157" s="293"/>
      <c r="H3157" s="293"/>
      <c r="I3157" s="294"/>
      <c r="K3157" s="229">
        <f>+SUM(K3152:K3155)</f>
        <v>100</v>
      </c>
      <c r="L3157" s="119">
        <f>+SUM(L3152:L3155)</f>
        <v>200</v>
      </c>
    </row>
    <row r="3158" spans="2:16" ht="17.399999999999999" thickBot="1" x14ac:dyDescent="0.45"/>
    <row r="3159" spans="2:16" ht="17.399999999999999" thickBot="1" x14ac:dyDescent="0.45">
      <c r="B3159" s="110" t="s">
        <v>17</v>
      </c>
      <c r="C3159" s="300" t="s">
        <v>18</v>
      </c>
      <c r="D3159" s="300"/>
      <c r="E3159" s="300"/>
      <c r="F3159" s="300"/>
      <c r="G3159" s="301"/>
    </row>
    <row r="3160" spans="2:16" x14ac:dyDescent="0.4">
      <c r="B3160" s="114" t="s">
        <v>6</v>
      </c>
      <c r="C3160" s="302" t="s">
        <v>1</v>
      </c>
      <c r="D3160" s="303"/>
      <c r="E3160" s="126"/>
      <c r="F3160" s="120" t="s">
        <v>2</v>
      </c>
      <c r="G3160" s="114" t="s">
        <v>3</v>
      </c>
      <c r="H3160" s="106"/>
      <c r="I3160" s="107" t="s">
        <v>7</v>
      </c>
      <c r="J3160" s="136"/>
      <c r="K3160" s="107" t="s">
        <v>8</v>
      </c>
      <c r="L3160" s="115" t="s">
        <v>194</v>
      </c>
    </row>
    <row r="3161" spans="2:16" x14ac:dyDescent="0.4">
      <c r="B3161" s="74"/>
      <c r="C3161" s="304"/>
      <c r="D3161" s="305"/>
      <c r="E3161" s="127"/>
      <c r="F3161" s="72"/>
      <c r="G3161" s="74"/>
      <c r="I3161" s="84">
        <v>0</v>
      </c>
      <c r="K3161" s="84">
        <f>+F3161*I3161</f>
        <v>0</v>
      </c>
      <c r="L3161" s="118">
        <f>E3161*I3161</f>
        <v>0</v>
      </c>
    </row>
    <row r="3162" spans="2:16" x14ac:dyDescent="0.4">
      <c r="B3162" s="74"/>
      <c r="C3162" s="304"/>
      <c r="D3162" s="305"/>
      <c r="E3162" s="127"/>
      <c r="F3162" s="72"/>
      <c r="G3162" s="74"/>
      <c r="I3162" s="84">
        <v>0</v>
      </c>
      <c r="K3162" s="84">
        <f t="shared" ref="K3162:K3163" si="480">+F3162*I3162</f>
        <v>0</v>
      </c>
      <c r="L3162" s="118">
        <f t="shared" ref="L3162:L3163" si="481">E3162*I3162</f>
        <v>0</v>
      </c>
    </row>
    <row r="3163" spans="2:16" x14ac:dyDescent="0.4">
      <c r="B3163" s="74"/>
      <c r="C3163" s="304"/>
      <c r="D3163" s="305"/>
      <c r="E3163" s="127"/>
      <c r="F3163" s="72"/>
      <c r="G3163" s="74"/>
      <c r="I3163" s="84">
        <v>0</v>
      </c>
      <c r="K3163" s="84">
        <f t="shared" si="480"/>
        <v>0</v>
      </c>
      <c r="L3163" s="118">
        <f t="shared" si="481"/>
        <v>0</v>
      </c>
    </row>
    <row r="3164" spans="2:16" ht="17.399999999999999" thickBot="1" x14ac:dyDescent="0.45">
      <c r="L3164" s="118"/>
    </row>
    <row r="3165" spans="2:16" ht="17.399999999999999" thickBot="1" x14ac:dyDescent="0.45">
      <c r="F3165" s="292" t="s">
        <v>19</v>
      </c>
      <c r="G3165" s="293"/>
      <c r="H3165" s="293"/>
      <c r="I3165" s="294"/>
      <c r="K3165" s="229">
        <f>+SUM(K3161:K3163)</f>
        <v>0</v>
      </c>
      <c r="L3165" s="119">
        <f>+SUM(L3160:L3163)</f>
        <v>0</v>
      </c>
    </row>
    <row r="3166" spans="2:16" ht="15" customHeight="1" x14ac:dyDescent="0.4">
      <c r="F3166" s="128"/>
      <c r="G3166" s="129"/>
      <c r="H3166" s="130"/>
      <c r="I3166" s="108"/>
      <c r="K3166" s="230"/>
    </row>
    <row r="3167" spans="2:16" ht="15" customHeight="1" thickBot="1" x14ac:dyDescent="0.45"/>
    <row r="3168" spans="2:16" ht="17.399999999999999" thickBot="1" x14ac:dyDescent="0.45">
      <c r="F3168" s="292" t="s">
        <v>20</v>
      </c>
      <c r="G3168" s="293"/>
      <c r="H3168" s="293"/>
      <c r="I3168" s="294"/>
      <c r="K3168" s="229">
        <f>(+K3139+K3148+K3157+K3165)</f>
        <v>200</v>
      </c>
      <c r="L3168" s="119">
        <f>(+L3139+L3148+L3157+L3165)</f>
        <v>400</v>
      </c>
      <c r="N3168" s="131"/>
      <c r="O3168" s="39"/>
      <c r="P3168" s="40"/>
    </row>
    <row r="3169" spans="1:16" ht="7.5" customHeight="1" thickBot="1" x14ac:dyDescent="0.45">
      <c r="N3169" s="131"/>
      <c r="O3169" s="41"/>
      <c r="P3169" s="40"/>
    </row>
    <row r="3170" spans="1:16" ht="17.399999999999999" thickBot="1" x14ac:dyDescent="0.45">
      <c r="F3170" s="292" t="s">
        <v>21</v>
      </c>
      <c r="G3170" s="293"/>
      <c r="H3170" s="293"/>
      <c r="I3170" s="294"/>
      <c r="K3170" s="229">
        <f>K3168*$N$2</f>
        <v>80</v>
      </c>
      <c r="L3170" s="119">
        <f>L3168*$N$2</f>
        <v>160</v>
      </c>
    </row>
    <row r="3171" spans="1:16" ht="7.5" customHeight="1" thickBot="1" x14ac:dyDescent="0.45"/>
    <row r="3172" spans="1:16" ht="17.399999999999999" thickBot="1" x14ac:dyDescent="0.45">
      <c r="F3172" s="292" t="s">
        <v>22</v>
      </c>
      <c r="G3172" s="293"/>
      <c r="H3172" s="293"/>
      <c r="I3172" s="294"/>
      <c r="K3172" s="229">
        <f>+K3168+K3170</f>
        <v>280</v>
      </c>
      <c r="L3172" s="119">
        <f>+L3168+L3170</f>
        <v>560</v>
      </c>
    </row>
    <row r="3173" spans="1:16" ht="17.399999999999999" thickBot="1" x14ac:dyDescent="0.45">
      <c r="F3173" s="128"/>
      <c r="G3173" s="129"/>
      <c r="H3173" s="130"/>
      <c r="I3173" s="108"/>
      <c r="K3173" s="231"/>
      <c r="L3173" s="132">
        <f>L3172/I3131</f>
        <v>280</v>
      </c>
      <c r="M3173" s="133">
        <f>(K3172-L3173)*I3131</f>
        <v>0</v>
      </c>
    </row>
    <row r="3174" spans="1:16" x14ac:dyDescent="0.4">
      <c r="F3174" s="128"/>
      <c r="G3174" s="129"/>
      <c r="H3174" s="130"/>
      <c r="I3174" s="108"/>
      <c r="K3174" s="232"/>
      <c r="L3174" s="131"/>
      <c r="M3174" s="134"/>
      <c r="N3174" s="135"/>
    </row>
    <row r="3175" spans="1:16" ht="17.399999999999999" thickBot="1" x14ac:dyDescent="0.45">
      <c r="B3175" s="295"/>
      <c r="C3175" s="295"/>
      <c r="D3175" s="295"/>
    </row>
    <row r="3176" spans="1:16" x14ac:dyDescent="0.4">
      <c r="B3176" s="296" t="s">
        <v>23</v>
      </c>
      <c r="C3176" s="296"/>
      <c r="D3176" s="296"/>
    </row>
    <row r="3177" spans="1:16" x14ac:dyDescent="0.4">
      <c r="B3177" s="157"/>
      <c r="C3177" s="157"/>
      <c r="D3177" s="157"/>
    </row>
    <row r="3179" spans="1:16" x14ac:dyDescent="0.4">
      <c r="B3179" s="105" t="s">
        <v>43</v>
      </c>
      <c r="C3179" s="106"/>
      <c r="D3179" s="311" t="s">
        <v>1</v>
      </c>
      <c r="E3179" s="311"/>
      <c r="F3179" s="311"/>
      <c r="G3179" s="311"/>
      <c r="H3179" s="106"/>
      <c r="I3179" s="107" t="s">
        <v>2</v>
      </c>
      <c r="J3179" s="136"/>
      <c r="K3179" s="107" t="s">
        <v>3</v>
      </c>
    </row>
    <row r="3180" spans="1:16" s="4" customFormat="1" ht="30.75" customHeight="1" x14ac:dyDescent="0.3">
      <c r="A3180" s="31"/>
      <c r="B3180" s="213">
        <f>CATALOGO!B80</f>
        <v>1011.02</v>
      </c>
      <c r="C3180" s="71"/>
      <c r="D3180" s="324" t="str">
        <f>CATALOGO!C80</f>
        <v>INTERRUPTOR DOBLE</v>
      </c>
      <c r="E3180" s="324"/>
      <c r="F3180" s="324"/>
      <c r="G3180" s="324"/>
      <c r="H3180" s="71"/>
      <c r="I3180" s="213">
        <f>CATALOGO!D80</f>
        <v>1</v>
      </c>
      <c r="J3180" s="109"/>
      <c r="K3180" s="227" t="str">
        <f>CATALOGO!E80</f>
        <v>Unidad</v>
      </c>
      <c r="L3180" s="71"/>
      <c r="M3180" s="71"/>
      <c r="N3180" s="104"/>
      <c r="O3180" s="37"/>
      <c r="P3180" s="37"/>
    </row>
    <row r="3181" spans="1:16" ht="17.399999999999999" thickBot="1" x14ac:dyDescent="0.45"/>
    <row r="3182" spans="1:16" ht="17.399999999999999" thickBot="1" x14ac:dyDescent="0.45">
      <c r="B3182" s="110" t="s">
        <v>4</v>
      </c>
      <c r="C3182" s="300" t="s">
        <v>5</v>
      </c>
      <c r="D3182" s="300"/>
      <c r="E3182" s="300"/>
      <c r="F3182" s="300"/>
      <c r="G3182" s="301"/>
    </row>
    <row r="3183" spans="1:16" x14ac:dyDescent="0.3">
      <c r="B3183" s="111" t="s">
        <v>6</v>
      </c>
      <c r="C3183" s="313" t="s">
        <v>1</v>
      </c>
      <c r="D3183" s="314"/>
      <c r="E3183" s="112" t="s">
        <v>193</v>
      </c>
      <c r="F3183" s="113" t="s">
        <v>2</v>
      </c>
      <c r="G3183" s="114" t="s">
        <v>3</v>
      </c>
      <c r="H3183" s="106"/>
      <c r="I3183" s="107" t="s">
        <v>7</v>
      </c>
      <c r="J3183" s="136"/>
      <c r="K3183" s="228" t="s">
        <v>8</v>
      </c>
      <c r="L3183" s="115" t="s">
        <v>194</v>
      </c>
      <c r="O3183" s="323"/>
      <c r="P3183" s="323"/>
    </row>
    <row r="3184" spans="1:16" ht="16.5" customHeight="1" x14ac:dyDescent="0.3">
      <c r="B3184" s="122">
        <v>1</v>
      </c>
      <c r="C3184" s="315" t="s">
        <v>281</v>
      </c>
      <c r="D3184" s="316"/>
      <c r="E3184" s="116">
        <f>I3180</f>
        <v>1</v>
      </c>
      <c r="F3184" s="83">
        <f>ROUND(E3184/I3180,2)</f>
        <v>1</v>
      </c>
      <c r="G3184" s="74" t="str">
        <f>IF(C3184=0,0,VLOOKUP(C3184,Tabla1[],2,FALSE))</f>
        <v>Unidad</v>
      </c>
      <c r="I3184" s="117">
        <f>IF(C3184=0,0,VLOOKUP(C3184,Tabla1[],3,FALSE))</f>
        <v>40</v>
      </c>
      <c r="K3184" s="84">
        <f>F3184*I3184</f>
        <v>40</v>
      </c>
      <c r="L3184" s="118">
        <f t="shared" ref="L3184:L3186" si="482">E3184*I3184</f>
        <v>40</v>
      </c>
      <c r="O3184" s="44"/>
      <c r="P3184" s="45"/>
    </row>
    <row r="3185" spans="2:16" ht="16.5" customHeight="1" x14ac:dyDescent="0.3">
      <c r="B3185" s="122">
        <v>2</v>
      </c>
      <c r="C3185" s="315" t="s">
        <v>87</v>
      </c>
      <c r="D3185" s="316"/>
      <c r="E3185" s="116">
        <f>I3180</f>
        <v>1</v>
      </c>
      <c r="F3185" s="83">
        <f>ROUND(E3185/I3180,2)</f>
        <v>1</v>
      </c>
      <c r="G3185" s="74" t="str">
        <f>IF(C3185=0,0,VLOOKUP(C3185,Tabla1[],2,FALSE))</f>
        <v>Unidad</v>
      </c>
      <c r="I3185" s="117">
        <f>IF(C3185=0,0,VLOOKUP(C3185,Tabla1[],3,FALSE))</f>
        <v>10</v>
      </c>
      <c r="K3185" s="84">
        <f>F3185*I3185</f>
        <v>10</v>
      </c>
      <c r="L3185" s="118">
        <f t="shared" si="482"/>
        <v>10</v>
      </c>
      <c r="O3185" s="44"/>
      <c r="P3185" s="45"/>
    </row>
    <row r="3186" spans="2:16" x14ac:dyDescent="0.4">
      <c r="B3186" s="122">
        <v>3</v>
      </c>
      <c r="C3186" s="317" t="s">
        <v>269</v>
      </c>
      <c r="D3186" s="318"/>
      <c r="E3186" s="116">
        <f>I3180*2</f>
        <v>2</v>
      </c>
      <c r="F3186" s="83">
        <f>ROUND(E3186/I3180,2)</f>
        <v>2</v>
      </c>
      <c r="G3186" s="74" t="str">
        <f>IF(C3186=0,0,VLOOKUP(C3186,Tabla1[],2,FALSE))</f>
        <v>Unidad</v>
      </c>
      <c r="I3186" s="117">
        <f>IF(C3186=0,0,VLOOKUP(C3186,Tabla1[],3,FALSE))</f>
        <v>50</v>
      </c>
      <c r="K3186" s="84">
        <f t="shared" ref="K3186" si="483">+F3186*I3186</f>
        <v>100</v>
      </c>
      <c r="L3186" s="118">
        <f t="shared" si="482"/>
        <v>100</v>
      </c>
      <c r="P3186" s="45"/>
    </row>
    <row r="3187" spans="2:16" ht="17.399999999999999" thickBot="1" x14ac:dyDescent="0.45"/>
    <row r="3188" spans="2:16" ht="17.399999999999999" thickBot="1" x14ac:dyDescent="0.35">
      <c r="F3188" s="292" t="s">
        <v>9</v>
      </c>
      <c r="G3188" s="293"/>
      <c r="H3188" s="293"/>
      <c r="I3188" s="294"/>
      <c r="K3188" s="229">
        <f>+SUM(K3184:K3186)</f>
        <v>150</v>
      </c>
      <c r="L3188" s="119">
        <f>+SUM(L3184:L3186)</f>
        <v>150</v>
      </c>
      <c r="O3188" s="38"/>
      <c r="P3188" s="38"/>
    </row>
    <row r="3189" spans="2:16" ht="17.399999999999999" thickBot="1" x14ac:dyDescent="0.45">
      <c r="O3189" s="42"/>
      <c r="P3189" s="43"/>
    </row>
    <row r="3190" spans="2:16" ht="17.399999999999999" thickBot="1" x14ac:dyDescent="0.45">
      <c r="B3190" s="110" t="s">
        <v>10</v>
      </c>
      <c r="C3190" s="300" t="s">
        <v>11</v>
      </c>
      <c r="D3190" s="300"/>
      <c r="E3190" s="300"/>
      <c r="F3190" s="300"/>
      <c r="G3190" s="301"/>
    </row>
    <row r="3191" spans="2:16" x14ac:dyDescent="0.4">
      <c r="B3191" s="114" t="s">
        <v>6</v>
      </c>
      <c r="C3191" s="302" t="s">
        <v>1</v>
      </c>
      <c r="D3191" s="303"/>
      <c r="E3191" s="112" t="s">
        <v>193</v>
      </c>
      <c r="F3191" s="120" t="s">
        <v>2</v>
      </c>
      <c r="G3191" s="114" t="s">
        <v>3</v>
      </c>
      <c r="H3191" s="106"/>
      <c r="I3191" s="107" t="s">
        <v>7</v>
      </c>
      <c r="J3191" s="136"/>
      <c r="K3191" s="107" t="s">
        <v>8</v>
      </c>
      <c r="L3191" s="115" t="s">
        <v>194</v>
      </c>
    </row>
    <row r="3192" spans="2:16" x14ac:dyDescent="0.4">
      <c r="B3192" s="122"/>
      <c r="C3192" s="306"/>
      <c r="D3192" s="306"/>
      <c r="E3192" s="116"/>
      <c r="F3192" s="83"/>
      <c r="G3192" s="74"/>
      <c r="I3192" s="117">
        <f>IF(C3192=0,0,VLOOKUP(C3192,Tabla3[],3,FALSE))</f>
        <v>0</v>
      </c>
      <c r="K3192" s="84">
        <f>F3192*I3192</f>
        <v>0</v>
      </c>
      <c r="L3192" s="118">
        <f>E3192*I3192</f>
        <v>0</v>
      </c>
    </row>
    <row r="3193" spans="2:16" x14ac:dyDescent="0.4">
      <c r="B3193" s="74"/>
      <c r="C3193" s="309"/>
      <c r="D3193" s="310"/>
      <c r="E3193" s="121"/>
      <c r="F3193" s="72"/>
      <c r="G3193" s="74"/>
      <c r="I3193" s="117">
        <f>IF(C3193=0,0,VLOOKUP(C3193,Tabla3[],3,FALSE))</f>
        <v>0</v>
      </c>
      <c r="K3193" s="84">
        <f t="shared" ref="K3193:K3195" si="484">+F3193*I3193</f>
        <v>0</v>
      </c>
      <c r="L3193" s="118">
        <f t="shared" ref="L3193:L3195" si="485">E3193*I3193</f>
        <v>0</v>
      </c>
    </row>
    <row r="3194" spans="2:16" x14ac:dyDescent="0.4">
      <c r="B3194" s="74"/>
      <c r="C3194" s="309"/>
      <c r="D3194" s="310"/>
      <c r="E3194" s="121"/>
      <c r="F3194" s="72"/>
      <c r="G3194" s="74"/>
      <c r="I3194" s="117">
        <f>IF(C3194=0,0,VLOOKUP(C3194,Tabla3[],3,FALSE))</f>
        <v>0</v>
      </c>
      <c r="K3194" s="84">
        <f t="shared" si="484"/>
        <v>0</v>
      </c>
      <c r="L3194" s="118">
        <f t="shared" si="485"/>
        <v>0</v>
      </c>
    </row>
    <row r="3195" spans="2:16" x14ac:dyDescent="0.4">
      <c r="B3195" s="74"/>
      <c r="C3195" s="304"/>
      <c r="D3195" s="305"/>
      <c r="E3195" s="121"/>
      <c r="F3195" s="72"/>
      <c r="G3195" s="74"/>
      <c r="I3195" s="117">
        <f>IF(C3195=0,0,VLOOKUP(C3195,Tabla3[],3,FALSE))</f>
        <v>0</v>
      </c>
      <c r="K3195" s="84">
        <f t="shared" si="484"/>
        <v>0</v>
      </c>
      <c r="L3195" s="118">
        <f t="shared" si="485"/>
        <v>0</v>
      </c>
    </row>
    <row r="3196" spans="2:16" ht="17.399999999999999" thickBot="1" x14ac:dyDescent="0.45"/>
    <row r="3197" spans="2:16" ht="17.399999999999999" thickBot="1" x14ac:dyDescent="0.45">
      <c r="F3197" s="292" t="s">
        <v>12</v>
      </c>
      <c r="G3197" s="293"/>
      <c r="H3197" s="293"/>
      <c r="I3197" s="294"/>
      <c r="K3197" s="229">
        <f>+SUM(K3192:K3195)</f>
        <v>0</v>
      </c>
      <c r="L3197" s="119">
        <f>+SUM(L3192:L3195)</f>
        <v>0</v>
      </c>
    </row>
    <row r="3198" spans="2:16" ht="17.399999999999999" thickBot="1" x14ac:dyDescent="0.45"/>
    <row r="3199" spans="2:16" ht="17.399999999999999" thickBot="1" x14ac:dyDescent="0.45">
      <c r="B3199" s="110" t="s">
        <v>13</v>
      </c>
      <c r="C3199" s="300" t="s">
        <v>14</v>
      </c>
      <c r="D3199" s="300"/>
      <c r="E3199" s="300"/>
      <c r="F3199" s="300"/>
      <c r="G3199" s="301"/>
    </row>
    <row r="3200" spans="2:16" x14ac:dyDescent="0.4">
      <c r="B3200" s="114" t="s">
        <v>6</v>
      </c>
      <c r="C3200" s="302" t="s">
        <v>1</v>
      </c>
      <c r="D3200" s="303"/>
      <c r="E3200" s="112" t="s">
        <v>193</v>
      </c>
      <c r="F3200" s="120" t="s">
        <v>2</v>
      </c>
      <c r="G3200" s="114" t="s">
        <v>3</v>
      </c>
      <c r="H3200" s="106"/>
      <c r="I3200" s="107" t="s">
        <v>7</v>
      </c>
      <c r="J3200" s="136"/>
      <c r="K3200" s="107" t="s">
        <v>8</v>
      </c>
      <c r="L3200" s="115" t="s">
        <v>194</v>
      </c>
    </row>
    <row r="3201" spans="2:12" x14ac:dyDescent="0.4">
      <c r="B3201" s="122">
        <v>1</v>
      </c>
      <c r="C3201" s="306" t="s">
        <v>267</v>
      </c>
      <c r="D3201" s="306"/>
      <c r="E3201" s="116">
        <f>I3180</f>
        <v>1</v>
      </c>
      <c r="F3201" s="83">
        <f>ROUND(E3201/I3180,2)</f>
        <v>1</v>
      </c>
      <c r="G3201" s="74" t="str">
        <f>IF(C3201=0,0,VLOOKUP(C3201,Tabla2[],2,FALSE))</f>
        <v>Unidad</v>
      </c>
      <c r="I3201" s="117">
        <f>IF(C3201=0,0,VLOOKUP(C3201,Tabla2[],3,FALSE))</f>
        <v>100</v>
      </c>
      <c r="K3201" s="84">
        <f>+F3201*I3201</f>
        <v>100</v>
      </c>
      <c r="L3201" s="118">
        <f>E3201*I3201</f>
        <v>100</v>
      </c>
    </row>
    <row r="3202" spans="2:12" x14ac:dyDescent="0.4">
      <c r="B3202" s="122"/>
      <c r="C3202" s="306"/>
      <c r="D3202" s="306"/>
      <c r="E3202" s="116"/>
      <c r="F3202" s="83"/>
      <c r="G3202" s="74"/>
      <c r="I3202" s="117">
        <f>IF(C3202=0,0,VLOOKUP(C3202,Tabla2[],3,FALSE))</f>
        <v>0</v>
      </c>
      <c r="K3202" s="84">
        <f>+F3202*I3202</f>
        <v>0</v>
      </c>
      <c r="L3202" s="118">
        <f>E3202*I3202</f>
        <v>0</v>
      </c>
    </row>
    <row r="3203" spans="2:12" ht="17.399999999999999" thickBot="1" x14ac:dyDescent="0.45">
      <c r="B3203" s="123"/>
      <c r="C3203" s="307"/>
      <c r="D3203" s="308"/>
      <c r="E3203" s="124"/>
      <c r="F3203" s="125"/>
      <c r="G3203" s="74"/>
      <c r="I3203" s="117">
        <f>IF(C3203=0,0,VLOOKUP(C3203,Tabla2[],3,FALSE))</f>
        <v>0</v>
      </c>
      <c r="K3203" s="84">
        <f t="shared" ref="K3203" si="486">+F3203*I3203</f>
        <v>0</v>
      </c>
      <c r="L3203" s="118">
        <f t="shared" ref="L3203:L3204" si="487">E3203*I3203</f>
        <v>0</v>
      </c>
    </row>
    <row r="3204" spans="2:12" ht="17.399999999999999" thickBot="1" x14ac:dyDescent="0.45">
      <c r="B3204" s="297" t="s">
        <v>15</v>
      </c>
      <c r="C3204" s="298"/>
      <c r="D3204" s="298"/>
      <c r="E3204" s="298"/>
      <c r="F3204" s="298"/>
      <c r="G3204" s="299"/>
      <c r="I3204" s="84">
        <v>0</v>
      </c>
      <c r="K3204" s="84">
        <v>0</v>
      </c>
      <c r="L3204" s="118">
        <f t="shared" si="487"/>
        <v>0</v>
      </c>
    </row>
    <row r="3205" spans="2:12" ht="17.399999999999999" thickBot="1" x14ac:dyDescent="0.45"/>
    <row r="3206" spans="2:12" ht="17.399999999999999" thickBot="1" x14ac:dyDescent="0.45">
      <c r="F3206" s="292" t="s">
        <v>16</v>
      </c>
      <c r="G3206" s="293"/>
      <c r="H3206" s="293"/>
      <c r="I3206" s="294"/>
      <c r="K3206" s="229">
        <f>+SUM(K3201:K3204)</f>
        <v>100</v>
      </c>
      <c r="L3206" s="119">
        <f>+SUM(L3201:L3204)</f>
        <v>100</v>
      </c>
    </row>
    <row r="3207" spans="2:12" ht="17.399999999999999" thickBot="1" x14ac:dyDescent="0.45"/>
    <row r="3208" spans="2:12" ht="17.399999999999999" thickBot="1" x14ac:dyDescent="0.45">
      <c r="B3208" s="110" t="s">
        <v>17</v>
      </c>
      <c r="C3208" s="300" t="s">
        <v>18</v>
      </c>
      <c r="D3208" s="300"/>
      <c r="E3208" s="300"/>
      <c r="F3208" s="300"/>
      <c r="G3208" s="301"/>
    </row>
    <row r="3209" spans="2:12" x14ac:dyDescent="0.4">
      <c r="B3209" s="114" t="s">
        <v>6</v>
      </c>
      <c r="C3209" s="302" t="s">
        <v>1</v>
      </c>
      <c r="D3209" s="303"/>
      <c r="E3209" s="126"/>
      <c r="F3209" s="120" t="s">
        <v>2</v>
      </c>
      <c r="G3209" s="114" t="s">
        <v>3</v>
      </c>
      <c r="H3209" s="106"/>
      <c r="I3209" s="107" t="s">
        <v>7</v>
      </c>
      <c r="J3209" s="136"/>
      <c r="K3209" s="107" t="s">
        <v>8</v>
      </c>
      <c r="L3209" s="115" t="s">
        <v>194</v>
      </c>
    </row>
    <row r="3210" spans="2:12" x14ac:dyDescent="0.4">
      <c r="B3210" s="74"/>
      <c r="C3210" s="304"/>
      <c r="D3210" s="305"/>
      <c r="E3210" s="127"/>
      <c r="F3210" s="72"/>
      <c r="G3210" s="74"/>
      <c r="I3210" s="84">
        <v>0</v>
      </c>
      <c r="K3210" s="84">
        <f>+F3210*I3210</f>
        <v>0</v>
      </c>
      <c r="L3210" s="118">
        <f>E3210*I3210</f>
        <v>0</v>
      </c>
    </row>
    <row r="3211" spans="2:12" x14ac:dyDescent="0.4">
      <c r="B3211" s="74"/>
      <c r="C3211" s="304"/>
      <c r="D3211" s="305"/>
      <c r="E3211" s="127"/>
      <c r="F3211" s="72"/>
      <c r="G3211" s="74"/>
      <c r="I3211" s="84">
        <v>0</v>
      </c>
      <c r="K3211" s="84">
        <f t="shared" ref="K3211:K3212" si="488">+F3211*I3211</f>
        <v>0</v>
      </c>
      <c r="L3211" s="118">
        <f t="shared" ref="L3211:L3212" si="489">E3211*I3211</f>
        <v>0</v>
      </c>
    </row>
    <row r="3212" spans="2:12" x14ac:dyDescent="0.4">
      <c r="B3212" s="74"/>
      <c r="C3212" s="304"/>
      <c r="D3212" s="305"/>
      <c r="E3212" s="127"/>
      <c r="F3212" s="72"/>
      <c r="G3212" s="74"/>
      <c r="I3212" s="84">
        <v>0</v>
      </c>
      <c r="K3212" s="84">
        <f t="shared" si="488"/>
        <v>0</v>
      </c>
      <c r="L3212" s="118">
        <f t="shared" si="489"/>
        <v>0</v>
      </c>
    </row>
    <row r="3213" spans="2:12" ht="17.399999999999999" thickBot="1" x14ac:dyDescent="0.45">
      <c r="L3213" s="118"/>
    </row>
    <row r="3214" spans="2:12" ht="17.399999999999999" thickBot="1" x14ac:dyDescent="0.45">
      <c r="F3214" s="292" t="s">
        <v>19</v>
      </c>
      <c r="G3214" s="293"/>
      <c r="H3214" s="293"/>
      <c r="I3214" s="294"/>
      <c r="K3214" s="229">
        <f>+SUM(K3210:K3212)</f>
        <v>0</v>
      </c>
      <c r="L3214" s="119">
        <f>+SUM(L3209:L3212)</f>
        <v>0</v>
      </c>
    </row>
    <row r="3215" spans="2:12" ht="15" customHeight="1" x14ac:dyDescent="0.4">
      <c r="F3215" s="128"/>
      <c r="G3215" s="129"/>
      <c r="H3215" s="130"/>
      <c r="I3215" s="108"/>
      <c r="K3215" s="230"/>
    </row>
    <row r="3216" spans="2:12" ht="15" customHeight="1" thickBot="1" x14ac:dyDescent="0.45"/>
    <row r="3217" spans="1:16" ht="17.399999999999999" thickBot="1" x14ac:dyDescent="0.45">
      <c r="F3217" s="292" t="s">
        <v>20</v>
      </c>
      <c r="G3217" s="293"/>
      <c r="H3217" s="293"/>
      <c r="I3217" s="294"/>
      <c r="K3217" s="229">
        <f>(+K3188+K3197+K3206+K3214)</f>
        <v>250</v>
      </c>
      <c r="L3217" s="119">
        <f>(+L3188+L3197+L3206+L3214)</f>
        <v>250</v>
      </c>
      <c r="N3217" s="131"/>
      <c r="O3217" s="39"/>
      <c r="P3217" s="40"/>
    </row>
    <row r="3218" spans="1:16" ht="7.5" customHeight="1" thickBot="1" x14ac:dyDescent="0.45">
      <c r="N3218" s="131"/>
      <c r="O3218" s="41"/>
      <c r="P3218" s="40"/>
    </row>
    <row r="3219" spans="1:16" ht="17.399999999999999" thickBot="1" x14ac:dyDescent="0.45">
      <c r="F3219" s="292" t="s">
        <v>21</v>
      </c>
      <c r="G3219" s="293"/>
      <c r="H3219" s="293"/>
      <c r="I3219" s="294"/>
      <c r="K3219" s="229">
        <f>K3217*$N$2</f>
        <v>100</v>
      </c>
      <c r="L3219" s="119">
        <f>L3217*$N$2</f>
        <v>100</v>
      </c>
    </row>
    <row r="3220" spans="1:16" ht="7.5" customHeight="1" thickBot="1" x14ac:dyDescent="0.45"/>
    <row r="3221" spans="1:16" ht="17.399999999999999" thickBot="1" x14ac:dyDescent="0.45">
      <c r="F3221" s="292" t="s">
        <v>22</v>
      </c>
      <c r="G3221" s="293"/>
      <c r="H3221" s="293"/>
      <c r="I3221" s="294"/>
      <c r="K3221" s="229">
        <f>+K3217+K3219</f>
        <v>350</v>
      </c>
      <c r="L3221" s="119">
        <f>+L3217+L3219</f>
        <v>350</v>
      </c>
    </row>
    <row r="3222" spans="1:16" ht="17.399999999999999" thickBot="1" x14ac:dyDescent="0.45">
      <c r="F3222" s="128"/>
      <c r="G3222" s="129"/>
      <c r="H3222" s="130"/>
      <c r="I3222" s="108"/>
      <c r="K3222" s="231"/>
      <c r="L3222" s="132">
        <f>L3221/I3180</f>
        <v>350</v>
      </c>
      <c r="M3222" s="133">
        <f>(K3221-L3222)*I3180</f>
        <v>0</v>
      </c>
    </row>
    <row r="3223" spans="1:16" x14ac:dyDescent="0.4">
      <c r="F3223" s="128"/>
      <c r="G3223" s="129"/>
      <c r="H3223" s="130"/>
      <c r="I3223" s="108"/>
      <c r="K3223" s="232"/>
      <c r="L3223" s="131"/>
      <c r="M3223" s="134"/>
      <c r="N3223" s="135"/>
    </row>
    <row r="3224" spans="1:16" ht="17.399999999999999" thickBot="1" x14ac:dyDescent="0.45">
      <c r="B3224" s="295"/>
      <c r="C3224" s="295"/>
      <c r="D3224" s="295"/>
    </row>
    <row r="3225" spans="1:16" x14ac:dyDescent="0.4">
      <c r="B3225" s="296" t="s">
        <v>23</v>
      </c>
      <c r="C3225" s="296"/>
      <c r="D3225" s="296"/>
    </row>
    <row r="3226" spans="1:16" x14ac:dyDescent="0.4">
      <c r="B3226" s="157"/>
      <c r="C3226" s="157"/>
      <c r="D3226" s="157"/>
    </row>
    <row r="3228" spans="1:16" x14ac:dyDescent="0.4">
      <c r="B3228" s="105" t="s">
        <v>43</v>
      </c>
      <c r="C3228" s="106"/>
      <c r="D3228" s="311" t="s">
        <v>1</v>
      </c>
      <c r="E3228" s="311"/>
      <c r="F3228" s="311"/>
      <c r="G3228" s="311"/>
      <c r="H3228" s="106"/>
      <c r="I3228" s="107" t="s">
        <v>2</v>
      </c>
      <c r="J3228" s="136"/>
      <c r="K3228" s="107" t="s">
        <v>3</v>
      </c>
    </row>
    <row r="3229" spans="1:16" s="4" customFormat="1" ht="30.75" customHeight="1" x14ac:dyDescent="0.3">
      <c r="A3229" s="31"/>
      <c r="B3229" s="213">
        <f>CATALOGO!B81</f>
        <v>1012.02</v>
      </c>
      <c r="C3229" s="71"/>
      <c r="D3229" s="324" t="str">
        <f>CATALOGO!C81</f>
        <v>TOMACORRIENTE DOBLE 120V, 15A. (ALAMBRADO)</v>
      </c>
      <c r="E3229" s="324"/>
      <c r="F3229" s="324"/>
      <c r="G3229" s="324"/>
      <c r="H3229" s="71"/>
      <c r="I3229" s="213">
        <f>CATALOGO!D81</f>
        <v>7</v>
      </c>
      <c r="J3229" s="109"/>
      <c r="K3229" s="227" t="str">
        <f>CATALOGO!E81</f>
        <v>Unidad</v>
      </c>
      <c r="L3229" s="71"/>
      <c r="M3229" s="71"/>
      <c r="N3229" s="104"/>
      <c r="O3229" s="37"/>
      <c r="P3229" s="37"/>
    </row>
    <row r="3230" spans="1:16" ht="17.399999999999999" thickBot="1" x14ac:dyDescent="0.45"/>
    <row r="3231" spans="1:16" ht="17.399999999999999" thickBot="1" x14ac:dyDescent="0.45">
      <c r="B3231" s="110" t="s">
        <v>4</v>
      </c>
      <c r="C3231" s="300" t="s">
        <v>5</v>
      </c>
      <c r="D3231" s="300"/>
      <c r="E3231" s="300"/>
      <c r="F3231" s="300"/>
      <c r="G3231" s="301"/>
    </row>
    <row r="3232" spans="1:16" x14ac:dyDescent="0.3">
      <c r="B3232" s="111" t="s">
        <v>6</v>
      </c>
      <c r="C3232" s="313" t="s">
        <v>1</v>
      </c>
      <c r="D3232" s="314"/>
      <c r="E3232" s="112" t="s">
        <v>193</v>
      </c>
      <c r="F3232" s="113" t="s">
        <v>2</v>
      </c>
      <c r="G3232" s="114" t="s">
        <v>3</v>
      </c>
      <c r="H3232" s="106"/>
      <c r="I3232" s="107" t="s">
        <v>7</v>
      </c>
      <c r="J3232" s="136"/>
      <c r="K3232" s="228" t="s">
        <v>8</v>
      </c>
      <c r="L3232" s="115" t="s">
        <v>194</v>
      </c>
      <c r="O3232" s="323"/>
      <c r="P3232" s="323"/>
    </row>
    <row r="3233" spans="2:16" x14ac:dyDescent="0.3">
      <c r="B3233" s="122">
        <v>1</v>
      </c>
      <c r="C3233" s="315" t="s">
        <v>266</v>
      </c>
      <c r="D3233" s="316"/>
      <c r="E3233" s="116">
        <f>I3229</f>
        <v>7</v>
      </c>
      <c r="F3233" s="83">
        <f>ROUND(E3233/I3229,2)</f>
        <v>1</v>
      </c>
      <c r="G3233" s="74" t="str">
        <f>IF(C3233=0,0,VLOOKUP(C3233,Tabla1[],2,FALSE))</f>
        <v>Unidad</v>
      </c>
      <c r="I3233" s="117">
        <f>IF(C3233=0,0,VLOOKUP(C3233,Tabla1[],3,FALSE))</f>
        <v>40</v>
      </c>
      <c r="K3233" s="84">
        <f>F3233*I3233</f>
        <v>40</v>
      </c>
      <c r="L3233" s="118">
        <f t="shared" ref="L3233:L3236" si="490">E3233*I3233</f>
        <v>280</v>
      </c>
      <c r="O3233" s="44"/>
      <c r="P3233" s="45"/>
    </row>
    <row r="3234" spans="2:16" x14ac:dyDescent="0.3">
      <c r="B3234" s="122">
        <v>2</v>
      </c>
      <c r="C3234" s="315" t="s">
        <v>87</v>
      </c>
      <c r="D3234" s="316"/>
      <c r="E3234" s="116">
        <f>I3229</f>
        <v>7</v>
      </c>
      <c r="F3234" s="83">
        <f>ROUND(E3234/I3229,2)</f>
        <v>1</v>
      </c>
      <c r="G3234" s="74" t="str">
        <f>IF(C3234=0,0,VLOOKUP(C3234,Tabla1[],2,FALSE))</f>
        <v>Unidad</v>
      </c>
      <c r="I3234" s="117">
        <f>IF(C3234=0,0,VLOOKUP(C3234,Tabla1[],3,FALSE))</f>
        <v>10</v>
      </c>
      <c r="K3234" s="84">
        <f>F3234*I3234</f>
        <v>10</v>
      </c>
      <c r="L3234" s="118">
        <f t="shared" si="490"/>
        <v>70</v>
      </c>
      <c r="O3234" s="44"/>
      <c r="P3234" s="45"/>
    </row>
    <row r="3235" spans="2:16" x14ac:dyDescent="0.3">
      <c r="B3235" s="122">
        <v>3</v>
      </c>
      <c r="C3235" s="319" t="s">
        <v>250</v>
      </c>
      <c r="D3235" s="318"/>
      <c r="E3235" s="116">
        <f>I3229*12</f>
        <v>84</v>
      </c>
      <c r="F3235" s="83">
        <f>ROUND(E3235/I3229,1)</f>
        <v>12</v>
      </c>
      <c r="G3235" s="74" t="str">
        <f>IF(C3235=0,0,VLOOKUP(C3235,Tabla1[],2,FALSE))</f>
        <v>ml</v>
      </c>
      <c r="I3235" s="117">
        <f>IF(C3235=0,0,VLOOKUP(C3235,Tabla1[],3,FALSE))</f>
        <v>5</v>
      </c>
      <c r="K3235" s="84">
        <f t="shared" ref="K3235" si="491">+F3235*I3235</f>
        <v>60</v>
      </c>
      <c r="L3235" s="118">
        <f t="shared" si="490"/>
        <v>420</v>
      </c>
      <c r="O3235" s="44"/>
      <c r="P3235" s="46"/>
    </row>
    <row r="3236" spans="2:16" x14ac:dyDescent="0.4">
      <c r="B3236" s="122">
        <v>4</v>
      </c>
      <c r="C3236" s="317" t="s">
        <v>270</v>
      </c>
      <c r="D3236" s="318"/>
      <c r="E3236" s="116">
        <f>I3229</f>
        <v>7</v>
      </c>
      <c r="F3236" s="83">
        <f>ROUND(E3236/I3229,2)</f>
        <v>1</v>
      </c>
      <c r="G3236" s="74" t="str">
        <f>IF(C3236=0,0,VLOOKUP(C3236,Tabla1[],2,FALSE))</f>
        <v>Unidad</v>
      </c>
      <c r="I3236" s="117">
        <f>IF(C3236=0,0,VLOOKUP(C3236,Tabla1[],3,FALSE))</f>
        <v>40</v>
      </c>
      <c r="K3236" s="84">
        <f t="shared" ref="K3236" si="492">+F3236*I3236</f>
        <v>40</v>
      </c>
      <c r="L3236" s="118">
        <f t="shared" si="490"/>
        <v>280</v>
      </c>
      <c r="P3236" s="45"/>
    </row>
    <row r="3237" spans="2:16" ht="17.399999999999999" thickBot="1" x14ac:dyDescent="0.45"/>
    <row r="3238" spans="2:16" ht="17.399999999999999" thickBot="1" x14ac:dyDescent="0.35">
      <c r="F3238" s="292" t="s">
        <v>9</v>
      </c>
      <c r="G3238" s="293"/>
      <c r="H3238" s="293"/>
      <c r="I3238" s="294"/>
      <c r="K3238" s="229">
        <f>+SUM(K3233:K3236)</f>
        <v>150</v>
      </c>
      <c r="L3238" s="119">
        <f>+SUM(L3233:L3236)</f>
        <v>1050</v>
      </c>
      <c r="O3238" s="38"/>
      <c r="P3238" s="38"/>
    </row>
    <row r="3239" spans="2:16" ht="17.399999999999999" thickBot="1" x14ac:dyDescent="0.45">
      <c r="O3239" s="42"/>
      <c r="P3239" s="43"/>
    </row>
    <row r="3240" spans="2:16" ht="17.399999999999999" thickBot="1" x14ac:dyDescent="0.45">
      <c r="B3240" s="110" t="s">
        <v>10</v>
      </c>
      <c r="C3240" s="300" t="s">
        <v>11</v>
      </c>
      <c r="D3240" s="300"/>
      <c r="E3240" s="300"/>
      <c r="F3240" s="300"/>
      <c r="G3240" s="301"/>
    </row>
    <row r="3241" spans="2:16" x14ac:dyDescent="0.4">
      <c r="B3241" s="114" t="s">
        <v>6</v>
      </c>
      <c r="C3241" s="302" t="s">
        <v>1</v>
      </c>
      <c r="D3241" s="303"/>
      <c r="E3241" s="112" t="s">
        <v>193</v>
      </c>
      <c r="F3241" s="120" t="s">
        <v>2</v>
      </c>
      <c r="G3241" s="114" t="s">
        <v>3</v>
      </c>
      <c r="H3241" s="106"/>
      <c r="I3241" s="107" t="s">
        <v>7</v>
      </c>
      <c r="J3241" s="136"/>
      <c r="K3241" s="107" t="s">
        <v>8</v>
      </c>
      <c r="L3241" s="115" t="s">
        <v>194</v>
      </c>
    </row>
    <row r="3242" spans="2:16" x14ac:dyDescent="0.4">
      <c r="B3242" s="122"/>
      <c r="C3242" s="306"/>
      <c r="D3242" s="306"/>
      <c r="E3242" s="116"/>
      <c r="F3242" s="83"/>
      <c r="G3242" s="74"/>
      <c r="I3242" s="117">
        <f>IF(C3242=0,0,VLOOKUP(C3242,Tabla3[],3,FALSE))</f>
        <v>0</v>
      </c>
      <c r="K3242" s="84">
        <f>F3242*I3242</f>
        <v>0</v>
      </c>
      <c r="L3242" s="118">
        <f>E3242*I3242</f>
        <v>0</v>
      </c>
    </row>
    <row r="3243" spans="2:16" x14ac:dyDescent="0.4">
      <c r="B3243" s="74"/>
      <c r="C3243" s="309"/>
      <c r="D3243" s="310"/>
      <c r="E3243" s="121"/>
      <c r="F3243" s="72"/>
      <c r="G3243" s="74"/>
      <c r="I3243" s="117">
        <f>IF(C3243=0,0,VLOOKUP(C3243,Tabla3[],3,FALSE))</f>
        <v>0</v>
      </c>
      <c r="K3243" s="84">
        <f t="shared" ref="K3243:K3245" si="493">+F3243*I3243</f>
        <v>0</v>
      </c>
      <c r="L3243" s="118">
        <f t="shared" ref="L3243:L3245" si="494">E3243*I3243</f>
        <v>0</v>
      </c>
    </row>
    <row r="3244" spans="2:16" x14ac:dyDescent="0.4">
      <c r="B3244" s="74"/>
      <c r="C3244" s="309"/>
      <c r="D3244" s="310"/>
      <c r="E3244" s="121"/>
      <c r="F3244" s="72"/>
      <c r="G3244" s="74"/>
      <c r="I3244" s="117">
        <f>IF(C3244=0,0,VLOOKUP(C3244,Tabla3[],3,FALSE))</f>
        <v>0</v>
      </c>
      <c r="K3244" s="84">
        <f t="shared" si="493"/>
        <v>0</v>
      </c>
      <c r="L3244" s="118">
        <f t="shared" si="494"/>
        <v>0</v>
      </c>
    </row>
    <row r="3245" spans="2:16" x14ac:dyDescent="0.4">
      <c r="B3245" s="74"/>
      <c r="C3245" s="304"/>
      <c r="D3245" s="305"/>
      <c r="E3245" s="121"/>
      <c r="F3245" s="72"/>
      <c r="G3245" s="74"/>
      <c r="I3245" s="117">
        <f>IF(C3245=0,0,VLOOKUP(C3245,Tabla3[],3,FALSE))</f>
        <v>0</v>
      </c>
      <c r="K3245" s="84">
        <f t="shared" si="493"/>
        <v>0</v>
      </c>
      <c r="L3245" s="118">
        <f t="shared" si="494"/>
        <v>0</v>
      </c>
    </row>
    <row r="3246" spans="2:16" ht="17.399999999999999" thickBot="1" x14ac:dyDescent="0.45"/>
    <row r="3247" spans="2:16" ht="17.399999999999999" thickBot="1" x14ac:dyDescent="0.45">
      <c r="F3247" s="292" t="s">
        <v>12</v>
      </c>
      <c r="G3247" s="293"/>
      <c r="H3247" s="293"/>
      <c r="I3247" s="294"/>
      <c r="K3247" s="229">
        <f>+SUM(K3242:K3245)</f>
        <v>0</v>
      </c>
      <c r="L3247" s="119">
        <f>+SUM(L3242:L3245)</f>
        <v>0</v>
      </c>
    </row>
    <row r="3248" spans="2:16" ht="17.399999999999999" thickBot="1" x14ac:dyDescent="0.45"/>
    <row r="3249" spans="2:12" ht="17.399999999999999" thickBot="1" x14ac:dyDescent="0.45">
      <c r="B3249" s="110" t="s">
        <v>13</v>
      </c>
      <c r="C3249" s="300" t="s">
        <v>14</v>
      </c>
      <c r="D3249" s="300"/>
      <c r="E3249" s="300"/>
      <c r="F3249" s="300"/>
      <c r="G3249" s="301"/>
    </row>
    <row r="3250" spans="2:12" x14ac:dyDescent="0.4">
      <c r="B3250" s="114" t="s">
        <v>6</v>
      </c>
      <c r="C3250" s="302" t="s">
        <v>1</v>
      </c>
      <c r="D3250" s="303"/>
      <c r="E3250" s="112" t="s">
        <v>193</v>
      </c>
      <c r="F3250" s="120" t="s">
        <v>2</v>
      </c>
      <c r="G3250" s="114" t="s">
        <v>3</v>
      </c>
      <c r="H3250" s="106"/>
      <c r="I3250" s="107" t="s">
        <v>7</v>
      </c>
      <c r="J3250" s="136"/>
      <c r="K3250" s="107" t="s">
        <v>8</v>
      </c>
      <c r="L3250" s="115" t="s">
        <v>194</v>
      </c>
    </row>
    <row r="3251" spans="2:12" x14ac:dyDescent="0.4">
      <c r="B3251" s="122">
        <v>1</v>
      </c>
      <c r="C3251" s="306" t="s">
        <v>268</v>
      </c>
      <c r="D3251" s="306"/>
      <c r="E3251" s="116">
        <f>I3229</f>
        <v>7</v>
      </c>
      <c r="F3251" s="83">
        <f>ROUND(E3251/I3229,2)</f>
        <v>1</v>
      </c>
      <c r="G3251" s="74" t="str">
        <f>IF(C3251=0,0,VLOOKUP(C3251,Tabla2[],2,FALSE))</f>
        <v>Unidad</v>
      </c>
      <c r="I3251" s="117">
        <f>IF(C3251=0,0,VLOOKUP(C3251,Tabla2[],3,FALSE))</f>
        <v>115</v>
      </c>
      <c r="K3251" s="84">
        <f>+F3251*I3251</f>
        <v>115</v>
      </c>
      <c r="L3251" s="118">
        <f>E3251*I3251</f>
        <v>805</v>
      </c>
    </row>
    <row r="3252" spans="2:12" x14ac:dyDescent="0.4">
      <c r="B3252" s="122"/>
      <c r="C3252" s="306"/>
      <c r="D3252" s="306"/>
      <c r="E3252" s="116"/>
      <c r="F3252" s="83"/>
      <c r="G3252" s="74"/>
      <c r="I3252" s="117">
        <f>IF(C3252=0,0,VLOOKUP(C3252,Tabla2[],3,FALSE))</f>
        <v>0</v>
      </c>
      <c r="K3252" s="84">
        <f>+F3252*I3252</f>
        <v>0</v>
      </c>
      <c r="L3252" s="118">
        <f>E3252*I3252</f>
        <v>0</v>
      </c>
    </row>
    <row r="3253" spans="2:12" ht="17.399999999999999" thickBot="1" x14ac:dyDescent="0.45">
      <c r="B3253" s="123"/>
      <c r="C3253" s="307"/>
      <c r="D3253" s="308"/>
      <c r="E3253" s="124"/>
      <c r="F3253" s="125"/>
      <c r="G3253" s="74"/>
      <c r="I3253" s="117">
        <f>IF(C3253=0,0,VLOOKUP(C3253,Tabla2[],3,FALSE))</f>
        <v>0</v>
      </c>
      <c r="K3253" s="84">
        <f t="shared" ref="K3253" si="495">+F3253*I3253</f>
        <v>0</v>
      </c>
      <c r="L3253" s="118">
        <f t="shared" ref="L3253:L3254" si="496">E3253*I3253</f>
        <v>0</v>
      </c>
    </row>
    <row r="3254" spans="2:12" ht="17.399999999999999" thickBot="1" x14ac:dyDescent="0.45">
      <c r="B3254" s="297" t="s">
        <v>15</v>
      </c>
      <c r="C3254" s="298"/>
      <c r="D3254" s="298"/>
      <c r="E3254" s="298"/>
      <c r="F3254" s="298"/>
      <c r="G3254" s="299"/>
      <c r="I3254" s="84">
        <v>0</v>
      </c>
      <c r="K3254" s="84">
        <v>0</v>
      </c>
      <c r="L3254" s="118">
        <f t="shared" si="496"/>
        <v>0</v>
      </c>
    </row>
    <row r="3255" spans="2:12" ht="17.399999999999999" thickBot="1" x14ac:dyDescent="0.45"/>
    <row r="3256" spans="2:12" ht="17.399999999999999" thickBot="1" x14ac:dyDescent="0.45">
      <c r="F3256" s="292" t="s">
        <v>16</v>
      </c>
      <c r="G3256" s="293"/>
      <c r="H3256" s="293"/>
      <c r="I3256" s="294"/>
      <c r="K3256" s="229">
        <f>+SUM(K3251:K3254)</f>
        <v>115</v>
      </c>
      <c r="L3256" s="119">
        <f>+SUM(L3251:L3254)</f>
        <v>805</v>
      </c>
    </row>
    <row r="3257" spans="2:12" ht="17.399999999999999" thickBot="1" x14ac:dyDescent="0.45"/>
    <row r="3258" spans="2:12" ht="17.399999999999999" thickBot="1" x14ac:dyDescent="0.45">
      <c r="B3258" s="110" t="s">
        <v>17</v>
      </c>
      <c r="C3258" s="300" t="s">
        <v>18</v>
      </c>
      <c r="D3258" s="300"/>
      <c r="E3258" s="300"/>
      <c r="F3258" s="300"/>
      <c r="G3258" s="301"/>
    </row>
    <row r="3259" spans="2:12" x14ac:dyDescent="0.4">
      <c r="B3259" s="114" t="s">
        <v>6</v>
      </c>
      <c r="C3259" s="302" t="s">
        <v>1</v>
      </c>
      <c r="D3259" s="303"/>
      <c r="E3259" s="126"/>
      <c r="F3259" s="120" t="s">
        <v>2</v>
      </c>
      <c r="G3259" s="114" t="s">
        <v>3</v>
      </c>
      <c r="H3259" s="106"/>
      <c r="I3259" s="107" t="s">
        <v>7</v>
      </c>
      <c r="J3259" s="136"/>
      <c r="K3259" s="107" t="s">
        <v>8</v>
      </c>
      <c r="L3259" s="115" t="s">
        <v>194</v>
      </c>
    </row>
    <row r="3260" spans="2:12" x14ac:dyDescent="0.4">
      <c r="B3260" s="74"/>
      <c r="C3260" s="304"/>
      <c r="D3260" s="305"/>
      <c r="E3260" s="127"/>
      <c r="F3260" s="72"/>
      <c r="G3260" s="74"/>
      <c r="I3260" s="84">
        <v>0</v>
      </c>
      <c r="K3260" s="84">
        <f>+F3260*I3260</f>
        <v>0</v>
      </c>
      <c r="L3260" s="118">
        <f>E3260*I3260</f>
        <v>0</v>
      </c>
    </row>
    <row r="3261" spans="2:12" x14ac:dyDescent="0.4">
      <c r="B3261" s="74"/>
      <c r="C3261" s="304"/>
      <c r="D3261" s="305"/>
      <c r="E3261" s="127"/>
      <c r="F3261" s="72"/>
      <c r="G3261" s="74"/>
      <c r="I3261" s="84">
        <v>0</v>
      </c>
      <c r="K3261" s="84">
        <f t="shared" ref="K3261:K3262" si="497">+F3261*I3261</f>
        <v>0</v>
      </c>
      <c r="L3261" s="118">
        <f t="shared" ref="L3261:L3262" si="498">E3261*I3261</f>
        <v>0</v>
      </c>
    </row>
    <row r="3262" spans="2:12" x14ac:dyDescent="0.4">
      <c r="B3262" s="74"/>
      <c r="C3262" s="304"/>
      <c r="D3262" s="305"/>
      <c r="E3262" s="127"/>
      <c r="F3262" s="72"/>
      <c r="G3262" s="74"/>
      <c r="I3262" s="84">
        <v>0</v>
      </c>
      <c r="K3262" s="84">
        <f t="shared" si="497"/>
        <v>0</v>
      </c>
      <c r="L3262" s="118">
        <f t="shared" si="498"/>
        <v>0</v>
      </c>
    </row>
    <row r="3263" spans="2:12" ht="17.399999999999999" thickBot="1" x14ac:dyDescent="0.45">
      <c r="L3263" s="118"/>
    </row>
    <row r="3264" spans="2:12" ht="17.399999999999999" thickBot="1" x14ac:dyDescent="0.45">
      <c r="F3264" s="292" t="s">
        <v>19</v>
      </c>
      <c r="G3264" s="293"/>
      <c r="H3264" s="293"/>
      <c r="I3264" s="294"/>
      <c r="K3264" s="229">
        <f>+SUM(K3260:K3262)</f>
        <v>0</v>
      </c>
      <c r="L3264" s="119">
        <f>+SUM(L3259:L3262)</f>
        <v>0</v>
      </c>
    </row>
    <row r="3265" spans="1:16" ht="15" customHeight="1" x14ac:dyDescent="0.4">
      <c r="F3265" s="128"/>
      <c r="G3265" s="129"/>
      <c r="H3265" s="130"/>
      <c r="I3265" s="108"/>
      <c r="K3265" s="230"/>
    </row>
    <row r="3266" spans="1:16" ht="15" customHeight="1" thickBot="1" x14ac:dyDescent="0.45"/>
    <row r="3267" spans="1:16" ht="17.399999999999999" thickBot="1" x14ac:dyDescent="0.45">
      <c r="F3267" s="292" t="s">
        <v>20</v>
      </c>
      <c r="G3267" s="293"/>
      <c r="H3267" s="293"/>
      <c r="I3267" s="294"/>
      <c r="K3267" s="229">
        <f>(+K3238+K3247+K3256+K3264)</f>
        <v>265</v>
      </c>
      <c r="L3267" s="119">
        <f>(+L3238+L3247+L3256+L3264)</f>
        <v>1855</v>
      </c>
      <c r="N3267" s="131"/>
      <c r="O3267" s="39"/>
      <c r="P3267" s="40"/>
    </row>
    <row r="3268" spans="1:16" ht="7.5" customHeight="1" thickBot="1" x14ac:dyDescent="0.45">
      <c r="N3268" s="131"/>
      <c r="O3268" s="41"/>
      <c r="P3268" s="40"/>
    </row>
    <row r="3269" spans="1:16" ht="17.399999999999999" thickBot="1" x14ac:dyDescent="0.45">
      <c r="F3269" s="292" t="s">
        <v>21</v>
      </c>
      <c r="G3269" s="293"/>
      <c r="H3269" s="293"/>
      <c r="I3269" s="294"/>
      <c r="K3269" s="229">
        <f>K3267*$N$2</f>
        <v>106</v>
      </c>
      <c r="L3269" s="119">
        <f>L3267*$N$2</f>
        <v>742</v>
      </c>
    </row>
    <row r="3270" spans="1:16" ht="7.5" customHeight="1" thickBot="1" x14ac:dyDescent="0.45"/>
    <row r="3271" spans="1:16" ht="17.399999999999999" thickBot="1" x14ac:dyDescent="0.45">
      <c r="F3271" s="292" t="s">
        <v>22</v>
      </c>
      <c r="G3271" s="293"/>
      <c r="H3271" s="293"/>
      <c r="I3271" s="294"/>
      <c r="K3271" s="229">
        <f>+K3267+K3269</f>
        <v>371</v>
      </c>
      <c r="L3271" s="119">
        <f>+L3267+L3269</f>
        <v>2597</v>
      </c>
    </row>
    <row r="3272" spans="1:16" ht="17.399999999999999" thickBot="1" x14ac:dyDescent="0.45">
      <c r="F3272" s="128"/>
      <c r="G3272" s="129"/>
      <c r="H3272" s="130"/>
      <c r="I3272" s="108"/>
      <c r="K3272" s="231"/>
      <c r="L3272" s="132">
        <f>L3271/I3229</f>
        <v>371</v>
      </c>
      <c r="M3272" s="133">
        <f>(K3271-L3272)*I3229</f>
        <v>0</v>
      </c>
    </row>
    <row r="3273" spans="1:16" x14ac:dyDescent="0.4">
      <c r="F3273" s="128"/>
      <c r="G3273" s="129"/>
      <c r="H3273" s="130"/>
      <c r="I3273" s="108"/>
      <c r="K3273" s="232"/>
      <c r="L3273" s="131"/>
      <c r="M3273" s="134"/>
      <c r="N3273" s="135"/>
    </row>
    <row r="3274" spans="1:16" ht="17.399999999999999" thickBot="1" x14ac:dyDescent="0.45">
      <c r="B3274" s="295"/>
      <c r="C3274" s="295"/>
      <c r="D3274" s="295"/>
    </row>
    <row r="3275" spans="1:16" x14ac:dyDescent="0.4">
      <c r="B3275" s="296" t="s">
        <v>23</v>
      </c>
      <c r="C3275" s="296"/>
      <c r="D3275" s="296"/>
    </row>
    <row r="3276" spans="1:16" x14ac:dyDescent="0.4">
      <c r="B3276" s="157"/>
      <c r="C3276" s="157"/>
      <c r="D3276" s="157"/>
    </row>
    <row r="3278" spans="1:16" x14ac:dyDescent="0.4">
      <c r="B3278" s="105" t="s">
        <v>43</v>
      </c>
      <c r="C3278" s="106"/>
      <c r="D3278" s="311" t="s">
        <v>1</v>
      </c>
      <c r="E3278" s="311"/>
      <c r="F3278" s="311"/>
      <c r="G3278" s="311"/>
      <c r="H3278" s="106"/>
      <c r="I3278" s="107" t="s">
        <v>2</v>
      </c>
      <c r="J3278" s="136"/>
      <c r="K3278" s="107" t="s">
        <v>3</v>
      </c>
    </row>
    <row r="3279" spans="1:16" s="4" customFormat="1" ht="30.75" customHeight="1" x14ac:dyDescent="0.3">
      <c r="A3279" s="31"/>
      <c r="B3279" s="213">
        <f>CATALOGO!B83</f>
        <v>1207.01</v>
      </c>
      <c r="C3279" s="71"/>
      <c r="D3279" s="324" t="str">
        <f>CATALOGO!C83</f>
        <v>EXTINTOR DE FUEGO DE 20 Lb</v>
      </c>
      <c r="E3279" s="324"/>
      <c r="F3279" s="324"/>
      <c r="G3279" s="324"/>
      <c r="H3279" s="71"/>
      <c r="I3279" s="213">
        <f>CATALOGO!D83</f>
        <v>1</v>
      </c>
      <c r="J3279" s="109"/>
      <c r="K3279" s="227" t="str">
        <f>CATALOGO!E83</f>
        <v>Unidad</v>
      </c>
      <c r="L3279" s="71"/>
      <c r="M3279" s="71"/>
      <c r="N3279" s="104"/>
      <c r="O3279" s="37"/>
      <c r="P3279" s="37"/>
    </row>
    <row r="3280" spans="1:16" ht="17.399999999999999" thickBot="1" x14ac:dyDescent="0.45"/>
    <row r="3281" spans="2:16" ht="17.399999999999999" thickBot="1" x14ac:dyDescent="0.45">
      <c r="B3281" s="110" t="s">
        <v>4</v>
      </c>
      <c r="C3281" s="300" t="s">
        <v>5</v>
      </c>
      <c r="D3281" s="300"/>
      <c r="E3281" s="300"/>
      <c r="F3281" s="300"/>
      <c r="G3281" s="301"/>
    </row>
    <row r="3282" spans="2:16" x14ac:dyDescent="0.3">
      <c r="B3282" s="111" t="s">
        <v>6</v>
      </c>
      <c r="C3282" s="313" t="s">
        <v>1</v>
      </c>
      <c r="D3282" s="314"/>
      <c r="E3282" s="112" t="s">
        <v>193</v>
      </c>
      <c r="F3282" s="113" t="s">
        <v>2</v>
      </c>
      <c r="G3282" s="114" t="s">
        <v>3</v>
      </c>
      <c r="H3282" s="106"/>
      <c r="I3282" s="107" t="s">
        <v>7</v>
      </c>
      <c r="J3282" s="136"/>
      <c r="K3282" s="228" t="s">
        <v>8</v>
      </c>
      <c r="L3282" s="115" t="s">
        <v>194</v>
      </c>
      <c r="O3282" s="323"/>
      <c r="P3282" s="323"/>
    </row>
    <row r="3283" spans="2:16" x14ac:dyDescent="0.3">
      <c r="B3283" s="122">
        <v>1</v>
      </c>
      <c r="C3283" s="315" t="s">
        <v>91</v>
      </c>
      <c r="D3283" s="316"/>
      <c r="E3283" s="116">
        <f>I3279</f>
        <v>1</v>
      </c>
      <c r="F3283" s="83">
        <f>ROUND(E3283/I3279,2)</f>
        <v>1</v>
      </c>
      <c r="G3283" s="74" t="str">
        <f>IF(C3283=0,0,VLOOKUP(C3283,Tabla1[],2,FALSE))</f>
        <v>Unidad</v>
      </c>
      <c r="I3283" s="117">
        <f>IF(C3283=0,0,VLOOKUP(C3283,Tabla1[],3,FALSE))</f>
        <v>1324.55</v>
      </c>
      <c r="K3283" s="84">
        <f>F3283*I3283</f>
        <v>1324.55</v>
      </c>
      <c r="L3283" s="118">
        <f t="shared" ref="L3283:L3286" si="499">E3283*I3283</f>
        <v>1324.55</v>
      </c>
      <c r="O3283" s="44"/>
      <c r="P3283" s="45"/>
    </row>
    <row r="3284" spans="2:16" x14ac:dyDescent="0.3">
      <c r="B3284" s="122"/>
      <c r="C3284" s="315"/>
      <c r="D3284" s="316"/>
      <c r="E3284" s="116"/>
      <c r="F3284" s="83"/>
      <c r="G3284" s="74"/>
      <c r="I3284" s="117">
        <f>IF(C3284=0,0,VLOOKUP(C3284,Tabla1[],3,FALSE))</f>
        <v>0</v>
      </c>
      <c r="K3284" s="84">
        <f>F3284*I3284</f>
        <v>0</v>
      </c>
      <c r="L3284" s="118">
        <f t="shared" si="499"/>
        <v>0</v>
      </c>
      <c r="O3284" s="44"/>
      <c r="P3284" s="45"/>
    </row>
    <row r="3285" spans="2:16" x14ac:dyDescent="0.3">
      <c r="B3285" s="122"/>
      <c r="C3285" s="319"/>
      <c r="D3285" s="318"/>
      <c r="E3285" s="116"/>
      <c r="F3285" s="83"/>
      <c r="G3285" s="74"/>
      <c r="I3285" s="117">
        <f>IF(C3285=0,0,VLOOKUP(C3285,Tabla1[],3,FALSE))</f>
        <v>0</v>
      </c>
      <c r="K3285" s="84">
        <f t="shared" ref="K3285:K3286" si="500">+F3285*I3285</f>
        <v>0</v>
      </c>
      <c r="L3285" s="118">
        <f t="shared" si="499"/>
        <v>0</v>
      </c>
      <c r="O3285" s="44"/>
      <c r="P3285" s="46"/>
    </row>
    <row r="3286" spans="2:16" x14ac:dyDescent="0.4">
      <c r="B3286" s="122"/>
      <c r="C3286" s="317"/>
      <c r="D3286" s="318"/>
      <c r="E3286" s="116"/>
      <c r="F3286" s="83"/>
      <c r="G3286" s="74"/>
      <c r="I3286" s="117">
        <f>IF(C3286=0,0,VLOOKUP(C3286,Tabla1[],3,FALSE))</f>
        <v>0</v>
      </c>
      <c r="K3286" s="84">
        <f t="shared" si="500"/>
        <v>0</v>
      </c>
      <c r="L3286" s="118">
        <f t="shared" si="499"/>
        <v>0</v>
      </c>
      <c r="P3286" s="45"/>
    </row>
    <row r="3287" spans="2:16" ht="17.399999999999999" thickBot="1" x14ac:dyDescent="0.45"/>
    <row r="3288" spans="2:16" ht="17.399999999999999" thickBot="1" x14ac:dyDescent="0.35">
      <c r="F3288" s="292" t="s">
        <v>9</v>
      </c>
      <c r="G3288" s="293"/>
      <c r="H3288" s="293"/>
      <c r="I3288" s="294"/>
      <c r="K3288" s="229">
        <f>+SUM(K3283:K3286)</f>
        <v>1324.55</v>
      </c>
      <c r="L3288" s="119">
        <f>+SUM(L3283:L3286)</f>
        <v>1324.55</v>
      </c>
      <c r="O3288" s="38"/>
      <c r="P3288" s="38"/>
    </row>
    <row r="3289" spans="2:16" ht="17.399999999999999" thickBot="1" x14ac:dyDescent="0.45">
      <c r="O3289" s="42"/>
      <c r="P3289" s="43"/>
    </row>
    <row r="3290" spans="2:16" ht="17.399999999999999" thickBot="1" x14ac:dyDescent="0.45">
      <c r="B3290" s="110" t="s">
        <v>10</v>
      </c>
      <c r="C3290" s="300" t="s">
        <v>11</v>
      </c>
      <c r="D3290" s="300"/>
      <c r="E3290" s="300"/>
      <c r="F3290" s="300"/>
      <c r="G3290" s="301"/>
    </row>
    <row r="3291" spans="2:16" x14ac:dyDescent="0.4">
      <c r="B3291" s="114" t="s">
        <v>6</v>
      </c>
      <c r="C3291" s="302" t="s">
        <v>1</v>
      </c>
      <c r="D3291" s="303"/>
      <c r="E3291" s="112" t="s">
        <v>193</v>
      </c>
      <c r="F3291" s="120" t="s">
        <v>2</v>
      </c>
      <c r="G3291" s="114" t="s">
        <v>3</v>
      </c>
      <c r="H3291" s="106"/>
      <c r="I3291" s="107" t="s">
        <v>7</v>
      </c>
      <c r="J3291" s="136"/>
      <c r="K3291" s="107" t="s">
        <v>8</v>
      </c>
      <c r="L3291" s="115" t="s">
        <v>194</v>
      </c>
    </row>
    <row r="3292" spans="2:16" x14ac:dyDescent="0.4">
      <c r="B3292" s="122"/>
      <c r="C3292" s="306"/>
      <c r="D3292" s="306"/>
      <c r="E3292" s="116"/>
      <c r="F3292" s="83"/>
      <c r="G3292" s="74"/>
      <c r="I3292" s="117">
        <f>IF(C3292=0,0,VLOOKUP(C3292,Tabla3[],3,FALSE))</f>
        <v>0</v>
      </c>
      <c r="K3292" s="84">
        <f>F3292*I3292</f>
        <v>0</v>
      </c>
      <c r="L3292" s="118">
        <f>E3292*I3292</f>
        <v>0</v>
      </c>
    </row>
    <row r="3293" spans="2:16" x14ac:dyDescent="0.4">
      <c r="B3293" s="74"/>
      <c r="C3293" s="309"/>
      <c r="D3293" s="310"/>
      <c r="E3293" s="121"/>
      <c r="F3293" s="72"/>
      <c r="G3293" s="74"/>
      <c r="I3293" s="117">
        <f>IF(C3293=0,0,VLOOKUP(C3293,Tabla3[],3,FALSE))</f>
        <v>0</v>
      </c>
      <c r="K3293" s="84">
        <f t="shared" ref="K3293:K3295" si="501">+F3293*I3293</f>
        <v>0</v>
      </c>
      <c r="L3293" s="118">
        <f t="shared" ref="L3293:L3295" si="502">E3293*I3293</f>
        <v>0</v>
      </c>
    </row>
    <row r="3294" spans="2:16" x14ac:dyDescent="0.4">
      <c r="B3294" s="74"/>
      <c r="C3294" s="309"/>
      <c r="D3294" s="310"/>
      <c r="E3294" s="121"/>
      <c r="F3294" s="72"/>
      <c r="G3294" s="74"/>
      <c r="I3294" s="117">
        <f>IF(C3294=0,0,VLOOKUP(C3294,Tabla3[],3,FALSE))</f>
        <v>0</v>
      </c>
      <c r="K3294" s="84">
        <f t="shared" si="501"/>
        <v>0</v>
      </c>
      <c r="L3294" s="118">
        <f t="shared" si="502"/>
        <v>0</v>
      </c>
    </row>
    <row r="3295" spans="2:16" x14ac:dyDescent="0.4">
      <c r="B3295" s="74"/>
      <c r="C3295" s="304"/>
      <c r="D3295" s="305"/>
      <c r="E3295" s="121"/>
      <c r="F3295" s="72"/>
      <c r="G3295" s="74"/>
      <c r="I3295" s="117">
        <f>IF(C3295=0,0,VLOOKUP(C3295,Tabla3[],3,FALSE))</f>
        <v>0</v>
      </c>
      <c r="K3295" s="84">
        <f t="shared" si="501"/>
        <v>0</v>
      </c>
      <c r="L3295" s="118">
        <f t="shared" si="502"/>
        <v>0</v>
      </c>
    </row>
    <row r="3296" spans="2:16" ht="17.399999999999999" thickBot="1" x14ac:dyDescent="0.45"/>
    <row r="3297" spans="2:12" ht="17.399999999999999" thickBot="1" x14ac:dyDescent="0.45">
      <c r="F3297" s="292" t="s">
        <v>12</v>
      </c>
      <c r="G3297" s="293"/>
      <c r="H3297" s="293"/>
      <c r="I3297" s="294"/>
      <c r="K3297" s="229">
        <f>+SUM(K3292:K3295)</f>
        <v>0</v>
      </c>
      <c r="L3297" s="119">
        <f>+SUM(L3292:L3295)</f>
        <v>0</v>
      </c>
    </row>
    <row r="3298" spans="2:12" ht="17.399999999999999" thickBot="1" x14ac:dyDescent="0.45"/>
    <row r="3299" spans="2:12" ht="17.399999999999999" thickBot="1" x14ac:dyDescent="0.45">
      <c r="B3299" s="110" t="s">
        <v>13</v>
      </c>
      <c r="C3299" s="300" t="s">
        <v>14</v>
      </c>
      <c r="D3299" s="300"/>
      <c r="E3299" s="300"/>
      <c r="F3299" s="300"/>
      <c r="G3299" s="301"/>
    </row>
    <row r="3300" spans="2:12" x14ac:dyDescent="0.4">
      <c r="B3300" s="114" t="s">
        <v>6</v>
      </c>
      <c r="C3300" s="302" t="s">
        <v>1</v>
      </c>
      <c r="D3300" s="303"/>
      <c r="E3300" s="112" t="s">
        <v>193</v>
      </c>
      <c r="F3300" s="120" t="s">
        <v>2</v>
      </c>
      <c r="G3300" s="114" t="s">
        <v>3</v>
      </c>
      <c r="H3300" s="106"/>
      <c r="I3300" s="107" t="s">
        <v>7</v>
      </c>
      <c r="J3300" s="136"/>
      <c r="K3300" s="107" t="s">
        <v>8</v>
      </c>
      <c r="L3300" s="115" t="s">
        <v>194</v>
      </c>
    </row>
    <row r="3301" spans="2:12" x14ac:dyDescent="0.4">
      <c r="B3301" s="122">
        <v>1</v>
      </c>
      <c r="C3301" s="306" t="s">
        <v>272</v>
      </c>
      <c r="D3301" s="306"/>
      <c r="E3301" s="116">
        <f>I3279</f>
        <v>1</v>
      </c>
      <c r="F3301" s="83">
        <f>ROUND(E3301/I3279,2)</f>
        <v>1</v>
      </c>
      <c r="G3301" s="74" t="str">
        <f>IF(C3301=0,0,VLOOKUP(C3301,Tabla2[],2,FALSE))</f>
        <v>Unidad</v>
      </c>
      <c r="I3301" s="117">
        <f>IF(C3301=0,0,VLOOKUP(C3301,Tabla2[],3,FALSE))</f>
        <v>50</v>
      </c>
      <c r="K3301" s="84">
        <f>+F3301*I3301</f>
        <v>50</v>
      </c>
      <c r="L3301" s="118">
        <f>E3301*I3301</f>
        <v>50</v>
      </c>
    </row>
    <row r="3302" spans="2:12" x14ac:dyDescent="0.4">
      <c r="B3302" s="122"/>
      <c r="C3302" s="306"/>
      <c r="D3302" s="306"/>
      <c r="E3302" s="116"/>
      <c r="F3302" s="83"/>
      <c r="G3302" s="74"/>
      <c r="I3302" s="117">
        <f>IF(C3302=0,0,VLOOKUP(C3302,Tabla2[],3,FALSE))</f>
        <v>0</v>
      </c>
      <c r="K3302" s="84">
        <f>+F3302*I3302</f>
        <v>0</v>
      </c>
      <c r="L3302" s="118">
        <f>E3302*I3302</f>
        <v>0</v>
      </c>
    </row>
    <row r="3303" spans="2:12" ht="17.399999999999999" thickBot="1" x14ac:dyDescent="0.45">
      <c r="B3303" s="123"/>
      <c r="C3303" s="307"/>
      <c r="D3303" s="308"/>
      <c r="E3303" s="124"/>
      <c r="F3303" s="125"/>
      <c r="G3303" s="74"/>
      <c r="I3303" s="117">
        <f>IF(C3303=0,0,VLOOKUP(C3303,Tabla2[],3,FALSE))</f>
        <v>0</v>
      </c>
      <c r="K3303" s="84">
        <f t="shared" ref="K3303" si="503">+F3303*I3303</f>
        <v>0</v>
      </c>
      <c r="L3303" s="118">
        <f t="shared" ref="L3303:L3304" si="504">E3303*I3303</f>
        <v>0</v>
      </c>
    </row>
    <row r="3304" spans="2:12" ht="17.399999999999999" thickBot="1" x14ac:dyDescent="0.45">
      <c r="B3304" s="297" t="s">
        <v>15</v>
      </c>
      <c r="C3304" s="298"/>
      <c r="D3304" s="298"/>
      <c r="E3304" s="298"/>
      <c r="F3304" s="298"/>
      <c r="G3304" s="299"/>
      <c r="I3304" s="84">
        <v>0</v>
      </c>
      <c r="K3304" s="84">
        <v>0</v>
      </c>
      <c r="L3304" s="118">
        <f t="shared" si="504"/>
        <v>0</v>
      </c>
    </row>
    <row r="3305" spans="2:12" ht="17.399999999999999" thickBot="1" x14ac:dyDescent="0.45"/>
    <row r="3306" spans="2:12" ht="17.399999999999999" thickBot="1" x14ac:dyDescent="0.45">
      <c r="F3306" s="292" t="s">
        <v>16</v>
      </c>
      <c r="G3306" s="293"/>
      <c r="H3306" s="293"/>
      <c r="I3306" s="294"/>
      <c r="K3306" s="229">
        <f>+SUM(K3301:K3304)</f>
        <v>50</v>
      </c>
      <c r="L3306" s="119">
        <f>+SUM(L3301:L3304)</f>
        <v>50</v>
      </c>
    </row>
    <row r="3307" spans="2:12" ht="17.399999999999999" thickBot="1" x14ac:dyDescent="0.45"/>
    <row r="3308" spans="2:12" ht="17.399999999999999" thickBot="1" x14ac:dyDescent="0.45">
      <c r="B3308" s="110" t="s">
        <v>17</v>
      </c>
      <c r="C3308" s="300" t="s">
        <v>18</v>
      </c>
      <c r="D3308" s="300"/>
      <c r="E3308" s="300"/>
      <c r="F3308" s="300"/>
      <c r="G3308" s="301"/>
    </row>
    <row r="3309" spans="2:12" x14ac:dyDescent="0.4">
      <c r="B3309" s="114" t="s">
        <v>6</v>
      </c>
      <c r="C3309" s="302" t="s">
        <v>1</v>
      </c>
      <c r="D3309" s="303"/>
      <c r="E3309" s="126"/>
      <c r="F3309" s="120" t="s">
        <v>2</v>
      </c>
      <c r="G3309" s="114" t="s">
        <v>3</v>
      </c>
      <c r="H3309" s="106"/>
      <c r="I3309" s="107" t="s">
        <v>7</v>
      </c>
      <c r="J3309" s="136"/>
      <c r="K3309" s="107" t="s">
        <v>8</v>
      </c>
      <c r="L3309" s="115" t="s">
        <v>194</v>
      </c>
    </row>
    <row r="3310" spans="2:12" x14ac:dyDescent="0.4">
      <c r="B3310" s="74"/>
      <c r="C3310" s="304"/>
      <c r="D3310" s="305"/>
      <c r="E3310" s="127"/>
      <c r="F3310" s="72"/>
      <c r="G3310" s="74"/>
      <c r="I3310" s="84">
        <v>0</v>
      </c>
      <c r="K3310" s="84">
        <f>+F3310*I3310</f>
        <v>0</v>
      </c>
      <c r="L3310" s="118">
        <f>E3310*I3310</f>
        <v>0</v>
      </c>
    </row>
    <row r="3311" spans="2:12" x14ac:dyDescent="0.4">
      <c r="B3311" s="74"/>
      <c r="C3311" s="304"/>
      <c r="D3311" s="305"/>
      <c r="E3311" s="127"/>
      <c r="F3311" s="72"/>
      <c r="G3311" s="74"/>
      <c r="I3311" s="84">
        <v>0</v>
      </c>
      <c r="K3311" s="84">
        <f t="shared" ref="K3311:K3312" si="505">+F3311*I3311</f>
        <v>0</v>
      </c>
      <c r="L3311" s="118">
        <f t="shared" ref="L3311:L3312" si="506">E3311*I3311</f>
        <v>0</v>
      </c>
    </row>
    <row r="3312" spans="2:12" x14ac:dyDescent="0.4">
      <c r="B3312" s="74"/>
      <c r="C3312" s="304"/>
      <c r="D3312" s="305"/>
      <c r="E3312" s="127"/>
      <c r="F3312" s="72"/>
      <c r="G3312" s="74"/>
      <c r="I3312" s="84">
        <v>0</v>
      </c>
      <c r="K3312" s="84">
        <f t="shared" si="505"/>
        <v>0</v>
      </c>
      <c r="L3312" s="118">
        <f t="shared" si="506"/>
        <v>0</v>
      </c>
    </row>
    <row r="3313" spans="2:16" ht="17.399999999999999" thickBot="1" x14ac:dyDescent="0.45">
      <c r="L3313" s="118"/>
    </row>
    <row r="3314" spans="2:16" ht="17.399999999999999" thickBot="1" x14ac:dyDescent="0.45">
      <c r="F3314" s="292" t="s">
        <v>19</v>
      </c>
      <c r="G3314" s="293"/>
      <c r="H3314" s="293"/>
      <c r="I3314" s="294"/>
      <c r="K3314" s="229">
        <f>+SUM(K3310:K3312)</f>
        <v>0</v>
      </c>
      <c r="L3314" s="119">
        <f>+SUM(L3309:L3312)</f>
        <v>0</v>
      </c>
    </row>
    <row r="3315" spans="2:16" ht="15" customHeight="1" x14ac:dyDescent="0.4">
      <c r="F3315" s="128"/>
      <c r="G3315" s="129"/>
      <c r="H3315" s="130"/>
      <c r="I3315" s="108"/>
      <c r="K3315" s="230"/>
    </row>
    <row r="3316" spans="2:16" ht="15" customHeight="1" thickBot="1" x14ac:dyDescent="0.45"/>
    <row r="3317" spans="2:16" ht="17.399999999999999" thickBot="1" x14ac:dyDescent="0.45">
      <c r="F3317" s="292" t="s">
        <v>20</v>
      </c>
      <c r="G3317" s="293"/>
      <c r="H3317" s="293"/>
      <c r="I3317" s="294"/>
      <c r="K3317" s="229">
        <f>(+K3288+K3297+K3306+K3314)</f>
        <v>1374.55</v>
      </c>
      <c r="L3317" s="119">
        <f>(+L3288+L3297+L3306+L3314)</f>
        <v>1374.55</v>
      </c>
      <c r="N3317" s="131"/>
      <c r="O3317" s="39"/>
      <c r="P3317" s="40"/>
    </row>
    <row r="3318" spans="2:16" ht="7.5" customHeight="1" thickBot="1" x14ac:dyDescent="0.45">
      <c r="N3318" s="131"/>
      <c r="O3318" s="41"/>
      <c r="P3318" s="40"/>
    </row>
    <row r="3319" spans="2:16" ht="17.399999999999999" thickBot="1" x14ac:dyDescent="0.45">
      <c r="F3319" s="292" t="s">
        <v>21</v>
      </c>
      <c r="G3319" s="293"/>
      <c r="H3319" s="293"/>
      <c r="I3319" s="294"/>
      <c r="K3319" s="229">
        <f>K3317*$N$2</f>
        <v>549.82000000000005</v>
      </c>
      <c r="L3319" s="119">
        <f>L3317*$N$2</f>
        <v>549.82000000000005</v>
      </c>
    </row>
    <row r="3320" spans="2:16" ht="7.5" customHeight="1" thickBot="1" x14ac:dyDescent="0.45"/>
    <row r="3321" spans="2:16" ht="17.399999999999999" thickBot="1" x14ac:dyDescent="0.45">
      <c r="F3321" s="292" t="s">
        <v>22</v>
      </c>
      <c r="G3321" s="293"/>
      <c r="H3321" s="293"/>
      <c r="I3321" s="294"/>
      <c r="K3321" s="229">
        <f>+K3317+K3319</f>
        <v>1924.37</v>
      </c>
      <c r="L3321" s="119">
        <f>+L3317+L3319</f>
        <v>1924.37</v>
      </c>
    </row>
    <row r="3322" spans="2:16" ht="17.399999999999999" thickBot="1" x14ac:dyDescent="0.45">
      <c r="F3322" s="128"/>
      <c r="G3322" s="129"/>
      <c r="H3322" s="130"/>
      <c r="I3322" s="108"/>
      <c r="K3322" s="231"/>
      <c r="L3322" s="132">
        <f>L3321/I3279</f>
        <v>1924.37</v>
      </c>
      <c r="M3322" s="133">
        <f>(K3321-L3322)*I3279</f>
        <v>0</v>
      </c>
    </row>
    <row r="3323" spans="2:16" x14ac:dyDescent="0.4">
      <c r="F3323" s="128"/>
      <c r="G3323" s="129"/>
      <c r="H3323" s="130"/>
      <c r="I3323" s="108"/>
      <c r="K3323" s="232"/>
      <c r="L3323" s="131"/>
      <c r="M3323" s="134"/>
      <c r="N3323" s="135"/>
    </row>
    <row r="3324" spans="2:16" ht="17.399999999999999" thickBot="1" x14ac:dyDescent="0.45">
      <c r="B3324" s="295"/>
      <c r="C3324" s="295"/>
      <c r="D3324" s="295"/>
    </row>
    <row r="3325" spans="2:16" x14ac:dyDescent="0.4">
      <c r="B3325" s="296" t="s">
        <v>23</v>
      </c>
      <c r="C3325" s="296"/>
      <c r="D3325" s="296"/>
    </row>
    <row r="3326" spans="2:16" x14ac:dyDescent="0.4">
      <c r="B3326" s="157"/>
      <c r="C3326" s="157"/>
      <c r="D3326" s="157"/>
    </row>
    <row r="3328" spans="2:16" x14ac:dyDescent="0.4">
      <c r="B3328" s="105" t="s">
        <v>43</v>
      </c>
      <c r="C3328" s="106"/>
      <c r="D3328" s="311" t="s">
        <v>1</v>
      </c>
      <c r="E3328" s="311"/>
      <c r="F3328" s="311"/>
      <c r="G3328" s="311"/>
      <c r="H3328" s="106"/>
      <c r="I3328" s="107" t="s">
        <v>2</v>
      </c>
      <c r="J3328" s="136"/>
      <c r="K3328" s="107" t="s">
        <v>3</v>
      </c>
    </row>
    <row r="3329" spans="1:16" s="4" customFormat="1" ht="30.75" customHeight="1" x14ac:dyDescent="0.3">
      <c r="A3329" s="31"/>
      <c r="B3329" s="213">
        <f>CATALOGO!B84</f>
        <v>1207.03</v>
      </c>
      <c r="C3329" s="71"/>
      <c r="D3329" s="324" t="str">
        <f>CATALOGO!C84</f>
        <v>GABINETE METÁLICO PARA EXTINTOR EMPOTRADO</v>
      </c>
      <c r="E3329" s="324"/>
      <c r="F3329" s="324"/>
      <c r="G3329" s="324"/>
      <c r="H3329" s="71"/>
      <c r="I3329" s="213">
        <f>CATALOGO!D84</f>
        <v>1</v>
      </c>
      <c r="J3329" s="109"/>
      <c r="K3329" s="227" t="str">
        <f>CATALOGO!E84</f>
        <v>Unidad</v>
      </c>
      <c r="L3329" s="71"/>
      <c r="M3329" s="71"/>
      <c r="N3329" s="104"/>
      <c r="O3329" s="37"/>
      <c r="P3329" s="37"/>
    </row>
    <row r="3330" spans="1:16" ht="17.399999999999999" thickBot="1" x14ac:dyDescent="0.45"/>
    <row r="3331" spans="1:16" ht="17.399999999999999" thickBot="1" x14ac:dyDescent="0.45">
      <c r="B3331" s="110" t="s">
        <v>4</v>
      </c>
      <c r="C3331" s="300" t="s">
        <v>5</v>
      </c>
      <c r="D3331" s="300"/>
      <c r="E3331" s="300"/>
      <c r="F3331" s="300"/>
      <c r="G3331" s="301"/>
    </row>
    <row r="3332" spans="1:16" x14ac:dyDescent="0.3">
      <c r="B3332" s="111" t="s">
        <v>6</v>
      </c>
      <c r="C3332" s="313" t="s">
        <v>1</v>
      </c>
      <c r="D3332" s="314"/>
      <c r="E3332" s="112" t="s">
        <v>193</v>
      </c>
      <c r="F3332" s="113" t="s">
        <v>2</v>
      </c>
      <c r="G3332" s="114" t="s">
        <v>3</v>
      </c>
      <c r="H3332" s="106"/>
      <c r="I3332" s="107" t="s">
        <v>7</v>
      </c>
      <c r="J3332" s="136"/>
      <c r="K3332" s="228" t="s">
        <v>8</v>
      </c>
      <c r="L3332" s="115" t="s">
        <v>194</v>
      </c>
      <c r="O3332" s="323"/>
      <c r="P3332" s="323"/>
    </row>
    <row r="3333" spans="1:16" x14ac:dyDescent="0.3">
      <c r="B3333" s="122">
        <v>1</v>
      </c>
      <c r="C3333" s="315" t="s">
        <v>594</v>
      </c>
      <c r="D3333" s="316"/>
      <c r="E3333" s="116">
        <f>I3329</f>
        <v>1</v>
      </c>
      <c r="F3333" s="83">
        <f>ROUND(E3333/I3329,2)</f>
        <v>1</v>
      </c>
      <c r="G3333" s="74" t="str">
        <f>IF(C3333=0,0,VLOOKUP(C3333,Tabla1[],2,FALSE))</f>
        <v>Unidad</v>
      </c>
      <c r="I3333" s="117">
        <f>IF(C3333=0,0,VLOOKUP(C3333,Tabla1[],3,FALSE))</f>
        <v>1110</v>
      </c>
      <c r="K3333" s="84">
        <f>F3333*I3333</f>
        <v>1110</v>
      </c>
      <c r="L3333" s="118">
        <f t="shared" ref="L3333:L3336" si="507">E3333*I3333</f>
        <v>1110</v>
      </c>
      <c r="O3333" s="44"/>
      <c r="P3333" s="45"/>
    </row>
    <row r="3334" spans="1:16" x14ac:dyDescent="0.3">
      <c r="B3334" s="122"/>
      <c r="C3334" s="315"/>
      <c r="D3334" s="316"/>
      <c r="E3334" s="116"/>
      <c r="F3334" s="83"/>
      <c r="G3334" s="74"/>
      <c r="I3334" s="117">
        <f>IF(C3334=0,0,VLOOKUP(C3334,Tabla1[],3,FALSE))</f>
        <v>0</v>
      </c>
      <c r="K3334" s="84">
        <f>F3334*I3334</f>
        <v>0</v>
      </c>
      <c r="L3334" s="118">
        <f t="shared" si="507"/>
        <v>0</v>
      </c>
      <c r="O3334" s="44"/>
      <c r="P3334" s="45"/>
    </row>
    <row r="3335" spans="1:16" x14ac:dyDescent="0.3">
      <c r="B3335" s="122"/>
      <c r="C3335" s="319"/>
      <c r="D3335" s="318"/>
      <c r="E3335" s="116"/>
      <c r="F3335" s="83"/>
      <c r="G3335" s="74"/>
      <c r="I3335" s="117">
        <f>IF(C3335=0,0,VLOOKUP(C3335,Tabla1[],3,FALSE))</f>
        <v>0</v>
      </c>
      <c r="K3335" s="84">
        <f t="shared" ref="K3335:K3336" si="508">+F3335*I3335</f>
        <v>0</v>
      </c>
      <c r="L3335" s="118">
        <f t="shared" si="507"/>
        <v>0</v>
      </c>
      <c r="O3335" s="44"/>
      <c r="P3335" s="46"/>
    </row>
    <row r="3336" spans="1:16" x14ac:dyDescent="0.4">
      <c r="B3336" s="122"/>
      <c r="C3336" s="317"/>
      <c r="D3336" s="318"/>
      <c r="E3336" s="116"/>
      <c r="F3336" s="83"/>
      <c r="G3336" s="74"/>
      <c r="I3336" s="117">
        <f>IF(C3336=0,0,VLOOKUP(C3336,Tabla1[],3,FALSE))</f>
        <v>0</v>
      </c>
      <c r="K3336" s="84">
        <f t="shared" si="508"/>
        <v>0</v>
      </c>
      <c r="L3336" s="118">
        <f t="shared" si="507"/>
        <v>0</v>
      </c>
      <c r="P3336" s="45"/>
    </row>
    <row r="3337" spans="1:16" ht="17.399999999999999" thickBot="1" x14ac:dyDescent="0.45"/>
    <row r="3338" spans="1:16" ht="17.399999999999999" thickBot="1" x14ac:dyDescent="0.35">
      <c r="F3338" s="292" t="s">
        <v>9</v>
      </c>
      <c r="G3338" s="293"/>
      <c r="H3338" s="293"/>
      <c r="I3338" s="294"/>
      <c r="K3338" s="229">
        <f>+SUM(K3333:K3336)</f>
        <v>1110</v>
      </c>
      <c r="L3338" s="119">
        <f>+SUM(L3333:L3336)</f>
        <v>1110</v>
      </c>
      <c r="O3338" s="38"/>
      <c r="P3338" s="38"/>
    </row>
    <row r="3339" spans="1:16" ht="17.399999999999999" thickBot="1" x14ac:dyDescent="0.45">
      <c r="O3339" s="42"/>
      <c r="P3339" s="43"/>
    </row>
    <row r="3340" spans="1:16" ht="17.399999999999999" thickBot="1" x14ac:dyDescent="0.45">
      <c r="B3340" s="110" t="s">
        <v>10</v>
      </c>
      <c r="C3340" s="300" t="s">
        <v>11</v>
      </c>
      <c r="D3340" s="300"/>
      <c r="E3340" s="300"/>
      <c r="F3340" s="300"/>
      <c r="G3340" s="301"/>
    </row>
    <row r="3341" spans="1:16" x14ac:dyDescent="0.4">
      <c r="B3341" s="114" t="s">
        <v>6</v>
      </c>
      <c r="C3341" s="302" t="s">
        <v>1</v>
      </c>
      <c r="D3341" s="303"/>
      <c r="E3341" s="112" t="s">
        <v>193</v>
      </c>
      <c r="F3341" s="120" t="s">
        <v>2</v>
      </c>
      <c r="G3341" s="114" t="s">
        <v>3</v>
      </c>
      <c r="H3341" s="106"/>
      <c r="I3341" s="107" t="s">
        <v>7</v>
      </c>
      <c r="J3341" s="136"/>
      <c r="K3341" s="107" t="s">
        <v>8</v>
      </c>
      <c r="L3341" s="115" t="s">
        <v>194</v>
      </c>
    </row>
    <row r="3342" spans="1:16" x14ac:dyDescent="0.4">
      <c r="B3342" s="122"/>
      <c r="C3342" s="306"/>
      <c r="D3342" s="306"/>
      <c r="E3342" s="116"/>
      <c r="F3342" s="83"/>
      <c r="G3342" s="74"/>
      <c r="I3342" s="117">
        <f>IF(C3342=0,0,VLOOKUP(C3342,Tabla3[],3,FALSE))</f>
        <v>0</v>
      </c>
      <c r="K3342" s="84">
        <f>F3342*I3342</f>
        <v>0</v>
      </c>
      <c r="L3342" s="118">
        <f>E3342*I3342</f>
        <v>0</v>
      </c>
    </row>
    <row r="3343" spans="1:16" x14ac:dyDescent="0.4">
      <c r="B3343" s="74"/>
      <c r="C3343" s="309"/>
      <c r="D3343" s="310"/>
      <c r="E3343" s="121"/>
      <c r="F3343" s="72"/>
      <c r="G3343" s="74"/>
      <c r="I3343" s="117">
        <f>IF(C3343=0,0,VLOOKUP(C3343,Tabla3[],3,FALSE))</f>
        <v>0</v>
      </c>
      <c r="K3343" s="84">
        <f t="shared" ref="K3343:K3345" si="509">+F3343*I3343</f>
        <v>0</v>
      </c>
      <c r="L3343" s="118">
        <f t="shared" ref="L3343:L3345" si="510">E3343*I3343</f>
        <v>0</v>
      </c>
    </row>
    <row r="3344" spans="1:16" x14ac:dyDescent="0.4">
      <c r="B3344" s="74"/>
      <c r="C3344" s="309"/>
      <c r="D3344" s="310"/>
      <c r="E3344" s="121"/>
      <c r="F3344" s="72"/>
      <c r="G3344" s="74"/>
      <c r="I3344" s="117">
        <f>IF(C3344=0,0,VLOOKUP(C3344,Tabla3[],3,FALSE))</f>
        <v>0</v>
      </c>
      <c r="K3344" s="84">
        <f t="shared" si="509"/>
        <v>0</v>
      </c>
      <c r="L3344" s="118">
        <f t="shared" si="510"/>
        <v>0</v>
      </c>
    </row>
    <row r="3345" spans="2:12" x14ac:dyDescent="0.4">
      <c r="B3345" s="74"/>
      <c r="C3345" s="304"/>
      <c r="D3345" s="305"/>
      <c r="E3345" s="121"/>
      <c r="F3345" s="72"/>
      <c r="G3345" s="74"/>
      <c r="I3345" s="117">
        <f>IF(C3345=0,0,VLOOKUP(C3345,Tabla3[],3,FALSE))</f>
        <v>0</v>
      </c>
      <c r="K3345" s="84">
        <f t="shared" si="509"/>
        <v>0</v>
      </c>
      <c r="L3345" s="118">
        <f t="shared" si="510"/>
        <v>0</v>
      </c>
    </row>
    <row r="3346" spans="2:12" ht="17.399999999999999" thickBot="1" x14ac:dyDescent="0.45"/>
    <row r="3347" spans="2:12" ht="17.399999999999999" thickBot="1" x14ac:dyDescent="0.45">
      <c r="F3347" s="292" t="s">
        <v>12</v>
      </c>
      <c r="G3347" s="293"/>
      <c r="H3347" s="293"/>
      <c r="I3347" s="294"/>
      <c r="K3347" s="229">
        <f>+SUM(K3342:K3345)</f>
        <v>0</v>
      </c>
      <c r="L3347" s="119">
        <f>+SUM(L3342:L3345)</f>
        <v>0</v>
      </c>
    </row>
    <row r="3348" spans="2:12" ht="17.399999999999999" thickBot="1" x14ac:dyDescent="0.45"/>
    <row r="3349" spans="2:12" ht="17.399999999999999" thickBot="1" x14ac:dyDescent="0.45">
      <c r="B3349" s="110" t="s">
        <v>13</v>
      </c>
      <c r="C3349" s="300" t="s">
        <v>14</v>
      </c>
      <c r="D3349" s="300"/>
      <c r="E3349" s="300"/>
      <c r="F3349" s="300"/>
      <c r="G3349" s="301"/>
    </row>
    <row r="3350" spans="2:12" x14ac:dyDescent="0.4">
      <c r="B3350" s="114" t="s">
        <v>6</v>
      </c>
      <c r="C3350" s="302" t="s">
        <v>1</v>
      </c>
      <c r="D3350" s="303"/>
      <c r="E3350" s="112" t="s">
        <v>193</v>
      </c>
      <c r="F3350" s="120" t="s">
        <v>2</v>
      </c>
      <c r="G3350" s="114" t="s">
        <v>3</v>
      </c>
      <c r="H3350" s="106"/>
      <c r="I3350" s="107" t="s">
        <v>7</v>
      </c>
      <c r="J3350" s="136"/>
      <c r="K3350" s="107" t="s">
        <v>8</v>
      </c>
      <c r="L3350" s="115" t="s">
        <v>194</v>
      </c>
    </row>
    <row r="3351" spans="2:12" x14ac:dyDescent="0.4">
      <c r="B3351" s="122">
        <v>1</v>
      </c>
      <c r="C3351" s="306" t="s">
        <v>595</v>
      </c>
      <c r="D3351" s="306"/>
      <c r="E3351" s="116">
        <f>I3329</f>
        <v>1</v>
      </c>
      <c r="F3351" s="83">
        <f>ROUND(E3351/I3329,2)</f>
        <v>1</v>
      </c>
      <c r="G3351" s="74" t="str">
        <f>IF(C3351=0,0,VLOOKUP(C3351,Tabla2[],2,FALSE))</f>
        <v>Unidad</v>
      </c>
      <c r="I3351" s="117">
        <f>IF(C3351=0,0,VLOOKUP(C3351,Tabla2[],3,FALSE))</f>
        <v>50</v>
      </c>
      <c r="K3351" s="84">
        <f>+F3351*I3351</f>
        <v>50</v>
      </c>
      <c r="L3351" s="118">
        <f>E3351*I3351</f>
        <v>50</v>
      </c>
    </row>
    <row r="3352" spans="2:12" x14ac:dyDescent="0.4">
      <c r="B3352" s="122"/>
      <c r="C3352" s="306"/>
      <c r="D3352" s="306"/>
      <c r="E3352" s="116"/>
      <c r="F3352" s="83"/>
      <c r="G3352" s="74"/>
      <c r="I3352" s="117">
        <f>IF(C3352=0,0,VLOOKUP(C3352,Tabla2[],3,FALSE))</f>
        <v>0</v>
      </c>
      <c r="K3352" s="84">
        <f>+F3352*I3352</f>
        <v>0</v>
      </c>
      <c r="L3352" s="118">
        <f>E3352*I3352</f>
        <v>0</v>
      </c>
    </row>
    <row r="3353" spans="2:12" ht="17.399999999999999" thickBot="1" x14ac:dyDescent="0.45">
      <c r="B3353" s="123"/>
      <c r="C3353" s="307"/>
      <c r="D3353" s="308"/>
      <c r="E3353" s="124"/>
      <c r="F3353" s="125"/>
      <c r="G3353" s="74"/>
      <c r="I3353" s="117">
        <f>IF(C3353=0,0,VLOOKUP(C3353,Tabla2[],3,FALSE))</f>
        <v>0</v>
      </c>
      <c r="K3353" s="84">
        <f t="shared" ref="K3353" si="511">+F3353*I3353</f>
        <v>0</v>
      </c>
      <c r="L3353" s="118">
        <f t="shared" ref="L3353:L3354" si="512">E3353*I3353</f>
        <v>0</v>
      </c>
    </row>
    <row r="3354" spans="2:12" ht="17.399999999999999" thickBot="1" x14ac:dyDescent="0.45">
      <c r="B3354" s="297" t="s">
        <v>15</v>
      </c>
      <c r="C3354" s="298"/>
      <c r="D3354" s="298"/>
      <c r="E3354" s="298"/>
      <c r="F3354" s="298"/>
      <c r="G3354" s="299"/>
      <c r="I3354" s="84">
        <v>0</v>
      </c>
      <c r="K3354" s="84">
        <v>0</v>
      </c>
      <c r="L3354" s="118">
        <f t="shared" si="512"/>
        <v>0</v>
      </c>
    </row>
    <row r="3355" spans="2:12" ht="17.399999999999999" thickBot="1" x14ac:dyDescent="0.45"/>
    <row r="3356" spans="2:12" ht="17.399999999999999" thickBot="1" x14ac:dyDescent="0.45">
      <c r="F3356" s="292" t="s">
        <v>16</v>
      </c>
      <c r="G3356" s="293"/>
      <c r="H3356" s="293"/>
      <c r="I3356" s="294"/>
      <c r="K3356" s="229">
        <f>+SUM(K3351:K3354)</f>
        <v>50</v>
      </c>
      <c r="L3356" s="119">
        <f>+SUM(L3351:L3354)</f>
        <v>50</v>
      </c>
    </row>
    <row r="3357" spans="2:12" ht="17.399999999999999" thickBot="1" x14ac:dyDescent="0.45"/>
    <row r="3358" spans="2:12" ht="17.399999999999999" thickBot="1" x14ac:dyDescent="0.45">
      <c r="B3358" s="110" t="s">
        <v>17</v>
      </c>
      <c r="C3358" s="300" t="s">
        <v>18</v>
      </c>
      <c r="D3358" s="300"/>
      <c r="E3358" s="300"/>
      <c r="F3358" s="300"/>
      <c r="G3358" s="301"/>
    </row>
    <row r="3359" spans="2:12" x14ac:dyDescent="0.4">
      <c r="B3359" s="114" t="s">
        <v>6</v>
      </c>
      <c r="C3359" s="302" t="s">
        <v>1</v>
      </c>
      <c r="D3359" s="303"/>
      <c r="E3359" s="126"/>
      <c r="F3359" s="120" t="s">
        <v>2</v>
      </c>
      <c r="G3359" s="114" t="s">
        <v>3</v>
      </c>
      <c r="H3359" s="106"/>
      <c r="I3359" s="107" t="s">
        <v>7</v>
      </c>
      <c r="J3359" s="136"/>
      <c r="K3359" s="107" t="s">
        <v>8</v>
      </c>
      <c r="L3359" s="115" t="s">
        <v>194</v>
      </c>
    </row>
    <row r="3360" spans="2:12" x14ac:dyDescent="0.4">
      <c r="B3360" s="74"/>
      <c r="C3360" s="304"/>
      <c r="D3360" s="305"/>
      <c r="E3360" s="127"/>
      <c r="F3360" s="72"/>
      <c r="G3360" s="74"/>
      <c r="I3360" s="84">
        <v>0</v>
      </c>
      <c r="K3360" s="84">
        <f>+F3360*I3360</f>
        <v>0</v>
      </c>
      <c r="L3360" s="118">
        <f>E3360*I3360</f>
        <v>0</v>
      </c>
    </row>
    <row r="3361" spans="2:16" x14ac:dyDescent="0.4">
      <c r="B3361" s="74"/>
      <c r="C3361" s="304"/>
      <c r="D3361" s="305"/>
      <c r="E3361" s="127"/>
      <c r="F3361" s="72"/>
      <c r="G3361" s="74"/>
      <c r="I3361" s="84">
        <v>0</v>
      </c>
      <c r="K3361" s="84">
        <f t="shared" ref="K3361:K3362" si="513">+F3361*I3361</f>
        <v>0</v>
      </c>
      <c r="L3361" s="118">
        <f t="shared" ref="L3361:L3362" si="514">E3361*I3361</f>
        <v>0</v>
      </c>
    </row>
    <row r="3362" spans="2:16" x14ac:dyDescent="0.4">
      <c r="B3362" s="74"/>
      <c r="C3362" s="304"/>
      <c r="D3362" s="305"/>
      <c r="E3362" s="127"/>
      <c r="F3362" s="72"/>
      <c r="G3362" s="74"/>
      <c r="I3362" s="84">
        <v>0</v>
      </c>
      <c r="K3362" s="84">
        <f t="shared" si="513"/>
        <v>0</v>
      </c>
      <c r="L3362" s="118">
        <f t="shared" si="514"/>
        <v>0</v>
      </c>
    </row>
    <row r="3363" spans="2:16" ht="17.399999999999999" thickBot="1" x14ac:dyDescent="0.45">
      <c r="L3363" s="118"/>
    </row>
    <row r="3364" spans="2:16" ht="17.399999999999999" thickBot="1" x14ac:dyDescent="0.45">
      <c r="F3364" s="292" t="s">
        <v>19</v>
      </c>
      <c r="G3364" s="293"/>
      <c r="H3364" s="293"/>
      <c r="I3364" s="294"/>
      <c r="K3364" s="229">
        <f>+SUM(K3360:K3362)</f>
        <v>0</v>
      </c>
      <c r="L3364" s="119">
        <f>+SUM(L3359:L3362)</f>
        <v>0</v>
      </c>
    </row>
    <row r="3365" spans="2:16" ht="15" customHeight="1" x14ac:dyDescent="0.4">
      <c r="F3365" s="128"/>
      <c r="G3365" s="129"/>
      <c r="H3365" s="130"/>
      <c r="I3365" s="108"/>
      <c r="K3365" s="230"/>
    </row>
    <row r="3366" spans="2:16" ht="15" customHeight="1" thickBot="1" x14ac:dyDescent="0.45"/>
    <row r="3367" spans="2:16" ht="17.399999999999999" thickBot="1" x14ac:dyDescent="0.45">
      <c r="F3367" s="292" t="s">
        <v>20</v>
      </c>
      <c r="G3367" s="293"/>
      <c r="H3367" s="293"/>
      <c r="I3367" s="294"/>
      <c r="K3367" s="229">
        <f>(+K3338+K3347+K3356+K3364)</f>
        <v>1160</v>
      </c>
      <c r="L3367" s="119">
        <f>(+L3338+L3347+L3356+L3364)</f>
        <v>1160</v>
      </c>
      <c r="N3367" s="131"/>
      <c r="O3367" s="39"/>
      <c r="P3367" s="40"/>
    </row>
    <row r="3368" spans="2:16" ht="7.5" customHeight="1" thickBot="1" x14ac:dyDescent="0.45">
      <c r="N3368" s="131"/>
      <c r="O3368" s="41"/>
      <c r="P3368" s="40"/>
    </row>
    <row r="3369" spans="2:16" ht="17.399999999999999" thickBot="1" x14ac:dyDescent="0.45">
      <c r="F3369" s="292" t="s">
        <v>21</v>
      </c>
      <c r="G3369" s="293"/>
      <c r="H3369" s="293"/>
      <c r="I3369" s="294"/>
      <c r="K3369" s="229">
        <f>K3367*$N$2</f>
        <v>464</v>
      </c>
      <c r="L3369" s="119">
        <f>L3367*$N$2</f>
        <v>464</v>
      </c>
    </row>
    <row r="3370" spans="2:16" ht="7.5" customHeight="1" thickBot="1" x14ac:dyDescent="0.45"/>
    <row r="3371" spans="2:16" ht="17.399999999999999" thickBot="1" x14ac:dyDescent="0.45">
      <c r="F3371" s="292" t="s">
        <v>22</v>
      </c>
      <c r="G3371" s="293"/>
      <c r="H3371" s="293"/>
      <c r="I3371" s="294"/>
      <c r="K3371" s="229">
        <f>+K3367+K3369</f>
        <v>1624</v>
      </c>
      <c r="L3371" s="119">
        <f>+L3367+L3369</f>
        <v>1624</v>
      </c>
    </row>
    <row r="3372" spans="2:16" ht="17.399999999999999" thickBot="1" x14ac:dyDescent="0.45">
      <c r="F3372" s="128"/>
      <c r="G3372" s="129"/>
      <c r="H3372" s="130"/>
      <c r="I3372" s="108"/>
      <c r="K3372" s="231"/>
      <c r="L3372" s="132">
        <f>L3371/I3329</f>
        <v>1624</v>
      </c>
      <c r="M3372" s="133">
        <f>(K3371-L3372)*I3329</f>
        <v>0</v>
      </c>
    </row>
    <row r="3373" spans="2:16" x14ac:dyDescent="0.4">
      <c r="F3373" s="128"/>
      <c r="G3373" s="129"/>
      <c r="H3373" s="130"/>
      <c r="I3373" s="108"/>
      <c r="K3373" s="232"/>
      <c r="L3373" s="131"/>
      <c r="M3373" s="134"/>
      <c r="N3373" s="135"/>
    </row>
    <row r="3374" spans="2:16" ht="17.399999999999999" thickBot="1" x14ac:dyDescent="0.45">
      <c r="B3374" s="295"/>
      <c r="C3374" s="295"/>
      <c r="D3374" s="295"/>
    </row>
    <row r="3375" spans="2:16" x14ac:dyDescent="0.4">
      <c r="B3375" s="296" t="s">
        <v>23</v>
      </c>
      <c r="C3375" s="296"/>
      <c r="D3375" s="296"/>
    </row>
    <row r="3376" spans="2:16" x14ac:dyDescent="0.4">
      <c r="B3376" s="157"/>
      <c r="C3376" s="157"/>
      <c r="D3376" s="157"/>
    </row>
    <row r="3378" spans="1:16" x14ac:dyDescent="0.4">
      <c r="B3378" s="105" t="s">
        <v>43</v>
      </c>
      <c r="C3378" s="106"/>
      <c r="D3378" s="311" t="s">
        <v>1</v>
      </c>
      <c r="E3378" s="311"/>
      <c r="F3378" s="311"/>
      <c r="G3378" s="311"/>
      <c r="H3378" s="106"/>
      <c r="I3378" s="107" t="s">
        <v>2</v>
      </c>
      <c r="J3378" s="136"/>
      <c r="K3378" s="107" t="s">
        <v>3</v>
      </c>
    </row>
    <row r="3379" spans="1:16" s="4" customFormat="1" ht="30.75" customHeight="1" x14ac:dyDescent="0.3">
      <c r="A3379" s="31"/>
      <c r="B3379" s="213">
        <f>CATALOGO!B85</f>
        <v>1208.02</v>
      </c>
      <c r="C3379" s="71"/>
      <c r="D3379" s="324" t="str">
        <f>CATALOGO!C85</f>
        <v>CAMPANA DE LÁMINA NEGRA 3/64" PARA ESTUFA</v>
      </c>
      <c r="E3379" s="324"/>
      <c r="F3379" s="324"/>
      <c r="G3379" s="324"/>
      <c r="H3379" s="71"/>
      <c r="I3379" s="213">
        <f>CATALOGO!D85</f>
        <v>1</v>
      </c>
      <c r="J3379" s="109"/>
      <c r="K3379" s="227" t="str">
        <f>CATALOGO!E85</f>
        <v>Unidad</v>
      </c>
      <c r="L3379" s="71"/>
      <c r="M3379" s="71"/>
      <c r="N3379" s="104"/>
      <c r="O3379" s="37"/>
      <c r="P3379" s="37"/>
    </row>
    <row r="3380" spans="1:16" ht="17.399999999999999" thickBot="1" x14ac:dyDescent="0.45"/>
    <row r="3381" spans="1:16" ht="17.399999999999999" thickBot="1" x14ac:dyDescent="0.45">
      <c r="B3381" s="110" t="s">
        <v>4</v>
      </c>
      <c r="C3381" s="300" t="s">
        <v>5</v>
      </c>
      <c r="D3381" s="300"/>
      <c r="E3381" s="300"/>
      <c r="F3381" s="300"/>
      <c r="G3381" s="301"/>
    </row>
    <row r="3382" spans="1:16" x14ac:dyDescent="0.3">
      <c r="B3382" s="111" t="s">
        <v>6</v>
      </c>
      <c r="C3382" s="313" t="s">
        <v>1</v>
      </c>
      <c r="D3382" s="314"/>
      <c r="E3382" s="112" t="s">
        <v>193</v>
      </c>
      <c r="F3382" s="113" t="s">
        <v>2</v>
      </c>
      <c r="G3382" s="114" t="s">
        <v>3</v>
      </c>
      <c r="H3382" s="106"/>
      <c r="I3382" s="107" t="s">
        <v>7</v>
      </c>
      <c r="J3382" s="136"/>
      <c r="K3382" s="228" t="s">
        <v>8</v>
      </c>
      <c r="L3382" s="115" t="s">
        <v>194</v>
      </c>
      <c r="O3382" s="323"/>
      <c r="P3382" s="323"/>
    </row>
    <row r="3383" spans="1:16" x14ac:dyDescent="0.3">
      <c r="B3383" s="122">
        <v>1</v>
      </c>
      <c r="C3383" s="315" t="s">
        <v>57</v>
      </c>
      <c r="D3383" s="316"/>
      <c r="E3383" s="116">
        <f>I3379</f>
        <v>1</v>
      </c>
      <c r="F3383" s="83">
        <f>ROUND(E3383/I3379,2)</f>
        <v>1</v>
      </c>
      <c r="G3383" s="74" t="str">
        <f>IF(C3383=0,0,VLOOKUP(C3383,Tabla1[],2,FALSE))</f>
        <v>Unidad</v>
      </c>
      <c r="I3383" s="117">
        <f>IF(C3383=0,0,VLOOKUP(C3383,Tabla1[],3,FALSE))</f>
        <v>2000</v>
      </c>
      <c r="K3383" s="84">
        <f>F3383*I3383</f>
        <v>2000</v>
      </c>
      <c r="L3383" s="118">
        <f t="shared" ref="L3383:L3386" si="515">E3383*I3383</f>
        <v>2000</v>
      </c>
      <c r="O3383" s="44"/>
      <c r="P3383" s="45"/>
    </row>
    <row r="3384" spans="1:16" x14ac:dyDescent="0.3">
      <c r="B3384" s="122"/>
      <c r="C3384" s="315"/>
      <c r="D3384" s="316"/>
      <c r="E3384" s="116"/>
      <c r="F3384" s="83"/>
      <c r="G3384" s="74"/>
      <c r="I3384" s="117">
        <f>IF(C3384=0,0,VLOOKUP(C3384,Tabla1[],3,FALSE))</f>
        <v>0</v>
      </c>
      <c r="K3384" s="84">
        <f>F3384*I3384</f>
        <v>0</v>
      </c>
      <c r="L3384" s="118">
        <f t="shared" si="515"/>
        <v>0</v>
      </c>
      <c r="O3384" s="44"/>
      <c r="P3384" s="45"/>
    </row>
    <row r="3385" spans="1:16" x14ac:dyDescent="0.3">
      <c r="B3385" s="122"/>
      <c r="C3385" s="319"/>
      <c r="D3385" s="318"/>
      <c r="E3385" s="116"/>
      <c r="F3385" s="83"/>
      <c r="G3385" s="74"/>
      <c r="I3385" s="117">
        <f>IF(C3385=0,0,VLOOKUP(C3385,Tabla1[],3,FALSE))</f>
        <v>0</v>
      </c>
      <c r="K3385" s="84">
        <f t="shared" ref="K3385:K3386" si="516">+F3385*I3385</f>
        <v>0</v>
      </c>
      <c r="L3385" s="118">
        <f t="shared" si="515"/>
        <v>0</v>
      </c>
      <c r="O3385" s="44"/>
      <c r="P3385" s="46"/>
    </row>
    <row r="3386" spans="1:16" x14ac:dyDescent="0.4">
      <c r="B3386" s="122"/>
      <c r="C3386" s="317"/>
      <c r="D3386" s="318"/>
      <c r="E3386" s="116"/>
      <c r="F3386" s="83"/>
      <c r="G3386" s="74"/>
      <c r="I3386" s="117">
        <f>IF(C3386=0,0,VLOOKUP(C3386,Tabla1[],3,FALSE))</f>
        <v>0</v>
      </c>
      <c r="K3386" s="84">
        <f t="shared" si="516"/>
        <v>0</v>
      </c>
      <c r="L3386" s="118">
        <f t="shared" si="515"/>
        <v>0</v>
      </c>
      <c r="P3386" s="45"/>
    </row>
    <row r="3387" spans="1:16" ht="17.399999999999999" thickBot="1" x14ac:dyDescent="0.45"/>
    <row r="3388" spans="1:16" ht="17.399999999999999" thickBot="1" x14ac:dyDescent="0.35">
      <c r="F3388" s="292" t="s">
        <v>9</v>
      </c>
      <c r="G3388" s="293"/>
      <c r="H3388" s="293"/>
      <c r="I3388" s="294"/>
      <c r="K3388" s="229">
        <f>+SUM(K3383:K3386)</f>
        <v>2000</v>
      </c>
      <c r="L3388" s="119">
        <f>+SUM(L3383:L3386)</f>
        <v>2000</v>
      </c>
      <c r="O3388" s="38"/>
      <c r="P3388" s="38"/>
    </row>
    <row r="3389" spans="1:16" ht="17.399999999999999" thickBot="1" x14ac:dyDescent="0.45">
      <c r="O3389" s="42"/>
      <c r="P3389" s="43"/>
    </row>
    <row r="3390" spans="1:16" ht="17.399999999999999" thickBot="1" x14ac:dyDescent="0.45">
      <c r="B3390" s="110" t="s">
        <v>10</v>
      </c>
      <c r="C3390" s="300" t="s">
        <v>11</v>
      </c>
      <c r="D3390" s="300"/>
      <c r="E3390" s="300"/>
      <c r="F3390" s="300"/>
      <c r="G3390" s="301"/>
    </row>
    <row r="3391" spans="1:16" x14ac:dyDescent="0.4">
      <c r="B3391" s="114" t="s">
        <v>6</v>
      </c>
      <c r="C3391" s="302" t="s">
        <v>1</v>
      </c>
      <c r="D3391" s="303"/>
      <c r="E3391" s="112" t="s">
        <v>193</v>
      </c>
      <c r="F3391" s="120" t="s">
        <v>2</v>
      </c>
      <c r="G3391" s="114" t="s">
        <v>3</v>
      </c>
      <c r="H3391" s="106"/>
      <c r="I3391" s="107" t="s">
        <v>7</v>
      </c>
      <c r="J3391" s="136"/>
      <c r="K3391" s="107" t="s">
        <v>8</v>
      </c>
      <c r="L3391" s="115" t="s">
        <v>194</v>
      </c>
    </row>
    <row r="3392" spans="1:16" x14ac:dyDescent="0.4">
      <c r="B3392" s="122"/>
      <c r="C3392" s="306"/>
      <c r="D3392" s="306"/>
      <c r="E3392" s="116"/>
      <c r="F3392" s="83"/>
      <c r="G3392" s="74"/>
      <c r="I3392" s="117">
        <f>IF(C3392=0,0,VLOOKUP(C3392,Tabla3[],3,FALSE))</f>
        <v>0</v>
      </c>
      <c r="K3392" s="84">
        <f>F3392*I3392</f>
        <v>0</v>
      </c>
      <c r="L3392" s="118">
        <f>E3392*I3392</f>
        <v>0</v>
      </c>
    </row>
    <row r="3393" spans="2:12" x14ac:dyDescent="0.4">
      <c r="B3393" s="74"/>
      <c r="C3393" s="309"/>
      <c r="D3393" s="310"/>
      <c r="E3393" s="121"/>
      <c r="F3393" s="72"/>
      <c r="G3393" s="74"/>
      <c r="I3393" s="117">
        <f>IF(C3393=0,0,VLOOKUP(C3393,Tabla3[],3,FALSE))</f>
        <v>0</v>
      </c>
      <c r="K3393" s="84">
        <f t="shared" ref="K3393:K3395" si="517">+F3393*I3393</f>
        <v>0</v>
      </c>
      <c r="L3393" s="118">
        <f t="shared" ref="L3393:L3395" si="518">E3393*I3393</f>
        <v>0</v>
      </c>
    </row>
    <row r="3394" spans="2:12" x14ac:dyDescent="0.4">
      <c r="B3394" s="74"/>
      <c r="C3394" s="309"/>
      <c r="D3394" s="310"/>
      <c r="E3394" s="121"/>
      <c r="F3394" s="72"/>
      <c r="G3394" s="74"/>
      <c r="I3394" s="117">
        <f>IF(C3394=0,0,VLOOKUP(C3394,Tabla3[],3,FALSE))</f>
        <v>0</v>
      </c>
      <c r="K3394" s="84">
        <f t="shared" si="517"/>
        <v>0</v>
      </c>
      <c r="L3394" s="118">
        <f t="shared" si="518"/>
        <v>0</v>
      </c>
    </row>
    <row r="3395" spans="2:12" x14ac:dyDescent="0.4">
      <c r="B3395" s="74"/>
      <c r="C3395" s="304"/>
      <c r="D3395" s="305"/>
      <c r="E3395" s="121"/>
      <c r="F3395" s="72"/>
      <c r="G3395" s="74"/>
      <c r="I3395" s="117">
        <f>IF(C3395=0,0,VLOOKUP(C3395,Tabla3[],3,FALSE))</f>
        <v>0</v>
      </c>
      <c r="K3395" s="84">
        <f t="shared" si="517"/>
        <v>0</v>
      </c>
      <c r="L3395" s="118">
        <f t="shared" si="518"/>
        <v>0</v>
      </c>
    </row>
    <row r="3396" spans="2:12" ht="17.399999999999999" thickBot="1" x14ac:dyDescent="0.45"/>
    <row r="3397" spans="2:12" ht="17.399999999999999" thickBot="1" x14ac:dyDescent="0.45">
      <c r="F3397" s="292" t="s">
        <v>12</v>
      </c>
      <c r="G3397" s="293"/>
      <c r="H3397" s="293"/>
      <c r="I3397" s="294"/>
      <c r="K3397" s="229">
        <f>+SUM(K3392:K3395)</f>
        <v>0</v>
      </c>
      <c r="L3397" s="119">
        <f>+SUM(L3392:L3395)</f>
        <v>0</v>
      </c>
    </row>
    <row r="3398" spans="2:12" ht="17.399999999999999" thickBot="1" x14ac:dyDescent="0.45"/>
    <row r="3399" spans="2:12" ht="17.399999999999999" thickBot="1" x14ac:dyDescent="0.45">
      <c r="B3399" s="110" t="s">
        <v>13</v>
      </c>
      <c r="C3399" s="300" t="s">
        <v>14</v>
      </c>
      <c r="D3399" s="300"/>
      <c r="E3399" s="300"/>
      <c r="F3399" s="300"/>
      <c r="G3399" s="301"/>
    </row>
    <row r="3400" spans="2:12" x14ac:dyDescent="0.4">
      <c r="B3400" s="114" t="s">
        <v>6</v>
      </c>
      <c r="C3400" s="302" t="s">
        <v>1</v>
      </c>
      <c r="D3400" s="303"/>
      <c r="E3400" s="112" t="s">
        <v>193</v>
      </c>
      <c r="F3400" s="120" t="s">
        <v>2</v>
      </c>
      <c r="G3400" s="114" t="s">
        <v>3</v>
      </c>
      <c r="H3400" s="106"/>
      <c r="I3400" s="107" t="s">
        <v>7</v>
      </c>
      <c r="J3400" s="136"/>
      <c r="K3400" s="107" t="s">
        <v>8</v>
      </c>
      <c r="L3400" s="115" t="s">
        <v>194</v>
      </c>
    </row>
    <row r="3401" spans="2:12" x14ac:dyDescent="0.4">
      <c r="B3401" s="122">
        <v>1</v>
      </c>
      <c r="C3401" s="306" t="s">
        <v>186</v>
      </c>
      <c r="D3401" s="306"/>
      <c r="E3401" s="116">
        <f>I3379</f>
        <v>1</v>
      </c>
      <c r="F3401" s="83">
        <f>ROUND(E3401/I3379,2)</f>
        <v>1</v>
      </c>
      <c r="G3401" s="74" t="str">
        <f>IF(C3401=0,0,VLOOKUP(C3401,Tabla2[],2,FALSE))</f>
        <v>Unidad</v>
      </c>
      <c r="I3401" s="117">
        <f>IF(C3401=0,0,VLOOKUP(C3401,Tabla2[],3,FALSE))</f>
        <v>58</v>
      </c>
      <c r="K3401" s="84">
        <f>+F3401*I3401</f>
        <v>58</v>
      </c>
      <c r="L3401" s="118">
        <f>E3401*I3401</f>
        <v>58</v>
      </c>
    </row>
    <row r="3402" spans="2:12" x14ac:dyDescent="0.4">
      <c r="B3402" s="122"/>
      <c r="C3402" s="306"/>
      <c r="D3402" s="306"/>
      <c r="E3402" s="116"/>
      <c r="F3402" s="83"/>
      <c r="G3402" s="74"/>
      <c r="I3402" s="117">
        <f>IF(C3402=0,0,VLOOKUP(C3402,Tabla2[],3,FALSE))</f>
        <v>0</v>
      </c>
      <c r="K3402" s="84">
        <f>+F3402*I3402</f>
        <v>0</v>
      </c>
      <c r="L3402" s="118">
        <f>E3402*I3402</f>
        <v>0</v>
      </c>
    </row>
    <row r="3403" spans="2:12" ht="17.399999999999999" thickBot="1" x14ac:dyDescent="0.45">
      <c r="B3403" s="123"/>
      <c r="C3403" s="307"/>
      <c r="D3403" s="308"/>
      <c r="E3403" s="124"/>
      <c r="F3403" s="125"/>
      <c r="G3403" s="74"/>
      <c r="I3403" s="117">
        <f>IF(C3403=0,0,VLOOKUP(C3403,Tabla2[],3,FALSE))</f>
        <v>0</v>
      </c>
      <c r="K3403" s="84">
        <f t="shared" ref="K3403" si="519">+F3403*I3403</f>
        <v>0</v>
      </c>
      <c r="L3403" s="118">
        <f t="shared" ref="L3403:L3404" si="520">E3403*I3403</f>
        <v>0</v>
      </c>
    </row>
    <row r="3404" spans="2:12" ht="17.399999999999999" thickBot="1" x14ac:dyDescent="0.45">
      <c r="B3404" s="297" t="s">
        <v>15</v>
      </c>
      <c r="C3404" s="298"/>
      <c r="D3404" s="298"/>
      <c r="E3404" s="298"/>
      <c r="F3404" s="298"/>
      <c r="G3404" s="299"/>
      <c r="I3404" s="84">
        <v>0</v>
      </c>
      <c r="K3404" s="84">
        <v>0</v>
      </c>
      <c r="L3404" s="118">
        <f t="shared" si="520"/>
        <v>0</v>
      </c>
    </row>
    <row r="3405" spans="2:12" ht="17.399999999999999" thickBot="1" x14ac:dyDescent="0.45"/>
    <row r="3406" spans="2:12" ht="17.399999999999999" thickBot="1" x14ac:dyDescent="0.45">
      <c r="F3406" s="292" t="s">
        <v>16</v>
      </c>
      <c r="G3406" s="293"/>
      <c r="H3406" s="293"/>
      <c r="I3406" s="294"/>
      <c r="K3406" s="229">
        <f>+SUM(K3401:K3404)</f>
        <v>58</v>
      </c>
      <c r="L3406" s="119">
        <f>+SUM(L3401:L3404)</f>
        <v>58</v>
      </c>
    </row>
    <row r="3407" spans="2:12" ht="17.399999999999999" thickBot="1" x14ac:dyDescent="0.45"/>
    <row r="3408" spans="2:12" ht="17.399999999999999" thickBot="1" x14ac:dyDescent="0.45">
      <c r="B3408" s="110" t="s">
        <v>17</v>
      </c>
      <c r="C3408" s="300" t="s">
        <v>18</v>
      </c>
      <c r="D3408" s="300"/>
      <c r="E3408" s="300"/>
      <c r="F3408" s="300"/>
      <c r="G3408" s="301"/>
    </row>
    <row r="3409" spans="2:16" x14ac:dyDescent="0.4">
      <c r="B3409" s="114" t="s">
        <v>6</v>
      </c>
      <c r="C3409" s="302" t="s">
        <v>1</v>
      </c>
      <c r="D3409" s="303"/>
      <c r="E3409" s="126"/>
      <c r="F3409" s="120" t="s">
        <v>2</v>
      </c>
      <c r="G3409" s="114" t="s">
        <v>3</v>
      </c>
      <c r="H3409" s="106"/>
      <c r="I3409" s="107" t="s">
        <v>7</v>
      </c>
      <c r="J3409" s="136"/>
      <c r="K3409" s="107" t="s">
        <v>8</v>
      </c>
      <c r="L3409" s="115" t="s">
        <v>194</v>
      </c>
    </row>
    <row r="3410" spans="2:16" x14ac:dyDescent="0.4">
      <c r="B3410" s="74"/>
      <c r="C3410" s="304"/>
      <c r="D3410" s="305"/>
      <c r="E3410" s="127"/>
      <c r="F3410" s="72"/>
      <c r="G3410" s="74"/>
      <c r="I3410" s="84">
        <v>0</v>
      </c>
      <c r="K3410" s="84">
        <f>+F3410*I3410</f>
        <v>0</v>
      </c>
      <c r="L3410" s="118">
        <f>E3410*I3410</f>
        <v>0</v>
      </c>
    </row>
    <row r="3411" spans="2:16" x14ac:dyDescent="0.4">
      <c r="B3411" s="74"/>
      <c r="C3411" s="304"/>
      <c r="D3411" s="305"/>
      <c r="E3411" s="127"/>
      <c r="F3411" s="72"/>
      <c r="G3411" s="74"/>
      <c r="I3411" s="84">
        <v>0</v>
      </c>
      <c r="K3411" s="84">
        <f t="shared" ref="K3411:K3412" si="521">+F3411*I3411</f>
        <v>0</v>
      </c>
      <c r="L3411" s="118">
        <f t="shared" ref="L3411:L3412" si="522">E3411*I3411</f>
        <v>0</v>
      </c>
    </row>
    <row r="3412" spans="2:16" x14ac:dyDescent="0.4">
      <c r="B3412" s="74"/>
      <c r="C3412" s="304"/>
      <c r="D3412" s="305"/>
      <c r="E3412" s="127"/>
      <c r="F3412" s="72"/>
      <c r="G3412" s="74"/>
      <c r="I3412" s="84">
        <v>0</v>
      </c>
      <c r="K3412" s="84">
        <f t="shared" si="521"/>
        <v>0</v>
      </c>
      <c r="L3412" s="118">
        <f t="shared" si="522"/>
        <v>0</v>
      </c>
    </row>
    <row r="3413" spans="2:16" ht="17.399999999999999" thickBot="1" x14ac:dyDescent="0.45">
      <c r="L3413" s="118"/>
    </row>
    <row r="3414" spans="2:16" ht="17.399999999999999" thickBot="1" x14ac:dyDescent="0.45">
      <c r="F3414" s="292" t="s">
        <v>19</v>
      </c>
      <c r="G3414" s="293"/>
      <c r="H3414" s="293"/>
      <c r="I3414" s="294"/>
      <c r="K3414" s="229">
        <f>+SUM(K3410:K3412)</f>
        <v>0</v>
      </c>
      <c r="L3414" s="119">
        <f>+SUM(L3409:L3412)</f>
        <v>0</v>
      </c>
    </row>
    <row r="3415" spans="2:16" ht="15" customHeight="1" x14ac:dyDescent="0.4">
      <c r="F3415" s="128"/>
      <c r="G3415" s="129"/>
      <c r="H3415" s="130"/>
      <c r="I3415" s="108"/>
      <c r="K3415" s="230"/>
    </row>
    <row r="3416" spans="2:16" ht="15" customHeight="1" thickBot="1" x14ac:dyDescent="0.45"/>
    <row r="3417" spans="2:16" ht="17.399999999999999" thickBot="1" x14ac:dyDescent="0.45">
      <c r="F3417" s="292" t="s">
        <v>20</v>
      </c>
      <c r="G3417" s="293"/>
      <c r="H3417" s="293"/>
      <c r="I3417" s="294"/>
      <c r="K3417" s="229">
        <f>(+K3388+K3397+K3406+K3414)</f>
        <v>2058</v>
      </c>
      <c r="L3417" s="119">
        <f>(+L3388+L3397+L3406+L3414)</f>
        <v>2058</v>
      </c>
      <c r="N3417" s="131"/>
      <c r="O3417" s="39"/>
      <c r="P3417" s="40"/>
    </row>
    <row r="3418" spans="2:16" ht="7.5" customHeight="1" thickBot="1" x14ac:dyDescent="0.45">
      <c r="N3418" s="131"/>
      <c r="O3418" s="41"/>
      <c r="P3418" s="40"/>
    </row>
    <row r="3419" spans="2:16" ht="17.399999999999999" thickBot="1" x14ac:dyDescent="0.45">
      <c r="F3419" s="292" t="s">
        <v>21</v>
      </c>
      <c r="G3419" s="293"/>
      <c r="H3419" s="293"/>
      <c r="I3419" s="294"/>
      <c r="K3419" s="229">
        <f>K3417*$N$2</f>
        <v>823.2</v>
      </c>
      <c r="L3419" s="119">
        <f>L3417*$N$2</f>
        <v>823.2</v>
      </c>
    </row>
    <row r="3420" spans="2:16" ht="7.5" customHeight="1" thickBot="1" x14ac:dyDescent="0.45"/>
    <row r="3421" spans="2:16" ht="17.399999999999999" thickBot="1" x14ac:dyDescent="0.45">
      <c r="F3421" s="292" t="s">
        <v>22</v>
      </c>
      <c r="G3421" s="293"/>
      <c r="H3421" s="293"/>
      <c r="I3421" s="294"/>
      <c r="K3421" s="229">
        <f>+K3417+K3419</f>
        <v>2881.2</v>
      </c>
      <c r="L3421" s="119">
        <f>+L3417+L3419</f>
        <v>2881.2</v>
      </c>
    </row>
    <row r="3422" spans="2:16" ht="17.399999999999999" thickBot="1" x14ac:dyDescent="0.45">
      <c r="F3422" s="128"/>
      <c r="G3422" s="129"/>
      <c r="H3422" s="130"/>
      <c r="I3422" s="108"/>
      <c r="K3422" s="231"/>
      <c r="L3422" s="132">
        <f>L3421/I3379</f>
        <v>2881.2</v>
      </c>
      <c r="M3422" s="133">
        <f>(K3421-L3422)*I3379</f>
        <v>0</v>
      </c>
    </row>
    <row r="3423" spans="2:16" x14ac:dyDescent="0.4">
      <c r="F3423" s="128"/>
      <c r="G3423" s="129"/>
      <c r="H3423" s="130"/>
      <c r="I3423" s="108"/>
      <c r="K3423" s="232"/>
      <c r="L3423" s="131"/>
      <c r="M3423" s="134"/>
      <c r="N3423" s="135"/>
    </row>
    <row r="3424" spans="2:16" ht="17.399999999999999" thickBot="1" x14ac:dyDescent="0.45">
      <c r="B3424" s="295"/>
      <c r="C3424" s="295"/>
      <c r="D3424" s="295"/>
    </row>
    <row r="3425" spans="1:16" x14ac:dyDescent="0.4">
      <c r="B3425" s="296" t="s">
        <v>23</v>
      </c>
      <c r="C3425" s="296"/>
      <c r="D3425" s="296"/>
    </row>
    <row r="3426" spans="1:16" x14ac:dyDescent="0.4">
      <c r="B3426" s="157"/>
      <c r="C3426" s="157"/>
      <c r="D3426" s="157"/>
    </row>
    <row r="3428" spans="1:16" x14ac:dyDescent="0.4">
      <c r="B3428" s="105" t="s">
        <v>43</v>
      </c>
      <c r="C3428" s="106"/>
      <c r="D3428" s="311" t="s">
        <v>1</v>
      </c>
      <c r="E3428" s="311"/>
      <c r="F3428" s="311"/>
      <c r="G3428" s="311"/>
      <c r="H3428" s="106"/>
      <c r="I3428" s="107" t="s">
        <v>2</v>
      </c>
      <c r="J3428" s="136"/>
      <c r="K3428" s="107" t="s">
        <v>3</v>
      </c>
    </row>
    <row r="3429" spans="1:16" s="4" customFormat="1" ht="30.75" customHeight="1" x14ac:dyDescent="0.3">
      <c r="A3429" s="31"/>
      <c r="B3429" s="213">
        <f>CATALOGO!B87</f>
        <v>1304.02</v>
      </c>
      <c r="C3429" s="71"/>
      <c r="D3429" s="324" t="str">
        <f>CATALOGO!C87</f>
        <v>TOP DE CONCRETO (SOLO LOSA)</v>
      </c>
      <c r="E3429" s="324"/>
      <c r="F3429" s="324"/>
      <c r="G3429" s="324"/>
      <c r="H3429" s="71"/>
      <c r="I3429" s="213">
        <f>CATALOGO!D87</f>
        <v>3.39</v>
      </c>
      <c r="J3429" s="109"/>
      <c r="K3429" s="227" t="str">
        <f>CATALOGO!E87</f>
        <v>ml</v>
      </c>
      <c r="L3429" s="71"/>
      <c r="M3429" s="71"/>
      <c r="N3429" s="104"/>
      <c r="O3429" s="37"/>
      <c r="P3429" s="37"/>
    </row>
    <row r="3430" spans="1:16" ht="17.399999999999999" thickBot="1" x14ac:dyDescent="0.45"/>
    <row r="3431" spans="1:16" ht="17.399999999999999" thickBot="1" x14ac:dyDescent="0.45">
      <c r="B3431" s="110" t="s">
        <v>4</v>
      </c>
      <c r="C3431" s="300" t="s">
        <v>5</v>
      </c>
      <c r="D3431" s="300"/>
      <c r="E3431" s="300"/>
      <c r="F3431" s="300"/>
      <c r="G3431" s="301"/>
    </row>
    <row r="3432" spans="1:16" x14ac:dyDescent="0.3">
      <c r="B3432" s="111" t="s">
        <v>6</v>
      </c>
      <c r="C3432" s="313" t="s">
        <v>1</v>
      </c>
      <c r="D3432" s="314"/>
      <c r="E3432" s="112" t="s">
        <v>193</v>
      </c>
      <c r="F3432" s="113" t="s">
        <v>2</v>
      </c>
      <c r="G3432" s="114" t="s">
        <v>3</v>
      </c>
      <c r="H3432" s="106"/>
      <c r="I3432" s="107" t="s">
        <v>7</v>
      </c>
      <c r="J3432" s="136"/>
      <c r="K3432" s="228" t="s">
        <v>8</v>
      </c>
      <c r="L3432" s="115" t="s">
        <v>194</v>
      </c>
      <c r="O3432" s="323"/>
      <c r="P3432" s="323"/>
    </row>
    <row r="3433" spans="1:16" ht="17.25" customHeight="1" x14ac:dyDescent="0.3">
      <c r="B3433" s="151">
        <v>1</v>
      </c>
      <c r="C3433" s="327" t="s">
        <v>230</v>
      </c>
      <c r="D3433" s="328"/>
      <c r="E3433" s="152">
        <f>I3429*0.08</f>
        <v>0.2712</v>
      </c>
      <c r="F3433" s="83">
        <f>ROUND(E3433/I3429,2)</f>
        <v>0.08</v>
      </c>
      <c r="G3433" s="74" t="str">
        <f>IF(C3433=0,0,VLOOKUP(C3433,Tabla1[],2,FALSE))</f>
        <v>m³</v>
      </c>
      <c r="I3433" s="117">
        <f>IF(C3433=0,0,VLOOKUP(C3433,Tabla1[],3,FALSE))</f>
        <v>250</v>
      </c>
      <c r="K3433" s="84">
        <f>F3433*I3433</f>
        <v>20</v>
      </c>
      <c r="L3433" s="118">
        <f t="shared" ref="L3433:L3441" si="523">E3433*I3433</f>
        <v>67.8</v>
      </c>
      <c r="O3433" s="44"/>
      <c r="P3433" s="45"/>
    </row>
    <row r="3434" spans="1:16" ht="17.25" customHeight="1" x14ac:dyDescent="0.3">
      <c r="B3434" s="151">
        <v>2</v>
      </c>
      <c r="C3434" s="327" t="s">
        <v>73</v>
      </c>
      <c r="D3434" s="328"/>
      <c r="E3434" s="152">
        <f>I3429*0.1</f>
        <v>0.33900000000000002</v>
      </c>
      <c r="F3434" s="83">
        <f>ROUND(E3434/I3429,2)</f>
        <v>0.1</v>
      </c>
      <c r="G3434" s="74" t="str">
        <f>IF(C3434=0,0,VLOOKUP(C3434,Tabla1[],2,FALSE))</f>
        <v>m³</v>
      </c>
      <c r="I3434" s="117">
        <f>IF(C3434=0,0,VLOOKUP(C3434,Tabla1[],3,FALSE))</f>
        <v>250</v>
      </c>
      <c r="K3434" s="84">
        <f>F3434*I3434</f>
        <v>25</v>
      </c>
      <c r="L3434" s="118">
        <f t="shared" si="523"/>
        <v>84.75</v>
      </c>
      <c r="O3434" s="44"/>
      <c r="P3434" s="45"/>
    </row>
    <row r="3435" spans="1:16" ht="16.5" customHeight="1" x14ac:dyDescent="0.3">
      <c r="B3435" s="151">
        <v>3</v>
      </c>
      <c r="C3435" s="327" t="s">
        <v>214</v>
      </c>
      <c r="D3435" s="328"/>
      <c r="E3435" s="152">
        <f>I3429*6</f>
        <v>20.34</v>
      </c>
      <c r="F3435" s="83">
        <f>ROUND(E3435/I3429,1)</f>
        <v>6</v>
      </c>
      <c r="G3435" s="74" t="str">
        <f>IF(C3435=0,0,VLOOKUP(C3435,Tabla1[],2,FALSE))</f>
        <v>Saco</v>
      </c>
      <c r="I3435" s="117">
        <f>IF(C3435=0,0,VLOOKUP(C3435,Tabla1[],3,FALSE))</f>
        <v>80</v>
      </c>
      <c r="K3435" s="84">
        <f t="shared" ref="K3435:K3441" si="524">+F3435*I3435</f>
        <v>480</v>
      </c>
      <c r="L3435" s="118">
        <f t="shared" si="523"/>
        <v>1627.2</v>
      </c>
      <c r="O3435" s="44"/>
      <c r="P3435" s="46"/>
    </row>
    <row r="3436" spans="1:16" ht="16.5" customHeight="1" x14ac:dyDescent="0.3">
      <c r="B3436" s="151"/>
      <c r="C3436" s="327"/>
      <c r="D3436" s="328"/>
      <c r="E3436" s="152"/>
      <c r="F3436" s="83"/>
      <c r="G3436" s="74"/>
      <c r="I3436" s="117">
        <f>IF(C3436=0,0,VLOOKUP(C3436,Tabla1[],3,FALSE))</f>
        <v>0</v>
      </c>
      <c r="K3436" s="84">
        <f t="shared" si="524"/>
        <v>0</v>
      </c>
      <c r="L3436" s="118">
        <f t="shared" si="523"/>
        <v>0</v>
      </c>
      <c r="O3436" s="44"/>
      <c r="P3436" s="46"/>
    </row>
    <row r="3437" spans="1:16" ht="16.5" customHeight="1" x14ac:dyDescent="0.3">
      <c r="B3437" s="151"/>
      <c r="C3437" s="327"/>
      <c r="D3437" s="328"/>
      <c r="E3437" s="152"/>
      <c r="F3437" s="83"/>
      <c r="G3437" s="74"/>
      <c r="I3437" s="117">
        <f>IF(C3437=0,0,VLOOKUP(C3437,Tabla1[],3,FALSE))</f>
        <v>0</v>
      </c>
      <c r="K3437" s="84">
        <f t="shared" si="524"/>
        <v>0</v>
      </c>
      <c r="L3437" s="118">
        <f t="shared" si="523"/>
        <v>0</v>
      </c>
      <c r="O3437" s="44"/>
      <c r="P3437" s="46"/>
    </row>
    <row r="3438" spans="1:16" ht="16.5" customHeight="1" x14ac:dyDescent="0.3">
      <c r="B3438" s="151"/>
      <c r="C3438" s="327"/>
      <c r="D3438" s="328"/>
      <c r="E3438" s="152"/>
      <c r="F3438" s="83"/>
      <c r="G3438" s="74"/>
      <c r="I3438" s="117">
        <f>IF(C3438=0,0,VLOOKUP(C3438,Tabla1[],3,FALSE))</f>
        <v>0</v>
      </c>
      <c r="K3438" s="84">
        <f t="shared" si="524"/>
        <v>0</v>
      </c>
      <c r="L3438" s="118">
        <f t="shared" si="523"/>
        <v>0</v>
      </c>
      <c r="O3438" s="44"/>
      <c r="P3438" s="46"/>
    </row>
    <row r="3439" spans="1:16" x14ac:dyDescent="0.3">
      <c r="B3439" s="151"/>
      <c r="C3439" s="327"/>
      <c r="D3439" s="328"/>
      <c r="E3439" s="152"/>
      <c r="F3439" s="83"/>
      <c r="G3439" s="74"/>
      <c r="I3439" s="117">
        <f>IF(C3439=0,0,VLOOKUP(C3439,Tabla1[],3,FALSE))</f>
        <v>0</v>
      </c>
      <c r="K3439" s="84">
        <f t="shared" si="524"/>
        <v>0</v>
      </c>
      <c r="L3439" s="118">
        <f t="shared" si="523"/>
        <v>0</v>
      </c>
      <c r="O3439" s="44"/>
      <c r="P3439" s="46"/>
    </row>
    <row r="3440" spans="1:16" ht="16.5" customHeight="1" x14ac:dyDescent="0.3">
      <c r="B3440" s="151"/>
      <c r="C3440" s="327"/>
      <c r="D3440" s="328"/>
      <c r="E3440" s="152"/>
      <c r="F3440" s="83"/>
      <c r="G3440" s="74"/>
      <c r="I3440" s="117">
        <f>IF(C3440=0,0,VLOOKUP(C3440,Tabla1[],3,FALSE))</f>
        <v>0</v>
      </c>
      <c r="K3440" s="84">
        <f t="shared" si="524"/>
        <v>0</v>
      </c>
      <c r="L3440" s="118">
        <f t="shared" si="523"/>
        <v>0</v>
      </c>
      <c r="O3440" s="44"/>
      <c r="P3440" s="45"/>
    </row>
    <row r="3441" spans="2:16" x14ac:dyDescent="0.4">
      <c r="B3441" s="151"/>
      <c r="C3441" s="327"/>
      <c r="D3441" s="328"/>
      <c r="E3441" s="152"/>
      <c r="F3441" s="83"/>
      <c r="G3441" s="74"/>
      <c r="I3441" s="117">
        <f>IF(C3441=0,0,VLOOKUP(C3441,Tabla1[],3,FALSE))</f>
        <v>0</v>
      </c>
      <c r="K3441" s="84">
        <f t="shared" si="524"/>
        <v>0</v>
      </c>
      <c r="L3441" s="118">
        <f t="shared" si="523"/>
        <v>0</v>
      </c>
      <c r="P3441" s="45"/>
    </row>
    <row r="3442" spans="2:16" ht="17.399999999999999" thickBot="1" x14ac:dyDescent="0.45"/>
    <row r="3443" spans="2:16" ht="17.399999999999999" thickBot="1" x14ac:dyDescent="0.35">
      <c r="F3443" s="292" t="s">
        <v>9</v>
      </c>
      <c r="G3443" s="293"/>
      <c r="H3443" s="293"/>
      <c r="I3443" s="294"/>
      <c r="K3443" s="229">
        <f>+SUM(K3433:K3441)</f>
        <v>525</v>
      </c>
      <c r="L3443" s="119">
        <f>+SUM(L3433:L3441)</f>
        <v>1779.75</v>
      </c>
      <c r="O3443" s="38"/>
      <c r="P3443" s="38"/>
    </row>
    <row r="3444" spans="2:16" ht="17.399999999999999" thickBot="1" x14ac:dyDescent="0.45">
      <c r="O3444" s="42"/>
      <c r="P3444" s="43"/>
    </row>
    <row r="3445" spans="2:16" ht="17.399999999999999" thickBot="1" x14ac:dyDescent="0.45">
      <c r="B3445" s="110" t="s">
        <v>10</v>
      </c>
      <c r="C3445" s="300" t="s">
        <v>11</v>
      </c>
      <c r="D3445" s="300"/>
      <c r="E3445" s="300"/>
      <c r="F3445" s="300"/>
      <c r="G3445" s="301"/>
    </row>
    <row r="3446" spans="2:16" x14ac:dyDescent="0.4">
      <c r="B3446" s="114" t="s">
        <v>6</v>
      </c>
      <c r="C3446" s="302" t="s">
        <v>1</v>
      </c>
      <c r="D3446" s="303"/>
      <c r="E3446" s="112" t="s">
        <v>193</v>
      </c>
      <c r="F3446" s="120" t="s">
        <v>2</v>
      </c>
      <c r="G3446" s="114" t="s">
        <v>3</v>
      </c>
      <c r="H3446" s="106"/>
      <c r="I3446" s="107" t="s">
        <v>7</v>
      </c>
      <c r="J3446" s="136"/>
      <c r="K3446" s="107" t="s">
        <v>8</v>
      </c>
      <c r="L3446" s="115" t="s">
        <v>194</v>
      </c>
    </row>
    <row r="3447" spans="2:16" x14ac:dyDescent="0.4">
      <c r="B3447" s="122"/>
      <c r="C3447" s="306"/>
      <c r="D3447" s="306"/>
      <c r="E3447" s="116"/>
      <c r="F3447" s="83"/>
      <c r="G3447" s="74"/>
      <c r="I3447" s="117">
        <f>IF(C3447=0,0,VLOOKUP(C3447,Tabla3[],3,FALSE))</f>
        <v>0</v>
      </c>
      <c r="K3447" s="84">
        <f>F3447*I3447</f>
        <v>0</v>
      </c>
      <c r="L3447" s="118">
        <f>E3447*I3447</f>
        <v>0</v>
      </c>
    </row>
    <row r="3448" spans="2:16" x14ac:dyDescent="0.4">
      <c r="B3448" s="74"/>
      <c r="C3448" s="309"/>
      <c r="D3448" s="310"/>
      <c r="E3448" s="121"/>
      <c r="F3448" s="72"/>
      <c r="G3448" s="74"/>
      <c r="I3448" s="117">
        <f>IF(C3448=0,0,VLOOKUP(C3448,Tabla3[],3,FALSE))</f>
        <v>0</v>
      </c>
      <c r="K3448" s="84">
        <f t="shared" ref="K3448:K3450" si="525">+F3448*I3448</f>
        <v>0</v>
      </c>
      <c r="L3448" s="118">
        <f t="shared" ref="L3448:L3450" si="526">E3448*I3448</f>
        <v>0</v>
      </c>
    </row>
    <row r="3449" spans="2:16" x14ac:dyDescent="0.4">
      <c r="B3449" s="74"/>
      <c r="C3449" s="309"/>
      <c r="D3449" s="310"/>
      <c r="E3449" s="121"/>
      <c r="F3449" s="72"/>
      <c r="G3449" s="74"/>
      <c r="I3449" s="117">
        <f>IF(C3449=0,0,VLOOKUP(C3449,Tabla3[],3,FALSE))</f>
        <v>0</v>
      </c>
      <c r="K3449" s="84">
        <f t="shared" si="525"/>
        <v>0</v>
      </c>
      <c r="L3449" s="118">
        <f t="shared" si="526"/>
        <v>0</v>
      </c>
    </row>
    <row r="3450" spans="2:16" x14ac:dyDescent="0.4">
      <c r="B3450" s="74"/>
      <c r="C3450" s="304"/>
      <c r="D3450" s="305"/>
      <c r="E3450" s="121"/>
      <c r="F3450" s="72"/>
      <c r="G3450" s="74"/>
      <c r="I3450" s="117">
        <f>IF(C3450=0,0,VLOOKUP(C3450,Tabla3[],3,FALSE))</f>
        <v>0</v>
      </c>
      <c r="K3450" s="84">
        <f t="shared" si="525"/>
        <v>0</v>
      </c>
      <c r="L3450" s="118">
        <f t="shared" si="526"/>
        <v>0</v>
      </c>
    </row>
    <row r="3451" spans="2:16" ht="17.399999999999999" thickBot="1" x14ac:dyDescent="0.45"/>
    <row r="3452" spans="2:16" ht="17.399999999999999" thickBot="1" x14ac:dyDescent="0.45">
      <c r="F3452" s="292" t="s">
        <v>12</v>
      </c>
      <c r="G3452" s="293"/>
      <c r="H3452" s="293"/>
      <c r="I3452" s="294"/>
      <c r="K3452" s="229">
        <f>+SUM(K3447:K3450)</f>
        <v>0</v>
      </c>
      <c r="L3452" s="119">
        <f>+SUM(L3447:L3450)</f>
        <v>0</v>
      </c>
    </row>
    <row r="3453" spans="2:16" ht="17.399999999999999" thickBot="1" x14ac:dyDescent="0.45"/>
    <row r="3454" spans="2:16" ht="17.399999999999999" thickBot="1" x14ac:dyDescent="0.45">
      <c r="B3454" s="110" t="s">
        <v>13</v>
      </c>
      <c r="C3454" s="300" t="s">
        <v>14</v>
      </c>
      <c r="D3454" s="300"/>
      <c r="E3454" s="300"/>
      <c r="F3454" s="300"/>
      <c r="G3454" s="301"/>
    </row>
    <row r="3455" spans="2:16" x14ac:dyDescent="0.4">
      <c r="B3455" s="114" t="s">
        <v>6</v>
      </c>
      <c r="C3455" s="302" t="s">
        <v>1</v>
      </c>
      <c r="D3455" s="303"/>
      <c r="E3455" s="112" t="s">
        <v>193</v>
      </c>
      <c r="F3455" s="120" t="s">
        <v>2</v>
      </c>
      <c r="G3455" s="114" t="s">
        <v>3</v>
      </c>
      <c r="H3455" s="106"/>
      <c r="I3455" s="107" t="s">
        <v>7</v>
      </c>
      <c r="J3455" s="136"/>
      <c r="K3455" s="107" t="s">
        <v>8</v>
      </c>
      <c r="L3455" s="115" t="s">
        <v>194</v>
      </c>
    </row>
    <row r="3456" spans="2:16" x14ac:dyDescent="0.4">
      <c r="B3456" s="122">
        <v>1</v>
      </c>
      <c r="C3456" s="306" t="s">
        <v>368</v>
      </c>
      <c r="D3456" s="306"/>
      <c r="E3456" s="116">
        <f>I3429*0.95</f>
        <v>3.2204999999999999</v>
      </c>
      <c r="F3456" s="83">
        <f>ROUND(E3456/I3429,2)</f>
        <v>0.95</v>
      </c>
      <c r="G3456" s="74" t="str">
        <f>IF(C3456=0,0,VLOOKUP(C3456,Tabla2[],2,FALSE))</f>
        <v>m³</v>
      </c>
      <c r="I3456" s="117">
        <f>IF(C3456=0,0,VLOOKUP(C3456,Tabla2[],3,FALSE))</f>
        <v>500</v>
      </c>
      <c r="K3456" s="84">
        <f>+F3456*I3456</f>
        <v>475</v>
      </c>
      <c r="L3456" s="118">
        <f>E3456*I3456</f>
        <v>1610.25</v>
      </c>
    </row>
    <row r="3457" spans="2:16" x14ac:dyDescent="0.4">
      <c r="B3457" s="122"/>
      <c r="C3457" s="306"/>
      <c r="D3457" s="306"/>
      <c r="E3457" s="116"/>
      <c r="F3457" s="83"/>
      <c r="G3457" s="74"/>
      <c r="I3457" s="117">
        <f>IF(C3457=0,0,VLOOKUP(C3457,Tabla2[],3,FALSE))</f>
        <v>0</v>
      </c>
      <c r="K3457" s="84">
        <f>+F3457*I3457</f>
        <v>0</v>
      </c>
      <c r="L3457" s="118">
        <f>E3457*I3457</f>
        <v>0</v>
      </c>
    </row>
    <row r="3458" spans="2:16" ht="17.399999999999999" thickBot="1" x14ac:dyDescent="0.45">
      <c r="B3458" s="123"/>
      <c r="C3458" s="307"/>
      <c r="D3458" s="308"/>
      <c r="E3458" s="124"/>
      <c r="F3458" s="125"/>
      <c r="G3458" s="74"/>
      <c r="I3458" s="117">
        <f>IF(C3458=0,0,VLOOKUP(C3458,Tabla2[],3,FALSE))</f>
        <v>0</v>
      </c>
      <c r="K3458" s="84">
        <f t="shared" ref="K3458" si="527">+F3458*I3458</f>
        <v>0</v>
      </c>
      <c r="L3458" s="118">
        <f t="shared" ref="L3458:L3459" si="528">E3458*I3458</f>
        <v>0</v>
      </c>
    </row>
    <row r="3459" spans="2:16" ht="17.399999999999999" thickBot="1" x14ac:dyDescent="0.45">
      <c r="B3459" s="297" t="s">
        <v>15</v>
      </c>
      <c r="C3459" s="298"/>
      <c r="D3459" s="298"/>
      <c r="E3459" s="298"/>
      <c r="F3459" s="298"/>
      <c r="G3459" s="299"/>
      <c r="I3459" s="84">
        <v>0</v>
      </c>
      <c r="K3459" s="84">
        <v>0</v>
      </c>
      <c r="L3459" s="118">
        <f t="shared" si="528"/>
        <v>0</v>
      </c>
    </row>
    <row r="3460" spans="2:16" ht="17.399999999999999" thickBot="1" x14ac:dyDescent="0.45"/>
    <row r="3461" spans="2:16" ht="17.399999999999999" thickBot="1" x14ac:dyDescent="0.45">
      <c r="F3461" s="292" t="s">
        <v>16</v>
      </c>
      <c r="G3461" s="293"/>
      <c r="H3461" s="293"/>
      <c r="I3461" s="294"/>
      <c r="K3461" s="229">
        <f>+SUM(K3456:K3459)</f>
        <v>475</v>
      </c>
      <c r="L3461" s="119">
        <f>+SUM(L3456:L3459)</f>
        <v>1610.25</v>
      </c>
    </row>
    <row r="3462" spans="2:16" ht="17.399999999999999" thickBot="1" x14ac:dyDescent="0.45"/>
    <row r="3463" spans="2:16" ht="17.399999999999999" thickBot="1" x14ac:dyDescent="0.45">
      <c r="B3463" s="110" t="s">
        <v>17</v>
      </c>
      <c r="C3463" s="300" t="s">
        <v>18</v>
      </c>
      <c r="D3463" s="300"/>
      <c r="E3463" s="300"/>
      <c r="F3463" s="300"/>
      <c r="G3463" s="301"/>
    </row>
    <row r="3464" spans="2:16" x14ac:dyDescent="0.4">
      <c r="B3464" s="114" t="s">
        <v>6</v>
      </c>
      <c r="C3464" s="302" t="s">
        <v>1</v>
      </c>
      <c r="D3464" s="303"/>
      <c r="E3464" s="126"/>
      <c r="F3464" s="120" t="s">
        <v>2</v>
      </c>
      <c r="G3464" s="114" t="s">
        <v>3</v>
      </c>
      <c r="H3464" s="106"/>
      <c r="I3464" s="107" t="s">
        <v>7</v>
      </c>
      <c r="J3464" s="136"/>
      <c r="K3464" s="107" t="s">
        <v>8</v>
      </c>
      <c r="L3464" s="115" t="s">
        <v>194</v>
      </c>
    </row>
    <row r="3465" spans="2:16" x14ac:dyDescent="0.4">
      <c r="B3465" s="74"/>
      <c r="C3465" s="304"/>
      <c r="D3465" s="305"/>
      <c r="E3465" s="127"/>
      <c r="F3465" s="72"/>
      <c r="G3465" s="74"/>
      <c r="I3465" s="84">
        <v>0</v>
      </c>
      <c r="K3465" s="84">
        <f>+F3465*I3465</f>
        <v>0</v>
      </c>
      <c r="L3465" s="118">
        <f>E3465*I3465</f>
        <v>0</v>
      </c>
    </row>
    <row r="3466" spans="2:16" x14ac:dyDescent="0.4">
      <c r="B3466" s="74"/>
      <c r="C3466" s="304"/>
      <c r="D3466" s="305"/>
      <c r="E3466" s="127"/>
      <c r="F3466" s="72"/>
      <c r="G3466" s="74"/>
      <c r="I3466" s="84">
        <v>0</v>
      </c>
      <c r="K3466" s="84">
        <f t="shared" ref="K3466:K3467" si="529">+F3466*I3466</f>
        <v>0</v>
      </c>
      <c r="L3466" s="118">
        <f t="shared" ref="L3466:L3467" si="530">E3466*I3466</f>
        <v>0</v>
      </c>
    </row>
    <row r="3467" spans="2:16" x14ac:dyDescent="0.4">
      <c r="B3467" s="74"/>
      <c r="C3467" s="304"/>
      <c r="D3467" s="305"/>
      <c r="E3467" s="127"/>
      <c r="F3467" s="72"/>
      <c r="G3467" s="74"/>
      <c r="I3467" s="84">
        <v>0</v>
      </c>
      <c r="K3467" s="84">
        <f t="shared" si="529"/>
        <v>0</v>
      </c>
      <c r="L3467" s="118">
        <f t="shared" si="530"/>
        <v>0</v>
      </c>
    </row>
    <row r="3468" spans="2:16" ht="17.399999999999999" thickBot="1" x14ac:dyDescent="0.45">
      <c r="L3468" s="118"/>
    </row>
    <row r="3469" spans="2:16" ht="17.399999999999999" thickBot="1" x14ac:dyDescent="0.45">
      <c r="F3469" s="292" t="s">
        <v>19</v>
      </c>
      <c r="G3469" s="293"/>
      <c r="H3469" s="293"/>
      <c r="I3469" s="294"/>
      <c r="K3469" s="229">
        <f>+SUM(K3465:K3467)</f>
        <v>0</v>
      </c>
      <c r="L3469" s="119">
        <f>+SUM(L3464:L3467)</f>
        <v>0</v>
      </c>
    </row>
    <row r="3470" spans="2:16" ht="15" customHeight="1" x14ac:dyDescent="0.4">
      <c r="F3470" s="128"/>
      <c r="G3470" s="129"/>
      <c r="H3470" s="130"/>
      <c r="I3470" s="108"/>
      <c r="K3470" s="230"/>
    </row>
    <row r="3471" spans="2:16" ht="15" customHeight="1" thickBot="1" x14ac:dyDescent="0.45"/>
    <row r="3472" spans="2:16" ht="17.399999999999999" thickBot="1" x14ac:dyDescent="0.45">
      <c r="F3472" s="292" t="s">
        <v>20</v>
      </c>
      <c r="G3472" s="293"/>
      <c r="H3472" s="293"/>
      <c r="I3472" s="294"/>
      <c r="K3472" s="229">
        <f>(+K3443+K3452+K3461+K3469)</f>
        <v>1000</v>
      </c>
      <c r="L3472" s="119">
        <f>(+L3443+L3452+L3461+L3469)</f>
        <v>3390</v>
      </c>
      <c r="N3472" s="131"/>
      <c r="O3472" s="39"/>
      <c r="P3472" s="40"/>
    </row>
    <row r="3473" spans="1:16" ht="7.5" customHeight="1" thickBot="1" x14ac:dyDescent="0.45">
      <c r="N3473" s="131"/>
      <c r="O3473" s="41"/>
      <c r="P3473" s="40"/>
    </row>
    <row r="3474" spans="1:16" ht="17.399999999999999" thickBot="1" x14ac:dyDescent="0.45">
      <c r="F3474" s="292" t="s">
        <v>21</v>
      </c>
      <c r="G3474" s="293"/>
      <c r="H3474" s="293"/>
      <c r="I3474" s="294"/>
      <c r="K3474" s="229">
        <f>K3472*$N$2</f>
        <v>400</v>
      </c>
      <c r="L3474" s="119">
        <f>L3472*$N$2</f>
        <v>1356</v>
      </c>
    </row>
    <row r="3475" spans="1:16" ht="7.5" customHeight="1" thickBot="1" x14ac:dyDescent="0.45"/>
    <row r="3476" spans="1:16" ht="17.399999999999999" thickBot="1" x14ac:dyDescent="0.45">
      <c r="F3476" s="292" t="s">
        <v>22</v>
      </c>
      <c r="G3476" s="293"/>
      <c r="H3476" s="293"/>
      <c r="I3476" s="294"/>
      <c r="K3476" s="229">
        <f>+K3472+K3474</f>
        <v>1400</v>
      </c>
      <c r="L3476" s="119">
        <f>+L3472+L3474</f>
        <v>4746</v>
      </c>
    </row>
    <row r="3477" spans="1:16" ht="17.399999999999999" thickBot="1" x14ac:dyDescent="0.45">
      <c r="F3477" s="128"/>
      <c r="G3477" s="129"/>
      <c r="H3477" s="130"/>
      <c r="I3477" s="108"/>
      <c r="K3477" s="231"/>
      <c r="L3477" s="132">
        <f>L3476/I3429</f>
        <v>1400</v>
      </c>
      <c r="M3477" s="133">
        <f>(K3476-L3477)*I3429</f>
        <v>0</v>
      </c>
    </row>
    <row r="3478" spans="1:16" x14ac:dyDescent="0.4">
      <c r="F3478" s="128"/>
      <c r="G3478" s="129"/>
      <c r="H3478" s="130"/>
      <c r="I3478" s="108"/>
      <c r="K3478" s="232"/>
      <c r="L3478" s="131"/>
      <c r="M3478" s="134"/>
      <c r="N3478" s="135"/>
    </row>
    <row r="3479" spans="1:16" ht="17.399999999999999" thickBot="1" x14ac:dyDescent="0.45">
      <c r="B3479" s="295"/>
      <c r="C3479" s="295"/>
      <c r="D3479" s="295"/>
    </row>
    <row r="3480" spans="1:16" x14ac:dyDescent="0.4">
      <c r="B3480" s="296" t="s">
        <v>23</v>
      </c>
      <c r="C3480" s="296"/>
      <c r="D3480" s="296"/>
    </row>
    <row r="3481" spans="1:16" x14ac:dyDescent="0.4">
      <c r="B3481" s="157"/>
      <c r="C3481" s="157"/>
      <c r="D3481" s="157"/>
    </row>
    <row r="3483" spans="1:16" x14ac:dyDescent="0.4">
      <c r="B3483" s="105" t="s">
        <v>43</v>
      </c>
      <c r="C3483" s="106"/>
      <c r="D3483" s="311" t="s">
        <v>1</v>
      </c>
      <c r="E3483" s="311"/>
      <c r="F3483" s="311"/>
      <c r="G3483" s="311"/>
      <c r="H3483" s="106"/>
      <c r="I3483" s="107" t="s">
        <v>2</v>
      </c>
      <c r="J3483" s="136"/>
      <c r="K3483" s="107" t="s">
        <v>3</v>
      </c>
    </row>
    <row r="3484" spans="1:16" s="4" customFormat="1" ht="30.75" customHeight="1" x14ac:dyDescent="0.3">
      <c r="A3484" s="31"/>
      <c r="B3484" s="213">
        <f>CATALOGO!B88</f>
        <v>1304.0139999999999</v>
      </c>
      <c r="C3484" s="71"/>
      <c r="D3484" s="324" t="str">
        <f>CATALOGO!C88</f>
        <v>MUEBLE FIJO + LAVATRASTOS DE ACERO INOXIDABLE</v>
      </c>
      <c r="E3484" s="324"/>
      <c r="F3484" s="324"/>
      <c r="G3484" s="324"/>
      <c r="H3484" s="71"/>
      <c r="I3484" s="213">
        <f>CATALOGO!D88</f>
        <v>1</v>
      </c>
      <c r="J3484" s="109"/>
      <c r="K3484" s="227" t="str">
        <f>CATALOGO!E88</f>
        <v>Unidad</v>
      </c>
      <c r="L3484" s="71"/>
      <c r="M3484" s="71"/>
      <c r="N3484" s="104"/>
      <c r="O3484" s="37"/>
      <c r="P3484" s="37"/>
    </row>
    <row r="3485" spans="1:16" ht="17.399999999999999" thickBot="1" x14ac:dyDescent="0.45"/>
    <row r="3486" spans="1:16" ht="17.399999999999999" thickBot="1" x14ac:dyDescent="0.45">
      <c r="B3486" s="110" t="s">
        <v>4</v>
      </c>
      <c r="C3486" s="300" t="s">
        <v>5</v>
      </c>
      <c r="D3486" s="300"/>
      <c r="E3486" s="300"/>
      <c r="F3486" s="300"/>
      <c r="G3486" s="301"/>
    </row>
    <row r="3487" spans="1:16" x14ac:dyDescent="0.3">
      <c r="B3487" s="111" t="s">
        <v>6</v>
      </c>
      <c r="C3487" s="313" t="s">
        <v>1</v>
      </c>
      <c r="D3487" s="314"/>
      <c r="E3487" s="112" t="s">
        <v>193</v>
      </c>
      <c r="F3487" s="113" t="s">
        <v>2</v>
      </c>
      <c r="G3487" s="114" t="s">
        <v>3</v>
      </c>
      <c r="H3487" s="106"/>
      <c r="I3487" s="107" t="s">
        <v>7</v>
      </c>
      <c r="J3487" s="136"/>
      <c r="K3487" s="228" t="s">
        <v>8</v>
      </c>
      <c r="L3487" s="115" t="s">
        <v>194</v>
      </c>
      <c r="O3487" s="323"/>
      <c r="P3487" s="323"/>
    </row>
    <row r="3488" spans="1:16" ht="17.25" customHeight="1" x14ac:dyDescent="0.3">
      <c r="B3488" s="151">
        <v>1</v>
      </c>
      <c r="C3488" s="327" t="s">
        <v>470</v>
      </c>
      <c r="D3488" s="328"/>
      <c r="E3488" s="152">
        <v>4</v>
      </c>
      <c r="F3488" s="83">
        <f>ROUND(E3488/I3484,1)</f>
        <v>4</v>
      </c>
      <c r="G3488" s="74" t="str">
        <f>IF(C3488=0,0,VLOOKUP(C3488,Tabla1[],2,FALSE))</f>
        <v>m²</v>
      </c>
      <c r="I3488" s="117">
        <f>IF(C3488=0,0,VLOOKUP(C3488,Tabla1[],3,FALSE))</f>
        <v>120</v>
      </c>
      <c r="K3488" s="84">
        <f>F3488*I3488</f>
        <v>480</v>
      </c>
      <c r="L3488" s="118">
        <f t="shared" ref="L3488:L3496" si="531">E3488*I3488</f>
        <v>480</v>
      </c>
      <c r="O3488" s="44"/>
      <c r="P3488" s="45"/>
    </row>
    <row r="3489" spans="2:16" ht="17.25" customHeight="1" x14ac:dyDescent="0.3">
      <c r="B3489" s="151">
        <v>2</v>
      </c>
      <c r="C3489" s="327" t="s">
        <v>212</v>
      </c>
      <c r="D3489" s="328"/>
      <c r="E3489" s="152">
        <v>50</v>
      </c>
      <c r="F3489" s="83">
        <f>ROUND(E3489/I3484,1)</f>
        <v>50</v>
      </c>
      <c r="G3489" s="74" t="str">
        <f>IF(C3489=0,0,VLOOKUP(C3489,Tabla1[],2,FALSE))</f>
        <v>Unidad</v>
      </c>
      <c r="I3489" s="117">
        <f>IF(C3489=0,0,VLOOKUP(C3489,Tabla1[],3,FALSE))</f>
        <v>7</v>
      </c>
      <c r="K3489" s="84">
        <f>F3489*I3489</f>
        <v>350</v>
      </c>
      <c r="L3489" s="118">
        <f t="shared" si="531"/>
        <v>350</v>
      </c>
      <c r="O3489" s="44"/>
      <c r="P3489" s="45"/>
    </row>
    <row r="3490" spans="2:16" ht="16.5" customHeight="1" x14ac:dyDescent="0.3">
      <c r="B3490" s="151">
        <v>3</v>
      </c>
      <c r="C3490" s="327" t="s">
        <v>169</v>
      </c>
      <c r="D3490" s="328"/>
      <c r="E3490" s="152">
        <v>6</v>
      </c>
      <c r="F3490" s="83">
        <f>ROUND(E3490/I3484,1)</f>
        <v>6</v>
      </c>
      <c r="G3490" s="74" t="str">
        <f>IF(C3490=0,0,VLOOKUP(C3490,Tabla1[],2,FALSE))</f>
        <v>Varilla</v>
      </c>
      <c r="I3490" s="117">
        <f>IF(C3490=0,0,VLOOKUP(C3490,Tabla1[],3,FALSE))</f>
        <v>40</v>
      </c>
      <c r="K3490" s="84">
        <f t="shared" ref="K3490:K3496" si="532">+F3490*I3490</f>
        <v>240</v>
      </c>
      <c r="L3490" s="118">
        <f t="shared" si="531"/>
        <v>240</v>
      </c>
      <c r="O3490" s="44"/>
      <c r="P3490" s="46"/>
    </row>
    <row r="3491" spans="2:16" ht="16.5" customHeight="1" x14ac:dyDescent="0.3">
      <c r="B3491" s="151">
        <v>4</v>
      </c>
      <c r="C3491" s="327" t="s">
        <v>214</v>
      </c>
      <c r="D3491" s="328"/>
      <c r="E3491" s="152">
        <v>4</v>
      </c>
      <c r="F3491" s="83">
        <f>ROUND(E3491/I3484,1)</f>
        <v>4</v>
      </c>
      <c r="G3491" s="74" t="str">
        <f>IF(C3491=0,0,VLOOKUP(C3491,Tabla1[],2,FALSE))</f>
        <v>Saco</v>
      </c>
      <c r="I3491" s="117">
        <f>IF(C3491=0,0,VLOOKUP(C3491,Tabla1[],3,FALSE))</f>
        <v>80</v>
      </c>
      <c r="K3491" s="84">
        <f t="shared" si="532"/>
        <v>320</v>
      </c>
      <c r="L3491" s="118">
        <f t="shared" si="531"/>
        <v>320</v>
      </c>
      <c r="O3491" s="44"/>
      <c r="P3491" s="46"/>
    </row>
    <row r="3492" spans="2:16" ht="16.5" customHeight="1" x14ac:dyDescent="0.3">
      <c r="B3492" s="151">
        <v>5</v>
      </c>
      <c r="C3492" s="327" t="s">
        <v>73</v>
      </c>
      <c r="D3492" s="328"/>
      <c r="E3492" s="152">
        <v>0.16</v>
      </c>
      <c r="F3492" s="83">
        <f>ROUND(E3492/I3484,1)</f>
        <v>0.2</v>
      </c>
      <c r="G3492" s="74" t="str">
        <f>IF(C3492=0,0,VLOOKUP(C3492,Tabla1[],2,FALSE))</f>
        <v>m³</v>
      </c>
      <c r="I3492" s="117">
        <f>IF(C3492=0,0,VLOOKUP(C3492,Tabla1[],3,FALSE))</f>
        <v>250</v>
      </c>
      <c r="K3492" s="84">
        <f t="shared" si="532"/>
        <v>50</v>
      </c>
      <c r="L3492" s="118">
        <f t="shared" si="531"/>
        <v>40</v>
      </c>
      <c r="O3492" s="44"/>
      <c r="P3492" s="46"/>
    </row>
    <row r="3493" spans="2:16" ht="16.5" customHeight="1" x14ac:dyDescent="0.3">
      <c r="B3493" s="151">
        <v>6</v>
      </c>
      <c r="C3493" s="327" t="s">
        <v>230</v>
      </c>
      <c r="D3493" s="328"/>
      <c r="E3493" s="152">
        <v>0.14000000000000001</v>
      </c>
      <c r="F3493" s="83">
        <f>ROUND(E3493/I3484,1)</f>
        <v>0.1</v>
      </c>
      <c r="G3493" s="74" t="str">
        <f>IF(C3493=0,0,VLOOKUP(C3493,Tabla1[],2,FALSE))</f>
        <v>m³</v>
      </c>
      <c r="I3493" s="117">
        <f>IF(C3493=0,0,VLOOKUP(C3493,Tabla1[],3,FALSE))</f>
        <v>250</v>
      </c>
      <c r="K3493" s="84">
        <f t="shared" si="532"/>
        <v>25</v>
      </c>
      <c r="L3493" s="118">
        <f t="shared" si="531"/>
        <v>35</v>
      </c>
      <c r="O3493" s="44"/>
      <c r="P3493" s="46"/>
    </row>
    <row r="3494" spans="2:16" x14ac:dyDescent="0.3">
      <c r="B3494" s="151">
        <v>7</v>
      </c>
      <c r="C3494" s="327" t="s">
        <v>64</v>
      </c>
      <c r="D3494" s="328"/>
      <c r="E3494" s="152">
        <v>0.5</v>
      </c>
      <c r="F3494" s="83">
        <f>ROUND(E3494/I3484,1)</f>
        <v>0.5</v>
      </c>
      <c r="G3494" s="74" t="str">
        <f>IF(C3494=0,0,VLOOKUP(C3494,Tabla1[],2,FALSE))</f>
        <v>Galón</v>
      </c>
      <c r="I3494" s="117">
        <f>IF(C3494=0,0,VLOOKUP(C3494,Tabla1[],3,FALSE))</f>
        <v>200</v>
      </c>
      <c r="K3494" s="84">
        <f t="shared" si="532"/>
        <v>100</v>
      </c>
      <c r="L3494" s="118">
        <f t="shared" si="531"/>
        <v>100</v>
      </c>
      <c r="O3494" s="44"/>
      <c r="P3494" s="46"/>
    </row>
    <row r="3495" spans="2:16" ht="16.5" customHeight="1" x14ac:dyDescent="0.3">
      <c r="B3495" s="151">
        <v>8</v>
      </c>
      <c r="C3495" s="327" t="s">
        <v>94</v>
      </c>
      <c r="D3495" s="328"/>
      <c r="E3495" s="152">
        <v>1</v>
      </c>
      <c r="F3495" s="83">
        <f>ROUND(E3495/I3484,1)</f>
        <v>1</v>
      </c>
      <c r="G3495" s="74" t="str">
        <f>IF(C3495=0,0,VLOOKUP(C3495,Tabla1[],2,FALSE))</f>
        <v>Unidad</v>
      </c>
      <c r="I3495" s="117">
        <f>IF(C3495=0,0,VLOOKUP(C3495,Tabla1[],3,FALSE))</f>
        <v>2000</v>
      </c>
      <c r="K3495" s="84">
        <f t="shared" si="532"/>
        <v>2000</v>
      </c>
      <c r="L3495" s="118">
        <f t="shared" si="531"/>
        <v>2000</v>
      </c>
      <c r="O3495" s="44"/>
      <c r="P3495" s="45"/>
    </row>
    <row r="3496" spans="2:16" x14ac:dyDescent="0.4">
      <c r="B3496" s="151">
        <v>9</v>
      </c>
      <c r="C3496" s="327" t="s">
        <v>274</v>
      </c>
      <c r="D3496" s="328"/>
      <c r="E3496" s="152">
        <v>3</v>
      </c>
      <c r="F3496" s="83">
        <f>ROUND(E3496/I3484,1)</f>
        <v>3</v>
      </c>
      <c r="G3496" s="74" t="str">
        <f>IF(C3496=0,0,VLOOKUP(C3496,Tabla1[],2,FALSE))</f>
        <v>Unidad</v>
      </c>
      <c r="I3496" s="117">
        <f>IF(C3496=0,0,VLOOKUP(C3496,Tabla1[],3,FALSE))</f>
        <v>500</v>
      </c>
      <c r="K3496" s="84">
        <f t="shared" si="532"/>
        <v>1500</v>
      </c>
      <c r="L3496" s="118">
        <f t="shared" si="531"/>
        <v>1500</v>
      </c>
      <c r="P3496" s="45"/>
    </row>
    <row r="3497" spans="2:16" ht="17.399999999999999" thickBot="1" x14ac:dyDescent="0.45"/>
    <row r="3498" spans="2:16" ht="17.399999999999999" thickBot="1" x14ac:dyDescent="0.35">
      <c r="F3498" s="292" t="s">
        <v>9</v>
      </c>
      <c r="G3498" s="293"/>
      <c r="H3498" s="293"/>
      <c r="I3498" s="294"/>
      <c r="K3498" s="229">
        <f>+SUM(K3488:K3496)</f>
        <v>5065</v>
      </c>
      <c r="L3498" s="119">
        <f>+SUM(L3488:L3496)</f>
        <v>5065</v>
      </c>
      <c r="O3498" s="38"/>
      <c r="P3498" s="38"/>
    </row>
    <row r="3499" spans="2:16" ht="17.399999999999999" thickBot="1" x14ac:dyDescent="0.45">
      <c r="O3499" s="42"/>
      <c r="P3499" s="43"/>
    </row>
    <row r="3500" spans="2:16" ht="17.399999999999999" thickBot="1" x14ac:dyDescent="0.45">
      <c r="B3500" s="110" t="s">
        <v>10</v>
      </c>
      <c r="C3500" s="300" t="s">
        <v>11</v>
      </c>
      <c r="D3500" s="300"/>
      <c r="E3500" s="300"/>
      <c r="F3500" s="300"/>
      <c r="G3500" s="301"/>
    </row>
    <row r="3501" spans="2:16" x14ac:dyDescent="0.4">
      <c r="B3501" s="114" t="s">
        <v>6</v>
      </c>
      <c r="C3501" s="302" t="s">
        <v>1</v>
      </c>
      <c r="D3501" s="303"/>
      <c r="E3501" s="112" t="s">
        <v>193</v>
      </c>
      <c r="F3501" s="120" t="s">
        <v>2</v>
      </c>
      <c r="G3501" s="114" t="s">
        <v>3</v>
      </c>
      <c r="H3501" s="106"/>
      <c r="I3501" s="107" t="s">
        <v>7</v>
      </c>
      <c r="J3501" s="136"/>
      <c r="K3501" s="107" t="s">
        <v>8</v>
      </c>
      <c r="L3501" s="115" t="s">
        <v>194</v>
      </c>
    </row>
    <row r="3502" spans="2:16" x14ac:dyDescent="0.4">
      <c r="B3502" s="122"/>
      <c r="C3502" s="306"/>
      <c r="D3502" s="306"/>
      <c r="E3502" s="116"/>
      <c r="F3502" s="83"/>
      <c r="G3502" s="74"/>
      <c r="I3502" s="117">
        <f>IF(C3502=0,0,VLOOKUP(C3502,Tabla3[],3,FALSE))</f>
        <v>0</v>
      </c>
      <c r="K3502" s="84">
        <f>F3502*I3502</f>
        <v>0</v>
      </c>
      <c r="L3502" s="118">
        <f>E3502*I3502</f>
        <v>0</v>
      </c>
    </row>
    <row r="3503" spans="2:16" x14ac:dyDescent="0.4">
      <c r="B3503" s="74"/>
      <c r="C3503" s="309"/>
      <c r="D3503" s="310"/>
      <c r="E3503" s="121"/>
      <c r="F3503" s="72"/>
      <c r="G3503" s="74"/>
      <c r="I3503" s="117">
        <f>IF(C3503=0,0,VLOOKUP(C3503,Tabla3[],3,FALSE))</f>
        <v>0</v>
      </c>
      <c r="K3503" s="84">
        <f t="shared" ref="K3503:K3505" si="533">+F3503*I3503</f>
        <v>0</v>
      </c>
      <c r="L3503" s="118">
        <f t="shared" ref="L3503:L3505" si="534">E3503*I3503</f>
        <v>0</v>
      </c>
    </row>
    <row r="3504" spans="2:16" x14ac:dyDescent="0.4">
      <c r="B3504" s="74"/>
      <c r="C3504" s="309"/>
      <c r="D3504" s="310"/>
      <c r="E3504" s="121"/>
      <c r="F3504" s="72"/>
      <c r="G3504" s="74"/>
      <c r="I3504" s="117">
        <f>IF(C3504=0,0,VLOOKUP(C3504,Tabla3[],3,FALSE))</f>
        <v>0</v>
      </c>
      <c r="K3504" s="84">
        <f t="shared" si="533"/>
        <v>0</v>
      </c>
      <c r="L3504" s="118">
        <f t="shared" si="534"/>
        <v>0</v>
      </c>
    </row>
    <row r="3505" spans="2:12" x14ac:dyDescent="0.4">
      <c r="B3505" s="74"/>
      <c r="C3505" s="304"/>
      <c r="D3505" s="305"/>
      <c r="E3505" s="121"/>
      <c r="F3505" s="72"/>
      <c r="G3505" s="74"/>
      <c r="I3505" s="117">
        <f>IF(C3505=0,0,VLOOKUP(C3505,Tabla3[],3,FALSE))</f>
        <v>0</v>
      </c>
      <c r="K3505" s="84">
        <f t="shared" si="533"/>
        <v>0</v>
      </c>
      <c r="L3505" s="118">
        <f t="shared" si="534"/>
        <v>0</v>
      </c>
    </row>
    <row r="3506" spans="2:12" ht="17.399999999999999" thickBot="1" x14ac:dyDescent="0.45"/>
    <row r="3507" spans="2:12" ht="17.399999999999999" thickBot="1" x14ac:dyDescent="0.45">
      <c r="F3507" s="292" t="s">
        <v>12</v>
      </c>
      <c r="G3507" s="293"/>
      <c r="H3507" s="293"/>
      <c r="I3507" s="294"/>
      <c r="K3507" s="229">
        <f>+SUM(K3502:K3505)</f>
        <v>0</v>
      </c>
      <c r="L3507" s="119">
        <f>+SUM(L3502:L3505)</f>
        <v>0</v>
      </c>
    </row>
    <row r="3508" spans="2:12" ht="17.399999999999999" thickBot="1" x14ac:dyDescent="0.45"/>
    <row r="3509" spans="2:12" ht="17.399999999999999" thickBot="1" x14ac:dyDescent="0.45">
      <c r="B3509" s="110" t="s">
        <v>13</v>
      </c>
      <c r="C3509" s="300" t="s">
        <v>14</v>
      </c>
      <c r="D3509" s="300"/>
      <c r="E3509" s="300"/>
      <c r="F3509" s="300"/>
      <c r="G3509" s="301"/>
    </row>
    <row r="3510" spans="2:12" x14ac:dyDescent="0.4">
      <c r="B3510" s="114" t="s">
        <v>6</v>
      </c>
      <c r="C3510" s="302" t="s">
        <v>1</v>
      </c>
      <c r="D3510" s="303"/>
      <c r="E3510" s="112" t="s">
        <v>193</v>
      </c>
      <c r="F3510" s="120" t="s">
        <v>2</v>
      </c>
      <c r="G3510" s="114" t="s">
        <v>3</v>
      </c>
      <c r="H3510" s="106"/>
      <c r="I3510" s="107" t="s">
        <v>7</v>
      </c>
      <c r="J3510" s="136"/>
      <c r="K3510" s="107" t="s">
        <v>8</v>
      </c>
      <c r="L3510" s="115" t="s">
        <v>194</v>
      </c>
    </row>
    <row r="3511" spans="2:12" x14ac:dyDescent="0.4">
      <c r="B3511" s="122">
        <v>1</v>
      </c>
      <c r="C3511" s="306" t="s">
        <v>273</v>
      </c>
      <c r="D3511" s="306"/>
      <c r="E3511" s="116">
        <f>I3484</f>
        <v>1</v>
      </c>
      <c r="F3511" s="83">
        <f>ROUND(E3511/I3484,2)</f>
        <v>1</v>
      </c>
      <c r="G3511" s="74" t="str">
        <f>IF(C3511=0,0,VLOOKUP(C3511,Tabla2[],2,FALSE))</f>
        <v>Unidad</v>
      </c>
      <c r="I3511" s="117">
        <f>IF(C3511=0,0,VLOOKUP(C3511,Tabla2[],3,FALSE))</f>
        <v>500</v>
      </c>
      <c r="K3511" s="84">
        <f>+F3511*I3511</f>
        <v>500</v>
      </c>
      <c r="L3511" s="118">
        <f>E3511*I3511</f>
        <v>500</v>
      </c>
    </row>
    <row r="3512" spans="2:12" x14ac:dyDescent="0.4">
      <c r="B3512" s="122"/>
      <c r="C3512" s="306"/>
      <c r="D3512" s="306"/>
      <c r="E3512" s="116"/>
      <c r="F3512" s="83"/>
      <c r="G3512" s="74"/>
      <c r="I3512" s="117">
        <f>IF(C3512=0,0,VLOOKUP(C3512,Tabla2[],3,FALSE))</f>
        <v>0</v>
      </c>
      <c r="K3512" s="84">
        <f>+F3512*I3512</f>
        <v>0</v>
      </c>
      <c r="L3512" s="118">
        <f>E3512*I3512</f>
        <v>0</v>
      </c>
    </row>
    <row r="3513" spans="2:12" ht="17.399999999999999" thickBot="1" x14ac:dyDescent="0.45">
      <c r="B3513" s="123"/>
      <c r="C3513" s="307"/>
      <c r="D3513" s="308"/>
      <c r="E3513" s="124"/>
      <c r="F3513" s="125"/>
      <c r="G3513" s="74"/>
      <c r="I3513" s="117">
        <f>IF(C3513=0,0,VLOOKUP(C3513,Tabla2[],3,FALSE))</f>
        <v>0</v>
      </c>
      <c r="K3513" s="84">
        <f t="shared" ref="K3513" si="535">+F3513*I3513</f>
        <v>0</v>
      </c>
      <c r="L3513" s="118">
        <f t="shared" ref="L3513:L3514" si="536">E3513*I3513</f>
        <v>0</v>
      </c>
    </row>
    <row r="3514" spans="2:12" ht="17.399999999999999" thickBot="1" x14ac:dyDescent="0.45">
      <c r="B3514" s="297" t="s">
        <v>15</v>
      </c>
      <c r="C3514" s="298"/>
      <c r="D3514" s="298"/>
      <c r="E3514" s="298"/>
      <c r="F3514" s="298"/>
      <c r="G3514" s="299"/>
      <c r="I3514" s="84">
        <v>0</v>
      </c>
      <c r="K3514" s="84">
        <v>0</v>
      </c>
      <c r="L3514" s="118">
        <f t="shared" si="536"/>
        <v>0</v>
      </c>
    </row>
    <row r="3515" spans="2:12" ht="17.399999999999999" thickBot="1" x14ac:dyDescent="0.45"/>
    <row r="3516" spans="2:12" ht="17.399999999999999" thickBot="1" x14ac:dyDescent="0.45">
      <c r="F3516" s="292" t="s">
        <v>16</v>
      </c>
      <c r="G3516" s="293"/>
      <c r="H3516" s="293"/>
      <c r="I3516" s="294"/>
      <c r="K3516" s="229">
        <f>+SUM(K3511:K3514)</f>
        <v>500</v>
      </c>
      <c r="L3516" s="119">
        <f>+SUM(L3511:L3514)</f>
        <v>500</v>
      </c>
    </row>
    <row r="3517" spans="2:12" ht="17.399999999999999" thickBot="1" x14ac:dyDescent="0.45"/>
    <row r="3518" spans="2:12" ht="17.399999999999999" thickBot="1" x14ac:dyDescent="0.45">
      <c r="B3518" s="110" t="s">
        <v>17</v>
      </c>
      <c r="C3518" s="300" t="s">
        <v>18</v>
      </c>
      <c r="D3518" s="300"/>
      <c r="E3518" s="300"/>
      <c r="F3518" s="300"/>
      <c r="G3518" s="301"/>
    </row>
    <row r="3519" spans="2:12" x14ac:dyDescent="0.4">
      <c r="B3519" s="114" t="s">
        <v>6</v>
      </c>
      <c r="C3519" s="302" t="s">
        <v>1</v>
      </c>
      <c r="D3519" s="303"/>
      <c r="E3519" s="126"/>
      <c r="F3519" s="120" t="s">
        <v>2</v>
      </c>
      <c r="G3519" s="114" t="s">
        <v>3</v>
      </c>
      <c r="H3519" s="106"/>
      <c r="I3519" s="107" t="s">
        <v>7</v>
      </c>
      <c r="J3519" s="136"/>
      <c r="K3519" s="107" t="s">
        <v>8</v>
      </c>
      <c r="L3519" s="115" t="s">
        <v>194</v>
      </c>
    </row>
    <row r="3520" spans="2:12" x14ac:dyDescent="0.4">
      <c r="B3520" s="74"/>
      <c r="C3520" s="304"/>
      <c r="D3520" s="305"/>
      <c r="E3520" s="127"/>
      <c r="F3520" s="72"/>
      <c r="G3520" s="74"/>
      <c r="I3520" s="84">
        <v>0</v>
      </c>
      <c r="K3520" s="84">
        <f>+F3520*I3520</f>
        <v>0</v>
      </c>
      <c r="L3520" s="118">
        <f>E3520*I3520</f>
        <v>0</v>
      </c>
    </row>
    <row r="3521" spans="2:16" x14ac:dyDescent="0.4">
      <c r="B3521" s="74"/>
      <c r="C3521" s="304"/>
      <c r="D3521" s="305"/>
      <c r="E3521" s="127"/>
      <c r="F3521" s="72"/>
      <c r="G3521" s="74"/>
      <c r="I3521" s="84">
        <v>0</v>
      </c>
      <c r="K3521" s="84">
        <f t="shared" ref="K3521:K3522" si="537">+F3521*I3521</f>
        <v>0</v>
      </c>
      <c r="L3521" s="118">
        <f t="shared" ref="L3521:L3522" si="538">E3521*I3521</f>
        <v>0</v>
      </c>
    </row>
    <row r="3522" spans="2:16" x14ac:dyDescent="0.4">
      <c r="B3522" s="74"/>
      <c r="C3522" s="304"/>
      <c r="D3522" s="305"/>
      <c r="E3522" s="127"/>
      <c r="F3522" s="72"/>
      <c r="G3522" s="74"/>
      <c r="I3522" s="84">
        <v>0</v>
      </c>
      <c r="K3522" s="84">
        <f t="shared" si="537"/>
        <v>0</v>
      </c>
      <c r="L3522" s="118">
        <f t="shared" si="538"/>
        <v>0</v>
      </c>
    </row>
    <row r="3523" spans="2:16" ht="17.399999999999999" thickBot="1" x14ac:dyDescent="0.45">
      <c r="L3523" s="118"/>
    </row>
    <row r="3524" spans="2:16" ht="17.399999999999999" thickBot="1" x14ac:dyDescent="0.45">
      <c r="F3524" s="292" t="s">
        <v>19</v>
      </c>
      <c r="G3524" s="293"/>
      <c r="H3524" s="293"/>
      <c r="I3524" s="294"/>
      <c r="K3524" s="229">
        <f>+SUM(K3520:K3522)</f>
        <v>0</v>
      </c>
      <c r="L3524" s="119">
        <f>+SUM(L3519:L3522)</f>
        <v>0</v>
      </c>
    </row>
    <row r="3525" spans="2:16" ht="15" customHeight="1" x14ac:dyDescent="0.4">
      <c r="F3525" s="128"/>
      <c r="G3525" s="129"/>
      <c r="H3525" s="130"/>
      <c r="I3525" s="108"/>
      <c r="K3525" s="230"/>
    </row>
    <row r="3526" spans="2:16" ht="15" customHeight="1" thickBot="1" x14ac:dyDescent="0.45"/>
    <row r="3527" spans="2:16" ht="17.399999999999999" thickBot="1" x14ac:dyDescent="0.45">
      <c r="F3527" s="292" t="s">
        <v>20</v>
      </c>
      <c r="G3527" s="293"/>
      <c r="H3527" s="293"/>
      <c r="I3527" s="294"/>
      <c r="K3527" s="229">
        <f>(+K3498+K3507+K3516+K3524)</f>
        <v>5565</v>
      </c>
      <c r="L3527" s="119">
        <f>(+L3498+L3507+L3516+L3524)</f>
        <v>5565</v>
      </c>
      <c r="N3527" s="131"/>
      <c r="O3527" s="39"/>
      <c r="P3527" s="40"/>
    </row>
    <row r="3528" spans="2:16" ht="7.5" customHeight="1" thickBot="1" x14ac:dyDescent="0.45">
      <c r="N3528" s="131"/>
      <c r="O3528" s="41"/>
      <c r="P3528" s="40"/>
    </row>
    <row r="3529" spans="2:16" ht="17.399999999999999" thickBot="1" x14ac:dyDescent="0.45">
      <c r="F3529" s="292" t="s">
        <v>21</v>
      </c>
      <c r="G3529" s="293"/>
      <c r="H3529" s="293"/>
      <c r="I3529" s="294"/>
      <c r="K3529" s="229">
        <f>K3527*$N$2</f>
        <v>2226</v>
      </c>
      <c r="L3529" s="119">
        <f>L3527*$N$2</f>
        <v>2226</v>
      </c>
    </row>
    <row r="3530" spans="2:16" ht="7.5" customHeight="1" thickBot="1" x14ac:dyDescent="0.45"/>
    <row r="3531" spans="2:16" ht="17.399999999999999" thickBot="1" x14ac:dyDescent="0.45">
      <c r="F3531" s="292" t="s">
        <v>22</v>
      </c>
      <c r="G3531" s="293"/>
      <c r="H3531" s="293"/>
      <c r="I3531" s="294"/>
      <c r="K3531" s="229">
        <f>+K3527+K3529</f>
        <v>7791</v>
      </c>
      <c r="L3531" s="119">
        <f>+L3527+L3529</f>
        <v>7791</v>
      </c>
    </row>
    <row r="3532" spans="2:16" ht="17.399999999999999" thickBot="1" x14ac:dyDescent="0.45">
      <c r="F3532" s="128"/>
      <c r="G3532" s="129"/>
      <c r="H3532" s="130"/>
      <c r="I3532" s="108"/>
      <c r="K3532" s="231"/>
      <c r="L3532" s="132">
        <f>L3531/I3484</f>
        <v>7791</v>
      </c>
      <c r="M3532" s="133">
        <f>(K3531-L3532)*I3484</f>
        <v>0</v>
      </c>
    </row>
    <row r="3533" spans="2:16" x14ac:dyDescent="0.4">
      <c r="F3533" s="128"/>
      <c r="G3533" s="129"/>
      <c r="H3533" s="130"/>
      <c r="I3533" s="108"/>
      <c r="K3533" s="232"/>
      <c r="L3533" s="131"/>
      <c r="M3533" s="134"/>
      <c r="N3533" s="135"/>
    </row>
    <row r="3534" spans="2:16" ht="17.399999999999999" thickBot="1" x14ac:dyDescent="0.45">
      <c r="B3534" s="295"/>
      <c r="C3534" s="295"/>
      <c r="D3534" s="295"/>
    </row>
    <row r="3535" spans="2:16" x14ac:dyDescent="0.4">
      <c r="B3535" s="296" t="s">
        <v>23</v>
      </c>
      <c r="C3535" s="296"/>
      <c r="D3535" s="296"/>
    </row>
    <row r="3536" spans="2:16" x14ac:dyDescent="0.4">
      <c r="B3536" s="157"/>
      <c r="C3536" s="157"/>
      <c r="D3536" s="157"/>
    </row>
    <row r="3538" spans="1:16" x14ac:dyDescent="0.4">
      <c r="B3538" s="105" t="s">
        <v>43</v>
      </c>
      <c r="C3538" s="106"/>
      <c r="D3538" s="311" t="s">
        <v>1</v>
      </c>
      <c r="E3538" s="311"/>
      <c r="F3538" s="311"/>
      <c r="G3538" s="311"/>
      <c r="H3538" s="106"/>
      <c r="I3538" s="107" t="s">
        <v>2</v>
      </c>
      <c r="J3538" s="136"/>
      <c r="K3538" s="107" t="s">
        <v>3</v>
      </c>
    </row>
    <row r="3539" spans="1:16" s="4" customFormat="1" ht="30.75" customHeight="1" x14ac:dyDescent="0.3">
      <c r="A3539" s="31"/>
      <c r="B3539" s="213">
        <f>CATALOGO!B90</f>
        <v>1410.05</v>
      </c>
      <c r="C3539" s="71"/>
      <c r="D3539" s="324" t="str">
        <f>CATALOGO!C90</f>
        <v>ESTUFA RURAL</v>
      </c>
      <c r="E3539" s="324"/>
      <c r="F3539" s="324"/>
      <c r="G3539" s="324"/>
      <c r="H3539" s="71"/>
      <c r="I3539" s="213">
        <f>CATALOGO!D90</f>
        <v>1</v>
      </c>
      <c r="J3539" s="109"/>
      <c r="K3539" s="227" t="str">
        <f>CATALOGO!E90</f>
        <v>Unidad</v>
      </c>
      <c r="L3539" s="71"/>
      <c r="M3539" s="71"/>
      <c r="N3539" s="104"/>
      <c r="O3539" s="37"/>
      <c r="P3539" s="37"/>
    </row>
    <row r="3540" spans="1:16" ht="17.399999999999999" thickBot="1" x14ac:dyDescent="0.45"/>
    <row r="3541" spans="1:16" ht="17.399999999999999" thickBot="1" x14ac:dyDescent="0.45">
      <c r="B3541" s="110" t="s">
        <v>4</v>
      </c>
      <c r="C3541" s="300" t="s">
        <v>5</v>
      </c>
      <c r="D3541" s="300"/>
      <c r="E3541" s="300"/>
      <c r="F3541" s="300"/>
      <c r="G3541" s="301"/>
    </row>
    <row r="3542" spans="1:16" x14ac:dyDescent="0.3">
      <c r="B3542" s="111" t="s">
        <v>6</v>
      </c>
      <c r="C3542" s="313" t="s">
        <v>1</v>
      </c>
      <c r="D3542" s="314"/>
      <c r="E3542" s="112" t="s">
        <v>193</v>
      </c>
      <c r="F3542" s="113" t="s">
        <v>2</v>
      </c>
      <c r="G3542" s="114" t="s">
        <v>3</v>
      </c>
      <c r="H3542" s="106"/>
      <c r="I3542" s="107" t="s">
        <v>7</v>
      </c>
      <c r="J3542" s="136"/>
      <c r="K3542" s="228" t="s">
        <v>8</v>
      </c>
      <c r="L3542" s="115" t="s">
        <v>194</v>
      </c>
      <c r="O3542" s="323"/>
      <c r="P3542" s="323"/>
    </row>
    <row r="3543" spans="1:16" ht="17.25" customHeight="1" x14ac:dyDescent="0.3">
      <c r="B3543" s="151">
        <v>1</v>
      </c>
      <c r="C3543" s="327" t="s">
        <v>275</v>
      </c>
      <c r="D3543" s="328"/>
      <c r="E3543" s="152">
        <v>10</v>
      </c>
      <c r="F3543" s="83">
        <f>ROUND(E3543/I3539,1)</f>
        <v>10</v>
      </c>
      <c r="G3543" s="74" t="str">
        <f>IF(C3543=0,0,VLOOKUP(C3543,Tabla1[],2,FALSE))</f>
        <v>Unidad</v>
      </c>
      <c r="I3543" s="117">
        <f>IF(C3543=0,0,VLOOKUP(C3543,Tabla1[],3,FALSE))</f>
        <v>8</v>
      </c>
      <c r="K3543" s="84">
        <f>F3543*I3543</f>
        <v>80</v>
      </c>
      <c r="L3543" s="118">
        <f t="shared" ref="L3543:L3551" si="539">E3543*I3543</f>
        <v>80</v>
      </c>
      <c r="O3543" s="44"/>
      <c r="P3543" s="45"/>
    </row>
    <row r="3544" spans="1:16" ht="17.25" customHeight="1" x14ac:dyDescent="0.3">
      <c r="B3544" s="151">
        <v>2</v>
      </c>
      <c r="C3544" s="327" t="s">
        <v>215</v>
      </c>
      <c r="D3544" s="328"/>
      <c r="E3544" s="152">
        <v>1</v>
      </c>
      <c r="F3544" s="83">
        <f>ROUND(E3544/I3539,1)</f>
        <v>1</v>
      </c>
      <c r="G3544" s="74" t="str">
        <f>IF(C3544=0,0,VLOOKUP(C3544,Tabla1[],2,FALSE))</f>
        <v>Bolsa</v>
      </c>
      <c r="I3544" s="117">
        <f>IF(C3544=0,0,VLOOKUP(C3544,Tabla1[],3,FALSE))</f>
        <v>50</v>
      </c>
      <c r="K3544" s="84">
        <f>F3544*I3544</f>
        <v>50</v>
      </c>
      <c r="L3544" s="118">
        <f t="shared" si="539"/>
        <v>50</v>
      </c>
      <c r="O3544" s="44"/>
      <c r="P3544" s="45"/>
    </row>
    <row r="3545" spans="1:16" ht="16.5" customHeight="1" x14ac:dyDescent="0.3">
      <c r="B3545" s="151">
        <v>3</v>
      </c>
      <c r="C3545" s="327" t="s">
        <v>235</v>
      </c>
      <c r="D3545" s="328"/>
      <c r="E3545" s="152">
        <f>I3539*110</f>
        <v>110</v>
      </c>
      <c r="F3545" s="83">
        <f>ROUND(E3545/I3539,1)</f>
        <v>110</v>
      </c>
      <c r="G3545" s="74" t="str">
        <f>IF(C3545=0,0,VLOOKUP(C3545,Tabla1[],2,FALSE))</f>
        <v>Unidad</v>
      </c>
      <c r="I3545" s="117">
        <f>IF(C3545=0,0,VLOOKUP(C3545,Tabla1[],3,FALSE))</f>
        <v>7</v>
      </c>
      <c r="K3545" s="84">
        <f t="shared" ref="K3545:K3551" si="540">+F3545*I3545</f>
        <v>770</v>
      </c>
      <c r="L3545" s="118">
        <f t="shared" si="539"/>
        <v>770</v>
      </c>
      <c r="O3545" s="44"/>
      <c r="P3545" s="46"/>
    </row>
    <row r="3546" spans="1:16" ht="16.5" customHeight="1" x14ac:dyDescent="0.3">
      <c r="B3546" s="151">
        <v>4</v>
      </c>
      <c r="C3546" s="327" t="s">
        <v>214</v>
      </c>
      <c r="D3546" s="328"/>
      <c r="E3546" s="152">
        <v>1</v>
      </c>
      <c r="F3546" s="83">
        <f>ROUND(E3546/I3539,1)</f>
        <v>1</v>
      </c>
      <c r="G3546" s="74" t="str">
        <f>IF(C3546=0,0,VLOOKUP(C3546,Tabla1[],2,FALSE))</f>
        <v>Saco</v>
      </c>
      <c r="I3546" s="117">
        <f>IF(C3546=0,0,VLOOKUP(C3546,Tabla1[],3,FALSE))</f>
        <v>80</v>
      </c>
      <c r="K3546" s="84">
        <f t="shared" si="540"/>
        <v>80</v>
      </c>
      <c r="L3546" s="118">
        <f t="shared" si="539"/>
        <v>80</v>
      </c>
      <c r="O3546" s="44"/>
      <c r="P3546" s="46"/>
    </row>
    <row r="3547" spans="1:16" ht="16.5" customHeight="1" x14ac:dyDescent="0.3">
      <c r="B3547" s="151">
        <v>5</v>
      </c>
      <c r="C3547" s="327" t="s">
        <v>73</v>
      </c>
      <c r="D3547" s="328"/>
      <c r="E3547" s="152">
        <f>I3539*0.02</f>
        <v>0.02</v>
      </c>
      <c r="F3547" s="83">
        <f>ROUND(E3547/I3539,2)</f>
        <v>0.02</v>
      </c>
      <c r="G3547" s="74" t="str">
        <f>IF(C3547=0,0,VLOOKUP(C3547,Tabla1[],2,FALSE))</f>
        <v>m³</v>
      </c>
      <c r="I3547" s="117">
        <f>IF(C3547=0,0,VLOOKUP(C3547,Tabla1[],3,FALSE))</f>
        <v>250</v>
      </c>
      <c r="K3547" s="84">
        <f t="shared" si="540"/>
        <v>5</v>
      </c>
      <c r="L3547" s="118">
        <f t="shared" si="539"/>
        <v>5</v>
      </c>
      <c r="O3547" s="44"/>
      <c r="P3547" s="46"/>
    </row>
    <row r="3548" spans="1:16" ht="16.5" customHeight="1" x14ac:dyDescent="0.3">
      <c r="B3548" s="151">
        <v>6</v>
      </c>
      <c r="C3548" s="327" t="s">
        <v>230</v>
      </c>
      <c r="D3548" s="328"/>
      <c r="E3548" s="152">
        <f>I3539*0.02</f>
        <v>0.02</v>
      </c>
      <c r="F3548" s="83">
        <f>ROUND(E3548/I3539,2)</f>
        <v>0.02</v>
      </c>
      <c r="G3548" s="74" t="str">
        <f>IF(C3548=0,0,VLOOKUP(C3548,Tabla1[],2,FALSE))</f>
        <v>m³</v>
      </c>
      <c r="I3548" s="117">
        <f>IF(C3548=0,0,VLOOKUP(C3548,Tabla1[],3,FALSE))</f>
        <v>250</v>
      </c>
      <c r="K3548" s="84">
        <f t="shared" si="540"/>
        <v>5</v>
      </c>
      <c r="L3548" s="118">
        <f t="shared" si="539"/>
        <v>5</v>
      </c>
      <c r="O3548" s="44"/>
      <c r="P3548" s="46"/>
    </row>
    <row r="3549" spans="1:16" x14ac:dyDescent="0.3">
      <c r="B3549" s="151">
        <v>7</v>
      </c>
      <c r="C3549" s="327" t="s">
        <v>103</v>
      </c>
      <c r="D3549" s="328"/>
      <c r="E3549" s="152">
        <f>I3539</f>
        <v>1</v>
      </c>
      <c r="F3549" s="83">
        <f>ROUND(E3549/I3539,1)</f>
        <v>1</v>
      </c>
      <c r="G3549" s="74" t="str">
        <f>IF(C3549=0,0,VLOOKUP(C3549,Tabla1[],2,FALSE))</f>
        <v>Unidad</v>
      </c>
      <c r="I3549" s="117">
        <f>IF(C3549=0,0,VLOOKUP(C3549,Tabla1[],3,FALSE))</f>
        <v>1730</v>
      </c>
      <c r="K3549" s="84">
        <f t="shared" si="540"/>
        <v>1730</v>
      </c>
      <c r="L3549" s="118">
        <f t="shared" si="539"/>
        <v>1730</v>
      </c>
      <c r="O3549" s="44"/>
      <c r="P3549" s="46"/>
    </row>
    <row r="3550" spans="1:16" ht="16.5" customHeight="1" x14ac:dyDescent="0.3">
      <c r="B3550" s="151"/>
      <c r="C3550" s="327"/>
      <c r="D3550" s="328"/>
      <c r="E3550" s="152"/>
      <c r="F3550" s="83"/>
      <c r="G3550" s="74"/>
      <c r="I3550" s="117">
        <f>IF(C3550=0,0,VLOOKUP(C3550,Tabla1[],3,FALSE))</f>
        <v>0</v>
      </c>
      <c r="K3550" s="84">
        <f t="shared" si="540"/>
        <v>0</v>
      </c>
      <c r="L3550" s="118">
        <f t="shared" si="539"/>
        <v>0</v>
      </c>
      <c r="O3550" s="44"/>
      <c r="P3550" s="45"/>
    </row>
    <row r="3551" spans="1:16" x14ac:dyDescent="0.4">
      <c r="B3551" s="151"/>
      <c r="C3551" s="327"/>
      <c r="D3551" s="328"/>
      <c r="E3551" s="152"/>
      <c r="F3551" s="83"/>
      <c r="G3551" s="74"/>
      <c r="I3551" s="117">
        <f>IF(C3551=0,0,VLOOKUP(C3551,Tabla1[],3,FALSE))</f>
        <v>0</v>
      </c>
      <c r="K3551" s="84">
        <f t="shared" si="540"/>
        <v>0</v>
      </c>
      <c r="L3551" s="118">
        <f t="shared" si="539"/>
        <v>0</v>
      </c>
      <c r="P3551" s="45"/>
    </row>
    <row r="3552" spans="1:16" ht="17.399999999999999" thickBot="1" x14ac:dyDescent="0.45"/>
    <row r="3553" spans="2:16" ht="17.399999999999999" thickBot="1" x14ac:dyDescent="0.35">
      <c r="F3553" s="292" t="s">
        <v>9</v>
      </c>
      <c r="G3553" s="293"/>
      <c r="H3553" s="293"/>
      <c r="I3553" s="294"/>
      <c r="K3553" s="229">
        <f>+SUM(K3543:K3551)</f>
        <v>2720</v>
      </c>
      <c r="L3553" s="119">
        <f>+SUM(L3543:L3551)</f>
        <v>2720</v>
      </c>
      <c r="O3553" s="38"/>
      <c r="P3553" s="38"/>
    </row>
    <row r="3554" spans="2:16" ht="17.399999999999999" thickBot="1" x14ac:dyDescent="0.45">
      <c r="O3554" s="42"/>
      <c r="P3554" s="43"/>
    </row>
    <row r="3555" spans="2:16" ht="17.399999999999999" thickBot="1" x14ac:dyDescent="0.45">
      <c r="B3555" s="110" t="s">
        <v>10</v>
      </c>
      <c r="C3555" s="300" t="s">
        <v>11</v>
      </c>
      <c r="D3555" s="300"/>
      <c r="E3555" s="300"/>
      <c r="F3555" s="300"/>
      <c r="G3555" s="301"/>
    </row>
    <row r="3556" spans="2:16" x14ac:dyDescent="0.4">
      <c r="B3556" s="114" t="s">
        <v>6</v>
      </c>
      <c r="C3556" s="302" t="s">
        <v>1</v>
      </c>
      <c r="D3556" s="303"/>
      <c r="E3556" s="112" t="s">
        <v>193</v>
      </c>
      <c r="F3556" s="120" t="s">
        <v>2</v>
      </c>
      <c r="G3556" s="114" t="s">
        <v>3</v>
      </c>
      <c r="H3556" s="106"/>
      <c r="I3556" s="107" t="s">
        <v>7</v>
      </c>
      <c r="J3556" s="136"/>
      <c r="K3556" s="107" t="s">
        <v>8</v>
      </c>
      <c r="L3556" s="115" t="s">
        <v>194</v>
      </c>
    </row>
    <row r="3557" spans="2:16" x14ac:dyDescent="0.4">
      <c r="B3557" s="122"/>
      <c r="C3557" s="306"/>
      <c r="D3557" s="306"/>
      <c r="E3557" s="116"/>
      <c r="F3557" s="83"/>
      <c r="G3557" s="74"/>
      <c r="I3557" s="117">
        <f>IF(C3557=0,0,VLOOKUP(C3557,Tabla3[],3,FALSE))</f>
        <v>0</v>
      </c>
      <c r="K3557" s="84">
        <f>F3557*I3557</f>
        <v>0</v>
      </c>
      <c r="L3557" s="118">
        <f>E3557*I3557</f>
        <v>0</v>
      </c>
    </row>
    <row r="3558" spans="2:16" x14ac:dyDescent="0.4">
      <c r="B3558" s="74"/>
      <c r="C3558" s="309"/>
      <c r="D3558" s="310"/>
      <c r="E3558" s="121"/>
      <c r="F3558" s="72"/>
      <c r="G3558" s="74"/>
      <c r="I3558" s="117">
        <f>IF(C3558=0,0,VLOOKUP(C3558,Tabla3[],3,FALSE))</f>
        <v>0</v>
      </c>
      <c r="K3558" s="84">
        <f t="shared" ref="K3558:K3560" si="541">+F3558*I3558</f>
        <v>0</v>
      </c>
      <c r="L3558" s="118">
        <f t="shared" ref="L3558:L3560" si="542">E3558*I3558</f>
        <v>0</v>
      </c>
    </row>
    <row r="3559" spans="2:16" x14ac:dyDescent="0.4">
      <c r="B3559" s="74"/>
      <c r="C3559" s="309"/>
      <c r="D3559" s="310"/>
      <c r="E3559" s="121"/>
      <c r="F3559" s="72"/>
      <c r="G3559" s="74"/>
      <c r="I3559" s="117">
        <f>IF(C3559=0,0,VLOOKUP(C3559,Tabla3[],3,FALSE))</f>
        <v>0</v>
      </c>
      <c r="K3559" s="84">
        <f t="shared" si="541"/>
        <v>0</v>
      </c>
      <c r="L3559" s="118">
        <f t="shared" si="542"/>
        <v>0</v>
      </c>
    </row>
    <row r="3560" spans="2:16" x14ac:dyDescent="0.4">
      <c r="B3560" s="74"/>
      <c r="C3560" s="304"/>
      <c r="D3560" s="305"/>
      <c r="E3560" s="121"/>
      <c r="F3560" s="72"/>
      <c r="G3560" s="74"/>
      <c r="I3560" s="117">
        <f>IF(C3560=0,0,VLOOKUP(C3560,Tabla3[],3,FALSE))</f>
        <v>0</v>
      </c>
      <c r="K3560" s="84">
        <f t="shared" si="541"/>
        <v>0</v>
      </c>
      <c r="L3560" s="118">
        <f t="shared" si="542"/>
        <v>0</v>
      </c>
    </row>
    <row r="3561" spans="2:16" ht="17.399999999999999" thickBot="1" x14ac:dyDescent="0.45"/>
    <row r="3562" spans="2:16" ht="17.399999999999999" thickBot="1" x14ac:dyDescent="0.45">
      <c r="F3562" s="292" t="s">
        <v>12</v>
      </c>
      <c r="G3562" s="293"/>
      <c r="H3562" s="293"/>
      <c r="I3562" s="294"/>
      <c r="K3562" s="229">
        <f>+SUM(K3557:K3560)</f>
        <v>0</v>
      </c>
      <c r="L3562" s="119">
        <f>+SUM(L3557:L3560)</f>
        <v>0</v>
      </c>
    </row>
    <row r="3563" spans="2:16" ht="17.399999999999999" thickBot="1" x14ac:dyDescent="0.45"/>
    <row r="3564" spans="2:16" ht="17.399999999999999" thickBot="1" x14ac:dyDescent="0.45">
      <c r="B3564" s="110" t="s">
        <v>13</v>
      </c>
      <c r="C3564" s="300" t="s">
        <v>14</v>
      </c>
      <c r="D3564" s="300"/>
      <c r="E3564" s="300"/>
      <c r="F3564" s="300"/>
      <c r="G3564" s="301"/>
    </row>
    <row r="3565" spans="2:16" x14ac:dyDescent="0.4">
      <c r="B3565" s="114" t="s">
        <v>6</v>
      </c>
      <c r="C3565" s="302" t="s">
        <v>1</v>
      </c>
      <c r="D3565" s="303"/>
      <c r="E3565" s="112" t="s">
        <v>193</v>
      </c>
      <c r="F3565" s="120" t="s">
        <v>2</v>
      </c>
      <c r="G3565" s="114" t="s">
        <v>3</v>
      </c>
      <c r="H3565" s="106"/>
      <c r="I3565" s="107" t="s">
        <v>7</v>
      </c>
      <c r="J3565" s="136"/>
      <c r="K3565" s="107" t="s">
        <v>8</v>
      </c>
      <c r="L3565" s="115" t="s">
        <v>194</v>
      </c>
    </row>
    <row r="3566" spans="2:16" x14ac:dyDescent="0.4">
      <c r="B3566" s="122">
        <v>1</v>
      </c>
      <c r="C3566" s="306" t="s">
        <v>276</v>
      </c>
      <c r="D3566" s="306"/>
      <c r="E3566" s="116">
        <f>I3539</f>
        <v>1</v>
      </c>
      <c r="F3566" s="83">
        <f>ROUND(E3566/I3539,2)</f>
        <v>1</v>
      </c>
      <c r="G3566" s="74" t="str">
        <f>IF(C3566=0,0,VLOOKUP(C3566,Tabla2[],2,FALSE))</f>
        <v>Unidad</v>
      </c>
      <c r="I3566" s="117">
        <f>IF(C3566=0,0,VLOOKUP(C3566,Tabla2[],3,FALSE))</f>
        <v>500</v>
      </c>
      <c r="K3566" s="84">
        <f>+F3566*I3566</f>
        <v>500</v>
      </c>
      <c r="L3566" s="118">
        <f>E3566*I3566</f>
        <v>500</v>
      </c>
    </row>
    <row r="3567" spans="2:16" x14ac:dyDescent="0.4">
      <c r="B3567" s="122"/>
      <c r="C3567" s="306"/>
      <c r="D3567" s="306"/>
      <c r="E3567" s="116"/>
      <c r="F3567" s="83"/>
      <c r="G3567" s="74"/>
      <c r="I3567" s="117">
        <f>IF(C3567=0,0,VLOOKUP(C3567,Tabla2[],3,FALSE))</f>
        <v>0</v>
      </c>
      <c r="K3567" s="84">
        <f>+F3567*I3567</f>
        <v>0</v>
      </c>
      <c r="L3567" s="118">
        <f>E3567*I3567</f>
        <v>0</v>
      </c>
    </row>
    <row r="3568" spans="2:16" ht="17.399999999999999" thickBot="1" x14ac:dyDescent="0.45">
      <c r="B3568" s="123"/>
      <c r="C3568" s="307"/>
      <c r="D3568" s="308"/>
      <c r="E3568" s="124"/>
      <c r="F3568" s="125"/>
      <c r="G3568" s="74"/>
      <c r="I3568" s="117">
        <f>IF(C3568=0,0,VLOOKUP(C3568,Tabla2[],3,FALSE))</f>
        <v>0</v>
      </c>
      <c r="K3568" s="84">
        <f t="shared" ref="K3568" si="543">+F3568*I3568</f>
        <v>0</v>
      </c>
      <c r="L3568" s="118">
        <f t="shared" ref="L3568:L3569" si="544">E3568*I3568</f>
        <v>0</v>
      </c>
    </row>
    <row r="3569" spans="2:16" ht="17.399999999999999" thickBot="1" x14ac:dyDescent="0.45">
      <c r="B3569" s="297" t="s">
        <v>15</v>
      </c>
      <c r="C3569" s="298"/>
      <c r="D3569" s="298"/>
      <c r="E3569" s="298"/>
      <c r="F3569" s="298"/>
      <c r="G3569" s="299"/>
      <c r="I3569" s="84">
        <v>0</v>
      </c>
      <c r="K3569" s="84">
        <v>0</v>
      </c>
      <c r="L3569" s="118">
        <f t="shared" si="544"/>
        <v>0</v>
      </c>
    </row>
    <row r="3570" spans="2:16" ht="17.399999999999999" thickBot="1" x14ac:dyDescent="0.45"/>
    <row r="3571" spans="2:16" ht="17.399999999999999" thickBot="1" x14ac:dyDescent="0.45">
      <c r="F3571" s="292" t="s">
        <v>16</v>
      </c>
      <c r="G3571" s="293"/>
      <c r="H3571" s="293"/>
      <c r="I3571" s="294"/>
      <c r="K3571" s="229">
        <f>+SUM(K3566:K3569)</f>
        <v>500</v>
      </c>
      <c r="L3571" s="119">
        <f>+SUM(L3566:L3569)</f>
        <v>500</v>
      </c>
    </row>
    <row r="3572" spans="2:16" ht="17.399999999999999" thickBot="1" x14ac:dyDescent="0.45"/>
    <row r="3573" spans="2:16" ht="17.399999999999999" thickBot="1" x14ac:dyDescent="0.45">
      <c r="B3573" s="110" t="s">
        <v>17</v>
      </c>
      <c r="C3573" s="300" t="s">
        <v>18</v>
      </c>
      <c r="D3573" s="300"/>
      <c r="E3573" s="300"/>
      <c r="F3573" s="300"/>
      <c r="G3573" s="301"/>
    </row>
    <row r="3574" spans="2:16" x14ac:dyDescent="0.4">
      <c r="B3574" s="114" t="s">
        <v>6</v>
      </c>
      <c r="C3574" s="302" t="s">
        <v>1</v>
      </c>
      <c r="D3574" s="303"/>
      <c r="E3574" s="126"/>
      <c r="F3574" s="120" t="s">
        <v>2</v>
      </c>
      <c r="G3574" s="114" t="s">
        <v>3</v>
      </c>
      <c r="H3574" s="106"/>
      <c r="I3574" s="107" t="s">
        <v>7</v>
      </c>
      <c r="J3574" s="136"/>
      <c r="K3574" s="107" t="s">
        <v>8</v>
      </c>
      <c r="L3574" s="115" t="s">
        <v>194</v>
      </c>
    </row>
    <row r="3575" spans="2:16" x14ac:dyDescent="0.4">
      <c r="B3575" s="74"/>
      <c r="C3575" s="304"/>
      <c r="D3575" s="305"/>
      <c r="E3575" s="127"/>
      <c r="F3575" s="72"/>
      <c r="G3575" s="74"/>
      <c r="I3575" s="84">
        <v>0</v>
      </c>
      <c r="K3575" s="84">
        <f>+F3575*I3575</f>
        <v>0</v>
      </c>
      <c r="L3575" s="118">
        <f>E3575*I3575</f>
        <v>0</v>
      </c>
    </row>
    <row r="3576" spans="2:16" x14ac:dyDescent="0.4">
      <c r="B3576" s="74"/>
      <c r="C3576" s="304"/>
      <c r="D3576" s="305"/>
      <c r="E3576" s="127"/>
      <c r="F3576" s="72"/>
      <c r="G3576" s="74"/>
      <c r="I3576" s="84">
        <v>0</v>
      </c>
      <c r="K3576" s="84">
        <f t="shared" ref="K3576:K3577" si="545">+F3576*I3576</f>
        <v>0</v>
      </c>
      <c r="L3576" s="118">
        <f t="shared" ref="L3576:L3577" si="546">E3576*I3576</f>
        <v>0</v>
      </c>
    </row>
    <row r="3577" spans="2:16" x14ac:dyDescent="0.4">
      <c r="B3577" s="74"/>
      <c r="C3577" s="304"/>
      <c r="D3577" s="305"/>
      <c r="E3577" s="127"/>
      <c r="F3577" s="72"/>
      <c r="G3577" s="74"/>
      <c r="I3577" s="84">
        <v>0</v>
      </c>
      <c r="K3577" s="84">
        <f t="shared" si="545"/>
        <v>0</v>
      </c>
      <c r="L3577" s="118">
        <f t="shared" si="546"/>
        <v>0</v>
      </c>
    </row>
    <row r="3578" spans="2:16" ht="17.399999999999999" thickBot="1" x14ac:dyDescent="0.45">
      <c r="L3578" s="118"/>
    </row>
    <row r="3579" spans="2:16" ht="17.399999999999999" thickBot="1" x14ac:dyDescent="0.45">
      <c r="F3579" s="292" t="s">
        <v>19</v>
      </c>
      <c r="G3579" s="293"/>
      <c r="H3579" s="293"/>
      <c r="I3579" s="294"/>
      <c r="K3579" s="229">
        <f>+SUM(K3575:K3577)</f>
        <v>0</v>
      </c>
      <c r="L3579" s="119">
        <f>+SUM(L3574:L3577)</f>
        <v>0</v>
      </c>
    </row>
    <row r="3580" spans="2:16" ht="15" customHeight="1" x14ac:dyDescent="0.4">
      <c r="F3580" s="128"/>
      <c r="G3580" s="129"/>
      <c r="H3580" s="130"/>
      <c r="I3580" s="108"/>
      <c r="K3580" s="230"/>
    </row>
    <row r="3581" spans="2:16" ht="15" customHeight="1" thickBot="1" x14ac:dyDescent="0.45"/>
    <row r="3582" spans="2:16" ht="17.399999999999999" thickBot="1" x14ac:dyDescent="0.45">
      <c r="F3582" s="292" t="s">
        <v>20</v>
      </c>
      <c r="G3582" s="293"/>
      <c r="H3582" s="293"/>
      <c r="I3582" s="294"/>
      <c r="K3582" s="229">
        <f>(+K3553+K3562+K3571+K3579)</f>
        <v>3220</v>
      </c>
      <c r="L3582" s="119">
        <f>(+L3553+L3562+L3571+L3579)</f>
        <v>3220</v>
      </c>
      <c r="N3582" s="131"/>
      <c r="O3582" s="39"/>
      <c r="P3582" s="40"/>
    </row>
    <row r="3583" spans="2:16" ht="7.5" customHeight="1" thickBot="1" x14ac:dyDescent="0.45">
      <c r="N3583" s="131"/>
      <c r="O3583" s="41"/>
      <c r="P3583" s="40"/>
    </row>
    <row r="3584" spans="2:16" ht="17.399999999999999" thickBot="1" x14ac:dyDescent="0.45">
      <c r="F3584" s="292" t="s">
        <v>21</v>
      </c>
      <c r="G3584" s="293"/>
      <c r="H3584" s="293"/>
      <c r="I3584" s="294"/>
      <c r="K3584" s="229">
        <f>K3582*$N$2</f>
        <v>1288</v>
      </c>
      <c r="L3584" s="119">
        <f>L3582*$N$2</f>
        <v>1288</v>
      </c>
    </row>
    <row r="3585" spans="1:16" ht="7.5" customHeight="1" thickBot="1" x14ac:dyDescent="0.45"/>
    <row r="3586" spans="1:16" ht="17.399999999999999" thickBot="1" x14ac:dyDescent="0.45">
      <c r="F3586" s="292" t="s">
        <v>22</v>
      </c>
      <c r="G3586" s="293"/>
      <c r="H3586" s="293"/>
      <c r="I3586" s="294"/>
      <c r="K3586" s="229">
        <f>+K3582+K3584</f>
        <v>4508</v>
      </c>
      <c r="L3586" s="119">
        <f>+L3582+L3584</f>
        <v>4508</v>
      </c>
    </row>
    <row r="3587" spans="1:16" ht="17.399999999999999" thickBot="1" x14ac:dyDescent="0.45">
      <c r="F3587" s="128"/>
      <c r="G3587" s="129"/>
      <c r="H3587" s="130"/>
      <c r="I3587" s="108"/>
      <c r="K3587" s="231"/>
      <c r="L3587" s="132">
        <f>L3586/I3539</f>
        <v>4508</v>
      </c>
      <c r="M3587" s="133">
        <f>(K3586-L3587)*I3539</f>
        <v>0</v>
      </c>
    </row>
    <row r="3588" spans="1:16" x14ac:dyDescent="0.4">
      <c r="F3588" s="128"/>
      <c r="G3588" s="129"/>
      <c r="H3588" s="130"/>
      <c r="I3588" s="108"/>
      <c r="K3588" s="232"/>
      <c r="L3588" s="131"/>
      <c r="M3588" s="134"/>
      <c r="N3588" s="135"/>
    </row>
    <row r="3589" spans="1:16" ht="17.399999999999999" thickBot="1" x14ac:dyDescent="0.45">
      <c r="B3589" s="295"/>
      <c r="C3589" s="295"/>
      <c r="D3589" s="295"/>
    </row>
    <row r="3590" spans="1:16" x14ac:dyDescent="0.4">
      <c r="B3590" s="296" t="s">
        <v>23</v>
      </c>
      <c r="C3590" s="296"/>
      <c r="D3590" s="296"/>
    </row>
    <row r="3591" spans="1:16" x14ac:dyDescent="0.4">
      <c r="B3591" s="157"/>
      <c r="C3591" s="157"/>
      <c r="D3591" s="157"/>
    </row>
    <row r="3593" spans="1:16" x14ac:dyDescent="0.4">
      <c r="B3593" s="105" t="s">
        <v>43</v>
      </c>
      <c r="C3593" s="106"/>
      <c r="D3593" s="311" t="s">
        <v>1</v>
      </c>
      <c r="E3593" s="311"/>
      <c r="F3593" s="311"/>
      <c r="G3593" s="311"/>
      <c r="H3593" s="106"/>
      <c r="I3593" s="107" t="s">
        <v>2</v>
      </c>
      <c r="J3593" s="136"/>
      <c r="K3593" s="107" t="s">
        <v>3</v>
      </c>
    </row>
    <row r="3594" spans="1:16" s="4" customFormat="1" ht="30.75" customHeight="1" x14ac:dyDescent="0.3">
      <c r="A3594" s="31"/>
      <c r="B3594" s="213">
        <f>CATALOGO!B93</f>
        <v>101.07</v>
      </c>
      <c r="C3594" s="71"/>
      <c r="D3594" s="324" t="str">
        <f>CATALOGO!C93</f>
        <v>PREPARACIÓN DE ÁREA DE TRABAJO EN REMOZAMIENTO</v>
      </c>
      <c r="E3594" s="324"/>
      <c r="F3594" s="324"/>
      <c r="G3594" s="324"/>
      <c r="H3594" s="71"/>
      <c r="I3594" s="213">
        <f>CATALOGO!D93</f>
        <v>29</v>
      </c>
      <c r="J3594" s="109"/>
      <c r="K3594" s="227" t="str">
        <f>CATALOGO!E93</f>
        <v>m²</v>
      </c>
      <c r="L3594" s="71"/>
      <c r="M3594" s="71"/>
      <c r="N3594" s="104"/>
      <c r="O3594" s="37"/>
      <c r="P3594" s="37"/>
    </row>
    <row r="3595" spans="1:16" ht="17.399999999999999" thickBot="1" x14ac:dyDescent="0.45"/>
    <row r="3596" spans="1:16" ht="17.399999999999999" thickBot="1" x14ac:dyDescent="0.45">
      <c r="B3596" s="110" t="s">
        <v>4</v>
      </c>
      <c r="C3596" s="300" t="s">
        <v>5</v>
      </c>
      <c r="D3596" s="300"/>
      <c r="E3596" s="300"/>
      <c r="F3596" s="300"/>
      <c r="G3596" s="301"/>
    </row>
    <row r="3597" spans="1:16" x14ac:dyDescent="0.3">
      <c r="B3597" s="111" t="s">
        <v>6</v>
      </c>
      <c r="C3597" s="313" t="s">
        <v>1</v>
      </c>
      <c r="D3597" s="314"/>
      <c r="E3597" s="112" t="s">
        <v>193</v>
      </c>
      <c r="F3597" s="113" t="s">
        <v>2</v>
      </c>
      <c r="G3597" s="114" t="s">
        <v>3</v>
      </c>
      <c r="H3597" s="106"/>
      <c r="I3597" s="107" t="s">
        <v>7</v>
      </c>
      <c r="J3597" s="136"/>
      <c r="K3597" s="228" t="s">
        <v>8</v>
      </c>
      <c r="L3597" s="115" t="s">
        <v>194</v>
      </c>
      <c r="O3597" s="323"/>
      <c r="P3597" s="323"/>
    </row>
    <row r="3598" spans="1:16" ht="16.5" customHeight="1" x14ac:dyDescent="0.3">
      <c r="B3598" s="122"/>
      <c r="C3598" s="315"/>
      <c r="D3598" s="316"/>
      <c r="E3598" s="116"/>
      <c r="F3598" s="83"/>
      <c r="G3598" s="74"/>
      <c r="I3598" s="117">
        <f>IF(C3598=0,0,VLOOKUP(C3598,Tabla1[],3,FALSE))</f>
        <v>0</v>
      </c>
      <c r="K3598" s="84">
        <f>F3598*I3598</f>
        <v>0</v>
      </c>
      <c r="L3598" s="118">
        <f t="shared" ref="L3598:L3607" si="547">E3598*I3598</f>
        <v>0</v>
      </c>
      <c r="O3598" s="44"/>
      <c r="P3598" s="45"/>
    </row>
    <row r="3599" spans="1:16" x14ac:dyDescent="0.3">
      <c r="B3599" s="122"/>
      <c r="C3599" s="315"/>
      <c r="D3599" s="316"/>
      <c r="E3599" s="116"/>
      <c r="F3599" s="83"/>
      <c r="G3599" s="74"/>
      <c r="I3599" s="117">
        <f>IF(C3599=0,0,VLOOKUP(C3599,Tabla1[],3,FALSE))</f>
        <v>0</v>
      </c>
      <c r="K3599" s="84">
        <f t="shared" ref="K3599:K3600" si="548">+F3599*I3599</f>
        <v>0</v>
      </c>
      <c r="L3599" s="118">
        <f t="shared" si="547"/>
        <v>0</v>
      </c>
      <c r="O3599" s="44"/>
      <c r="P3599" s="47"/>
    </row>
    <row r="3600" spans="1:16" x14ac:dyDescent="0.4">
      <c r="B3600" s="122"/>
      <c r="C3600" s="315"/>
      <c r="D3600" s="316"/>
      <c r="E3600" s="116"/>
      <c r="F3600" s="83"/>
      <c r="G3600" s="74"/>
      <c r="I3600" s="117">
        <f>IF(C3600=0,0,VLOOKUP(C3600,Tabla1[],3,FALSE))</f>
        <v>0</v>
      </c>
      <c r="K3600" s="84">
        <f t="shared" si="548"/>
        <v>0</v>
      </c>
      <c r="L3600" s="118">
        <f t="shared" si="547"/>
        <v>0</v>
      </c>
      <c r="O3600" s="48"/>
      <c r="P3600" s="49"/>
    </row>
    <row r="3601" spans="2:16" ht="16.5" customHeight="1" x14ac:dyDescent="0.3">
      <c r="B3601" s="122"/>
      <c r="C3601" s="315"/>
      <c r="D3601" s="316"/>
      <c r="E3601" s="116"/>
      <c r="F3601" s="83"/>
      <c r="G3601" s="74"/>
      <c r="I3601" s="117">
        <f>IF(C3601=0,0,VLOOKUP(C3601,Tabla1[],3,FALSE))</f>
        <v>0</v>
      </c>
      <c r="K3601" s="84">
        <f>F3601*I3601</f>
        <v>0</v>
      </c>
      <c r="L3601" s="118">
        <f t="shared" si="547"/>
        <v>0</v>
      </c>
      <c r="O3601" s="44"/>
      <c r="P3601" s="45"/>
    </row>
    <row r="3602" spans="2:16" ht="16.5" customHeight="1" x14ac:dyDescent="0.3">
      <c r="B3602" s="122"/>
      <c r="C3602" s="315"/>
      <c r="D3602" s="316"/>
      <c r="E3602" s="116"/>
      <c r="F3602" s="83"/>
      <c r="G3602" s="74"/>
      <c r="I3602" s="117">
        <f>IF(C3602=0,0,VLOOKUP(C3602,Tabla1[],3,FALSE))</f>
        <v>0</v>
      </c>
      <c r="K3602" s="84">
        <f t="shared" ref="K3602:K3607" si="549">+F3602*I3602</f>
        <v>0</v>
      </c>
      <c r="L3602" s="118">
        <f t="shared" si="547"/>
        <v>0</v>
      </c>
      <c r="O3602" s="44"/>
      <c r="P3602" s="46"/>
    </row>
    <row r="3603" spans="2:16" x14ac:dyDescent="0.3">
      <c r="B3603" s="122"/>
      <c r="C3603" s="315"/>
      <c r="D3603" s="316"/>
      <c r="E3603" s="116"/>
      <c r="F3603" s="83"/>
      <c r="G3603" s="74"/>
      <c r="I3603" s="117">
        <f>IF(C3603=0,0,VLOOKUP(C3603,Tabla1[],3,FALSE))</f>
        <v>0</v>
      </c>
      <c r="K3603" s="84">
        <f t="shared" si="549"/>
        <v>0</v>
      </c>
      <c r="L3603" s="118">
        <f t="shared" si="547"/>
        <v>0</v>
      </c>
      <c r="O3603" s="44"/>
      <c r="P3603" s="46"/>
    </row>
    <row r="3604" spans="2:16" x14ac:dyDescent="0.4">
      <c r="B3604" s="122"/>
      <c r="C3604" s="315"/>
      <c r="D3604" s="316"/>
      <c r="E3604" s="116"/>
      <c r="F3604" s="83"/>
      <c r="G3604" s="74"/>
      <c r="I3604" s="117">
        <f>IF(C3604=0,0,VLOOKUP(C3604,Tabla1[],3,FALSE))</f>
        <v>0</v>
      </c>
      <c r="K3604" s="84">
        <f t="shared" si="549"/>
        <v>0</v>
      </c>
      <c r="L3604" s="118">
        <f t="shared" si="547"/>
        <v>0</v>
      </c>
      <c r="O3604" s="48"/>
      <c r="P3604" s="49"/>
    </row>
    <row r="3605" spans="2:16" x14ac:dyDescent="0.4">
      <c r="B3605" s="122"/>
      <c r="C3605" s="319"/>
      <c r="D3605" s="318"/>
      <c r="E3605" s="116"/>
      <c r="F3605" s="83"/>
      <c r="G3605" s="74"/>
      <c r="I3605" s="117">
        <f>IF(C3605=0,0,VLOOKUP(C3605,Tabla1[],3,FALSE))</f>
        <v>0</v>
      </c>
      <c r="K3605" s="84">
        <f t="shared" si="549"/>
        <v>0</v>
      </c>
      <c r="L3605" s="118">
        <f t="shared" si="547"/>
        <v>0</v>
      </c>
      <c r="O3605" s="48"/>
      <c r="P3605" s="49"/>
    </row>
    <row r="3606" spans="2:16" x14ac:dyDescent="0.4">
      <c r="B3606" s="122"/>
      <c r="C3606" s="319"/>
      <c r="D3606" s="318"/>
      <c r="E3606" s="116"/>
      <c r="F3606" s="83"/>
      <c r="G3606" s="74"/>
      <c r="I3606" s="117">
        <f>IF(C3606=0,0,VLOOKUP(C3606,Tabla1[],3,FALSE))</f>
        <v>0</v>
      </c>
      <c r="K3606" s="84">
        <f t="shared" si="549"/>
        <v>0</v>
      </c>
      <c r="L3606" s="118">
        <f t="shared" si="547"/>
        <v>0</v>
      </c>
      <c r="O3606" s="48"/>
      <c r="P3606" s="49"/>
    </row>
    <row r="3607" spans="2:16" x14ac:dyDescent="0.4">
      <c r="B3607" s="122"/>
      <c r="C3607" s="319"/>
      <c r="D3607" s="318"/>
      <c r="E3607" s="116"/>
      <c r="F3607" s="83"/>
      <c r="G3607" s="74"/>
      <c r="I3607" s="117">
        <f>IF(C3607=0,0,VLOOKUP(C3607,Tabla1[],3,FALSE))</f>
        <v>0</v>
      </c>
      <c r="K3607" s="84">
        <f t="shared" si="549"/>
        <v>0</v>
      </c>
      <c r="L3607" s="118">
        <f t="shared" si="547"/>
        <v>0</v>
      </c>
      <c r="O3607" s="48"/>
      <c r="P3607" s="49"/>
    </row>
    <row r="3608" spans="2:16" ht="17.399999999999999" thickBot="1" x14ac:dyDescent="0.45"/>
    <row r="3609" spans="2:16" ht="17.399999999999999" thickBot="1" x14ac:dyDescent="0.35">
      <c r="F3609" s="292" t="s">
        <v>9</v>
      </c>
      <c r="G3609" s="293"/>
      <c r="H3609" s="293"/>
      <c r="I3609" s="294"/>
      <c r="K3609" s="229">
        <f>+SUM(K3598:K3607)</f>
        <v>0</v>
      </c>
      <c r="L3609" s="119">
        <f>+SUM(L3598:L3607)</f>
        <v>0</v>
      </c>
      <c r="O3609" s="38"/>
      <c r="P3609" s="38"/>
    </row>
    <row r="3610" spans="2:16" ht="17.399999999999999" thickBot="1" x14ac:dyDescent="0.45">
      <c r="O3610" s="42"/>
      <c r="P3610" s="43"/>
    </row>
    <row r="3611" spans="2:16" ht="17.399999999999999" thickBot="1" x14ac:dyDescent="0.45">
      <c r="B3611" s="110" t="s">
        <v>10</v>
      </c>
      <c r="C3611" s="300" t="s">
        <v>11</v>
      </c>
      <c r="D3611" s="300"/>
      <c r="E3611" s="300"/>
      <c r="F3611" s="300"/>
      <c r="G3611" s="301"/>
    </row>
    <row r="3612" spans="2:16" x14ac:dyDescent="0.4">
      <c r="B3612" s="114" t="s">
        <v>6</v>
      </c>
      <c r="C3612" s="302" t="s">
        <v>1</v>
      </c>
      <c r="D3612" s="303"/>
      <c r="E3612" s="112" t="s">
        <v>193</v>
      </c>
      <c r="F3612" s="120" t="s">
        <v>2</v>
      </c>
      <c r="G3612" s="114" t="s">
        <v>3</v>
      </c>
      <c r="H3612" s="106"/>
      <c r="I3612" s="107" t="s">
        <v>7</v>
      </c>
      <c r="J3612" s="136"/>
      <c r="K3612" s="107" t="s">
        <v>8</v>
      </c>
      <c r="L3612" s="115" t="s">
        <v>194</v>
      </c>
    </row>
    <row r="3613" spans="2:16" x14ac:dyDescent="0.4">
      <c r="B3613" s="122">
        <v>1</v>
      </c>
      <c r="C3613" s="306" t="s">
        <v>190</v>
      </c>
      <c r="D3613" s="306"/>
      <c r="E3613" s="116">
        <f>I3594*0.05</f>
        <v>1.4500000000000002</v>
      </c>
      <c r="F3613" s="83">
        <f>ROUND(E3613/I3594,2)</f>
        <v>0.05</v>
      </c>
      <c r="G3613" s="74" t="str">
        <f>IF(C3613=0,0,VLOOKUP(C3613,Tabla3[],2,FALSE))</f>
        <v>Viaje</v>
      </c>
      <c r="I3613" s="117">
        <f>IF(C3613=0,0,VLOOKUP(C3613,Tabla3[],3,FALSE))</f>
        <v>200</v>
      </c>
      <c r="K3613" s="84">
        <f>F3613*I3613</f>
        <v>10</v>
      </c>
      <c r="L3613" s="118">
        <f>E3613*I3613</f>
        <v>290.00000000000006</v>
      </c>
    </row>
    <row r="3614" spans="2:16" x14ac:dyDescent="0.4">
      <c r="B3614" s="74"/>
      <c r="C3614" s="309"/>
      <c r="D3614" s="310"/>
      <c r="E3614" s="121"/>
      <c r="F3614" s="72"/>
      <c r="G3614" s="74"/>
      <c r="I3614" s="117">
        <f>IF(C3614=0,0,VLOOKUP(C3614,Tabla3[],3,FALSE))</f>
        <v>0</v>
      </c>
      <c r="K3614" s="84">
        <f t="shared" ref="K3614:K3616" si="550">+F3614*I3614</f>
        <v>0</v>
      </c>
      <c r="L3614" s="118">
        <f t="shared" ref="L3614:L3616" si="551">E3614*I3614</f>
        <v>0</v>
      </c>
    </row>
    <row r="3615" spans="2:16" x14ac:dyDescent="0.4">
      <c r="B3615" s="74"/>
      <c r="C3615" s="309"/>
      <c r="D3615" s="310"/>
      <c r="E3615" s="121"/>
      <c r="F3615" s="72"/>
      <c r="G3615" s="74"/>
      <c r="I3615" s="117">
        <f>IF(C3615=0,0,VLOOKUP(C3615,Tabla3[],3,FALSE))</f>
        <v>0</v>
      </c>
      <c r="K3615" s="84">
        <f t="shared" si="550"/>
        <v>0</v>
      </c>
      <c r="L3615" s="118">
        <f t="shared" si="551"/>
        <v>0</v>
      </c>
    </row>
    <row r="3616" spans="2:16" x14ac:dyDescent="0.4">
      <c r="B3616" s="74"/>
      <c r="C3616" s="304"/>
      <c r="D3616" s="305"/>
      <c r="E3616" s="121"/>
      <c r="F3616" s="72"/>
      <c r="G3616" s="74"/>
      <c r="I3616" s="117">
        <f>IF(C3616=0,0,VLOOKUP(C3616,Tabla3[],3,FALSE))</f>
        <v>0</v>
      </c>
      <c r="K3616" s="84">
        <f t="shared" si="550"/>
        <v>0</v>
      </c>
      <c r="L3616" s="118">
        <f t="shared" si="551"/>
        <v>0</v>
      </c>
    </row>
    <row r="3617" spans="2:12" ht="17.399999999999999" thickBot="1" x14ac:dyDescent="0.45"/>
    <row r="3618" spans="2:12" ht="17.399999999999999" thickBot="1" x14ac:dyDescent="0.45">
      <c r="F3618" s="292" t="s">
        <v>12</v>
      </c>
      <c r="G3618" s="293"/>
      <c r="H3618" s="293"/>
      <c r="I3618" s="294"/>
      <c r="K3618" s="229">
        <f>+SUM(K3613:K3616)</f>
        <v>10</v>
      </c>
      <c r="L3618" s="119">
        <f>+SUM(L3613:L3616)</f>
        <v>290.00000000000006</v>
      </c>
    </row>
    <row r="3619" spans="2:12" ht="17.399999999999999" thickBot="1" x14ac:dyDescent="0.45"/>
    <row r="3620" spans="2:12" ht="17.399999999999999" thickBot="1" x14ac:dyDescent="0.45">
      <c r="B3620" s="110" t="s">
        <v>13</v>
      </c>
      <c r="C3620" s="300" t="s">
        <v>14</v>
      </c>
      <c r="D3620" s="300"/>
      <c r="E3620" s="300"/>
      <c r="F3620" s="300"/>
      <c r="G3620" s="301"/>
    </row>
    <row r="3621" spans="2:12" x14ac:dyDescent="0.4">
      <c r="B3621" s="114" t="s">
        <v>6</v>
      </c>
      <c r="C3621" s="302" t="s">
        <v>1</v>
      </c>
      <c r="D3621" s="303"/>
      <c r="E3621" s="112" t="s">
        <v>193</v>
      </c>
      <c r="F3621" s="120" t="s">
        <v>2</v>
      </c>
      <c r="G3621" s="114" t="s">
        <v>3</v>
      </c>
      <c r="H3621" s="106"/>
      <c r="I3621" s="107" t="s">
        <v>7</v>
      </c>
      <c r="J3621" s="136"/>
      <c r="K3621" s="107" t="s">
        <v>8</v>
      </c>
      <c r="L3621" s="115" t="s">
        <v>194</v>
      </c>
    </row>
    <row r="3622" spans="2:12" x14ac:dyDescent="0.4">
      <c r="B3622" s="122"/>
      <c r="C3622" s="306"/>
      <c r="D3622" s="306"/>
      <c r="E3622" s="116"/>
      <c r="F3622" s="83"/>
      <c r="G3622" s="74"/>
      <c r="I3622" s="117">
        <f>IF(C3622=0,0,VLOOKUP(C3622,Tabla3[],3,FALSE))</f>
        <v>0</v>
      </c>
      <c r="K3622" s="84">
        <f>+F3622*I3622</f>
        <v>0</v>
      </c>
      <c r="L3622" s="118">
        <f>E3622*I3622</f>
        <v>0</v>
      </c>
    </row>
    <row r="3623" spans="2:12" x14ac:dyDescent="0.4">
      <c r="B3623" s="122"/>
      <c r="C3623" s="306"/>
      <c r="D3623" s="306"/>
      <c r="E3623" s="116"/>
      <c r="F3623" s="83"/>
      <c r="G3623" s="74"/>
      <c r="I3623" s="117">
        <f>IF(C3623=0,0,VLOOKUP(C3623,Tabla3[],3,FALSE))</f>
        <v>0</v>
      </c>
      <c r="K3623" s="84">
        <f>+F3623*I3623</f>
        <v>0</v>
      </c>
      <c r="L3623" s="118">
        <f>E3623*I3623</f>
        <v>0</v>
      </c>
    </row>
    <row r="3624" spans="2:12" ht="17.399999999999999" thickBot="1" x14ac:dyDescent="0.45">
      <c r="B3624" s="123"/>
      <c r="C3624" s="307"/>
      <c r="D3624" s="308"/>
      <c r="E3624" s="124"/>
      <c r="F3624" s="125"/>
      <c r="G3624" s="74"/>
      <c r="I3624" s="117">
        <f>IF(C3624=0,0,VLOOKUP(C3624,Tabla3[],3,FALSE))</f>
        <v>0</v>
      </c>
      <c r="K3624" s="84">
        <f t="shared" ref="K3624" si="552">+F3624*I3624</f>
        <v>0</v>
      </c>
      <c r="L3624" s="118">
        <f t="shared" ref="L3624:L3625" si="553">E3624*I3624</f>
        <v>0</v>
      </c>
    </row>
    <row r="3625" spans="2:12" ht="17.399999999999999" thickBot="1" x14ac:dyDescent="0.45">
      <c r="B3625" s="297" t="s">
        <v>15</v>
      </c>
      <c r="C3625" s="298"/>
      <c r="D3625" s="298"/>
      <c r="E3625" s="298"/>
      <c r="F3625" s="298"/>
      <c r="G3625" s="299"/>
      <c r="I3625" s="117">
        <f>IF(C3625=0,0,VLOOKUP(C3625,Tabla3[],3,FALSE))</f>
        <v>0</v>
      </c>
      <c r="K3625" s="84">
        <v>0</v>
      </c>
      <c r="L3625" s="118">
        <f t="shared" si="553"/>
        <v>0</v>
      </c>
    </row>
    <row r="3626" spans="2:12" ht="17.399999999999999" thickBot="1" x14ac:dyDescent="0.45"/>
    <row r="3627" spans="2:12" ht="17.399999999999999" thickBot="1" x14ac:dyDescent="0.45">
      <c r="F3627" s="292" t="s">
        <v>16</v>
      </c>
      <c r="G3627" s="293"/>
      <c r="H3627" s="293"/>
      <c r="I3627" s="294"/>
      <c r="K3627" s="229">
        <f>+SUM(K3622:K3625)</f>
        <v>0</v>
      </c>
      <c r="L3627" s="119">
        <f>+SUM(L3622:L3625)</f>
        <v>0</v>
      </c>
    </row>
    <row r="3628" spans="2:12" ht="17.399999999999999" thickBot="1" x14ac:dyDescent="0.45"/>
    <row r="3629" spans="2:12" ht="17.399999999999999" thickBot="1" x14ac:dyDescent="0.45">
      <c r="B3629" s="110" t="s">
        <v>17</v>
      </c>
      <c r="C3629" s="300" t="s">
        <v>18</v>
      </c>
      <c r="D3629" s="300"/>
      <c r="E3629" s="300"/>
      <c r="F3629" s="300"/>
      <c r="G3629" s="301"/>
    </row>
    <row r="3630" spans="2:12" x14ac:dyDescent="0.4">
      <c r="B3630" s="114" t="s">
        <v>6</v>
      </c>
      <c r="C3630" s="302" t="s">
        <v>1</v>
      </c>
      <c r="D3630" s="303"/>
      <c r="E3630" s="126"/>
      <c r="F3630" s="120" t="s">
        <v>2</v>
      </c>
      <c r="G3630" s="114" t="s">
        <v>3</v>
      </c>
      <c r="H3630" s="106"/>
      <c r="I3630" s="107" t="s">
        <v>7</v>
      </c>
      <c r="J3630" s="136"/>
      <c r="K3630" s="107" t="s">
        <v>8</v>
      </c>
      <c r="L3630" s="115" t="s">
        <v>194</v>
      </c>
    </row>
    <row r="3631" spans="2:12" x14ac:dyDescent="0.4">
      <c r="B3631" s="74"/>
      <c r="C3631" s="304"/>
      <c r="D3631" s="305"/>
      <c r="E3631" s="127"/>
      <c r="F3631" s="72"/>
      <c r="G3631" s="74"/>
      <c r="I3631" s="84">
        <v>0</v>
      </c>
      <c r="K3631" s="84">
        <f>+F3631*I3631</f>
        <v>0</v>
      </c>
      <c r="L3631" s="118">
        <f>E3631*I3631</f>
        <v>0</v>
      </c>
    </row>
    <row r="3632" spans="2:12" x14ac:dyDescent="0.4">
      <c r="B3632" s="74"/>
      <c r="C3632" s="304"/>
      <c r="D3632" s="305"/>
      <c r="E3632" s="127"/>
      <c r="F3632" s="72"/>
      <c r="G3632" s="74"/>
      <c r="I3632" s="84">
        <v>0</v>
      </c>
      <c r="K3632" s="84">
        <f t="shared" ref="K3632:K3633" si="554">+F3632*I3632</f>
        <v>0</v>
      </c>
      <c r="L3632" s="118">
        <f t="shared" ref="L3632:L3633" si="555">E3632*I3632</f>
        <v>0</v>
      </c>
    </row>
    <row r="3633" spans="2:16" x14ac:dyDescent="0.4">
      <c r="B3633" s="74"/>
      <c r="C3633" s="304"/>
      <c r="D3633" s="305"/>
      <c r="E3633" s="127"/>
      <c r="F3633" s="72"/>
      <c r="G3633" s="74"/>
      <c r="I3633" s="84">
        <v>0</v>
      </c>
      <c r="K3633" s="84">
        <f t="shared" si="554"/>
        <v>0</v>
      </c>
      <c r="L3633" s="118">
        <f t="shared" si="555"/>
        <v>0</v>
      </c>
    </row>
    <row r="3634" spans="2:16" ht="17.399999999999999" thickBot="1" x14ac:dyDescent="0.45">
      <c r="L3634" s="118"/>
    </row>
    <row r="3635" spans="2:16" ht="17.399999999999999" thickBot="1" x14ac:dyDescent="0.45">
      <c r="F3635" s="292" t="s">
        <v>19</v>
      </c>
      <c r="G3635" s="293"/>
      <c r="H3635" s="293"/>
      <c r="I3635" s="294"/>
      <c r="K3635" s="229">
        <f>+SUM(K3631:K3633)</f>
        <v>0</v>
      </c>
      <c r="L3635" s="119">
        <f>+SUM(L3630:L3633)</f>
        <v>0</v>
      </c>
    </row>
    <row r="3636" spans="2:16" ht="15" customHeight="1" x14ac:dyDescent="0.4">
      <c r="F3636" s="128"/>
      <c r="G3636" s="129"/>
      <c r="H3636" s="130"/>
      <c r="I3636" s="108"/>
      <c r="K3636" s="230"/>
    </row>
    <row r="3637" spans="2:16" ht="15" customHeight="1" thickBot="1" x14ac:dyDescent="0.45"/>
    <row r="3638" spans="2:16" ht="17.399999999999999" thickBot="1" x14ac:dyDescent="0.45">
      <c r="F3638" s="292" t="s">
        <v>20</v>
      </c>
      <c r="G3638" s="293"/>
      <c r="H3638" s="293"/>
      <c r="I3638" s="294"/>
      <c r="K3638" s="229">
        <f>(+K3609+K3618+K3627+K3635)</f>
        <v>10</v>
      </c>
      <c r="L3638" s="119">
        <f>(+L3609+L3618+L3627+L3635)</f>
        <v>290.00000000000006</v>
      </c>
      <c r="N3638" s="131"/>
      <c r="O3638" s="39"/>
      <c r="P3638" s="40"/>
    </row>
    <row r="3639" spans="2:16" ht="7.5" customHeight="1" thickBot="1" x14ac:dyDescent="0.45">
      <c r="N3639" s="131"/>
      <c r="O3639" s="41"/>
      <c r="P3639" s="40"/>
    </row>
    <row r="3640" spans="2:16" ht="17.399999999999999" thickBot="1" x14ac:dyDescent="0.45">
      <c r="F3640" s="292" t="s">
        <v>21</v>
      </c>
      <c r="G3640" s="293"/>
      <c r="H3640" s="293"/>
      <c r="I3640" s="294"/>
      <c r="K3640" s="229">
        <f>K3638*$N$2</f>
        <v>4</v>
      </c>
      <c r="L3640" s="119">
        <f>L3638*$N$2</f>
        <v>116.00000000000003</v>
      </c>
    </row>
    <row r="3641" spans="2:16" ht="7.5" customHeight="1" thickBot="1" x14ac:dyDescent="0.45"/>
    <row r="3642" spans="2:16" ht="17.399999999999999" thickBot="1" x14ac:dyDescent="0.45">
      <c r="F3642" s="292" t="s">
        <v>22</v>
      </c>
      <c r="G3642" s="293"/>
      <c r="H3642" s="293"/>
      <c r="I3642" s="294"/>
      <c r="K3642" s="229">
        <f>+K3638+K3640</f>
        <v>14</v>
      </c>
      <c r="L3642" s="119">
        <f>+L3638+L3640</f>
        <v>406.00000000000011</v>
      </c>
    </row>
    <row r="3643" spans="2:16" ht="17.399999999999999" thickBot="1" x14ac:dyDescent="0.45">
      <c r="F3643" s="128"/>
      <c r="G3643" s="129"/>
      <c r="H3643" s="130"/>
      <c r="I3643" s="108"/>
      <c r="K3643" s="231"/>
      <c r="L3643" s="132">
        <f>L3642/I3594</f>
        <v>14.000000000000004</v>
      </c>
      <c r="M3643" s="133">
        <f>(K3642-L3643)*I3594</f>
        <v>-1.0302869668521453E-13</v>
      </c>
    </row>
    <row r="3644" spans="2:16" x14ac:dyDescent="0.4">
      <c r="F3644" s="128"/>
      <c r="G3644" s="129"/>
      <c r="H3644" s="130"/>
      <c r="I3644" s="108"/>
      <c r="K3644" s="232"/>
      <c r="L3644" s="131"/>
      <c r="M3644" s="134"/>
      <c r="N3644" s="135"/>
    </row>
    <row r="3645" spans="2:16" ht="17.399999999999999" thickBot="1" x14ac:dyDescent="0.45">
      <c r="B3645" s="295"/>
      <c r="C3645" s="295"/>
      <c r="D3645" s="295"/>
    </row>
    <row r="3646" spans="2:16" x14ac:dyDescent="0.4">
      <c r="B3646" s="296" t="s">
        <v>23</v>
      </c>
      <c r="C3646" s="296"/>
      <c r="D3646" s="296"/>
    </row>
    <row r="3647" spans="2:16" x14ac:dyDescent="0.4">
      <c r="B3647" s="157"/>
      <c r="C3647" s="157"/>
      <c r="D3647" s="157"/>
    </row>
    <row r="3649" spans="1:16" x14ac:dyDescent="0.4">
      <c r="B3649" s="105" t="s">
        <v>43</v>
      </c>
      <c r="C3649" s="106"/>
      <c r="D3649" s="311" t="s">
        <v>1</v>
      </c>
      <c r="E3649" s="311"/>
      <c r="F3649" s="311"/>
      <c r="G3649" s="311"/>
      <c r="H3649" s="106"/>
      <c r="I3649" s="107" t="s">
        <v>2</v>
      </c>
      <c r="J3649" s="136"/>
      <c r="K3649" s="107" t="s">
        <v>3</v>
      </c>
    </row>
    <row r="3650" spans="1:16" s="4" customFormat="1" ht="30.75" customHeight="1" x14ac:dyDescent="0.3">
      <c r="A3650" s="31"/>
      <c r="B3650" s="213">
        <f>CATALOGO!B94</f>
        <v>115.02</v>
      </c>
      <c r="C3650" s="71"/>
      <c r="D3650" s="324" t="str">
        <f>CATALOGO!C94</f>
        <v>DESMONTAJE DE PUERTA DE METAL (UNA HOJA)</v>
      </c>
      <c r="E3650" s="324"/>
      <c r="F3650" s="324"/>
      <c r="G3650" s="324"/>
      <c r="H3650" s="71"/>
      <c r="I3650" s="213">
        <f>CATALOGO!D94</f>
        <v>3</v>
      </c>
      <c r="J3650" s="109"/>
      <c r="K3650" s="227" t="str">
        <f>CATALOGO!E94</f>
        <v>Unidad</v>
      </c>
      <c r="L3650" s="71"/>
      <c r="M3650" s="71"/>
      <c r="N3650" s="104"/>
      <c r="O3650" s="37"/>
      <c r="P3650" s="37"/>
    </row>
    <row r="3651" spans="1:16" ht="17.399999999999999" thickBot="1" x14ac:dyDescent="0.45"/>
    <row r="3652" spans="1:16" ht="17.399999999999999" thickBot="1" x14ac:dyDescent="0.45">
      <c r="B3652" s="110" t="s">
        <v>4</v>
      </c>
      <c r="C3652" s="300" t="s">
        <v>5</v>
      </c>
      <c r="D3652" s="300"/>
      <c r="E3652" s="300"/>
      <c r="F3652" s="300"/>
      <c r="G3652" s="301"/>
    </row>
    <row r="3653" spans="1:16" x14ac:dyDescent="0.3">
      <c r="B3653" s="111" t="s">
        <v>6</v>
      </c>
      <c r="C3653" s="313" t="s">
        <v>1</v>
      </c>
      <c r="D3653" s="314"/>
      <c r="E3653" s="112" t="s">
        <v>193</v>
      </c>
      <c r="F3653" s="113" t="s">
        <v>2</v>
      </c>
      <c r="G3653" s="114" t="s">
        <v>3</v>
      </c>
      <c r="H3653" s="106"/>
      <c r="I3653" s="107" t="s">
        <v>7</v>
      </c>
      <c r="J3653" s="136"/>
      <c r="K3653" s="228" t="s">
        <v>8</v>
      </c>
      <c r="L3653" s="115" t="s">
        <v>194</v>
      </c>
      <c r="O3653" s="323"/>
      <c r="P3653" s="323"/>
    </row>
    <row r="3654" spans="1:16" ht="16.5" customHeight="1" x14ac:dyDescent="0.3">
      <c r="B3654" s="122"/>
      <c r="C3654" s="315"/>
      <c r="D3654" s="316"/>
      <c r="E3654" s="116"/>
      <c r="F3654" s="83"/>
      <c r="G3654" s="74"/>
      <c r="I3654" s="117">
        <f>IF(C3654=0,0,VLOOKUP(C3654,Tabla1[],3,FALSE))</f>
        <v>0</v>
      </c>
      <c r="K3654" s="84">
        <f>F3654*I3654</f>
        <v>0</v>
      </c>
      <c r="L3654" s="118">
        <f t="shared" ref="L3654:L3663" si="556">E3654*I3654</f>
        <v>0</v>
      </c>
      <c r="O3654" s="44"/>
      <c r="P3654" s="45"/>
    </row>
    <row r="3655" spans="1:16" x14ac:dyDescent="0.3">
      <c r="B3655" s="122"/>
      <c r="C3655" s="315"/>
      <c r="D3655" s="316"/>
      <c r="E3655" s="116"/>
      <c r="F3655" s="83"/>
      <c r="G3655" s="74"/>
      <c r="I3655" s="117">
        <f>IF(C3655=0,0,VLOOKUP(C3655,Tabla1[],3,FALSE))</f>
        <v>0</v>
      </c>
      <c r="K3655" s="84">
        <f t="shared" ref="K3655:K3656" si="557">+F3655*I3655</f>
        <v>0</v>
      </c>
      <c r="L3655" s="118">
        <f t="shared" si="556"/>
        <v>0</v>
      </c>
      <c r="O3655" s="44"/>
      <c r="P3655" s="47"/>
    </row>
    <row r="3656" spans="1:16" x14ac:dyDescent="0.4">
      <c r="B3656" s="122"/>
      <c r="C3656" s="315"/>
      <c r="D3656" s="316"/>
      <c r="E3656" s="116"/>
      <c r="F3656" s="83"/>
      <c r="G3656" s="74"/>
      <c r="I3656" s="117">
        <f>IF(C3656=0,0,VLOOKUP(C3656,Tabla1[],3,FALSE))</f>
        <v>0</v>
      </c>
      <c r="K3656" s="84">
        <f t="shared" si="557"/>
        <v>0</v>
      </c>
      <c r="L3656" s="118">
        <f t="shared" si="556"/>
        <v>0</v>
      </c>
      <c r="O3656" s="48"/>
      <c r="P3656" s="49"/>
    </row>
    <row r="3657" spans="1:16" ht="16.5" customHeight="1" x14ac:dyDescent="0.3">
      <c r="B3657" s="122"/>
      <c r="C3657" s="315"/>
      <c r="D3657" s="316"/>
      <c r="E3657" s="116"/>
      <c r="F3657" s="83"/>
      <c r="G3657" s="74"/>
      <c r="I3657" s="117">
        <f>IF(C3657=0,0,VLOOKUP(C3657,Tabla1[],3,FALSE))</f>
        <v>0</v>
      </c>
      <c r="K3657" s="84">
        <f>F3657*I3657</f>
        <v>0</v>
      </c>
      <c r="L3657" s="118">
        <f t="shared" si="556"/>
        <v>0</v>
      </c>
      <c r="O3657" s="44"/>
      <c r="P3657" s="45"/>
    </row>
    <row r="3658" spans="1:16" ht="16.5" customHeight="1" x14ac:dyDescent="0.3">
      <c r="B3658" s="122"/>
      <c r="C3658" s="315"/>
      <c r="D3658" s="316"/>
      <c r="E3658" s="116"/>
      <c r="F3658" s="83"/>
      <c r="G3658" s="74"/>
      <c r="I3658" s="117">
        <f>IF(C3658=0,0,VLOOKUP(C3658,Tabla1[],3,FALSE))</f>
        <v>0</v>
      </c>
      <c r="K3658" s="84">
        <f t="shared" ref="K3658:K3663" si="558">+F3658*I3658</f>
        <v>0</v>
      </c>
      <c r="L3658" s="118">
        <f t="shared" si="556"/>
        <v>0</v>
      </c>
      <c r="O3658" s="44"/>
      <c r="P3658" s="46"/>
    </row>
    <row r="3659" spans="1:16" x14ac:dyDescent="0.3">
      <c r="B3659" s="122"/>
      <c r="C3659" s="315"/>
      <c r="D3659" s="316"/>
      <c r="E3659" s="116"/>
      <c r="F3659" s="83"/>
      <c r="G3659" s="74"/>
      <c r="I3659" s="117">
        <f>IF(C3659=0,0,VLOOKUP(C3659,Tabla1[],3,FALSE))</f>
        <v>0</v>
      </c>
      <c r="K3659" s="84">
        <f t="shared" si="558"/>
        <v>0</v>
      </c>
      <c r="L3659" s="118">
        <f t="shared" si="556"/>
        <v>0</v>
      </c>
      <c r="O3659" s="44"/>
      <c r="P3659" s="46"/>
    </row>
    <row r="3660" spans="1:16" x14ac:dyDescent="0.4">
      <c r="B3660" s="122"/>
      <c r="C3660" s="315"/>
      <c r="D3660" s="316"/>
      <c r="E3660" s="116"/>
      <c r="F3660" s="83"/>
      <c r="G3660" s="74"/>
      <c r="I3660" s="117">
        <f>IF(C3660=0,0,VLOOKUP(C3660,Tabla1[],3,FALSE))</f>
        <v>0</v>
      </c>
      <c r="K3660" s="84">
        <f t="shared" si="558"/>
        <v>0</v>
      </c>
      <c r="L3660" s="118">
        <f t="shared" si="556"/>
        <v>0</v>
      </c>
      <c r="O3660" s="48"/>
      <c r="P3660" s="49"/>
    </row>
    <row r="3661" spans="1:16" x14ac:dyDescent="0.4">
      <c r="B3661" s="122"/>
      <c r="C3661" s="319"/>
      <c r="D3661" s="318"/>
      <c r="E3661" s="116"/>
      <c r="F3661" s="83"/>
      <c r="G3661" s="74"/>
      <c r="I3661" s="117">
        <f>IF(C3661=0,0,VLOOKUP(C3661,Tabla1[],3,FALSE))</f>
        <v>0</v>
      </c>
      <c r="K3661" s="84">
        <f t="shared" si="558"/>
        <v>0</v>
      </c>
      <c r="L3661" s="118">
        <f t="shared" si="556"/>
        <v>0</v>
      </c>
      <c r="O3661" s="48"/>
      <c r="P3661" s="49"/>
    </row>
    <row r="3662" spans="1:16" x14ac:dyDescent="0.4">
      <c r="B3662" s="122"/>
      <c r="C3662" s="319"/>
      <c r="D3662" s="318"/>
      <c r="E3662" s="116"/>
      <c r="F3662" s="83"/>
      <c r="G3662" s="74"/>
      <c r="I3662" s="117">
        <f>IF(C3662=0,0,VLOOKUP(C3662,Tabla1[],3,FALSE))</f>
        <v>0</v>
      </c>
      <c r="K3662" s="84">
        <f t="shared" si="558"/>
        <v>0</v>
      </c>
      <c r="L3662" s="118">
        <f t="shared" si="556"/>
        <v>0</v>
      </c>
      <c r="O3662" s="48"/>
      <c r="P3662" s="49"/>
    </row>
    <row r="3663" spans="1:16" x14ac:dyDescent="0.4">
      <c r="B3663" s="122"/>
      <c r="C3663" s="319"/>
      <c r="D3663" s="318"/>
      <c r="E3663" s="116"/>
      <c r="F3663" s="83"/>
      <c r="G3663" s="74"/>
      <c r="I3663" s="117">
        <f>IF(C3663=0,0,VLOOKUP(C3663,Tabla1[],3,FALSE))</f>
        <v>0</v>
      </c>
      <c r="K3663" s="84">
        <f t="shared" si="558"/>
        <v>0</v>
      </c>
      <c r="L3663" s="118">
        <f t="shared" si="556"/>
        <v>0</v>
      </c>
      <c r="O3663" s="48"/>
      <c r="P3663" s="49"/>
    </row>
    <row r="3664" spans="1:16" ht="17.399999999999999" thickBot="1" x14ac:dyDescent="0.45"/>
    <row r="3665" spans="2:16" ht="17.399999999999999" thickBot="1" x14ac:dyDescent="0.35">
      <c r="F3665" s="292" t="s">
        <v>9</v>
      </c>
      <c r="G3665" s="293"/>
      <c r="H3665" s="293"/>
      <c r="I3665" s="294"/>
      <c r="K3665" s="229">
        <f>+SUM(K3654:K3663)</f>
        <v>0</v>
      </c>
      <c r="L3665" s="119">
        <f>+SUM(L3654:L3663)</f>
        <v>0</v>
      </c>
      <c r="O3665" s="38"/>
      <c r="P3665" s="38"/>
    </row>
    <row r="3666" spans="2:16" ht="17.399999999999999" thickBot="1" x14ac:dyDescent="0.45">
      <c r="O3666" s="42"/>
      <c r="P3666" s="43"/>
    </row>
    <row r="3667" spans="2:16" ht="17.399999999999999" thickBot="1" x14ac:dyDescent="0.45">
      <c r="B3667" s="110" t="s">
        <v>10</v>
      </c>
      <c r="C3667" s="300" t="s">
        <v>11</v>
      </c>
      <c r="D3667" s="300"/>
      <c r="E3667" s="300"/>
      <c r="F3667" s="300"/>
      <c r="G3667" s="301"/>
    </row>
    <row r="3668" spans="2:16" x14ac:dyDescent="0.4">
      <c r="B3668" s="114" t="s">
        <v>6</v>
      </c>
      <c r="C3668" s="302" t="s">
        <v>1</v>
      </c>
      <c r="D3668" s="303"/>
      <c r="E3668" s="112" t="s">
        <v>193</v>
      </c>
      <c r="F3668" s="120" t="s">
        <v>2</v>
      </c>
      <c r="G3668" s="114" t="s">
        <v>3</v>
      </c>
      <c r="H3668" s="106"/>
      <c r="I3668" s="107" t="s">
        <v>7</v>
      </c>
      <c r="J3668" s="136"/>
      <c r="K3668" s="107" t="s">
        <v>8</v>
      </c>
      <c r="L3668" s="115" t="s">
        <v>194</v>
      </c>
    </row>
    <row r="3669" spans="2:16" x14ac:dyDescent="0.4">
      <c r="B3669" s="122"/>
      <c r="C3669" s="306"/>
      <c r="D3669" s="306"/>
      <c r="E3669" s="116"/>
      <c r="F3669" s="83"/>
      <c r="G3669" s="74"/>
      <c r="I3669" s="117">
        <f>IF(C3669=0,0,VLOOKUP(C3669,Tabla1[],3,FALSE))</f>
        <v>0</v>
      </c>
      <c r="K3669" s="84">
        <f>F3669*I3669</f>
        <v>0</v>
      </c>
      <c r="L3669" s="118">
        <f>E3669*I3669</f>
        <v>0</v>
      </c>
    </row>
    <row r="3670" spans="2:16" x14ac:dyDescent="0.4">
      <c r="B3670" s="74"/>
      <c r="C3670" s="309"/>
      <c r="D3670" s="310"/>
      <c r="E3670" s="121"/>
      <c r="F3670" s="72"/>
      <c r="G3670" s="74"/>
      <c r="I3670" s="117">
        <f>IF(C3670=0,0,VLOOKUP(C3670,Tabla1[],3,FALSE))</f>
        <v>0</v>
      </c>
      <c r="K3670" s="84">
        <f t="shared" ref="K3670:K3672" si="559">+F3670*I3670</f>
        <v>0</v>
      </c>
      <c r="L3670" s="118">
        <f t="shared" ref="L3670:L3672" si="560">E3670*I3670</f>
        <v>0</v>
      </c>
    </row>
    <row r="3671" spans="2:16" x14ac:dyDescent="0.4">
      <c r="B3671" s="74"/>
      <c r="C3671" s="309"/>
      <c r="D3671" s="310"/>
      <c r="E3671" s="121"/>
      <c r="F3671" s="72"/>
      <c r="G3671" s="74"/>
      <c r="I3671" s="117">
        <f>IF(C3671=0,0,VLOOKUP(C3671,Tabla1[],3,FALSE))</f>
        <v>0</v>
      </c>
      <c r="K3671" s="84">
        <f t="shared" si="559"/>
        <v>0</v>
      </c>
      <c r="L3671" s="118">
        <f t="shared" si="560"/>
        <v>0</v>
      </c>
    </row>
    <row r="3672" spans="2:16" x14ac:dyDescent="0.4">
      <c r="B3672" s="74"/>
      <c r="C3672" s="304"/>
      <c r="D3672" s="305"/>
      <c r="E3672" s="121"/>
      <c r="F3672" s="72"/>
      <c r="G3672" s="74"/>
      <c r="I3672" s="117">
        <f>IF(C3672=0,0,VLOOKUP(C3672,Tabla1[],3,FALSE))</f>
        <v>0</v>
      </c>
      <c r="K3672" s="84">
        <f t="shared" si="559"/>
        <v>0</v>
      </c>
      <c r="L3672" s="118">
        <f t="shared" si="560"/>
        <v>0</v>
      </c>
    </row>
    <row r="3673" spans="2:16" ht="17.399999999999999" thickBot="1" x14ac:dyDescent="0.45"/>
    <row r="3674" spans="2:16" ht="17.399999999999999" thickBot="1" x14ac:dyDescent="0.45">
      <c r="F3674" s="292" t="s">
        <v>12</v>
      </c>
      <c r="G3674" s="293"/>
      <c r="H3674" s="293"/>
      <c r="I3674" s="294"/>
      <c r="K3674" s="229">
        <f>+SUM(K3669:K3672)</f>
        <v>0</v>
      </c>
      <c r="L3674" s="119">
        <f>+SUM(L3669:L3672)</f>
        <v>0</v>
      </c>
    </row>
    <row r="3675" spans="2:16" ht="17.399999999999999" thickBot="1" x14ac:dyDescent="0.45"/>
    <row r="3676" spans="2:16" ht="17.399999999999999" thickBot="1" x14ac:dyDescent="0.45">
      <c r="B3676" s="110" t="s">
        <v>13</v>
      </c>
      <c r="C3676" s="300" t="s">
        <v>14</v>
      </c>
      <c r="D3676" s="300"/>
      <c r="E3676" s="300"/>
      <c r="F3676" s="300"/>
      <c r="G3676" s="301"/>
    </row>
    <row r="3677" spans="2:16" x14ac:dyDescent="0.4">
      <c r="B3677" s="114" t="s">
        <v>6</v>
      </c>
      <c r="C3677" s="302" t="s">
        <v>1</v>
      </c>
      <c r="D3677" s="303"/>
      <c r="E3677" s="112" t="s">
        <v>193</v>
      </c>
      <c r="F3677" s="120" t="s">
        <v>2</v>
      </c>
      <c r="G3677" s="114" t="s">
        <v>3</v>
      </c>
      <c r="H3677" s="106"/>
      <c r="I3677" s="107" t="s">
        <v>7</v>
      </c>
      <c r="J3677" s="136"/>
      <c r="K3677" s="107" t="s">
        <v>8</v>
      </c>
      <c r="L3677" s="115" t="s">
        <v>194</v>
      </c>
    </row>
    <row r="3678" spans="2:16" x14ac:dyDescent="0.4">
      <c r="B3678" s="122">
        <v>1</v>
      </c>
      <c r="C3678" s="306" t="s">
        <v>394</v>
      </c>
      <c r="D3678" s="306"/>
      <c r="E3678" s="116">
        <f>I3650</f>
        <v>3</v>
      </c>
      <c r="F3678" s="83">
        <f>ROUND(E3678/I3650,2)</f>
        <v>1</v>
      </c>
      <c r="G3678" s="74" t="str">
        <f>IF(C3678=0,0,VLOOKUP(C3678,Tabla2[],2,FALSE))</f>
        <v>Unidad</v>
      </c>
      <c r="I3678" s="117">
        <f>IF(C3678=0,0,VLOOKUP(C3678,Tabla2[],3,FALSE))</f>
        <v>220</v>
      </c>
      <c r="K3678" s="84">
        <f>+F3678*I3678</f>
        <v>220</v>
      </c>
      <c r="L3678" s="118">
        <f>E3678*I3678</f>
        <v>660</v>
      </c>
    </row>
    <row r="3679" spans="2:16" x14ac:dyDescent="0.4">
      <c r="B3679" s="122"/>
      <c r="C3679" s="306"/>
      <c r="D3679" s="306"/>
      <c r="E3679" s="116"/>
      <c r="F3679" s="83"/>
      <c r="G3679" s="74"/>
      <c r="I3679" s="117">
        <f>IF(C3679=0,0,VLOOKUP(C3679,Tabla2[],3,FALSE))</f>
        <v>0</v>
      </c>
      <c r="K3679" s="84">
        <f>+F3679*I3679</f>
        <v>0</v>
      </c>
      <c r="L3679" s="118">
        <f>E3679*I3679</f>
        <v>0</v>
      </c>
    </row>
    <row r="3680" spans="2:16" ht="17.399999999999999" thickBot="1" x14ac:dyDescent="0.45">
      <c r="B3680" s="123"/>
      <c r="C3680" s="307"/>
      <c r="D3680" s="308"/>
      <c r="E3680" s="124"/>
      <c r="F3680" s="125"/>
      <c r="G3680" s="74"/>
      <c r="I3680" s="117">
        <f>IF(C3680=0,0,VLOOKUP(C3680,Tabla2[],3,FALSE))</f>
        <v>0</v>
      </c>
      <c r="K3680" s="84">
        <f t="shared" ref="K3680" si="561">+F3680*I3680</f>
        <v>0</v>
      </c>
      <c r="L3680" s="118">
        <f t="shared" ref="L3680:L3681" si="562">E3680*I3680</f>
        <v>0</v>
      </c>
    </row>
    <row r="3681" spans="2:16" ht="17.399999999999999" thickBot="1" x14ac:dyDescent="0.45">
      <c r="B3681" s="297" t="s">
        <v>15</v>
      </c>
      <c r="C3681" s="298"/>
      <c r="D3681" s="298"/>
      <c r="E3681" s="298"/>
      <c r="F3681" s="298"/>
      <c r="G3681" s="299"/>
      <c r="I3681" s="117">
        <f>IF(C3681=0,0,VLOOKUP(C3681,Tabla2[],3,FALSE))</f>
        <v>0</v>
      </c>
      <c r="K3681" s="84">
        <v>0</v>
      </c>
      <c r="L3681" s="118">
        <f t="shared" si="562"/>
        <v>0</v>
      </c>
    </row>
    <row r="3682" spans="2:16" ht="17.399999999999999" thickBot="1" x14ac:dyDescent="0.45"/>
    <row r="3683" spans="2:16" ht="17.399999999999999" thickBot="1" x14ac:dyDescent="0.45">
      <c r="F3683" s="292" t="s">
        <v>16</v>
      </c>
      <c r="G3683" s="293"/>
      <c r="H3683" s="293"/>
      <c r="I3683" s="294"/>
      <c r="K3683" s="229">
        <f>+SUM(K3678:K3681)</f>
        <v>220</v>
      </c>
      <c r="L3683" s="119">
        <f>+SUM(L3678:L3681)</f>
        <v>660</v>
      </c>
    </row>
    <row r="3684" spans="2:16" ht="17.399999999999999" thickBot="1" x14ac:dyDescent="0.45"/>
    <row r="3685" spans="2:16" ht="17.399999999999999" thickBot="1" x14ac:dyDescent="0.45">
      <c r="B3685" s="110" t="s">
        <v>17</v>
      </c>
      <c r="C3685" s="300" t="s">
        <v>18</v>
      </c>
      <c r="D3685" s="300"/>
      <c r="E3685" s="300"/>
      <c r="F3685" s="300"/>
      <c r="G3685" s="301"/>
    </row>
    <row r="3686" spans="2:16" x14ac:dyDescent="0.4">
      <c r="B3686" s="114" t="s">
        <v>6</v>
      </c>
      <c r="C3686" s="302" t="s">
        <v>1</v>
      </c>
      <c r="D3686" s="303"/>
      <c r="E3686" s="126"/>
      <c r="F3686" s="120" t="s">
        <v>2</v>
      </c>
      <c r="G3686" s="114" t="s">
        <v>3</v>
      </c>
      <c r="H3686" s="106"/>
      <c r="I3686" s="107" t="s">
        <v>7</v>
      </c>
      <c r="J3686" s="136"/>
      <c r="K3686" s="107" t="s">
        <v>8</v>
      </c>
      <c r="L3686" s="115" t="s">
        <v>194</v>
      </c>
    </row>
    <row r="3687" spans="2:16" x14ac:dyDescent="0.4">
      <c r="B3687" s="74"/>
      <c r="C3687" s="304"/>
      <c r="D3687" s="305"/>
      <c r="E3687" s="127"/>
      <c r="F3687" s="72"/>
      <c r="G3687" s="74"/>
      <c r="I3687" s="84">
        <v>0</v>
      </c>
      <c r="K3687" s="84">
        <f>+F3687*I3687</f>
        <v>0</v>
      </c>
      <c r="L3687" s="118">
        <f>E3687*I3687</f>
        <v>0</v>
      </c>
    </row>
    <row r="3688" spans="2:16" x14ac:dyDescent="0.4">
      <c r="B3688" s="74"/>
      <c r="C3688" s="304"/>
      <c r="D3688" s="305"/>
      <c r="E3688" s="127"/>
      <c r="F3688" s="72"/>
      <c r="G3688" s="74"/>
      <c r="I3688" s="84">
        <v>0</v>
      </c>
      <c r="K3688" s="84">
        <f t="shared" ref="K3688:K3689" si="563">+F3688*I3688</f>
        <v>0</v>
      </c>
      <c r="L3688" s="118">
        <f t="shared" ref="L3688:L3689" si="564">E3688*I3688</f>
        <v>0</v>
      </c>
    </row>
    <row r="3689" spans="2:16" x14ac:dyDescent="0.4">
      <c r="B3689" s="74"/>
      <c r="C3689" s="304"/>
      <c r="D3689" s="305"/>
      <c r="E3689" s="127"/>
      <c r="F3689" s="72"/>
      <c r="G3689" s="74"/>
      <c r="I3689" s="84">
        <v>0</v>
      </c>
      <c r="K3689" s="84">
        <f t="shared" si="563"/>
        <v>0</v>
      </c>
      <c r="L3689" s="118">
        <f t="shared" si="564"/>
        <v>0</v>
      </c>
    </row>
    <row r="3690" spans="2:16" ht="17.399999999999999" thickBot="1" x14ac:dyDescent="0.45">
      <c r="L3690" s="118"/>
    </row>
    <row r="3691" spans="2:16" ht="17.399999999999999" thickBot="1" x14ac:dyDescent="0.45">
      <c r="F3691" s="292" t="s">
        <v>19</v>
      </c>
      <c r="G3691" s="293"/>
      <c r="H3691" s="293"/>
      <c r="I3691" s="294"/>
      <c r="K3691" s="229">
        <f>+SUM(K3687:K3689)</f>
        <v>0</v>
      </c>
      <c r="L3691" s="119">
        <f>+SUM(L3686:L3689)</f>
        <v>0</v>
      </c>
    </row>
    <row r="3692" spans="2:16" ht="15" customHeight="1" x14ac:dyDescent="0.4">
      <c r="F3692" s="128"/>
      <c r="G3692" s="129"/>
      <c r="H3692" s="130"/>
      <c r="I3692" s="108"/>
      <c r="K3692" s="230"/>
    </row>
    <row r="3693" spans="2:16" ht="15" customHeight="1" thickBot="1" x14ac:dyDescent="0.45"/>
    <row r="3694" spans="2:16" ht="17.399999999999999" thickBot="1" x14ac:dyDescent="0.45">
      <c r="F3694" s="292" t="s">
        <v>20</v>
      </c>
      <c r="G3694" s="293"/>
      <c r="H3694" s="293"/>
      <c r="I3694" s="294"/>
      <c r="K3694" s="229">
        <f>(+K3665+K3674+K3683+K3691)</f>
        <v>220</v>
      </c>
      <c r="L3694" s="119">
        <f>(+L3665+L3674+L3683+L3691)</f>
        <v>660</v>
      </c>
      <c r="N3694" s="131"/>
      <c r="O3694" s="39"/>
      <c r="P3694" s="40"/>
    </row>
    <row r="3695" spans="2:16" ht="7.5" customHeight="1" thickBot="1" x14ac:dyDescent="0.45">
      <c r="N3695" s="131"/>
      <c r="O3695" s="41"/>
      <c r="P3695" s="40"/>
    </row>
    <row r="3696" spans="2:16" ht="17.399999999999999" thickBot="1" x14ac:dyDescent="0.45">
      <c r="F3696" s="292" t="s">
        <v>21</v>
      </c>
      <c r="G3696" s="293"/>
      <c r="H3696" s="293"/>
      <c r="I3696" s="294"/>
      <c r="K3696" s="229">
        <f>K3694*$N$2</f>
        <v>88</v>
      </c>
      <c r="L3696" s="119">
        <f>L3694*$N$2</f>
        <v>264</v>
      </c>
    </row>
    <row r="3697" spans="1:16" ht="7.5" customHeight="1" thickBot="1" x14ac:dyDescent="0.45"/>
    <row r="3698" spans="1:16" ht="17.399999999999999" thickBot="1" x14ac:dyDescent="0.45">
      <c r="F3698" s="292" t="s">
        <v>22</v>
      </c>
      <c r="G3698" s="293"/>
      <c r="H3698" s="293"/>
      <c r="I3698" s="294"/>
      <c r="K3698" s="229">
        <f>+K3694+K3696</f>
        <v>308</v>
      </c>
      <c r="L3698" s="119">
        <f>+L3694+L3696</f>
        <v>924</v>
      </c>
    </row>
    <row r="3699" spans="1:16" ht="17.399999999999999" thickBot="1" x14ac:dyDescent="0.45">
      <c r="F3699" s="128"/>
      <c r="G3699" s="129"/>
      <c r="H3699" s="130"/>
      <c r="I3699" s="108"/>
      <c r="K3699" s="231"/>
      <c r="L3699" s="132">
        <f>L3698/I3650</f>
        <v>308</v>
      </c>
      <c r="M3699" s="133">
        <f>(K3698-L3699)*I3650</f>
        <v>0</v>
      </c>
    </row>
    <row r="3700" spans="1:16" x14ac:dyDescent="0.4">
      <c r="F3700" s="128"/>
      <c r="G3700" s="129"/>
      <c r="H3700" s="130"/>
      <c r="I3700" s="108"/>
      <c r="K3700" s="232"/>
      <c r="L3700" s="131"/>
      <c r="M3700" s="134"/>
      <c r="N3700" s="135"/>
    </row>
    <row r="3701" spans="1:16" ht="17.399999999999999" thickBot="1" x14ac:dyDescent="0.45">
      <c r="B3701" s="295"/>
      <c r="C3701" s="295"/>
      <c r="D3701" s="295"/>
    </row>
    <row r="3702" spans="1:16" x14ac:dyDescent="0.4">
      <c r="B3702" s="296" t="s">
        <v>23</v>
      </c>
      <c r="C3702" s="296"/>
      <c r="D3702" s="296"/>
    </row>
    <row r="3705" spans="1:16" x14ac:dyDescent="0.4">
      <c r="B3705" s="105" t="s">
        <v>43</v>
      </c>
      <c r="C3705" s="106"/>
      <c r="D3705" s="311" t="s">
        <v>1</v>
      </c>
      <c r="E3705" s="311"/>
      <c r="F3705" s="311"/>
      <c r="G3705" s="311"/>
      <c r="H3705" s="106"/>
      <c r="I3705" s="107" t="s">
        <v>2</v>
      </c>
      <c r="J3705" s="136"/>
      <c r="K3705" s="107" t="s">
        <v>3</v>
      </c>
    </row>
    <row r="3706" spans="1:16" s="4" customFormat="1" ht="30.75" customHeight="1" x14ac:dyDescent="0.3">
      <c r="A3706" s="31"/>
      <c r="B3706" s="213">
        <f>CATALOGO!B96</f>
        <v>508.01</v>
      </c>
      <c r="C3706" s="71"/>
      <c r="D3706" s="324" t="str">
        <f>CATALOGO!C96</f>
        <v>CUBIERTA TIPO PANEL SÁDWICH (T=1.5", LÁMINA CAL 26)</v>
      </c>
      <c r="E3706" s="324"/>
      <c r="F3706" s="324"/>
      <c r="G3706" s="324"/>
      <c r="H3706" s="71"/>
      <c r="I3706" s="213">
        <f>CATALOGO!D96</f>
        <v>21</v>
      </c>
      <c r="J3706" s="109"/>
      <c r="K3706" s="227" t="str">
        <f>CATALOGO!E96</f>
        <v>m²</v>
      </c>
      <c r="L3706" s="71"/>
      <c r="M3706" s="71"/>
      <c r="N3706" s="104"/>
      <c r="O3706" s="37"/>
      <c r="P3706" s="37"/>
    </row>
    <row r="3707" spans="1:16" ht="17.399999999999999" thickBot="1" x14ac:dyDescent="0.45"/>
    <row r="3708" spans="1:16" ht="17.399999999999999" thickBot="1" x14ac:dyDescent="0.45">
      <c r="B3708" s="110" t="s">
        <v>4</v>
      </c>
      <c r="C3708" s="300" t="s">
        <v>5</v>
      </c>
      <c r="D3708" s="300"/>
      <c r="E3708" s="300"/>
      <c r="F3708" s="300"/>
      <c r="G3708" s="301"/>
    </row>
    <row r="3709" spans="1:16" x14ac:dyDescent="0.3">
      <c r="B3709" s="111" t="s">
        <v>6</v>
      </c>
      <c r="C3709" s="313" t="s">
        <v>1</v>
      </c>
      <c r="D3709" s="314"/>
      <c r="E3709" s="112" t="s">
        <v>193</v>
      </c>
      <c r="F3709" s="113" t="s">
        <v>2</v>
      </c>
      <c r="G3709" s="114" t="s">
        <v>3</v>
      </c>
      <c r="H3709" s="106"/>
      <c r="I3709" s="107" t="s">
        <v>7</v>
      </c>
      <c r="J3709" s="136"/>
      <c r="K3709" s="228" t="s">
        <v>8</v>
      </c>
      <c r="L3709" s="115" t="s">
        <v>194</v>
      </c>
      <c r="O3709" s="323"/>
      <c r="P3709" s="323"/>
    </row>
    <row r="3710" spans="1:16" ht="16.5" customHeight="1" x14ac:dyDescent="0.3">
      <c r="B3710" s="122">
        <v>1</v>
      </c>
      <c r="C3710" s="315" t="s">
        <v>596</v>
      </c>
      <c r="D3710" s="316"/>
      <c r="E3710" s="116">
        <f>I3706*0.9</f>
        <v>18.900000000000002</v>
      </c>
      <c r="F3710" s="83">
        <f>ROUND(E3710/I3706,2)</f>
        <v>0.9</v>
      </c>
      <c r="G3710" s="74" t="str">
        <f>IF(C3710=0,0,VLOOKUP(C3710,Tabla1[],2,FALSE))</f>
        <v>m²</v>
      </c>
      <c r="I3710" s="117">
        <f>IF(C3710=0,0,VLOOKUP(C3710,Tabla1[],3,FALSE))</f>
        <v>250</v>
      </c>
      <c r="K3710" s="84">
        <f>F3710*I3710</f>
        <v>225</v>
      </c>
      <c r="L3710" s="118">
        <f t="shared" ref="L3710:L3719" si="565">E3710*I3710</f>
        <v>4725.0000000000009</v>
      </c>
      <c r="O3710" s="44"/>
      <c r="P3710" s="45"/>
    </row>
    <row r="3711" spans="1:16" x14ac:dyDescent="0.3">
      <c r="B3711" s="122">
        <v>2</v>
      </c>
      <c r="C3711" s="315" t="s">
        <v>597</v>
      </c>
      <c r="D3711" s="316"/>
      <c r="E3711" s="116">
        <f>I3706*0.52</f>
        <v>10.92</v>
      </c>
      <c r="F3711" s="83">
        <f>ROUND(E3711/I3706,2)</f>
        <v>0.52</v>
      </c>
      <c r="G3711" s="74" t="str">
        <f>IF(C3711=0,0,VLOOKUP(C3711,Tabla1[],2,FALSE))</f>
        <v>ml</v>
      </c>
      <c r="I3711" s="117">
        <f>IF(C3711=0,0,VLOOKUP(C3711,Tabla1[],3,FALSE))</f>
        <v>45</v>
      </c>
      <c r="K3711" s="84">
        <f t="shared" ref="K3711:K3712" si="566">+F3711*I3711</f>
        <v>23.400000000000002</v>
      </c>
      <c r="L3711" s="118">
        <f t="shared" si="565"/>
        <v>491.4</v>
      </c>
      <c r="O3711" s="44"/>
      <c r="P3711" s="47"/>
    </row>
    <row r="3712" spans="1:16" x14ac:dyDescent="0.4">
      <c r="B3712" s="122">
        <v>3</v>
      </c>
      <c r="C3712" s="315" t="s">
        <v>598</v>
      </c>
      <c r="D3712" s="316"/>
      <c r="E3712" s="116">
        <f>I3706*0.08</f>
        <v>1.68</v>
      </c>
      <c r="F3712" s="83">
        <f>ROUND(E3712/I3706,2)</f>
        <v>0.08</v>
      </c>
      <c r="G3712" s="74" t="str">
        <f>IF(C3712=0,0,VLOOKUP(C3712,Tabla1[],2,FALSE))</f>
        <v>Unidad</v>
      </c>
      <c r="I3712" s="117">
        <f>IF(C3712=0,0,VLOOKUP(C3712,Tabla1[],3,FALSE))</f>
        <v>20</v>
      </c>
      <c r="K3712" s="84">
        <f t="shared" si="566"/>
        <v>1.6</v>
      </c>
      <c r="L3712" s="118">
        <f t="shared" si="565"/>
        <v>33.6</v>
      </c>
      <c r="O3712" s="48"/>
      <c r="P3712" s="49"/>
    </row>
    <row r="3713" spans="2:16" ht="16.5" customHeight="1" x14ac:dyDescent="0.3">
      <c r="B3713" s="122"/>
      <c r="C3713" s="315"/>
      <c r="D3713" s="316"/>
      <c r="E3713" s="116"/>
      <c r="F3713" s="83"/>
      <c r="G3713" s="74"/>
      <c r="I3713" s="117">
        <f>IF(C3713=0,0,VLOOKUP(C3713,Tabla1[],3,FALSE))</f>
        <v>0</v>
      </c>
      <c r="K3713" s="84">
        <f>F3713*I3713</f>
        <v>0</v>
      </c>
      <c r="L3713" s="118">
        <f t="shared" si="565"/>
        <v>0</v>
      </c>
      <c r="O3713" s="44"/>
      <c r="P3713" s="45"/>
    </row>
    <row r="3714" spans="2:16" ht="16.5" customHeight="1" x14ac:dyDescent="0.3">
      <c r="B3714" s="122"/>
      <c r="C3714" s="315"/>
      <c r="D3714" s="316"/>
      <c r="E3714" s="116"/>
      <c r="F3714" s="83"/>
      <c r="G3714" s="74"/>
      <c r="I3714" s="117">
        <f>IF(C3714=0,0,VLOOKUP(C3714,Tabla1[],3,FALSE))</f>
        <v>0</v>
      </c>
      <c r="K3714" s="84">
        <f t="shared" ref="K3714:K3719" si="567">+F3714*I3714</f>
        <v>0</v>
      </c>
      <c r="L3714" s="118">
        <f t="shared" si="565"/>
        <v>0</v>
      </c>
      <c r="O3714" s="44"/>
      <c r="P3714" s="46"/>
    </row>
    <row r="3715" spans="2:16" x14ac:dyDescent="0.3">
      <c r="B3715" s="122"/>
      <c r="C3715" s="315"/>
      <c r="D3715" s="316"/>
      <c r="E3715" s="116"/>
      <c r="F3715" s="83"/>
      <c r="G3715" s="74"/>
      <c r="I3715" s="117">
        <f>IF(C3715=0,0,VLOOKUP(C3715,Tabla1[],3,FALSE))</f>
        <v>0</v>
      </c>
      <c r="K3715" s="84">
        <f t="shared" si="567"/>
        <v>0</v>
      </c>
      <c r="L3715" s="118">
        <f t="shared" si="565"/>
        <v>0</v>
      </c>
      <c r="O3715" s="44"/>
      <c r="P3715" s="46"/>
    </row>
    <row r="3716" spans="2:16" x14ac:dyDescent="0.4">
      <c r="B3716" s="122"/>
      <c r="C3716" s="315"/>
      <c r="D3716" s="316"/>
      <c r="E3716" s="116"/>
      <c r="F3716" s="83"/>
      <c r="G3716" s="74"/>
      <c r="I3716" s="117">
        <f>IF(C3716=0,0,VLOOKUP(C3716,Tabla1[],3,FALSE))</f>
        <v>0</v>
      </c>
      <c r="K3716" s="84">
        <f t="shared" si="567"/>
        <v>0</v>
      </c>
      <c r="L3716" s="118">
        <f t="shared" si="565"/>
        <v>0</v>
      </c>
      <c r="O3716" s="48"/>
      <c r="P3716" s="49"/>
    </row>
    <row r="3717" spans="2:16" x14ac:dyDescent="0.4">
      <c r="B3717" s="122"/>
      <c r="C3717" s="319"/>
      <c r="D3717" s="318"/>
      <c r="E3717" s="116"/>
      <c r="F3717" s="83"/>
      <c r="G3717" s="74"/>
      <c r="I3717" s="117">
        <f>IF(C3717=0,0,VLOOKUP(C3717,Tabla1[],3,FALSE))</f>
        <v>0</v>
      </c>
      <c r="K3717" s="84">
        <f t="shared" si="567"/>
        <v>0</v>
      </c>
      <c r="L3717" s="118">
        <f t="shared" si="565"/>
        <v>0</v>
      </c>
      <c r="O3717" s="48"/>
      <c r="P3717" s="49"/>
    </row>
    <row r="3718" spans="2:16" x14ac:dyDescent="0.4">
      <c r="B3718" s="122"/>
      <c r="C3718" s="319"/>
      <c r="D3718" s="318"/>
      <c r="E3718" s="116"/>
      <c r="F3718" s="83"/>
      <c r="G3718" s="74"/>
      <c r="I3718" s="117">
        <f>IF(C3718=0,0,VLOOKUP(C3718,Tabla1[],3,FALSE))</f>
        <v>0</v>
      </c>
      <c r="K3718" s="84">
        <f t="shared" si="567"/>
        <v>0</v>
      </c>
      <c r="L3718" s="118">
        <f t="shared" si="565"/>
        <v>0</v>
      </c>
      <c r="O3718" s="48"/>
      <c r="P3718" s="49"/>
    </row>
    <row r="3719" spans="2:16" x14ac:dyDescent="0.4">
      <c r="B3719" s="122"/>
      <c r="C3719" s="319"/>
      <c r="D3719" s="318"/>
      <c r="E3719" s="116"/>
      <c r="F3719" s="83"/>
      <c r="G3719" s="74"/>
      <c r="I3719" s="117">
        <f>IF(C3719=0,0,VLOOKUP(C3719,Tabla1[],3,FALSE))</f>
        <v>0</v>
      </c>
      <c r="K3719" s="84">
        <f t="shared" si="567"/>
        <v>0</v>
      </c>
      <c r="L3719" s="118">
        <f t="shared" si="565"/>
        <v>0</v>
      </c>
      <c r="O3719" s="48"/>
      <c r="P3719" s="49"/>
    </row>
    <row r="3720" spans="2:16" ht="17.399999999999999" thickBot="1" x14ac:dyDescent="0.45"/>
    <row r="3721" spans="2:16" ht="17.399999999999999" thickBot="1" x14ac:dyDescent="0.35">
      <c r="F3721" s="292" t="s">
        <v>9</v>
      </c>
      <c r="G3721" s="293"/>
      <c r="H3721" s="293"/>
      <c r="I3721" s="294"/>
      <c r="K3721" s="229">
        <f>+SUM(K3710:K3719)</f>
        <v>250</v>
      </c>
      <c r="L3721" s="119">
        <f>+SUM(L3710:L3719)</f>
        <v>5250.0000000000009</v>
      </c>
      <c r="O3721" s="38"/>
      <c r="P3721" s="38"/>
    </row>
    <row r="3722" spans="2:16" ht="17.399999999999999" thickBot="1" x14ac:dyDescent="0.45">
      <c r="O3722" s="42"/>
      <c r="P3722" s="43"/>
    </row>
    <row r="3723" spans="2:16" ht="17.399999999999999" thickBot="1" x14ac:dyDescent="0.45">
      <c r="B3723" s="110" t="s">
        <v>10</v>
      </c>
      <c r="C3723" s="300" t="s">
        <v>11</v>
      </c>
      <c r="D3723" s="300"/>
      <c r="E3723" s="300"/>
      <c r="F3723" s="300"/>
      <c r="G3723" s="301"/>
    </row>
    <row r="3724" spans="2:16" x14ac:dyDescent="0.4">
      <c r="B3724" s="114" t="s">
        <v>6</v>
      </c>
      <c r="C3724" s="302" t="s">
        <v>1</v>
      </c>
      <c r="D3724" s="303"/>
      <c r="E3724" s="112" t="s">
        <v>193</v>
      </c>
      <c r="F3724" s="120" t="s">
        <v>2</v>
      </c>
      <c r="G3724" s="114" t="s">
        <v>3</v>
      </c>
      <c r="H3724" s="106"/>
      <c r="I3724" s="107" t="s">
        <v>7</v>
      </c>
      <c r="J3724" s="136"/>
      <c r="K3724" s="107" t="s">
        <v>8</v>
      </c>
      <c r="L3724" s="115" t="s">
        <v>194</v>
      </c>
    </row>
    <row r="3725" spans="2:16" x14ac:dyDescent="0.4">
      <c r="B3725" s="122"/>
      <c r="C3725" s="306"/>
      <c r="D3725" s="306"/>
      <c r="E3725" s="116"/>
      <c r="F3725" s="83"/>
      <c r="G3725" s="74"/>
      <c r="I3725" s="117">
        <f>IF(C3725=0,0,VLOOKUP(C3725,Tabla1[],3,FALSE))</f>
        <v>0</v>
      </c>
      <c r="K3725" s="84">
        <f>F3725*I3725</f>
        <v>0</v>
      </c>
      <c r="L3725" s="118">
        <f>E3725*I3725</f>
        <v>0</v>
      </c>
    </row>
    <row r="3726" spans="2:16" x14ac:dyDescent="0.4">
      <c r="B3726" s="74"/>
      <c r="C3726" s="309"/>
      <c r="D3726" s="310"/>
      <c r="E3726" s="121"/>
      <c r="F3726" s="72"/>
      <c r="G3726" s="74"/>
      <c r="I3726" s="117">
        <f>IF(C3726=0,0,VLOOKUP(C3726,Tabla1[],3,FALSE))</f>
        <v>0</v>
      </c>
      <c r="K3726" s="84">
        <f t="shared" ref="K3726:K3728" si="568">+F3726*I3726</f>
        <v>0</v>
      </c>
      <c r="L3726" s="118">
        <f t="shared" ref="L3726:L3728" si="569">E3726*I3726</f>
        <v>0</v>
      </c>
    </row>
    <row r="3727" spans="2:16" x14ac:dyDescent="0.4">
      <c r="B3727" s="74"/>
      <c r="C3727" s="309"/>
      <c r="D3727" s="310"/>
      <c r="E3727" s="121"/>
      <c r="F3727" s="72"/>
      <c r="G3727" s="74"/>
      <c r="I3727" s="117">
        <f>IF(C3727=0,0,VLOOKUP(C3727,Tabla1[],3,FALSE))</f>
        <v>0</v>
      </c>
      <c r="K3727" s="84">
        <f t="shared" si="568"/>
        <v>0</v>
      </c>
      <c r="L3727" s="118">
        <f t="shared" si="569"/>
        <v>0</v>
      </c>
    </row>
    <row r="3728" spans="2:16" x14ac:dyDescent="0.4">
      <c r="B3728" s="74"/>
      <c r="C3728" s="304"/>
      <c r="D3728" s="305"/>
      <c r="E3728" s="121"/>
      <c r="F3728" s="72"/>
      <c r="G3728" s="74"/>
      <c r="I3728" s="117">
        <f>IF(C3728=0,0,VLOOKUP(C3728,Tabla1[],3,FALSE))</f>
        <v>0</v>
      </c>
      <c r="K3728" s="84">
        <f t="shared" si="568"/>
        <v>0</v>
      </c>
      <c r="L3728" s="118">
        <f t="shared" si="569"/>
        <v>0</v>
      </c>
    </row>
    <row r="3729" spans="2:12" ht="17.399999999999999" thickBot="1" x14ac:dyDescent="0.45"/>
    <row r="3730" spans="2:12" ht="17.399999999999999" thickBot="1" x14ac:dyDescent="0.45">
      <c r="F3730" s="292" t="s">
        <v>12</v>
      </c>
      <c r="G3730" s="293"/>
      <c r="H3730" s="293"/>
      <c r="I3730" s="294"/>
      <c r="K3730" s="229">
        <f>+SUM(K3725:K3728)</f>
        <v>0</v>
      </c>
      <c r="L3730" s="119">
        <f>+SUM(L3725:L3728)</f>
        <v>0</v>
      </c>
    </row>
    <row r="3731" spans="2:12" ht="17.399999999999999" thickBot="1" x14ac:dyDescent="0.45"/>
    <row r="3732" spans="2:12" ht="17.399999999999999" thickBot="1" x14ac:dyDescent="0.45">
      <c r="B3732" s="110" t="s">
        <v>13</v>
      </c>
      <c r="C3732" s="300" t="s">
        <v>14</v>
      </c>
      <c r="D3732" s="300"/>
      <c r="E3732" s="300"/>
      <c r="F3732" s="300"/>
      <c r="G3732" s="301"/>
    </row>
    <row r="3733" spans="2:12" x14ac:dyDescent="0.4">
      <c r="B3733" s="114" t="s">
        <v>6</v>
      </c>
      <c r="C3733" s="302" t="s">
        <v>1</v>
      </c>
      <c r="D3733" s="303"/>
      <c r="E3733" s="112" t="s">
        <v>193</v>
      </c>
      <c r="F3733" s="120" t="s">
        <v>2</v>
      </c>
      <c r="G3733" s="114" t="s">
        <v>3</v>
      </c>
      <c r="H3733" s="106"/>
      <c r="I3733" s="107" t="s">
        <v>7</v>
      </c>
      <c r="J3733" s="136"/>
      <c r="K3733" s="107" t="s">
        <v>8</v>
      </c>
      <c r="L3733" s="115" t="s">
        <v>194</v>
      </c>
    </row>
    <row r="3734" spans="2:12" x14ac:dyDescent="0.4">
      <c r="B3734" s="122">
        <v>1</v>
      </c>
      <c r="C3734" s="306" t="s">
        <v>599</v>
      </c>
      <c r="D3734" s="306"/>
      <c r="E3734" s="116">
        <f>I3706</f>
        <v>21</v>
      </c>
      <c r="F3734" s="83">
        <f>ROUND(E3734/I3706,2)</f>
        <v>1</v>
      </c>
      <c r="G3734" s="74" t="str">
        <f>IF(C3734=0,0,VLOOKUP(C3734,Tabla2[],2,FALSE))</f>
        <v>m²</v>
      </c>
      <c r="I3734" s="117">
        <f>IF(C3734=0,0,VLOOKUP(C3734,Tabla2[],3,FALSE))</f>
        <v>100</v>
      </c>
      <c r="K3734" s="84">
        <f>+F3734*I3734</f>
        <v>100</v>
      </c>
      <c r="L3734" s="118">
        <f>E3734*I3734</f>
        <v>2100</v>
      </c>
    </row>
    <row r="3735" spans="2:12" x14ac:dyDescent="0.4">
      <c r="B3735" s="122"/>
      <c r="C3735" s="306"/>
      <c r="D3735" s="306"/>
      <c r="E3735" s="116"/>
      <c r="F3735" s="83"/>
      <c r="G3735" s="74"/>
      <c r="I3735" s="117">
        <f>IF(C3735=0,0,VLOOKUP(C3735,Tabla2[],3,FALSE))</f>
        <v>0</v>
      </c>
      <c r="K3735" s="84">
        <f>+F3735*I3735</f>
        <v>0</v>
      </c>
      <c r="L3735" s="118">
        <f>E3735*I3735</f>
        <v>0</v>
      </c>
    </row>
    <row r="3736" spans="2:12" ht="17.399999999999999" thickBot="1" x14ac:dyDescent="0.45">
      <c r="B3736" s="123"/>
      <c r="C3736" s="307"/>
      <c r="D3736" s="308"/>
      <c r="E3736" s="124"/>
      <c r="F3736" s="125"/>
      <c r="G3736" s="74"/>
      <c r="I3736" s="117">
        <f>IF(C3736=0,0,VLOOKUP(C3736,Tabla2[],3,FALSE))</f>
        <v>0</v>
      </c>
      <c r="K3736" s="84">
        <f t="shared" ref="K3736" si="570">+F3736*I3736</f>
        <v>0</v>
      </c>
      <c r="L3736" s="118">
        <f t="shared" ref="L3736:L3737" si="571">E3736*I3736</f>
        <v>0</v>
      </c>
    </row>
    <row r="3737" spans="2:12" ht="17.399999999999999" thickBot="1" x14ac:dyDescent="0.45">
      <c r="B3737" s="297" t="s">
        <v>15</v>
      </c>
      <c r="C3737" s="298"/>
      <c r="D3737" s="298"/>
      <c r="E3737" s="298"/>
      <c r="F3737" s="298"/>
      <c r="G3737" s="299"/>
      <c r="I3737" s="117">
        <f>IF(C3737=0,0,VLOOKUP(C3737,Tabla2[],3,FALSE))</f>
        <v>0</v>
      </c>
      <c r="K3737" s="84">
        <v>0</v>
      </c>
      <c r="L3737" s="118">
        <f t="shared" si="571"/>
        <v>0</v>
      </c>
    </row>
    <row r="3738" spans="2:12" ht="17.399999999999999" thickBot="1" x14ac:dyDescent="0.45"/>
    <row r="3739" spans="2:12" ht="17.399999999999999" thickBot="1" x14ac:dyDescent="0.45">
      <c r="F3739" s="292" t="s">
        <v>16</v>
      </c>
      <c r="G3739" s="293"/>
      <c r="H3739" s="293"/>
      <c r="I3739" s="294"/>
      <c r="K3739" s="229">
        <f>+SUM(K3734:K3737)</f>
        <v>100</v>
      </c>
      <c r="L3739" s="119">
        <f>+SUM(L3734:L3737)</f>
        <v>2100</v>
      </c>
    </row>
    <row r="3740" spans="2:12" ht="17.399999999999999" thickBot="1" x14ac:dyDescent="0.45"/>
    <row r="3741" spans="2:12" ht="17.399999999999999" thickBot="1" x14ac:dyDescent="0.45">
      <c r="B3741" s="110" t="s">
        <v>17</v>
      </c>
      <c r="C3741" s="300" t="s">
        <v>18</v>
      </c>
      <c r="D3741" s="300"/>
      <c r="E3741" s="300"/>
      <c r="F3741" s="300"/>
      <c r="G3741" s="301"/>
    </row>
    <row r="3742" spans="2:12" x14ac:dyDescent="0.4">
      <c r="B3742" s="114" t="s">
        <v>6</v>
      </c>
      <c r="C3742" s="302" t="s">
        <v>1</v>
      </c>
      <c r="D3742" s="303"/>
      <c r="E3742" s="126"/>
      <c r="F3742" s="120" t="s">
        <v>2</v>
      </c>
      <c r="G3742" s="114" t="s">
        <v>3</v>
      </c>
      <c r="H3742" s="106"/>
      <c r="I3742" s="107" t="s">
        <v>7</v>
      </c>
      <c r="J3742" s="136"/>
      <c r="K3742" s="107" t="s">
        <v>8</v>
      </c>
      <c r="L3742" s="115" t="s">
        <v>194</v>
      </c>
    </row>
    <row r="3743" spans="2:12" x14ac:dyDescent="0.4">
      <c r="B3743" s="74"/>
      <c r="C3743" s="304"/>
      <c r="D3743" s="305"/>
      <c r="E3743" s="127"/>
      <c r="F3743" s="72"/>
      <c r="G3743" s="74"/>
      <c r="I3743" s="84">
        <v>0</v>
      </c>
      <c r="K3743" s="84">
        <f>+F3743*I3743</f>
        <v>0</v>
      </c>
      <c r="L3743" s="118">
        <f>E3743*I3743</f>
        <v>0</v>
      </c>
    </row>
    <row r="3744" spans="2:12" x14ac:dyDescent="0.4">
      <c r="B3744" s="74"/>
      <c r="C3744" s="304"/>
      <c r="D3744" s="305"/>
      <c r="E3744" s="127"/>
      <c r="F3744" s="72"/>
      <c r="G3744" s="74"/>
      <c r="I3744" s="84">
        <v>0</v>
      </c>
      <c r="K3744" s="84">
        <f t="shared" ref="K3744:K3745" si="572">+F3744*I3744</f>
        <v>0</v>
      </c>
      <c r="L3744" s="118">
        <f t="shared" ref="L3744:L3745" si="573">E3744*I3744</f>
        <v>0</v>
      </c>
    </row>
    <row r="3745" spans="2:16" x14ac:dyDescent="0.4">
      <c r="B3745" s="74"/>
      <c r="C3745" s="304"/>
      <c r="D3745" s="305"/>
      <c r="E3745" s="127"/>
      <c r="F3745" s="72"/>
      <c r="G3745" s="74"/>
      <c r="I3745" s="84">
        <v>0</v>
      </c>
      <c r="K3745" s="84">
        <f t="shared" si="572"/>
        <v>0</v>
      </c>
      <c r="L3745" s="118">
        <f t="shared" si="573"/>
        <v>0</v>
      </c>
    </row>
    <row r="3746" spans="2:16" ht="17.399999999999999" thickBot="1" x14ac:dyDescent="0.45">
      <c r="L3746" s="118"/>
    </row>
    <row r="3747" spans="2:16" ht="17.399999999999999" thickBot="1" x14ac:dyDescent="0.45">
      <c r="F3747" s="292" t="s">
        <v>19</v>
      </c>
      <c r="G3747" s="293"/>
      <c r="H3747" s="293"/>
      <c r="I3747" s="294"/>
      <c r="K3747" s="229">
        <f>+SUM(K3743:K3745)</f>
        <v>0</v>
      </c>
      <c r="L3747" s="119">
        <f>+SUM(L3742:L3745)</f>
        <v>0</v>
      </c>
    </row>
    <row r="3748" spans="2:16" ht="15" customHeight="1" x14ac:dyDescent="0.4">
      <c r="F3748" s="128"/>
      <c r="G3748" s="129"/>
      <c r="H3748" s="130"/>
      <c r="I3748" s="108"/>
      <c r="K3748" s="230"/>
    </row>
    <row r="3749" spans="2:16" ht="15" customHeight="1" thickBot="1" x14ac:dyDescent="0.45"/>
    <row r="3750" spans="2:16" ht="17.399999999999999" thickBot="1" x14ac:dyDescent="0.45">
      <c r="F3750" s="292" t="s">
        <v>20</v>
      </c>
      <c r="G3750" s="293"/>
      <c r="H3750" s="293"/>
      <c r="I3750" s="294"/>
      <c r="K3750" s="229">
        <f>(+K3721+K3730+K3739+K3747)</f>
        <v>350</v>
      </c>
      <c r="L3750" s="119">
        <f>(+L3721+L3730+L3739+L3747)</f>
        <v>7350.0000000000009</v>
      </c>
      <c r="N3750" s="131"/>
      <c r="O3750" s="39"/>
      <c r="P3750" s="40"/>
    </row>
    <row r="3751" spans="2:16" ht="7.5" customHeight="1" thickBot="1" x14ac:dyDescent="0.45">
      <c r="N3751" s="131"/>
      <c r="O3751" s="41"/>
      <c r="P3751" s="40"/>
    </row>
    <row r="3752" spans="2:16" ht="17.399999999999999" thickBot="1" x14ac:dyDescent="0.45">
      <c r="F3752" s="292" t="s">
        <v>21</v>
      </c>
      <c r="G3752" s="293"/>
      <c r="H3752" s="293"/>
      <c r="I3752" s="294"/>
      <c r="K3752" s="229">
        <f>K3750*$N$2</f>
        <v>140</v>
      </c>
      <c r="L3752" s="119">
        <f>L3750*$N$2</f>
        <v>2940.0000000000005</v>
      </c>
    </row>
    <row r="3753" spans="2:16" ht="7.5" customHeight="1" thickBot="1" x14ac:dyDescent="0.45"/>
    <row r="3754" spans="2:16" ht="17.399999999999999" thickBot="1" x14ac:dyDescent="0.45">
      <c r="F3754" s="292" t="s">
        <v>22</v>
      </c>
      <c r="G3754" s="293"/>
      <c r="H3754" s="293"/>
      <c r="I3754" s="294"/>
      <c r="K3754" s="229">
        <f>+K3750+K3752</f>
        <v>490</v>
      </c>
      <c r="L3754" s="119">
        <f>+L3750+L3752</f>
        <v>10290.000000000002</v>
      </c>
    </row>
    <row r="3755" spans="2:16" ht="17.399999999999999" thickBot="1" x14ac:dyDescent="0.45">
      <c r="F3755" s="128"/>
      <c r="G3755" s="129"/>
      <c r="H3755" s="130"/>
      <c r="I3755" s="108"/>
      <c r="K3755" s="231"/>
      <c r="L3755" s="132">
        <f>L3754/I3706</f>
        <v>490.00000000000011</v>
      </c>
      <c r="M3755" s="133">
        <f>(K3754-L3755)*I3706</f>
        <v>-2.3874235921539366E-12</v>
      </c>
    </row>
    <row r="3756" spans="2:16" x14ac:dyDescent="0.4">
      <c r="F3756" s="128"/>
      <c r="G3756" s="129"/>
      <c r="H3756" s="130"/>
      <c r="I3756" s="108"/>
      <c r="K3756" s="232"/>
      <c r="L3756" s="131"/>
      <c r="M3756" s="134"/>
      <c r="N3756" s="135"/>
    </row>
    <row r="3757" spans="2:16" ht="17.399999999999999" thickBot="1" x14ac:dyDescent="0.45">
      <c r="B3757" s="295"/>
      <c r="C3757" s="295"/>
      <c r="D3757" s="295"/>
    </row>
    <row r="3758" spans="2:16" x14ac:dyDescent="0.4">
      <c r="B3758" s="296" t="s">
        <v>23</v>
      </c>
      <c r="C3758" s="296"/>
      <c r="D3758" s="296"/>
    </row>
    <row r="3761" spans="1:16" x14ac:dyDescent="0.4">
      <c r="B3761" s="105" t="s">
        <v>43</v>
      </c>
      <c r="C3761" s="106"/>
      <c r="D3761" s="311" t="s">
        <v>1</v>
      </c>
      <c r="E3761" s="311"/>
      <c r="F3761" s="311"/>
      <c r="G3761" s="311"/>
      <c r="H3761" s="106"/>
      <c r="I3761" s="107" t="s">
        <v>2</v>
      </c>
      <c r="J3761" s="136"/>
      <c r="K3761" s="107" t="s">
        <v>3</v>
      </c>
    </row>
    <row r="3762" spans="1:16" s="4" customFormat="1" ht="30.75" customHeight="1" x14ac:dyDescent="0.3">
      <c r="A3762" s="31"/>
      <c r="B3762" s="213">
        <f>CATALOGO!B98</f>
        <v>605.01</v>
      </c>
      <c r="C3762" s="71"/>
      <c r="D3762" s="324" t="str">
        <f>CATALOGO!C98</f>
        <v>PISO CERÁMICO</v>
      </c>
      <c r="E3762" s="324"/>
      <c r="F3762" s="324"/>
      <c r="G3762" s="324"/>
      <c r="H3762" s="71"/>
      <c r="I3762" s="213">
        <f>CATALOGO!D98</f>
        <v>29</v>
      </c>
      <c r="J3762" s="109"/>
      <c r="K3762" s="227" t="str">
        <f>CATALOGO!E98</f>
        <v>m²</v>
      </c>
      <c r="L3762" s="71"/>
      <c r="M3762" s="71"/>
      <c r="N3762" s="104"/>
      <c r="O3762" s="37"/>
      <c r="P3762" s="37"/>
    </row>
    <row r="3763" spans="1:16" ht="17.399999999999999" thickBot="1" x14ac:dyDescent="0.45"/>
    <row r="3764" spans="1:16" ht="17.399999999999999" thickBot="1" x14ac:dyDescent="0.45">
      <c r="B3764" s="110" t="s">
        <v>4</v>
      </c>
      <c r="C3764" s="300" t="s">
        <v>5</v>
      </c>
      <c r="D3764" s="300"/>
      <c r="E3764" s="300"/>
      <c r="F3764" s="300"/>
      <c r="G3764" s="301"/>
    </row>
    <row r="3765" spans="1:16" x14ac:dyDescent="0.3">
      <c r="B3765" s="111" t="s">
        <v>6</v>
      </c>
      <c r="C3765" s="313" t="s">
        <v>1</v>
      </c>
      <c r="D3765" s="314"/>
      <c r="E3765" s="112" t="s">
        <v>193</v>
      </c>
      <c r="F3765" s="113" t="s">
        <v>2</v>
      </c>
      <c r="G3765" s="114" t="s">
        <v>3</v>
      </c>
      <c r="H3765" s="106"/>
      <c r="I3765" s="107" t="s">
        <v>7</v>
      </c>
      <c r="J3765" s="136"/>
      <c r="K3765" s="228" t="s">
        <v>8</v>
      </c>
      <c r="L3765" s="115" t="s">
        <v>194</v>
      </c>
      <c r="O3765" s="323"/>
      <c r="P3765" s="323"/>
    </row>
    <row r="3766" spans="1:16" ht="16.5" customHeight="1" x14ac:dyDescent="0.3">
      <c r="B3766" s="122">
        <v>1</v>
      </c>
      <c r="C3766" s="317" t="s">
        <v>214</v>
      </c>
      <c r="D3766" s="318"/>
      <c r="E3766" s="116">
        <f>I3762*0.7</f>
        <v>20.299999999999997</v>
      </c>
      <c r="F3766" s="83">
        <f>ROUND(E3766/I3762,2)</f>
        <v>0.7</v>
      </c>
      <c r="G3766" s="74" t="str">
        <f>IF(C3766=0,0,VLOOKUP(C3766,Tabla1[],2,FALSE))</f>
        <v>Saco</v>
      </c>
      <c r="I3766" s="117">
        <f>IF(C3766=0,0,VLOOKUP(C3766,Tabla1[],3,FALSE))</f>
        <v>80</v>
      </c>
      <c r="K3766" s="84">
        <f>F3766*I3766</f>
        <v>56</v>
      </c>
      <c r="L3766" s="118">
        <f t="shared" ref="L3766:L3770" si="574">E3766*I3766</f>
        <v>1623.9999999999998</v>
      </c>
      <c r="O3766" s="44"/>
      <c r="P3766" s="45"/>
    </row>
    <row r="3767" spans="1:16" x14ac:dyDescent="0.3">
      <c r="B3767" s="122">
        <v>2</v>
      </c>
      <c r="C3767" s="319" t="s">
        <v>73</v>
      </c>
      <c r="D3767" s="318"/>
      <c r="E3767" s="116">
        <f>I3762*0.02</f>
        <v>0.57999999999999996</v>
      </c>
      <c r="F3767" s="83">
        <f>ROUND(E3767/I3762,2)</f>
        <v>0.02</v>
      </c>
      <c r="G3767" s="74" t="str">
        <f>IF(C3767=0,0,VLOOKUP(C3767,Tabla1[],2,FALSE))</f>
        <v>m³</v>
      </c>
      <c r="I3767" s="117">
        <f>IF(C3767=0,0,VLOOKUP(C3767,Tabla1[],3,FALSE))</f>
        <v>250</v>
      </c>
      <c r="K3767" s="84">
        <f t="shared" ref="K3767:K3770" si="575">+F3767*I3767</f>
        <v>5</v>
      </c>
      <c r="L3767" s="118">
        <f t="shared" si="574"/>
        <v>145</v>
      </c>
      <c r="O3767" s="44"/>
      <c r="P3767" s="47"/>
    </row>
    <row r="3768" spans="1:16" x14ac:dyDescent="0.4">
      <c r="B3768" s="122">
        <v>3</v>
      </c>
      <c r="C3768" s="319" t="s">
        <v>215</v>
      </c>
      <c r="D3768" s="318"/>
      <c r="E3768" s="116">
        <f>I3762*0.02</f>
        <v>0.57999999999999996</v>
      </c>
      <c r="F3768" s="83">
        <f>ROUND(E3768/I3762,2)</f>
        <v>0.02</v>
      </c>
      <c r="G3768" s="74" t="str">
        <f>IF(C3768=0,0,VLOOKUP(C3768,Tabla1[],2,FALSE))</f>
        <v>Bolsa</v>
      </c>
      <c r="I3768" s="117">
        <f>IF(C3768=0,0,VLOOKUP(C3768,Tabla1[],3,FALSE))</f>
        <v>50</v>
      </c>
      <c r="K3768" s="84">
        <f t="shared" si="575"/>
        <v>1</v>
      </c>
      <c r="L3768" s="118">
        <f t="shared" si="574"/>
        <v>28.999999999999996</v>
      </c>
      <c r="O3768" s="48"/>
      <c r="P3768" s="49"/>
    </row>
    <row r="3769" spans="1:16" ht="16.5" customHeight="1" x14ac:dyDescent="0.3">
      <c r="B3769" s="122">
        <v>4</v>
      </c>
      <c r="C3769" s="315" t="s">
        <v>600</v>
      </c>
      <c r="D3769" s="316"/>
      <c r="E3769" s="116">
        <f>I3762*0.7</f>
        <v>20.299999999999997</v>
      </c>
      <c r="F3769" s="83">
        <f>ROUND(E3769/I3762,2)</f>
        <v>0.7</v>
      </c>
      <c r="G3769" s="74" t="str">
        <f>IF(C3769=0,0,VLOOKUP(C3769,Tabla1[],2,FALSE))</f>
        <v>m²</v>
      </c>
      <c r="I3769" s="117">
        <f>IF(C3769=0,0,VLOOKUP(C3769,Tabla1[],3,FALSE))</f>
        <v>90</v>
      </c>
      <c r="K3769" s="84">
        <f t="shared" si="575"/>
        <v>62.999999999999993</v>
      </c>
      <c r="L3769" s="118">
        <f t="shared" si="574"/>
        <v>1826.9999999999998</v>
      </c>
      <c r="O3769" s="44"/>
      <c r="P3769" s="45"/>
    </row>
    <row r="3770" spans="1:16" x14ac:dyDescent="0.4">
      <c r="B3770" s="122"/>
      <c r="C3770" s="319"/>
      <c r="D3770" s="318"/>
      <c r="E3770" s="116"/>
      <c r="F3770" s="83"/>
      <c r="G3770" s="74"/>
      <c r="I3770" s="117">
        <f>IF(C3770=0,0,VLOOKUP(C3770,Tabla1[],3,FALSE))</f>
        <v>0</v>
      </c>
      <c r="K3770" s="84">
        <f t="shared" si="575"/>
        <v>0</v>
      </c>
      <c r="L3770" s="118">
        <f t="shared" si="574"/>
        <v>0</v>
      </c>
      <c r="O3770" s="48"/>
      <c r="P3770" s="49"/>
    </row>
    <row r="3771" spans="1:16" ht="17.399999999999999" thickBot="1" x14ac:dyDescent="0.45"/>
    <row r="3772" spans="1:16" ht="17.399999999999999" thickBot="1" x14ac:dyDescent="0.35">
      <c r="F3772" s="292" t="s">
        <v>9</v>
      </c>
      <c r="G3772" s="293"/>
      <c r="H3772" s="293"/>
      <c r="I3772" s="294"/>
      <c r="K3772" s="229">
        <f>+SUM(K3766:K3770)</f>
        <v>125</v>
      </c>
      <c r="L3772" s="119">
        <f>+SUM(L3766:L3770)</f>
        <v>3624.9999999999995</v>
      </c>
      <c r="O3772" s="38"/>
      <c r="P3772" s="38"/>
    </row>
    <row r="3773" spans="1:16" ht="17.399999999999999" thickBot="1" x14ac:dyDescent="0.45">
      <c r="O3773" s="42"/>
      <c r="P3773" s="43"/>
    </row>
    <row r="3774" spans="1:16" ht="17.399999999999999" thickBot="1" x14ac:dyDescent="0.45">
      <c r="B3774" s="110" t="s">
        <v>10</v>
      </c>
      <c r="C3774" s="300" t="s">
        <v>11</v>
      </c>
      <c r="D3774" s="300"/>
      <c r="E3774" s="300"/>
      <c r="F3774" s="300"/>
      <c r="G3774" s="301"/>
    </row>
    <row r="3775" spans="1:16" x14ac:dyDescent="0.4">
      <c r="B3775" s="114" t="s">
        <v>6</v>
      </c>
      <c r="C3775" s="302" t="s">
        <v>1</v>
      </c>
      <c r="D3775" s="303"/>
      <c r="E3775" s="112" t="s">
        <v>193</v>
      </c>
      <c r="F3775" s="120" t="s">
        <v>2</v>
      </c>
      <c r="G3775" s="114" t="s">
        <v>3</v>
      </c>
      <c r="H3775" s="106"/>
      <c r="I3775" s="107" t="s">
        <v>7</v>
      </c>
      <c r="J3775" s="136"/>
      <c r="K3775" s="107" t="s">
        <v>8</v>
      </c>
      <c r="L3775" s="115" t="s">
        <v>194</v>
      </c>
    </row>
    <row r="3776" spans="1:16" x14ac:dyDescent="0.4">
      <c r="B3776" s="122"/>
      <c r="C3776" s="306"/>
      <c r="D3776" s="306"/>
      <c r="E3776" s="116"/>
      <c r="F3776" s="83"/>
      <c r="G3776" s="74"/>
      <c r="I3776" s="117">
        <f>IF(C3776=0,0,VLOOKUP(C3776,Tabla3[],3,FALSE))</f>
        <v>0</v>
      </c>
      <c r="K3776" s="84">
        <f>F3776*I3776</f>
        <v>0</v>
      </c>
      <c r="L3776" s="118">
        <f>E3776*I3776</f>
        <v>0</v>
      </c>
    </row>
    <row r="3777" spans="2:12" x14ac:dyDescent="0.4">
      <c r="B3777" s="74"/>
      <c r="C3777" s="309"/>
      <c r="D3777" s="310"/>
      <c r="E3777" s="121"/>
      <c r="F3777" s="72"/>
      <c r="G3777" s="74"/>
      <c r="I3777" s="117">
        <f>IF(C3777=0,0,VLOOKUP(C3777,Tabla3[],3,FALSE))</f>
        <v>0</v>
      </c>
      <c r="K3777" s="84">
        <f t="shared" ref="K3777:K3779" si="576">+F3777*I3777</f>
        <v>0</v>
      </c>
      <c r="L3777" s="118">
        <f t="shared" ref="L3777:L3779" si="577">E3777*I3777</f>
        <v>0</v>
      </c>
    </row>
    <row r="3778" spans="2:12" x14ac:dyDescent="0.4">
      <c r="B3778" s="74"/>
      <c r="C3778" s="309"/>
      <c r="D3778" s="310"/>
      <c r="E3778" s="121"/>
      <c r="F3778" s="72"/>
      <c r="G3778" s="74"/>
      <c r="I3778" s="117">
        <f>IF(C3778=0,0,VLOOKUP(C3778,Tabla3[],3,FALSE))</f>
        <v>0</v>
      </c>
      <c r="K3778" s="84">
        <f t="shared" si="576"/>
        <v>0</v>
      </c>
      <c r="L3778" s="118">
        <f t="shared" si="577"/>
        <v>0</v>
      </c>
    </row>
    <row r="3779" spans="2:12" x14ac:dyDescent="0.4">
      <c r="B3779" s="74"/>
      <c r="C3779" s="304"/>
      <c r="D3779" s="305"/>
      <c r="E3779" s="121"/>
      <c r="F3779" s="72"/>
      <c r="G3779" s="74"/>
      <c r="I3779" s="117">
        <f>IF(C3779=0,0,VLOOKUP(C3779,Tabla3[],3,FALSE))</f>
        <v>0</v>
      </c>
      <c r="K3779" s="84">
        <f t="shared" si="576"/>
        <v>0</v>
      </c>
      <c r="L3779" s="118">
        <f t="shared" si="577"/>
        <v>0</v>
      </c>
    </row>
    <row r="3780" spans="2:12" ht="17.399999999999999" thickBot="1" x14ac:dyDescent="0.45"/>
    <row r="3781" spans="2:12" ht="17.399999999999999" thickBot="1" x14ac:dyDescent="0.45">
      <c r="F3781" s="292" t="s">
        <v>12</v>
      </c>
      <c r="G3781" s="293"/>
      <c r="H3781" s="293"/>
      <c r="I3781" s="294"/>
      <c r="K3781" s="229">
        <f>+SUM(K3776:K3779)</f>
        <v>0</v>
      </c>
      <c r="L3781" s="119">
        <f>+SUM(L3776:L3779)</f>
        <v>0</v>
      </c>
    </row>
    <row r="3782" spans="2:12" ht="17.399999999999999" thickBot="1" x14ac:dyDescent="0.45"/>
    <row r="3783" spans="2:12" ht="17.399999999999999" thickBot="1" x14ac:dyDescent="0.45">
      <c r="B3783" s="110" t="s">
        <v>13</v>
      </c>
      <c r="C3783" s="300" t="s">
        <v>14</v>
      </c>
      <c r="D3783" s="300"/>
      <c r="E3783" s="300"/>
      <c r="F3783" s="300"/>
      <c r="G3783" s="301"/>
    </row>
    <row r="3784" spans="2:12" x14ac:dyDescent="0.4">
      <c r="B3784" s="114" t="s">
        <v>6</v>
      </c>
      <c r="C3784" s="302" t="s">
        <v>1</v>
      </c>
      <c r="D3784" s="303"/>
      <c r="E3784" s="112" t="s">
        <v>193</v>
      </c>
      <c r="F3784" s="120" t="s">
        <v>2</v>
      </c>
      <c r="G3784" s="114" t="s">
        <v>3</v>
      </c>
      <c r="H3784" s="106"/>
      <c r="I3784" s="107" t="s">
        <v>7</v>
      </c>
      <c r="J3784" s="136"/>
      <c r="K3784" s="107" t="s">
        <v>8</v>
      </c>
      <c r="L3784" s="115" t="s">
        <v>194</v>
      </c>
    </row>
    <row r="3785" spans="2:12" x14ac:dyDescent="0.4">
      <c r="B3785" s="122">
        <v>1</v>
      </c>
      <c r="C3785" s="306" t="s">
        <v>216</v>
      </c>
      <c r="D3785" s="306"/>
      <c r="E3785" s="116">
        <f>I3762</f>
        <v>29</v>
      </c>
      <c r="F3785" s="83">
        <f>ROUND(E3785/I3762,2)</f>
        <v>1</v>
      </c>
      <c r="G3785" s="74" t="str">
        <f>IF(C3785=0,0,VLOOKUP(C3785,Tabla2[],2,FALSE))</f>
        <v>m²</v>
      </c>
      <c r="I3785" s="117">
        <f>IF(C3785=0,0,VLOOKUP(C3785,Tabla2[],3,FALSE))</f>
        <v>100</v>
      </c>
      <c r="K3785" s="84">
        <f>+F3785*I3785</f>
        <v>100</v>
      </c>
      <c r="L3785" s="118">
        <f>E3785*I3785</f>
        <v>2900</v>
      </c>
    </row>
    <row r="3786" spans="2:12" x14ac:dyDescent="0.4">
      <c r="B3786" s="122"/>
      <c r="C3786" s="306"/>
      <c r="D3786" s="306"/>
      <c r="E3786" s="116"/>
      <c r="F3786" s="83"/>
      <c r="G3786" s="74"/>
      <c r="I3786" s="117">
        <f>IF(C3786=0,0,VLOOKUP(C3786,Tabla2[],3,FALSE))</f>
        <v>0</v>
      </c>
      <c r="K3786" s="84">
        <f>+F3786*I3786</f>
        <v>0</v>
      </c>
      <c r="L3786" s="118">
        <f>E3786*I3786</f>
        <v>0</v>
      </c>
    </row>
    <row r="3787" spans="2:12" ht="17.399999999999999" thickBot="1" x14ac:dyDescent="0.45">
      <c r="B3787" s="123"/>
      <c r="C3787" s="307"/>
      <c r="D3787" s="308"/>
      <c r="E3787" s="124"/>
      <c r="F3787" s="125"/>
      <c r="G3787" s="74"/>
      <c r="I3787" s="117">
        <f>IF(C3787=0,0,VLOOKUP(C3787,Tabla2[],3,FALSE))</f>
        <v>0</v>
      </c>
      <c r="K3787" s="84">
        <f t="shared" ref="K3787" si="578">+F3787*I3787</f>
        <v>0</v>
      </c>
      <c r="L3787" s="118">
        <f t="shared" ref="L3787:L3788" si="579">E3787*I3787</f>
        <v>0</v>
      </c>
    </row>
    <row r="3788" spans="2:12" ht="17.399999999999999" thickBot="1" x14ac:dyDescent="0.45">
      <c r="B3788" s="297" t="s">
        <v>15</v>
      </c>
      <c r="C3788" s="298"/>
      <c r="D3788" s="298"/>
      <c r="E3788" s="298"/>
      <c r="F3788" s="298"/>
      <c r="G3788" s="299"/>
      <c r="I3788" s="117">
        <f>IF(C3788=0,0,VLOOKUP(C3788,Tabla2[],3,FALSE))</f>
        <v>0</v>
      </c>
      <c r="K3788" s="84">
        <v>0</v>
      </c>
      <c r="L3788" s="118">
        <f t="shared" si="579"/>
        <v>0</v>
      </c>
    </row>
    <row r="3789" spans="2:12" ht="17.399999999999999" thickBot="1" x14ac:dyDescent="0.45"/>
    <row r="3790" spans="2:12" ht="17.399999999999999" thickBot="1" x14ac:dyDescent="0.45">
      <c r="F3790" s="292" t="s">
        <v>16</v>
      </c>
      <c r="G3790" s="293"/>
      <c r="H3790" s="293"/>
      <c r="I3790" s="294"/>
      <c r="K3790" s="229">
        <f>+SUM(K3785:K3788)</f>
        <v>100</v>
      </c>
      <c r="L3790" s="119">
        <f>+SUM(L3785:L3788)</f>
        <v>2900</v>
      </c>
    </row>
    <row r="3791" spans="2:12" ht="17.399999999999999" thickBot="1" x14ac:dyDescent="0.45"/>
    <row r="3792" spans="2:12" ht="17.399999999999999" thickBot="1" x14ac:dyDescent="0.45">
      <c r="B3792" s="110" t="s">
        <v>17</v>
      </c>
      <c r="C3792" s="300" t="s">
        <v>18</v>
      </c>
      <c r="D3792" s="300"/>
      <c r="E3792" s="300"/>
      <c r="F3792" s="300"/>
      <c r="G3792" s="301"/>
    </row>
    <row r="3793" spans="2:16" x14ac:dyDescent="0.4">
      <c r="B3793" s="114" t="s">
        <v>6</v>
      </c>
      <c r="C3793" s="302" t="s">
        <v>1</v>
      </c>
      <c r="D3793" s="303"/>
      <c r="E3793" s="126"/>
      <c r="F3793" s="120" t="s">
        <v>2</v>
      </c>
      <c r="G3793" s="114" t="s">
        <v>3</v>
      </c>
      <c r="H3793" s="106"/>
      <c r="I3793" s="107" t="s">
        <v>7</v>
      </c>
      <c r="J3793" s="136"/>
      <c r="K3793" s="107" t="s">
        <v>8</v>
      </c>
      <c r="L3793" s="115" t="s">
        <v>194</v>
      </c>
    </row>
    <row r="3794" spans="2:16" x14ac:dyDescent="0.4">
      <c r="B3794" s="74"/>
      <c r="C3794" s="304"/>
      <c r="D3794" s="305"/>
      <c r="E3794" s="127"/>
      <c r="F3794" s="72"/>
      <c r="G3794" s="74"/>
      <c r="I3794" s="84">
        <v>0</v>
      </c>
      <c r="K3794" s="84">
        <f>+F3794*I3794</f>
        <v>0</v>
      </c>
      <c r="L3794" s="118">
        <f>E3794*I3794</f>
        <v>0</v>
      </c>
    </row>
    <row r="3795" spans="2:16" x14ac:dyDescent="0.4">
      <c r="B3795" s="74"/>
      <c r="C3795" s="304"/>
      <c r="D3795" s="305"/>
      <c r="E3795" s="127"/>
      <c r="F3795" s="72"/>
      <c r="G3795" s="74"/>
      <c r="I3795" s="84">
        <v>0</v>
      </c>
      <c r="K3795" s="84">
        <f t="shared" ref="K3795:K3796" si="580">+F3795*I3795</f>
        <v>0</v>
      </c>
      <c r="L3795" s="118">
        <f t="shared" ref="L3795:L3796" si="581">E3795*I3795</f>
        <v>0</v>
      </c>
    </row>
    <row r="3796" spans="2:16" x14ac:dyDescent="0.4">
      <c r="B3796" s="74"/>
      <c r="C3796" s="304"/>
      <c r="D3796" s="305"/>
      <c r="E3796" s="127"/>
      <c r="F3796" s="72"/>
      <c r="G3796" s="74"/>
      <c r="I3796" s="84">
        <v>0</v>
      </c>
      <c r="K3796" s="84">
        <f t="shared" si="580"/>
        <v>0</v>
      </c>
      <c r="L3796" s="118">
        <f t="shared" si="581"/>
        <v>0</v>
      </c>
    </row>
    <row r="3797" spans="2:16" ht="17.399999999999999" thickBot="1" x14ac:dyDescent="0.45">
      <c r="L3797" s="118"/>
    </row>
    <row r="3798" spans="2:16" ht="17.399999999999999" thickBot="1" x14ac:dyDescent="0.45">
      <c r="F3798" s="292" t="s">
        <v>19</v>
      </c>
      <c r="G3798" s="293"/>
      <c r="H3798" s="293"/>
      <c r="I3798" s="294"/>
      <c r="K3798" s="229">
        <f>+SUM(K3794:K3796)</f>
        <v>0</v>
      </c>
      <c r="L3798" s="119">
        <f>+SUM(L3793:L3796)</f>
        <v>0</v>
      </c>
    </row>
    <row r="3799" spans="2:16" ht="15" customHeight="1" x14ac:dyDescent="0.4">
      <c r="F3799" s="128"/>
      <c r="G3799" s="129"/>
      <c r="H3799" s="130"/>
      <c r="I3799" s="108"/>
      <c r="K3799" s="230"/>
    </row>
    <row r="3800" spans="2:16" ht="15" customHeight="1" thickBot="1" x14ac:dyDescent="0.45"/>
    <row r="3801" spans="2:16" ht="17.399999999999999" thickBot="1" x14ac:dyDescent="0.45">
      <c r="F3801" s="292" t="s">
        <v>20</v>
      </c>
      <c r="G3801" s="293"/>
      <c r="H3801" s="293"/>
      <c r="I3801" s="294"/>
      <c r="K3801" s="229">
        <f>(+K3772+K3781+K3790+K3798)</f>
        <v>225</v>
      </c>
      <c r="L3801" s="119">
        <f>(+L3772+L3781+L3790+L3798)</f>
        <v>6525</v>
      </c>
      <c r="N3801" s="131"/>
      <c r="O3801" s="39"/>
      <c r="P3801" s="40"/>
    </row>
    <row r="3802" spans="2:16" ht="7.5" customHeight="1" thickBot="1" x14ac:dyDescent="0.45">
      <c r="N3802" s="131"/>
      <c r="O3802" s="41"/>
      <c r="P3802" s="40"/>
    </row>
    <row r="3803" spans="2:16" ht="17.399999999999999" thickBot="1" x14ac:dyDescent="0.45">
      <c r="F3803" s="292" t="s">
        <v>21</v>
      </c>
      <c r="G3803" s="293"/>
      <c r="H3803" s="293"/>
      <c r="I3803" s="294"/>
      <c r="K3803" s="229">
        <f>K3801*$N$2</f>
        <v>90</v>
      </c>
      <c r="L3803" s="119">
        <f>L3801*$N$2</f>
        <v>2610</v>
      </c>
    </row>
    <row r="3804" spans="2:16" ht="7.5" customHeight="1" thickBot="1" x14ac:dyDescent="0.45"/>
    <row r="3805" spans="2:16" ht="17.399999999999999" thickBot="1" x14ac:dyDescent="0.45">
      <c r="F3805" s="292" t="s">
        <v>22</v>
      </c>
      <c r="G3805" s="293"/>
      <c r="H3805" s="293"/>
      <c r="I3805" s="294"/>
      <c r="K3805" s="229">
        <f>+K3801+K3803</f>
        <v>315</v>
      </c>
      <c r="L3805" s="119">
        <f>+L3801+L3803</f>
        <v>9135</v>
      </c>
    </row>
    <row r="3806" spans="2:16" ht="17.399999999999999" thickBot="1" x14ac:dyDescent="0.45">
      <c r="F3806" s="128"/>
      <c r="G3806" s="129"/>
      <c r="H3806" s="130"/>
      <c r="I3806" s="108"/>
      <c r="K3806" s="231"/>
      <c r="L3806" s="132">
        <f>L3805/I3762</f>
        <v>315</v>
      </c>
      <c r="M3806" s="133">
        <f>(K3805-L3806)*I3762</f>
        <v>0</v>
      </c>
    </row>
    <row r="3807" spans="2:16" x14ac:dyDescent="0.4">
      <c r="F3807" s="128"/>
      <c r="G3807" s="129"/>
      <c r="H3807" s="130"/>
      <c r="I3807" s="108"/>
      <c r="K3807" s="232"/>
      <c r="L3807" s="131"/>
      <c r="M3807" s="134"/>
      <c r="N3807" s="135"/>
    </row>
    <row r="3808" spans="2:16" ht="17.399999999999999" thickBot="1" x14ac:dyDescent="0.45">
      <c r="B3808" s="295"/>
      <c r="C3808" s="295"/>
      <c r="D3808" s="295"/>
    </row>
    <row r="3809" spans="1:16" x14ac:dyDescent="0.4">
      <c r="B3809" s="296" t="s">
        <v>23</v>
      </c>
      <c r="C3809" s="296"/>
      <c r="D3809" s="296"/>
    </row>
    <row r="3810" spans="1:16" x14ac:dyDescent="0.4">
      <c r="B3810" s="157"/>
      <c r="C3810" s="157"/>
      <c r="D3810" s="157"/>
    </row>
    <row r="3812" spans="1:16" x14ac:dyDescent="0.4">
      <c r="B3812" s="105" t="s">
        <v>43</v>
      </c>
      <c r="C3812" s="106"/>
      <c r="D3812" s="311" t="s">
        <v>1</v>
      </c>
      <c r="E3812" s="311"/>
      <c r="F3812" s="311"/>
      <c r="G3812" s="311"/>
      <c r="H3812" s="106"/>
      <c r="I3812" s="107" t="s">
        <v>2</v>
      </c>
      <c r="J3812" s="136"/>
      <c r="K3812" s="107" t="s">
        <v>3</v>
      </c>
    </row>
    <row r="3813" spans="1:16" s="4" customFormat="1" ht="30.75" customHeight="1" x14ac:dyDescent="0.3">
      <c r="A3813" s="31"/>
      <c r="B3813" s="213">
        <f>CATALOGO!B99</f>
        <v>605.08000000000004</v>
      </c>
      <c r="C3813" s="71"/>
      <c r="D3813" s="324" t="str">
        <f>CATALOGO!C99</f>
        <v>PISO CERÁMICO ANTIDESLIZANTE</v>
      </c>
      <c r="E3813" s="324"/>
      <c r="F3813" s="324"/>
      <c r="G3813" s="324"/>
      <c r="H3813" s="71"/>
      <c r="I3813" s="213">
        <f>CATALOGO!D99</f>
        <v>8</v>
      </c>
      <c r="J3813" s="109"/>
      <c r="K3813" s="227" t="str">
        <f>CATALOGO!E99</f>
        <v>m²</v>
      </c>
      <c r="L3813" s="71"/>
      <c r="M3813" s="71"/>
      <c r="N3813" s="104"/>
      <c r="O3813" s="37"/>
      <c r="P3813" s="37"/>
    </row>
    <row r="3814" spans="1:16" ht="17.399999999999999" thickBot="1" x14ac:dyDescent="0.45"/>
    <row r="3815" spans="1:16" ht="17.399999999999999" thickBot="1" x14ac:dyDescent="0.45">
      <c r="B3815" s="110" t="s">
        <v>4</v>
      </c>
      <c r="C3815" s="300" t="s">
        <v>5</v>
      </c>
      <c r="D3815" s="300"/>
      <c r="E3815" s="300"/>
      <c r="F3815" s="300"/>
      <c r="G3815" s="301"/>
    </row>
    <row r="3816" spans="1:16" x14ac:dyDescent="0.3">
      <c r="B3816" s="111" t="s">
        <v>6</v>
      </c>
      <c r="C3816" s="313" t="s">
        <v>1</v>
      </c>
      <c r="D3816" s="314"/>
      <c r="E3816" s="112" t="s">
        <v>193</v>
      </c>
      <c r="F3816" s="113" t="s">
        <v>2</v>
      </c>
      <c r="G3816" s="114" t="s">
        <v>3</v>
      </c>
      <c r="H3816" s="106"/>
      <c r="I3816" s="107" t="s">
        <v>7</v>
      </c>
      <c r="J3816" s="136"/>
      <c r="K3816" s="228" t="s">
        <v>8</v>
      </c>
      <c r="L3816" s="115" t="s">
        <v>194</v>
      </c>
      <c r="O3816" s="323"/>
      <c r="P3816" s="323"/>
    </row>
    <row r="3817" spans="1:16" ht="16.5" customHeight="1" x14ac:dyDescent="0.3">
      <c r="B3817" s="122">
        <v>1</v>
      </c>
      <c r="C3817" s="317" t="s">
        <v>214</v>
      </c>
      <c r="D3817" s="318"/>
      <c r="E3817" s="116">
        <f>I3813*0.7</f>
        <v>5.6</v>
      </c>
      <c r="F3817" s="83">
        <f>ROUND(E3817/I3813,2)</f>
        <v>0.7</v>
      </c>
      <c r="G3817" s="74" t="str">
        <f>IF(C3817=0,0,VLOOKUP(C3817,Tabla1[],2,FALSE))</f>
        <v>Saco</v>
      </c>
      <c r="I3817" s="117">
        <f>IF(C3817=0,0,VLOOKUP(C3817,Tabla1[],3,FALSE))</f>
        <v>80</v>
      </c>
      <c r="K3817" s="84">
        <f>F3817*I3817</f>
        <v>56</v>
      </c>
      <c r="L3817" s="118">
        <f t="shared" ref="L3817:L3821" si="582">E3817*I3817</f>
        <v>448</v>
      </c>
      <c r="O3817" s="44"/>
      <c r="P3817" s="45"/>
    </row>
    <row r="3818" spans="1:16" x14ac:dyDescent="0.3">
      <c r="B3818" s="122">
        <v>2</v>
      </c>
      <c r="C3818" s="319" t="s">
        <v>73</v>
      </c>
      <c r="D3818" s="318"/>
      <c r="E3818" s="116">
        <f>I3813*0.02</f>
        <v>0.16</v>
      </c>
      <c r="F3818" s="83">
        <f>ROUND(E3818/I3813,2)</f>
        <v>0.02</v>
      </c>
      <c r="G3818" s="74" t="str">
        <f>IF(C3818=0,0,VLOOKUP(C3818,Tabla1[],2,FALSE))</f>
        <v>m³</v>
      </c>
      <c r="I3818" s="117">
        <f>IF(C3818=0,0,VLOOKUP(C3818,Tabla1[],3,FALSE))</f>
        <v>250</v>
      </c>
      <c r="K3818" s="84">
        <f t="shared" ref="K3818:K3821" si="583">+F3818*I3818</f>
        <v>5</v>
      </c>
      <c r="L3818" s="118">
        <f t="shared" si="582"/>
        <v>40</v>
      </c>
      <c r="O3818" s="44"/>
      <c r="P3818" s="47"/>
    </row>
    <row r="3819" spans="1:16" x14ac:dyDescent="0.4">
      <c r="B3819" s="122">
        <v>3</v>
      </c>
      <c r="C3819" s="319" t="s">
        <v>215</v>
      </c>
      <c r="D3819" s="318"/>
      <c r="E3819" s="116">
        <f>I3813*0.03</f>
        <v>0.24</v>
      </c>
      <c r="F3819" s="83">
        <f>ROUND(E3819/I3813,2)</f>
        <v>0.03</v>
      </c>
      <c r="G3819" s="74" t="str">
        <f>IF(C3819=0,0,VLOOKUP(C3819,Tabla1[],2,FALSE))</f>
        <v>Bolsa</v>
      </c>
      <c r="I3819" s="117">
        <f>IF(C3819=0,0,VLOOKUP(C3819,Tabla1[],3,FALSE))</f>
        <v>50</v>
      </c>
      <c r="K3819" s="84">
        <f t="shared" si="583"/>
        <v>1.5</v>
      </c>
      <c r="L3819" s="118">
        <f t="shared" si="582"/>
        <v>12</v>
      </c>
      <c r="O3819" s="48"/>
      <c r="P3819" s="49"/>
    </row>
    <row r="3820" spans="1:16" ht="16.5" customHeight="1" x14ac:dyDescent="0.3">
      <c r="B3820" s="122">
        <v>4</v>
      </c>
      <c r="C3820" s="315" t="s">
        <v>601</v>
      </c>
      <c r="D3820" s="316"/>
      <c r="E3820" s="116">
        <f>I3813*0.7</f>
        <v>5.6</v>
      </c>
      <c r="F3820" s="83">
        <f>ROUND(E3820/I3813,2)</f>
        <v>0.7</v>
      </c>
      <c r="G3820" s="74" t="str">
        <f>IF(C3820=0,0,VLOOKUP(C3820,Tabla1[],2,FALSE))</f>
        <v>m²</v>
      </c>
      <c r="I3820" s="117">
        <f>IF(C3820=0,0,VLOOKUP(C3820,Tabla1[],3,FALSE))</f>
        <v>125</v>
      </c>
      <c r="K3820" s="84">
        <f t="shared" si="583"/>
        <v>87.5</v>
      </c>
      <c r="L3820" s="118">
        <f t="shared" si="582"/>
        <v>700</v>
      </c>
      <c r="O3820" s="44"/>
      <c r="P3820" s="45"/>
    </row>
    <row r="3821" spans="1:16" x14ac:dyDescent="0.4">
      <c r="B3821" s="122"/>
      <c r="C3821" s="319"/>
      <c r="D3821" s="318"/>
      <c r="E3821" s="116"/>
      <c r="F3821" s="83"/>
      <c r="G3821" s="74"/>
      <c r="I3821" s="117">
        <f>IF(C3821=0,0,VLOOKUP(C3821,Tabla1[],3,FALSE))</f>
        <v>0</v>
      </c>
      <c r="K3821" s="84">
        <f t="shared" si="583"/>
        <v>0</v>
      </c>
      <c r="L3821" s="118">
        <f t="shared" si="582"/>
        <v>0</v>
      </c>
      <c r="O3821" s="48"/>
      <c r="P3821" s="49"/>
    </row>
    <row r="3822" spans="1:16" ht="17.399999999999999" thickBot="1" x14ac:dyDescent="0.45"/>
    <row r="3823" spans="1:16" ht="17.399999999999999" thickBot="1" x14ac:dyDescent="0.35">
      <c r="F3823" s="292" t="s">
        <v>9</v>
      </c>
      <c r="G3823" s="293"/>
      <c r="H3823" s="293"/>
      <c r="I3823" s="294"/>
      <c r="K3823" s="229">
        <f>+SUM(K3817:K3821)</f>
        <v>150</v>
      </c>
      <c r="L3823" s="119">
        <f>+SUM(L3817:L3821)</f>
        <v>1200</v>
      </c>
      <c r="O3823" s="38"/>
      <c r="P3823" s="38"/>
    </row>
    <row r="3824" spans="1:16" ht="17.399999999999999" thickBot="1" x14ac:dyDescent="0.45">
      <c r="O3824" s="42"/>
      <c r="P3824" s="43"/>
    </row>
    <row r="3825" spans="2:12" ht="17.399999999999999" thickBot="1" x14ac:dyDescent="0.45">
      <c r="B3825" s="110" t="s">
        <v>10</v>
      </c>
      <c r="C3825" s="300" t="s">
        <v>11</v>
      </c>
      <c r="D3825" s="300"/>
      <c r="E3825" s="300"/>
      <c r="F3825" s="300"/>
      <c r="G3825" s="301"/>
    </row>
    <row r="3826" spans="2:12" x14ac:dyDescent="0.4">
      <c r="B3826" s="114" t="s">
        <v>6</v>
      </c>
      <c r="C3826" s="302" t="s">
        <v>1</v>
      </c>
      <c r="D3826" s="303"/>
      <c r="E3826" s="112" t="s">
        <v>193</v>
      </c>
      <c r="F3826" s="120" t="s">
        <v>2</v>
      </c>
      <c r="G3826" s="114" t="s">
        <v>3</v>
      </c>
      <c r="H3826" s="106"/>
      <c r="I3826" s="107" t="s">
        <v>7</v>
      </c>
      <c r="J3826" s="136"/>
      <c r="K3826" s="107" t="s">
        <v>8</v>
      </c>
      <c r="L3826" s="115" t="s">
        <v>194</v>
      </c>
    </row>
    <row r="3827" spans="2:12" x14ac:dyDescent="0.4">
      <c r="B3827" s="122"/>
      <c r="C3827" s="306"/>
      <c r="D3827" s="306"/>
      <c r="E3827" s="116"/>
      <c r="F3827" s="83"/>
      <c r="G3827" s="74"/>
      <c r="I3827" s="117">
        <f>IF(C3827=0,0,VLOOKUP(C3827,Tabla3[],3,FALSE))</f>
        <v>0</v>
      </c>
      <c r="K3827" s="84">
        <f>F3827*I3827</f>
        <v>0</v>
      </c>
      <c r="L3827" s="118">
        <f>E3827*I3827</f>
        <v>0</v>
      </c>
    </row>
    <row r="3828" spans="2:12" x14ac:dyDescent="0.4">
      <c r="B3828" s="74"/>
      <c r="C3828" s="309"/>
      <c r="D3828" s="310"/>
      <c r="E3828" s="121"/>
      <c r="F3828" s="72"/>
      <c r="G3828" s="74"/>
      <c r="I3828" s="117">
        <f>IF(C3828=0,0,VLOOKUP(C3828,Tabla3[],3,FALSE))</f>
        <v>0</v>
      </c>
      <c r="K3828" s="84">
        <f t="shared" ref="K3828:K3830" si="584">+F3828*I3828</f>
        <v>0</v>
      </c>
      <c r="L3828" s="118">
        <f t="shared" ref="L3828:L3830" si="585">E3828*I3828</f>
        <v>0</v>
      </c>
    </row>
    <row r="3829" spans="2:12" x14ac:dyDescent="0.4">
      <c r="B3829" s="74"/>
      <c r="C3829" s="309"/>
      <c r="D3829" s="310"/>
      <c r="E3829" s="121"/>
      <c r="F3829" s="72"/>
      <c r="G3829" s="74"/>
      <c r="I3829" s="117">
        <f>IF(C3829=0,0,VLOOKUP(C3829,Tabla3[],3,FALSE))</f>
        <v>0</v>
      </c>
      <c r="K3829" s="84">
        <f t="shared" si="584"/>
        <v>0</v>
      </c>
      <c r="L3829" s="118">
        <f t="shared" si="585"/>
        <v>0</v>
      </c>
    </row>
    <row r="3830" spans="2:12" x14ac:dyDescent="0.4">
      <c r="B3830" s="74"/>
      <c r="C3830" s="304"/>
      <c r="D3830" s="305"/>
      <c r="E3830" s="121"/>
      <c r="F3830" s="72"/>
      <c r="G3830" s="74"/>
      <c r="I3830" s="117">
        <f>IF(C3830=0,0,VLOOKUP(C3830,Tabla3[],3,FALSE))</f>
        <v>0</v>
      </c>
      <c r="K3830" s="84">
        <f t="shared" si="584"/>
        <v>0</v>
      </c>
      <c r="L3830" s="118">
        <f t="shared" si="585"/>
        <v>0</v>
      </c>
    </row>
    <row r="3831" spans="2:12" ht="17.399999999999999" thickBot="1" x14ac:dyDescent="0.45"/>
    <row r="3832" spans="2:12" ht="17.399999999999999" thickBot="1" x14ac:dyDescent="0.45">
      <c r="F3832" s="292" t="s">
        <v>12</v>
      </c>
      <c r="G3832" s="293"/>
      <c r="H3832" s="293"/>
      <c r="I3832" s="294"/>
      <c r="K3832" s="229">
        <f>+SUM(K3827:K3830)</f>
        <v>0</v>
      </c>
      <c r="L3832" s="119">
        <f>+SUM(L3827:L3830)</f>
        <v>0</v>
      </c>
    </row>
    <row r="3833" spans="2:12" ht="17.399999999999999" thickBot="1" x14ac:dyDescent="0.45"/>
    <row r="3834" spans="2:12" ht="17.399999999999999" thickBot="1" x14ac:dyDescent="0.45">
      <c r="B3834" s="110" t="s">
        <v>13</v>
      </c>
      <c r="C3834" s="300" t="s">
        <v>14</v>
      </c>
      <c r="D3834" s="300"/>
      <c r="E3834" s="300"/>
      <c r="F3834" s="300"/>
      <c r="G3834" s="301"/>
    </row>
    <row r="3835" spans="2:12" x14ac:dyDescent="0.4">
      <c r="B3835" s="114" t="s">
        <v>6</v>
      </c>
      <c r="C3835" s="302" t="s">
        <v>1</v>
      </c>
      <c r="D3835" s="303"/>
      <c r="E3835" s="112" t="s">
        <v>193</v>
      </c>
      <c r="F3835" s="120" t="s">
        <v>2</v>
      </c>
      <c r="G3835" s="114" t="s">
        <v>3</v>
      </c>
      <c r="H3835" s="106"/>
      <c r="I3835" s="107" t="s">
        <v>7</v>
      </c>
      <c r="J3835" s="136"/>
      <c r="K3835" s="107" t="s">
        <v>8</v>
      </c>
      <c r="L3835" s="115" t="s">
        <v>194</v>
      </c>
    </row>
    <row r="3836" spans="2:12" x14ac:dyDescent="0.4">
      <c r="B3836" s="122">
        <v>1</v>
      </c>
      <c r="C3836" s="306" t="s">
        <v>216</v>
      </c>
      <c r="D3836" s="306"/>
      <c r="E3836" s="116">
        <f>I3813</f>
        <v>8</v>
      </c>
      <c r="F3836" s="83">
        <f>ROUND(E3836/I3813,2)</f>
        <v>1</v>
      </c>
      <c r="G3836" s="74" t="str">
        <f>IF(C3836=0,0,VLOOKUP(C3836,Tabla2[],2,FALSE))</f>
        <v>m²</v>
      </c>
      <c r="I3836" s="117">
        <f>IF(C3836=0,0,VLOOKUP(C3836,Tabla2[],3,FALSE))</f>
        <v>100</v>
      </c>
      <c r="K3836" s="84">
        <f>+F3836*I3836</f>
        <v>100</v>
      </c>
      <c r="L3836" s="118">
        <f>E3836*I3836</f>
        <v>800</v>
      </c>
    </row>
    <row r="3837" spans="2:12" x14ac:dyDescent="0.4">
      <c r="B3837" s="122"/>
      <c r="C3837" s="306"/>
      <c r="D3837" s="306"/>
      <c r="E3837" s="116"/>
      <c r="F3837" s="83"/>
      <c r="G3837" s="74"/>
      <c r="I3837" s="117">
        <f>IF(C3837=0,0,VLOOKUP(C3837,Tabla2[],3,FALSE))</f>
        <v>0</v>
      </c>
      <c r="K3837" s="84">
        <f>+F3837*I3837</f>
        <v>0</v>
      </c>
      <c r="L3837" s="118">
        <f>E3837*I3837</f>
        <v>0</v>
      </c>
    </row>
    <row r="3838" spans="2:12" ht="17.399999999999999" thickBot="1" x14ac:dyDescent="0.45">
      <c r="B3838" s="123"/>
      <c r="C3838" s="307"/>
      <c r="D3838" s="308"/>
      <c r="E3838" s="124"/>
      <c r="F3838" s="125"/>
      <c r="G3838" s="74"/>
      <c r="I3838" s="117">
        <f>IF(C3838=0,0,VLOOKUP(C3838,Tabla2[],3,FALSE))</f>
        <v>0</v>
      </c>
      <c r="K3838" s="84">
        <f t="shared" ref="K3838" si="586">+F3838*I3838</f>
        <v>0</v>
      </c>
      <c r="L3838" s="118">
        <f t="shared" ref="L3838:L3839" si="587">E3838*I3838</f>
        <v>0</v>
      </c>
    </row>
    <row r="3839" spans="2:12" ht="17.399999999999999" thickBot="1" x14ac:dyDescent="0.45">
      <c r="B3839" s="297" t="s">
        <v>15</v>
      </c>
      <c r="C3839" s="298"/>
      <c r="D3839" s="298"/>
      <c r="E3839" s="298"/>
      <c r="F3839" s="298"/>
      <c r="G3839" s="299"/>
      <c r="I3839" s="117">
        <f>IF(C3839=0,0,VLOOKUP(C3839,Tabla2[],3,FALSE))</f>
        <v>0</v>
      </c>
      <c r="K3839" s="84">
        <v>0</v>
      </c>
      <c r="L3839" s="118">
        <f t="shared" si="587"/>
        <v>0</v>
      </c>
    </row>
    <row r="3840" spans="2:12" ht="17.399999999999999" thickBot="1" x14ac:dyDescent="0.45"/>
    <row r="3841" spans="2:16" ht="17.399999999999999" thickBot="1" x14ac:dyDescent="0.45">
      <c r="F3841" s="292" t="s">
        <v>16</v>
      </c>
      <c r="G3841" s="293"/>
      <c r="H3841" s="293"/>
      <c r="I3841" s="294"/>
      <c r="K3841" s="229">
        <f>+SUM(K3836:K3839)</f>
        <v>100</v>
      </c>
      <c r="L3841" s="119">
        <f>+SUM(L3836:L3839)</f>
        <v>800</v>
      </c>
    </row>
    <row r="3842" spans="2:16" ht="17.399999999999999" thickBot="1" x14ac:dyDescent="0.45"/>
    <row r="3843" spans="2:16" ht="17.399999999999999" thickBot="1" x14ac:dyDescent="0.45">
      <c r="B3843" s="110" t="s">
        <v>17</v>
      </c>
      <c r="C3843" s="300" t="s">
        <v>18</v>
      </c>
      <c r="D3843" s="300"/>
      <c r="E3843" s="300"/>
      <c r="F3843" s="300"/>
      <c r="G3843" s="301"/>
    </row>
    <row r="3844" spans="2:16" x14ac:dyDescent="0.4">
      <c r="B3844" s="114" t="s">
        <v>6</v>
      </c>
      <c r="C3844" s="302" t="s">
        <v>1</v>
      </c>
      <c r="D3844" s="303"/>
      <c r="E3844" s="126"/>
      <c r="F3844" s="120" t="s">
        <v>2</v>
      </c>
      <c r="G3844" s="114" t="s">
        <v>3</v>
      </c>
      <c r="H3844" s="106"/>
      <c r="I3844" s="107" t="s">
        <v>7</v>
      </c>
      <c r="J3844" s="136"/>
      <c r="K3844" s="107" t="s">
        <v>8</v>
      </c>
      <c r="L3844" s="115" t="s">
        <v>194</v>
      </c>
    </row>
    <row r="3845" spans="2:16" x14ac:dyDescent="0.4">
      <c r="B3845" s="74"/>
      <c r="C3845" s="304"/>
      <c r="D3845" s="305"/>
      <c r="E3845" s="127"/>
      <c r="F3845" s="72"/>
      <c r="G3845" s="74"/>
      <c r="I3845" s="84">
        <v>0</v>
      </c>
      <c r="K3845" s="84">
        <f>+F3845*I3845</f>
        <v>0</v>
      </c>
      <c r="L3845" s="118">
        <f>E3845*I3845</f>
        <v>0</v>
      </c>
    </row>
    <row r="3846" spans="2:16" x14ac:dyDescent="0.4">
      <c r="B3846" s="74"/>
      <c r="C3846" s="304"/>
      <c r="D3846" s="305"/>
      <c r="E3846" s="127"/>
      <c r="F3846" s="72"/>
      <c r="G3846" s="74"/>
      <c r="I3846" s="84">
        <v>0</v>
      </c>
      <c r="K3846" s="84">
        <f t="shared" ref="K3846:K3847" si="588">+F3846*I3846</f>
        <v>0</v>
      </c>
      <c r="L3846" s="118">
        <f t="shared" ref="L3846:L3847" si="589">E3846*I3846</f>
        <v>0</v>
      </c>
    </row>
    <row r="3847" spans="2:16" x14ac:dyDescent="0.4">
      <c r="B3847" s="74"/>
      <c r="C3847" s="304"/>
      <c r="D3847" s="305"/>
      <c r="E3847" s="127"/>
      <c r="F3847" s="72"/>
      <c r="G3847" s="74"/>
      <c r="I3847" s="84">
        <v>0</v>
      </c>
      <c r="K3847" s="84">
        <f t="shared" si="588"/>
        <v>0</v>
      </c>
      <c r="L3847" s="118">
        <f t="shared" si="589"/>
        <v>0</v>
      </c>
    </row>
    <row r="3848" spans="2:16" ht="17.399999999999999" thickBot="1" x14ac:dyDescent="0.45">
      <c r="L3848" s="118"/>
    </row>
    <row r="3849" spans="2:16" ht="17.399999999999999" thickBot="1" x14ac:dyDescent="0.45">
      <c r="F3849" s="292" t="s">
        <v>19</v>
      </c>
      <c r="G3849" s="293"/>
      <c r="H3849" s="293"/>
      <c r="I3849" s="294"/>
      <c r="K3849" s="229">
        <f>+SUM(K3845:K3847)</f>
        <v>0</v>
      </c>
      <c r="L3849" s="119">
        <f>+SUM(L3844:L3847)</f>
        <v>0</v>
      </c>
    </row>
    <row r="3850" spans="2:16" ht="15" customHeight="1" x14ac:dyDescent="0.4">
      <c r="F3850" s="128"/>
      <c r="G3850" s="129"/>
      <c r="H3850" s="130"/>
      <c r="I3850" s="108"/>
      <c r="K3850" s="230"/>
    </row>
    <row r="3851" spans="2:16" ht="15" customHeight="1" thickBot="1" x14ac:dyDescent="0.45"/>
    <row r="3852" spans="2:16" ht="17.399999999999999" thickBot="1" x14ac:dyDescent="0.45">
      <c r="F3852" s="292" t="s">
        <v>20</v>
      </c>
      <c r="G3852" s="293"/>
      <c r="H3852" s="293"/>
      <c r="I3852" s="294"/>
      <c r="K3852" s="229">
        <f>(+K3823+K3832+K3841+K3849)</f>
        <v>250</v>
      </c>
      <c r="L3852" s="119">
        <f>(+L3823+L3832+L3841+L3849)</f>
        <v>2000</v>
      </c>
      <c r="N3852" s="131"/>
      <c r="O3852" s="39"/>
      <c r="P3852" s="40"/>
    </row>
    <row r="3853" spans="2:16" ht="7.5" customHeight="1" thickBot="1" x14ac:dyDescent="0.45">
      <c r="N3853" s="131"/>
      <c r="O3853" s="41"/>
      <c r="P3853" s="40"/>
    </row>
    <row r="3854" spans="2:16" ht="17.399999999999999" thickBot="1" x14ac:dyDescent="0.45">
      <c r="F3854" s="292" t="s">
        <v>21</v>
      </c>
      <c r="G3854" s="293"/>
      <c r="H3854" s="293"/>
      <c r="I3854" s="294"/>
      <c r="K3854" s="229">
        <f>K3852*$N$2</f>
        <v>100</v>
      </c>
      <c r="L3854" s="119">
        <f>L3852*$N$2</f>
        <v>800</v>
      </c>
    </row>
    <row r="3855" spans="2:16" ht="7.5" customHeight="1" thickBot="1" x14ac:dyDescent="0.45"/>
    <row r="3856" spans="2:16" ht="17.399999999999999" thickBot="1" x14ac:dyDescent="0.45">
      <c r="F3856" s="292" t="s">
        <v>22</v>
      </c>
      <c r="G3856" s="293"/>
      <c r="H3856" s="293"/>
      <c r="I3856" s="294"/>
      <c r="K3856" s="229">
        <f>+K3852+K3854</f>
        <v>350</v>
      </c>
      <c r="L3856" s="119">
        <f>+L3852+L3854</f>
        <v>2800</v>
      </c>
    </row>
    <row r="3857" spans="1:16" ht="17.399999999999999" thickBot="1" x14ac:dyDescent="0.45">
      <c r="F3857" s="128"/>
      <c r="G3857" s="129"/>
      <c r="H3857" s="130"/>
      <c r="I3857" s="108"/>
      <c r="K3857" s="231"/>
      <c r="L3857" s="132">
        <f>L3856/I3813</f>
        <v>350</v>
      </c>
      <c r="M3857" s="133">
        <f>(K3856-L3857)*I3813</f>
        <v>0</v>
      </c>
    </row>
    <row r="3858" spans="1:16" x14ac:dyDescent="0.4">
      <c r="F3858" s="128"/>
      <c r="G3858" s="129"/>
      <c r="H3858" s="130"/>
      <c r="I3858" s="108"/>
      <c r="K3858" s="232"/>
      <c r="L3858" s="131"/>
      <c r="M3858" s="134"/>
      <c r="N3858" s="135"/>
    </row>
    <row r="3859" spans="1:16" ht="17.399999999999999" thickBot="1" x14ac:dyDescent="0.45">
      <c r="B3859" s="295"/>
      <c r="C3859" s="295"/>
      <c r="D3859" s="295"/>
    </row>
    <row r="3860" spans="1:16" x14ac:dyDescent="0.4">
      <c r="B3860" s="296" t="s">
        <v>23</v>
      </c>
      <c r="C3860" s="296"/>
      <c r="D3860" s="296"/>
    </row>
    <row r="3861" spans="1:16" x14ac:dyDescent="0.4">
      <c r="B3861" s="157"/>
      <c r="C3861" s="157"/>
      <c r="D3861" s="157"/>
    </row>
    <row r="3862" spans="1:16" x14ac:dyDescent="0.4">
      <c r="B3862" s="157"/>
      <c r="C3862" s="157"/>
      <c r="D3862" s="157"/>
    </row>
    <row r="3863" spans="1:16" x14ac:dyDescent="0.4">
      <c r="B3863" s="105" t="s">
        <v>43</v>
      </c>
      <c r="C3863" s="106"/>
      <c r="D3863" s="311" t="s">
        <v>1</v>
      </c>
      <c r="E3863" s="311"/>
      <c r="F3863" s="311"/>
      <c r="G3863" s="311"/>
      <c r="H3863" s="106"/>
      <c r="I3863" s="107" t="s">
        <v>2</v>
      </c>
      <c r="J3863" s="136"/>
      <c r="K3863" s="107" t="s">
        <v>3</v>
      </c>
    </row>
    <row r="3864" spans="1:16" s="4" customFormat="1" ht="30.75" customHeight="1" x14ac:dyDescent="0.3">
      <c r="A3864" s="31"/>
      <c r="B3864" s="213">
        <f>CATALOGO!B100</f>
        <v>611.01</v>
      </c>
      <c r="C3864" s="71"/>
      <c r="D3864" s="326" t="str">
        <f>CATALOGO!C100</f>
        <v>PINTURA DE MUROS</v>
      </c>
      <c r="E3864" s="326"/>
      <c r="F3864" s="326"/>
      <c r="G3864" s="326"/>
      <c r="H3864" s="71"/>
      <c r="I3864" s="213">
        <f>CATALOGO!D100</f>
        <v>130</v>
      </c>
      <c r="J3864" s="109"/>
      <c r="K3864" s="227" t="str">
        <f>CATALOGO!E100</f>
        <v>m²</v>
      </c>
      <c r="L3864" s="71"/>
      <c r="M3864" s="71"/>
      <c r="N3864" s="71"/>
      <c r="O3864" s="37"/>
      <c r="P3864" s="37"/>
    </row>
    <row r="3865" spans="1:16" ht="17.399999999999999" thickBot="1" x14ac:dyDescent="0.45"/>
    <row r="3866" spans="1:16" ht="17.399999999999999" thickBot="1" x14ac:dyDescent="0.45">
      <c r="B3866" s="110" t="s">
        <v>4</v>
      </c>
      <c r="C3866" s="300" t="s">
        <v>5</v>
      </c>
      <c r="D3866" s="300"/>
      <c r="E3866" s="300"/>
      <c r="F3866" s="300"/>
      <c r="G3866" s="301"/>
    </row>
    <row r="3867" spans="1:16" x14ac:dyDescent="0.3">
      <c r="B3867" s="111" t="s">
        <v>6</v>
      </c>
      <c r="C3867" s="313" t="s">
        <v>1</v>
      </c>
      <c r="D3867" s="314"/>
      <c r="E3867" s="112" t="s">
        <v>193</v>
      </c>
      <c r="F3867" s="113" t="s">
        <v>2</v>
      </c>
      <c r="G3867" s="114" t="s">
        <v>3</v>
      </c>
      <c r="H3867" s="106"/>
      <c r="I3867" s="107" t="s">
        <v>7</v>
      </c>
      <c r="J3867" s="136"/>
      <c r="K3867" s="228" t="s">
        <v>8</v>
      </c>
      <c r="L3867" s="115" t="s">
        <v>194</v>
      </c>
      <c r="O3867" s="323"/>
      <c r="P3867" s="323"/>
    </row>
    <row r="3868" spans="1:16" ht="17.25" customHeight="1" x14ac:dyDescent="0.3">
      <c r="B3868" s="122">
        <v>1</v>
      </c>
      <c r="C3868" s="317" t="s">
        <v>78</v>
      </c>
      <c r="D3868" s="318"/>
      <c r="E3868" s="116">
        <f>I3864*0.04</f>
        <v>5.2</v>
      </c>
      <c r="F3868" s="83">
        <f>ROUND(E3868/I3864,2)</f>
        <v>0.04</v>
      </c>
      <c r="G3868" s="74" t="str">
        <f>IF(C3868=0,0,VLOOKUP(C3868,Tabla1[],2,FALSE))</f>
        <v>Unidad</v>
      </c>
      <c r="I3868" s="117">
        <f>IF(C3868=0,0,VLOOKUP(C3868,Tabla1[],3,FALSE))</f>
        <v>25</v>
      </c>
      <c r="K3868" s="84">
        <f>F3868*I3868</f>
        <v>1</v>
      </c>
      <c r="L3868" s="118">
        <f t="shared" ref="L3868:L3877" si="590">E3868*I3868</f>
        <v>130</v>
      </c>
      <c r="O3868" s="44"/>
      <c r="P3868" s="45"/>
    </row>
    <row r="3869" spans="1:16" x14ac:dyDescent="0.4">
      <c r="B3869" s="122">
        <v>2</v>
      </c>
      <c r="C3869" s="317" t="s">
        <v>79</v>
      </c>
      <c r="D3869" s="318"/>
      <c r="E3869" s="116">
        <f>I3864*0.02</f>
        <v>2.6</v>
      </c>
      <c r="F3869" s="83">
        <f>ROUND(E3869/I3864,2)</f>
        <v>0.02</v>
      </c>
      <c r="G3869" s="74" t="str">
        <f>IF(C3869=0,0,VLOOKUP(C3869,Tabla1[],2,FALSE))</f>
        <v>Unidad</v>
      </c>
      <c r="I3869" s="117">
        <f>IF(C3869=0,0,VLOOKUP(C3869,Tabla1[],3,FALSE))</f>
        <v>50</v>
      </c>
      <c r="K3869" s="84">
        <f t="shared" ref="K3869:K3877" si="591">+F3869*I3869</f>
        <v>1</v>
      </c>
      <c r="L3869" s="118">
        <f t="shared" si="590"/>
        <v>130</v>
      </c>
      <c r="P3869" s="45"/>
    </row>
    <row r="3870" spans="1:16" x14ac:dyDescent="0.4">
      <c r="B3870" s="122">
        <v>3</v>
      </c>
      <c r="C3870" s="317" t="s">
        <v>220</v>
      </c>
      <c r="D3870" s="318"/>
      <c r="E3870" s="116">
        <f>I3864*0.01</f>
        <v>1.3</v>
      </c>
      <c r="F3870" s="83">
        <f>ROUND(E3870/I3864,2)</f>
        <v>0.01</v>
      </c>
      <c r="G3870" s="74" t="str">
        <f>IF(C3870=0,0,VLOOKUP(C3870,Tabla1[],2,FALSE))</f>
        <v>Cubeta</v>
      </c>
      <c r="I3870" s="117">
        <f>IF(C3870=0,0,VLOOKUP(C3870,Tabla1[],3,FALSE))</f>
        <v>1500</v>
      </c>
      <c r="K3870" s="84">
        <f t="shared" si="591"/>
        <v>15</v>
      </c>
      <c r="L3870" s="118">
        <f t="shared" si="590"/>
        <v>1950</v>
      </c>
      <c r="O3870" s="48"/>
      <c r="P3870" s="49"/>
    </row>
    <row r="3871" spans="1:16" x14ac:dyDescent="0.4">
      <c r="B3871" s="122">
        <v>4</v>
      </c>
      <c r="C3871" s="317" t="s">
        <v>221</v>
      </c>
      <c r="D3871" s="318"/>
      <c r="E3871" s="116">
        <f>I3864*0.02</f>
        <v>2.6</v>
      </c>
      <c r="F3871" s="83">
        <f>ROUND(E3871/I3864,2)</f>
        <v>0.02</v>
      </c>
      <c r="G3871" s="74" t="str">
        <f>IF(C3871=0,0,VLOOKUP(C3871,Tabla1[],2,FALSE))</f>
        <v>Unidad</v>
      </c>
      <c r="I3871" s="117">
        <f>IF(C3871=0,0,VLOOKUP(C3871,Tabla1[],3,FALSE))</f>
        <v>50</v>
      </c>
      <c r="K3871" s="84">
        <f t="shared" si="591"/>
        <v>1</v>
      </c>
      <c r="L3871" s="118">
        <f t="shared" si="590"/>
        <v>130</v>
      </c>
      <c r="O3871" s="48"/>
      <c r="P3871" s="49"/>
    </row>
    <row r="3872" spans="1:16" x14ac:dyDescent="0.4">
      <c r="B3872" s="122">
        <v>5</v>
      </c>
      <c r="C3872" s="317" t="s">
        <v>184</v>
      </c>
      <c r="D3872" s="318"/>
      <c r="E3872" s="116">
        <f>I3864*0.08</f>
        <v>10.4</v>
      </c>
      <c r="F3872" s="83">
        <f>ROUND(E3872/I3864,2)</f>
        <v>0.08</v>
      </c>
      <c r="G3872" s="74" t="str">
        <f>IF(C3872=0,0,VLOOKUP(C3872,Tabla1[],2,FALSE))</f>
        <v>Libra</v>
      </c>
      <c r="I3872" s="117">
        <f>IF(C3872=0,0,VLOOKUP(C3872,Tabla1[],3,FALSE))</f>
        <v>25</v>
      </c>
      <c r="K3872" s="84">
        <f t="shared" si="591"/>
        <v>2</v>
      </c>
      <c r="L3872" s="118">
        <f t="shared" si="590"/>
        <v>260</v>
      </c>
      <c r="O3872" s="48"/>
      <c r="P3872" s="49"/>
    </row>
    <row r="3873" spans="2:16" x14ac:dyDescent="0.4">
      <c r="B3873" s="122">
        <v>6</v>
      </c>
      <c r="C3873" s="318" t="s">
        <v>80</v>
      </c>
      <c r="D3873" s="306"/>
      <c r="E3873" s="116">
        <f>I3864*0.04</f>
        <v>5.2</v>
      </c>
      <c r="F3873" s="83">
        <f>ROUND(E3873/I3864,2)</f>
        <v>0.04</v>
      </c>
      <c r="G3873" s="74" t="str">
        <f>IF(C3873=0,0,VLOOKUP(C3873,Tabla1[],2,FALSE))</f>
        <v>Unidad</v>
      </c>
      <c r="I3873" s="117">
        <f>IF(C3873=0,0,VLOOKUP(C3873,Tabla1[],3,FALSE))</f>
        <v>100</v>
      </c>
      <c r="K3873" s="84">
        <f t="shared" si="591"/>
        <v>4</v>
      </c>
      <c r="L3873" s="118">
        <f t="shared" si="590"/>
        <v>520</v>
      </c>
      <c r="O3873" s="48"/>
      <c r="P3873" s="49"/>
    </row>
    <row r="3874" spans="2:16" x14ac:dyDescent="0.4">
      <c r="B3874" s="122">
        <v>7</v>
      </c>
      <c r="C3874" s="318" t="s">
        <v>223</v>
      </c>
      <c r="D3874" s="306"/>
      <c r="E3874" s="116">
        <f>I3864*0.02</f>
        <v>2.6</v>
      </c>
      <c r="F3874" s="83">
        <f>ROUND(E3874/I3864,2)</f>
        <v>0.02</v>
      </c>
      <c r="G3874" s="74" t="str">
        <f>IF(C3874=0,0,VLOOKUP(C3874,Tabla1[],2,FALSE))</f>
        <v>Unidad</v>
      </c>
      <c r="I3874" s="117">
        <f>IF(C3874=0,0,VLOOKUP(C3874,Tabla1[],3,FALSE))</f>
        <v>50</v>
      </c>
      <c r="K3874" s="84">
        <f t="shared" si="591"/>
        <v>1</v>
      </c>
      <c r="L3874" s="118">
        <f t="shared" si="590"/>
        <v>130</v>
      </c>
      <c r="O3874" s="48"/>
      <c r="P3874" s="49"/>
    </row>
    <row r="3875" spans="2:16" x14ac:dyDescent="0.4">
      <c r="B3875" s="122"/>
      <c r="C3875" s="317"/>
      <c r="D3875" s="318"/>
      <c r="E3875" s="116"/>
      <c r="F3875" s="83"/>
      <c r="G3875" s="74"/>
      <c r="I3875" s="117">
        <f>IF(C3875=0,0,VLOOKUP(C3875,Tabla1[],3,FALSE))</f>
        <v>0</v>
      </c>
      <c r="K3875" s="84">
        <f t="shared" si="591"/>
        <v>0</v>
      </c>
      <c r="L3875" s="118">
        <f t="shared" si="590"/>
        <v>0</v>
      </c>
      <c r="O3875" s="48"/>
      <c r="P3875" s="49"/>
    </row>
    <row r="3876" spans="2:16" x14ac:dyDescent="0.4">
      <c r="B3876" s="122"/>
      <c r="C3876" s="317"/>
      <c r="D3876" s="318"/>
      <c r="E3876" s="116"/>
      <c r="F3876" s="83"/>
      <c r="G3876" s="74"/>
      <c r="I3876" s="117">
        <f>IF(C3876=0,0,VLOOKUP(C3876,Tabla1[],3,FALSE))</f>
        <v>0</v>
      </c>
      <c r="K3876" s="84">
        <f t="shared" si="591"/>
        <v>0</v>
      </c>
      <c r="L3876" s="118">
        <f t="shared" si="590"/>
        <v>0</v>
      </c>
      <c r="O3876" s="48"/>
      <c r="P3876" s="49"/>
    </row>
    <row r="3877" spans="2:16" x14ac:dyDescent="0.4">
      <c r="B3877" s="122"/>
      <c r="C3877" s="319"/>
      <c r="D3877" s="318"/>
      <c r="E3877" s="116"/>
      <c r="F3877" s="83"/>
      <c r="G3877" s="74"/>
      <c r="I3877" s="117">
        <f>IF(C3877=0,0,VLOOKUP(C3877,Tabla1[],3,FALSE))</f>
        <v>0</v>
      </c>
      <c r="K3877" s="84">
        <f t="shared" si="591"/>
        <v>0</v>
      </c>
      <c r="L3877" s="118">
        <f t="shared" si="590"/>
        <v>0</v>
      </c>
      <c r="O3877" s="48"/>
      <c r="P3877" s="43"/>
    </row>
    <row r="3878" spans="2:16" ht="17.399999999999999" thickBot="1" x14ac:dyDescent="0.45"/>
    <row r="3879" spans="2:16" ht="17.399999999999999" thickBot="1" x14ac:dyDescent="0.35">
      <c r="F3879" s="292" t="s">
        <v>9</v>
      </c>
      <c r="G3879" s="293"/>
      <c r="H3879" s="293"/>
      <c r="I3879" s="294"/>
      <c r="K3879" s="229">
        <f>+SUM(K3868:K3877)</f>
        <v>25</v>
      </c>
      <c r="L3879" s="119">
        <f>+SUM(L3868:L3877)</f>
        <v>3250</v>
      </c>
      <c r="O3879" s="38"/>
      <c r="P3879" s="38"/>
    </row>
    <row r="3880" spans="2:16" ht="17.399999999999999" thickBot="1" x14ac:dyDescent="0.45">
      <c r="O3880" s="42"/>
      <c r="P3880" s="43"/>
    </row>
    <row r="3881" spans="2:16" ht="17.399999999999999" thickBot="1" x14ac:dyDescent="0.45">
      <c r="B3881" s="110" t="s">
        <v>10</v>
      </c>
      <c r="C3881" s="300" t="s">
        <v>11</v>
      </c>
      <c r="D3881" s="300"/>
      <c r="E3881" s="300"/>
      <c r="F3881" s="300"/>
      <c r="G3881" s="301"/>
    </row>
    <row r="3882" spans="2:16" x14ac:dyDescent="0.4">
      <c r="B3882" s="114" t="s">
        <v>6</v>
      </c>
      <c r="C3882" s="302" t="s">
        <v>1</v>
      </c>
      <c r="D3882" s="303"/>
      <c r="E3882" s="112" t="s">
        <v>193</v>
      </c>
      <c r="F3882" s="120" t="s">
        <v>2</v>
      </c>
      <c r="G3882" s="114" t="s">
        <v>3</v>
      </c>
      <c r="H3882" s="106"/>
      <c r="I3882" s="107" t="s">
        <v>7</v>
      </c>
      <c r="J3882" s="136"/>
      <c r="K3882" s="107" t="s">
        <v>8</v>
      </c>
      <c r="L3882" s="115" t="s">
        <v>194</v>
      </c>
    </row>
    <row r="3883" spans="2:16" x14ac:dyDescent="0.4">
      <c r="B3883" s="122"/>
      <c r="C3883" s="306"/>
      <c r="D3883" s="306"/>
      <c r="E3883" s="116"/>
      <c r="F3883" s="83"/>
      <c r="G3883" s="74"/>
      <c r="I3883" s="117">
        <f>IF(C3883=0,0,VLOOKUP(C3883,Tabla3[],3,FALSE))</f>
        <v>0</v>
      </c>
      <c r="K3883" s="84">
        <f>F3883*I3883</f>
        <v>0</v>
      </c>
      <c r="L3883" s="118">
        <f>E3883*I3883</f>
        <v>0</v>
      </c>
    </row>
    <row r="3884" spans="2:16" x14ac:dyDescent="0.4">
      <c r="B3884" s="74"/>
      <c r="C3884" s="309"/>
      <c r="D3884" s="310"/>
      <c r="E3884" s="121"/>
      <c r="F3884" s="72"/>
      <c r="G3884" s="74"/>
      <c r="I3884" s="117">
        <f>IF(C3884=0,0,VLOOKUP(C3884,Tabla3[],3,FALSE))</f>
        <v>0</v>
      </c>
      <c r="K3884" s="84">
        <f t="shared" ref="K3884:K3886" si="592">+F3884*I3884</f>
        <v>0</v>
      </c>
      <c r="L3884" s="118">
        <f t="shared" ref="L3884:L3886" si="593">E3884*I3884</f>
        <v>0</v>
      </c>
    </row>
    <row r="3885" spans="2:16" x14ac:dyDescent="0.4">
      <c r="B3885" s="74"/>
      <c r="C3885" s="309"/>
      <c r="D3885" s="310"/>
      <c r="E3885" s="121"/>
      <c r="F3885" s="72"/>
      <c r="G3885" s="74"/>
      <c r="I3885" s="117">
        <f>IF(C3885=0,0,VLOOKUP(C3885,Tabla3[],3,FALSE))</f>
        <v>0</v>
      </c>
      <c r="K3885" s="84">
        <f t="shared" si="592"/>
        <v>0</v>
      </c>
      <c r="L3885" s="118">
        <f t="shared" si="593"/>
        <v>0</v>
      </c>
    </row>
    <row r="3886" spans="2:16" x14ac:dyDescent="0.4">
      <c r="B3886" s="74"/>
      <c r="C3886" s="304"/>
      <c r="D3886" s="305"/>
      <c r="E3886" s="121"/>
      <c r="F3886" s="72"/>
      <c r="G3886" s="74"/>
      <c r="I3886" s="117">
        <f>IF(C3886=0,0,VLOOKUP(C3886,Tabla3[],3,FALSE))</f>
        <v>0</v>
      </c>
      <c r="K3886" s="84">
        <f t="shared" si="592"/>
        <v>0</v>
      </c>
      <c r="L3886" s="118">
        <f t="shared" si="593"/>
        <v>0</v>
      </c>
    </row>
    <row r="3887" spans="2:16" ht="17.399999999999999" thickBot="1" x14ac:dyDescent="0.45"/>
    <row r="3888" spans="2:16" ht="17.399999999999999" thickBot="1" x14ac:dyDescent="0.45">
      <c r="F3888" s="292" t="s">
        <v>12</v>
      </c>
      <c r="G3888" s="293"/>
      <c r="H3888" s="293"/>
      <c r="I3888" s="294"/>
      <c r="K3888" s="229">
        <f>+SUM(K3883:K3886)</f>
        <v>0</v>
      </c>
      <c r="L3888" s="119">
        <f>+SUM(L3883:L3886)</f>
        <v>0</v>
      </c>
    </row>
    <row r="3889" spans="2:12" ht="17.399999999999999" thickBot="1" x14ac:dyDescent="0.45"/>
    <row r="3890" spans="2:12" ht="17.399999999999999" thickBot="1" x14ac:dyDescent="0.45">
      <c r="B3890" s="110" t="s">
        <v>13</v>
      </c>
      <c r="C3890" s="300" t="s">
        <v>14</v>
      </c>
      <c r="D3890" s="300"/>
      <c r="E3890" s="300"/>
      <c r="F3890" s="300"/>
      <c r="G3890" s="301"/>
    </row>
    <row r="3891" spans="2:12" x14ac:dyDescent="0.4">
      <c r="B3891" s="114" t="s">
        <v>6</v>
      </c>
      <c r="C3891" s="302" t="s">
        <v>1</v>
      </c>
      <c r="D3891" s="303"/>
      <c r="E3891" s="112" t="s">
        <v>193</v>
      </c>
      <c r="F3891" s="120" t="s">
        <v>2</v>
      </c>
      <c r="G3891" s="114" t="s">
        <v>3</v>
      </c>
      <c r="H3891" s="106"/>
      <c r="I3891" s="107" t="s">
        <v>7</v>
      </c>
      <c r="J3891" s="136"/>
      <c r="K3891" s="107" t="s">
        <v>8</v>
      </c>
      <c r="L3891" s="115" t="s">
        <v>194</v>
      </c>
    </row>
    <row r="3892" spans="2:12" x14ac:dyDescent="0.4">
      <c r="B3892" s="122">
        <v>1</v>
      </c>
      <c r="C3892" s="306" t="s">
        <v>187</v>
      </c>
      <c r="D3892" s="306"/>
      <c r="E3892" s="116">
        <f>I3864</f>
        <v>130</v>
      </c>
      <c r="F3892" s="83">
        <f>ROUND(E3892/I3864,2)</f>
        <v>1</v>
      </c>
      <c r="G3892" s="74" t="str">
        <f>IF(C3892=0,0,VLOOKUP(C3892,Tabla2[],2,FALSE))</f>
        <v>m²</v>
      </c>
      <c r="I3892" s="117">
        <f>IF(C3892=0,0,VLOOKUP(C3892,Tabla2[],3,FALSE))</f>
        <v>10</v>
      </c>
      <c r="K3892" s="84">
        <f>+F3892*I3892</f>
        <v>10</v>
      </c>
      <c r="L3892" s="118">
        <f>E3892*I3892</f>
        <v>1300</v>
      </c>
    </row>
    <row r="3893" spans="2:12" x14ac:dyDescent="0.4">
      <c r="B3893" s="122"/>
      <c r="C3893" s="306"/>
      <c r="D3893" s="306"/>
      <c r="E3893" s="116"/>
      <c r="F3893" s="83"/>
      <c r="G3893" s="74"/>
      <c r="I3893" s="117">
        <f>IF(C3893=0,0,VLOOKUP(C3893,Tabla2[],3,FALSE))</f>
        <v>0</v>
      </c>
      <c r="K3893" s="84">
        <f>+F3893*I3893</f>
        <v>0</v>
      </c>
      <c r="L3893" s="118">
        <f>E3893*I3893</f>
        <v>0</v>
      </c>
    </row>
    <row r="3894" spans="2:12" ht="17.399999999999999" thickBot="1" x14ac:dyDescent="0.45">
      <c r="B3894" s="123"/>
      <c r="C3894" s="307"/>
      <c r="D3894" s="308"/>
      <c r="E3894" s="124"/>
      <c r="F3894" s="125"/>
      <c r="G3894" s="74"/>
      <c r="I3894" s="117">
        <f>IF(C3894=0,0,VLOOKUP(C3894,Tabla2[],3,FALSE))</f>
        <v>0</v>
      </c>
      <c r="K3894" s="84">
        <f t="shared" ref="K3894" si="594">+F3894*I3894</f>
        <v>0</v>
      </c>
      <c r="L3894" s="118">
        <f t="shared" ref="L3894:L3895" si="595">E3894*I3894</f>
        <v>0</v>
      </c>
    </row>
    <row r="3895" spans="2:12" ht="17.399999999999999" thickBot="1" x14ac:dyDescent="0.45">
      <c r="B3895" s="297" t="s">
        <v>15</v>
      </c>
      <c r="C3895" s="298"/>
      <c r="D3895" s="298"/>
      <c r="E3895" s="298"/>
      <c r="F3895" s="298"/>
      <c r="G3895" s="299"/>
      <c r="I3895" s="84">
        <v>0</v>
      </c>
      <c r="K3895" s="84">
        <v>0</v>
      </c>
      <c r="L3895" s="118">
        <f t="shared" si="595"/>
        <v>0</v>
      </c>
    </row>
    <row r="3896" spans="2:12" ht="17.399999999999999" thickBot="1" x14ac:dyDescent="0.45"/>
    <row r="3897" spans="2:12" ht="17.399999999999999" thickBot="1" x14ac:dyDescent="0.45">
      <c r="F3897" s="292" t="s">
        <v>16</v>
      </c>
      <c r="G3897" s="293"/>
      <c r="H3897" s="293"/>
      <c r="I3897" s="294"/>
      <c r="K3897" s="229">
        <f>+SUM(K3892:K3895)</f>
        <v>10</v>
      </c>
      <c r="L3897" s="119">
        <f>+SUM(L3892:L3895)</f>
        <v>1300</v>
      </c>
    </row>
    <row r="3898" spans="2:12" ht="17.399999999999999" thickBot="1" x14ac:dyDescent="0.45"/>
    <row r="3899" spans="2:12" ht="17.399999999999999" thickBot="1" x14ac:dyDescent="0.45">
      <c r="B3899" s="110" t="s">
        <v>17</v>
      </c>
      <c r="C3899" s="300" t="s">
        <v>18</v>
      </c>
      <c r="D3899" s="300"/>
      <c r="E3899" s="300"/>
      <c r="F3899" s="300"/>
      <c r="G3899" s="301"/>
    </row>
    <row r="3900" spans="2:12" x14ac:dyDescent="0.4">
      <c r="B3900" s="114" t="s">
        <v>6</v>
      </c>
      <c r="C3900" s="302" t="s">
        <v>1</v>
      </c>
      <c r="D3900" s="303"/>
      <c r="E3900" s="126"/>
      <c r="F3900" s="120" t="s">
        <v>2</v>
      </c>
      <c r="G3900" s="114" t="s">
        <v>3</v>
      </c>
      <c r="H3900" s="106"/>
      <c r="I3900" s="107" t="s">
        <v>7</v>
      </c>
      <c r="J3900" s="136"/>
      <c r="K3900" s="107" t="s">
        <v>8</v>
      </c>
      <c r="L3900" s="115" t="s">
        <v>194</v>
      </c>
    </row>
    <row r="3901" spans="2:12" x14ac:dyDescent="0.4">
      <c r="B3901" s="74"/>
      <c r="C3901" s="304"/>
      <c r="D3901" s="305"/>
      <c r="E3901" s="127"/>
      <c r="F3901" s="72"/>
      <c r="G3901" s="74"/>
      <c r="I3901" s="84">
        <v>0</v>
      </c>
      <c r="K3901" s="84">
        <f>+F3901*I3901</f>
        <v>0</v>
      </c>
      <c r="L3901" s="118">
        <f>E3901*I3901</f>
        <v>0</v>
      </c>
    </row>
    <row r="3902" spans="2:12" x14ac:dyDescent="0.4">
      <c r="B3902" s="74"/>
      <c r="C3902" s="304"/>
      <c r="D3902" s="305"/>
      <c r="E3902" s="127"/>
      <c r="F3902" s="72"/>
      <c r="G3902" s="74"/>
      <c r="I3902" s="84">
        <v>0</v>
      </c>
      <c r="K3902" s="84">
        <f t="shared" ref="K3902:K3903" si="596">+F3902*I3902</f>
        <v>0</v>
      </c>
      <c r="L3902" s="118">
        <f t="shared" ref="L3902:L3903" si="597">E3902*I3902</f>
        <v>0</v>
      </c>
    </row>
    <row r="3903" spans="2:12" x14ac:dyDescent="0.4">
      <c r="B3903" s="74"/>
      <c r="C3903" s="304"/>
      <c r="D3903" s="305"/>
      <c r="E3903" s="127"/>
      <c r="F3903" s="72"/>
      <c r="G3903" s="74"/>
      <c r="I3903" s="84">
        <v>0</v>
      </c>
      <c r="K3903" s="84">
        <f t="shared" si="596"/>
        <v>0</v>
      </c>
      <c r="L3903" s="118">
        <f t="shared" si="597"/>
        <v>0</v>
      </c>
    </row>
    <row r="3904" spans="2:12" ht="17.399999999999999" thickBot="1" x14ac:dyDescent="0.45">
      <c r="L3904" s="118"/>
    </row>
    <row r="3905" spans="1:16" ht="17.399999999999999" thickBot="1" x14ac:dyDescent="0.45">
      <c r="F3905" s="292" t="s">
        <v>19</v>
      </c>
      <c r="G3905" s="293"/>
      <c r="H3905" s="293"/>
      <c r="I3905" s="294"/>
      <c r="K3905" s="229">
        <f>+SUM(K3901:K3903)</f>
        <v>0</v>
      </c>
      <c r="L3905" s="119">
        <f>+SUM(L3900:L3903)</f>
        <v>0</v>
      </c>
    </row>
    <row r="3906" spans="1:16" ht="15" customHeight="1" x14ac:dyDescent="0.4">
      <c r="F3906" s="128"/>
      <c r="G3906" s="129"/>
      <c r="H3906" s="130"/>
      <c r="I3906" s="108"/>
      <c r="K3906" s="230"/>
    </row>
    <row r="3907" spans="1:16" ht="15" customHeight="1" thickBot="1" x14ac:dyDescent="0.45"/>
    <row r="3908" spans="1:16" ht="17.399999999999999" thickBot="1" x14ac:dyDescent="0.45">
      <c r="F3908" s="292" t="s">
        <v>20</v>
      </c>
      <c r="G3908" s="293"/>
      <c r="H3908" s="293"/>
      <c r="I3908" s="294"/>
      <c r="K3908" s="229">
        <f>(+K3879+K3888+K3897+K3905)</f>
        <v>35</v>
      </c>
      <c r="L3908" s="119">
        <f>(+L3879+L3888+L3897+L3905)</f>
        <v>4550</v>
      </c>
      <c r="N3908" s="131"/>
      <c r="O3908" s="39"/>
      <c r="P3908" s="40"/>
    </row>
    <row r="3909" spans="1:16" ht="7.5" customHeight="1" thickBot="1" x14ac:dyDescent="0.45">
      <c r="N3909" s="131"/>
      <c r="O3909" s="41"/>
      <c r="P3909" s="40"/>
    </row>
    <row r="3910" spans="1:16" ht="17.399999999999999" thickBot="1" x14ac:dyDescent="0.45">
      <c r="F3910" s="292" t="s">
        <v>21</v>
      </c>
      <c r="G3910" s="293"/>
      <c r="H3910" s="293"/>
      <c r="I3910" s="294"/>
      <c r="K3910" s="229">
        <f>K3908*$N$2</f>
        <v>14</v>
      </c>
      <c r="L3910" s="119">
        <f>L3908*$N$2</f>
        <v>1820</v>
      </c>
    </row>
    <row r="3911" spans="1:16" ht="7.5" customHeight="1" thickBot="1" x14ac:dyDescent="0.45"/>
    <row r="3912" spans="1:16" ht="17.399999999999999" thickBot="1" x14ac:dyDescent="0.45">
      <c r="F3912" s="292" t="s">
        <v>22</v>
      </c>
      <c r="G3912" s="293"/>
      <c r="H3912" s="293"/>
      <c r="I3912" s="294"/>
      <c r="K3912" s="229">
        <f>+K3908+K3910</f>
        <v>49</v>
      </c>
      <c r="L3912" s="119">
        <f>+L3908+L3910</f>
        <v>6370</v>
      </c>
    </row>
    <row r="3913" spans="1:16" ht="17.399999999999999" thickBot="1" x14ac:dyDescent="0.45">
      <c r="F3913" s="128"/>
      <c r="G3913" s="129"/>
      <c r="H3913" s="130"/>
      <c r="I3913" s="108"/>
      <c r="K3913" s="231"/>
      <c r="L3913" s="132">
        <f>L3912/I3864</f>
        <v>49</v>
      </c>
      <c r="M3913" s="133">
        <f>(K3912-L3913)*I3864</f>
        <v>0</v>
      </c>
    </row>
    <row r="3914" spans="1:16" x14ac:dyDescent="0.4">
      <c r="F3914" s="128"/>
      <c r="G3914" s="129"/>
      <c r="H3914" s="130"/>
      <c r="I3914" s="108"/>
      <c r="K3914" s="232"/>
      <c r="L3914" s="131"/>
      <c r="M3914" s="134"/>
      <c r="N3914" s="135"/>
    </row>
    <row r="3915" spans="1:16" ht="17.399999999999999" thickBot="1" x14ac:dyDescent="0.45">
      <c r="B3915" s="295"/>
      <c r="C3915" s="295"/>
      <c r="D3915" s="295"/>
    </row>
    <row r="3916" spans="1:16" x14ac:dyDescent="0.4">
      <c r="B3916" s="296" t="s">
        <v>23</v>
      </c>
      <c r="C3916" s="296"/>
      <c r="D3916" s="296"/>
    </row>
    <row r="3917" spans="1:16" x14ac:dyDescent="0.4">
      <c r="B3917" s="157"/>
      <c r="C3917" s="157"/>
      <c r="D3917" s="157"/>
    </row>
    <row r="3918" spans="1:16" x14ac:dyDescent="0.4">
      <c r="B3918" s="157"/>
      <c r="C3918" s="157"/>
      <c r="D3918" s="157"/>
    </row>
    <row r="3919" spans="1:16" x14ac:dyDescent="0.4">
      <c r="B3919" s="105" t="s">
        <v>43</v>
      </c>
      <c r="C3919" s="106"/>
      <c r="D3919" s="311" t="s">
        <v>1</v>
      </c>
      <c r="E3919" s="311"/>
      <c r="F3919" s="311"/>
      <c r="G3919" s="311"/>
      <c r="H3919" s="106"/>
      <c r="I3919" s="107" t="s">
        <v>2</v>
      </c>
      <c r="J3919" s="136"/>
      <c r="K3919" s="107" t="s">
        <v>3</v>
      </c>
    </row>
    <row r="3920" spans="1:16" s="4" customFormat="1" ht="30.75" customHeight="1" x14ac:dyDescent="0.3">
      <c r="A3920" s="31"/>
      <c r="B3920" s="213">
        <f>CATALOGO!B102</f>
        <v>701.02</v>
      </c>
      <c r="C3920" s="71"/>
      <c r="D3920" s="326" t="str">
        <f>CATALOGO!C102</f>
        <v>PUERTA METAL + CHAPA (1 hoja)</v>
      </c>
      <c r="E3920" s="326"/>
      <c r="F3920" s="326"/>
      <c r="G3920" s="326"/>
      <c r="H3920" s="71"/>
      <c r="I3920" s="213">
        <f>CATALOGO!D102</f>
        <v>3</v>
      </c>
      <c r="J3920" s="109"/>
      <c r="K3920" s="227" t="str">
        <f>CATALOGO!E102</f>
        <v>Unidad</v>
      </c>
      <c r="L3920" s="71"/>
      <c r="M3920" s="71"/>
      <c r="N3920" s="71"/>
      <c r="O3920" s="37"/>
      <c r="P3920" s="37"/>
    </row>
    <row r="3921" spans="2:16" ht="17.399999999999999" thickBot="1" x14ac:dyDescent="0.45"/>
    <row r="3922" spans="2:16" ht="17.399999999999999" thickBot="1" x14ac:dyDescent="0.45">
      <c r="B3922" s="110" t="s">
        <v>4</v>
      </c>
      <c r="C3922" s="300" t="s">
        <v>5</v>
      </c>
      <c r="D3922" s="300"/>
      <c r="E3922" s="300"/>
      <c r="F3922" s="300"/>
      <c r="G3922" s="301"/>
    </row>
    <row r="3923" spans="2:16" x14ac:dyDescent="0.3">
      <c r="B3923" s="111" t="s">
        <v>6</v>
      </c>
      <c r="C3923" s="313" t="s">
        <v>1</v>
      </c>
      <c r="D3923" s="314"/>
      <c r="E3923" s="112" t="s">
        <v>193</v>
      </c>
      <c r="F3923" s="113" t="s">
        <v>2</v>
      </c>
      <c r="G3923" s="114" t="s">
        <v>3</v>
      </c>
      <c r="H3923" s="106"/>
      <c r="I3923" s="107" t="s">
        <v>7</v>
      </c>
      <c r="J3923" s="136"/>
      <c r="K3923" s="228" t="s">
        <v>8</v>
      </c>
      <c r="L3923" s="115" t="s">
        <v>194</v>
      </c>
      <c r="O3923" s="323"/>
      <c r="P3923" s="323"/>
    </row>
    <row r="3924" spans="2:16" ht="17.25" customHeight="1" x14ac:dyDescent="0.3">
      <c r="B3924" s="122"/>
      <c r="C3924" s="317"/>
      <c r="D3924" s="318"/>
      <c r="E3924" s="116"/>
      <c r="F3924" s="83"/>
      <c r="G3924" s="74"/>
      <c r="I3924" s="117">
        <f>IF(C3924=0,0,VLOOKUP(C3924,Tabla1[],3,FALSE))</f>
        <v>0</v>
      </c>
      <c r="K3924" s="84">
        <f>F3924*I3924</f>
        <v>0</v>
      </c>
      <c r="L3924" s="118">
        <f t="shared" ref="L3924:L3933" si="598">E3924*I3924</f>
        <v>0</v>
      </c>
      <c r="O3924" s="44"/>
      <c r="P3924" s="45"/>
    </row>
    <row r="3925" spans="2:16" x14ac:dyDescent="0.4">
      <c r="B3925" s="122"/>
      <c r="C3925" s="317"/>
      <c r="D3925" s="318"/>
      <c r="E3925" s="116"/>
      <c r="F3925" s="83"/>
      <c r="G3925" s="74"/>
      <c r="I3925" s="117">
        <f>IF(C3925=0,0,VLOOKUP(C3925,Tabla1[],3,FALSE))</f>
        <v>0</v>
      </c>
      <c r="K3925" s="84">
        <f t="shared" ref="K3925:K3933" si="599">+F3925*I3925</f>
        <v>0</v>
      </c>
      <c r="L3925" s="118">
        <f t="shared" si="598"/>
        <v>0</v>
      </c>
      <c r="P3925" s="45"/>
    </row>
    <row r="3926" spans="2:16" x14ac:dyDescent="0.4">
      <c r="B3926" s="122"/>
      <c r="C3926" s="317"/>
      <c r="D3926" s="318"/>
      <c r="E3926" s="116"/>
      <c r="F3926" s="83"/>
      <c r="G3926" s="74"/>
      <c r="I3926" s="117">
        <f>IF(C3926=0,0,VLOOKUP(C3926,Tabla1[],3,FALSE))</f>
        <v>0</v>
      </c>
      <c r="K3926" s="84">
        <f t="shared" si="599"/>
        <v>0</v>
      </c>
      <c r="L3926" s="118">
        <f t="shared" si="598"/>
        <v>0</v>
      </c>
      <c r="O3926" s="48"/>
      <c r="P3926" s="49"/>
    </row>
    <row r="3927" spans="2:16" x14ac:dyDescent="0.4">
      <c r="B3927" s="122"/>
      <c r="C3927" s="317"/>
      <c r="D3927" s="318"/>
      <c r="E3927" s="116"/>
      <c r="F3927" s="83"/>
      <c r="G3927" s="74"/>
      <c r="I3927" s="117">
        <f>IF(C3927=0,0,VLOOKUP(C3927,Tabla1[],3,FALSE))</f>
        <v>0</v>
      </c>
      <c r="K3927" s="84">
        <f t="shared" si="599"/>
        <v>0</v>
      </c>
      <c r="L3927" s="118">
        <f t="shared" si="598"/>
        <v>0</v>
      </c>
      <c r="O3927" s="48"/>
      <c r="P3927" s="49"/>
    </row>
    <row r="3928" spans="2:16" x14ac:dyDescent="0.4">
      <c r="B3928" s="122"/>
      <c r="C3928" s="317"/>
      <c r="D3928" s="318"/>
      <c r="E3928" s="116"/>
      <c r="F3928" s="83"/>
      <c r="G3928" s="74"/>
      <c r="I3928" s="117">
        <f>IF(C3928=0,0,VLOOKUP(C3928,Tabla1[],3,FALSE))</f>
        <v>0</v>
      </c>
      <c r="K3928" s="84">
        <f t="shared" si="599"/>
        <v>0</v>
      </c>
      <c r="L3928" s="118">
        <f t="shared" si="598"/>
        <v>0</v>
      </c>
      <c r="O3928" s="48"/>
      <c r="P3928" s="49"/>
    </row>
    <row r="3929" spans="2:16" x14ac:dyDescent="0.4">
      <c r="B3929" s="122"/>
      <c r="C3929" s="318"/>
      <c r="D3929" s="306"/>
      <c r="E3929" s="116"/>
      <c r="F3929" s="83"/>
      <c r="G3929" s="74"/>
      <c r="I3929" s="117">
        <f>IF(C3929=0,0,VLOOKUP(C3929,Tabla1[],3,FALSE))</f>
        <v>0</v>
      </c>
      <c r="K3929" s="84">
        <f t="shared" si="599"/>
        <v>0</v>
      </c>
      <c r="L3929" s="118">
        <f t="shared" si="598"/>
        <v>0</v>
      </c>
      <c r="O3929" s="48"/>
      <c r="P3929" s="49"/>
    </row>
    <row r="3930" spans="2:16" x14ac:dyDescent="0.4">
      <c r="B3930" s="122"/>
      <c r="C3930" s="318"/>
      <c r="D3930" s="306"/>
      <c r="E3930" s="116"/>
      <c r="F3930" s="83"/>
      <c r="G3930" s="74"/>
      <c r="I3930" s="117">
        <f>IF(C3930=0,0,VLOOKUP(C3930,Tabla1[],3,FALSE))</f>
        <v>0</v>
      </c>
      <c r="K3930" s="84">
        <f t="shared" si="599"/>
        <v>0</v>
      </c>
      <c r="L3930" s="118">
        <f t="shared" si="598"/>
        <v>0</v>
      </c>
      <c r="O3930" s="48"/>
      <c r="P3930" s="49"/>
    </row>
    <row r="3931" spans="2:16" x14ac:dyDescent="0.4">
      <c r="B3931" s="122"/>
      <c r="C3931" s="317"/>
      <c r="D3931" s="318"/>
      <c r="E3931" s="116"/>
      <c r="F3931" s="83"/>
      <c r="G3931" s="74"/>
      <c r="I3931" s="117">
        <f>IF(C3931=0,0,VLOOKUP(C3931,Tabla1[],3,FALSE))</f>
        <v>0</v>
      </c>
      <c r="K3931" s="84">
        <f t="shared" si="599"/>
        <v>0</v>
      </c>
      <c r="L3931" s="118">
        <f t="shared" si="598"/>
        <v>0</v>
      </c>
      <c r="O3931" s="48"/>
      <c r="P3931" s="49"/>
    </row>
    <row r="3932" spans="2:16" x14ac:dyDescent="0.4">
      <c r="B3932" s="122"/>
      <c r="C3932" s="317"/>
      <c r="D3932" s="318"/>
      <c r="E3932" s="116"/>
      <c r="F3932" s="83"/>
      <c r="G3932" s="74"/>
      <c r="I3932" s="117">
        <f>IF(C3932=0,0,VLOOKUP(C3932,Tabla1[],3,FALSE))</f>
        <v>0</v>
      </c>
      <c r="K3932" s="84">
        <f t="shared" si="599"/>
        <v>0</v>
      </c>
      <c r="L3932" s="118">
        <f t="shared" si="598"/>
        <v>0</v>
      </c>
      <c r="O3932" s="48"/>
      <c r="P3932" s="49"/>
    </row>
    <row r="3933" spans="2:16" x14ac:dyDescent="0.4">
      <c r="B3933" s="122"/>
      <c r="C3933" s="319"/>
      <c r="D3933" s="318"/>
      <c r="E3933" s="116"/>
      <c r="F3933" s="83"/>
      <c r="G3933" s="74"/>
      <c r="I3933" s="117">
        <f>IF(C3933=0,0,VLOOKUP(C3933,Tabla1[],3,FALSE))</f>
        <v>0</v>
      </c>
      <c r="K3933" s="84">
        <f t="shared" si="599"/>
        <v>0</v>
      </c>
      <c r="L3933" s="118">
        <f t="shared" si="598"/>
        <v>0</v>
      </c>
      <c r="O3933" s="48"/>
      <c r="P3933" s="43"/>
    </row>
    <row r="3934" spans="2:16" ht="17.399999999999999" thickBot="1" x14ac:dyDescent="0.45"/>
    <row r="3935" spans="2:16" ht="17.399999999999999" thickBot="1" x14ac:dyDescent="0.35">
      <c r="F3935" s="292" t="s">
        <v>9</v>
      </c>
      <c r="G3935" s="293"/>
      <c r="H3935" s="293"/>
      <c r="I3935" s="294"/>
      <c r="K3935" s="229">
        <f>+SUM(K3924:K3933)</f>
        <v>0</v>
      </c>
      <c r="L3935" s="119">
        <f>+SUM(L3924:L3933)</f>
        <v>0</v>
      </c>
      <c r="O3935" s="38"/>
      <c r="P3935" s="38"/>
    </row>
    <row r="3936" spans="2:16" ht="17.399999999999999" thickBot="1" x14ac:dyDescent="0.45">
      <c r="O3936" s="42"/>
      <c r="P3936" s="43"/>
    </row>
    <row r="3937" spans="2:12" ht="17.399999999999999" thickBot="1" x14ac:dyDescent="0.45">
      <c r="B3937" s="110" t="s">
        <v>10</v>
      </c>
      <c r="C3937" s="300" t="s">
        <v>11</v>
      </c>
      <c r="D3937" s="300"/>
      <c r="E3937" s="300"/>
      <c r="F3937" s="300"/>
      <c r="G3937" s="301"/>
    </row>
    <row r="3938" spans="2:12" x14ac:dyDescent="0.4">
      <c r="B3938" s="114" t="s">
        <v>6</v>
      </c>
      <c r="C3938" s="302" t="s">
        <v>1</v>
      </c>
      <c r="D3938" s="303"/>
      <c r="E3938" s="112" t="s">
        <v>193</v>
      </c>
      <c r="F3938" s="120" t="s">
        <v>2</v>
      </c>
      <c r="G3938" s="114" t="s">
        <v>3</v>
      </c>
      <c r="H3938" s="106"/>
      <c r="I3938" s="107" t="s">
        <v>7</v>
      </c>
      <c r="J3938" s="136"/>
      <c r="K3938" s="107" t="s">
        <v>8</v>
      </c>
      <c r="L3938" s="115" t="s">
        <v>194</v>
      </c>
    </row>
    <row r="3939" spans="2:12" x14ac:dyDescent="0.4">
      <c r="B3939" s="122"/>
      <c r="C3939" s="306"/>
      <c r="D3939" s="306"/>
      <c r="E3939" s="116"/>
      <c r="F3939" s="83"/>
      <c r="G3939" s="74"/>
      <c r="I3939" s="117">
        <f>IF(C3939=0,0,VLOOKUP(C3939,Tabla3[],3,FALSE))</f>
        <v>0</v>
      </c>
      <c r="K3939" s="84">
        <f>F3939*I3939</f>
        <v>0</v>
      </c>
      <c r="L3939" s="118">
        <f>E3939*I3939</f>
        <v>0</v>
      </c>
    </row>
    <row r="3940" spans="2:12" x14ac:dyDescent="0.4">
      <c r="B3940" s="74"/>
      <c r="C3940" s="309"/>
      <c r="D3940" s="310"/>
      <c r="E3940" s="121"/>
      <c r="F3940" s="72"/>
      <c r="G3940" s="74"/>
      <c r="I3940" s="117">
        <f>IF(C3940=0,0,VLOOKUP(C3940,Tabla3[],3,FALSE))</f>
        <v>0</v>
      </c>
      <c r="K3940" s="84">
        <f t="shared" ref="K3940:K3942" si="600">+F3940*I3940</f>
        <v>0</v>
      </c>
      <c r="L3940" s="118">
        <f t="shared" ref="L3940:L3942" si="601">E3940*I3940</f>
        <v>0</v>
      </c>
    </row>
    <row r="3941" spans="2:12" x14ac:dyDescent="0.4">
      <c r="B3941" s="74"/>
      <c r="C3941" s="309"/>
      <c r="D3941" s="310"/>
      <c r="E3941" s="121"/>
      <c r="F3941" s="72"/>
      <c r="G3941" s="74"/>
      <c r="I3941" s="117">
        <f>IF(C3941=0,0,VLOOKUP(C3941,Tabla3[],3,FALSE))</f>
        <v>0</v>
      </c>
      <c r="K3941" s="84">
        <f t="shared" si="600"/>
        <v>0</v>
      </c>
      <c r="L3941" s="118">
        <f t="shared" si="601"/>
        <v>0</v>
      </c>
    </row>
    <row r="3942" spans="2:12" x14ac:dyDescent="0.4">
      <c r="B3942" s="74"/>
      <c r="C3942" s="304"/>
      <c r="D3942" s="305"/>
      <c r="E3942" s="121"/>
      <c r="F3942" s="72"/>
      <c r="G3942" s="74"/>
      <c r="I3942" s="117">
        <f>IF(C3942=0,0,VLOOKUP(C3942,Tabla3[],3,FALSE))</f>
        <v>0</v>
      </c>
      <c r="K3942" s="84">
        <f t="shared" si="600"/>
        <v>0</v>
      </c>
      <c r="L3942" s="118">
        <f t="shared" si="601"/>
        <v>0</v>
      </c>
    </row>
    <row r="3943" spans="2:12" ht="17.399999999999999" thickBot="1" x14ac:dyDescent="0.45"/>
    <row r="3944" spans="2:12" ht="17.399999999999999" thickBot="1" x14ac:dyDescent="0.45">
      <c r="F3944" s="292" t="s">
        <v>12</v>
      </c>
      <c r="G3944" s="293"/>
      <c r="H3944" s="293"/>
      <c r="I3944" s="294"/>
      <c r="K3944" s="229">
        <f>+SUM(K3939:K3942)</f>
        <v>0</v>
      </c>
      <c r="L3944" s="119">
        <f>+SUM(L3939:L3942)</f>
        <v>0</v>
      </c>
    </row>
    <row r="3945" spans="2:12" ht="17.399999999999999" thickBot="1" x14ac:dyDescent="0.45"/>
    <row r="3946" spans="2:12" ht="17.399999999999999" thickBot="1" x14ac:dyDescent="0.45">
      <c r="B3946" s="110" t="s">
        <v>13</v>
      </c>
      <c r="C3946" s="300" t="s">
        <v>14</v>
      </c>
      <c r="D3946" s="300"/>
      <c r="E3946" s="300"/>
      <c r="F3946" s="300"/>
      <c r="G3946" s="301"/>
    </row>
    <row r="3947" spans="2:12" x14ac:dyDescent="0.4">
      <c r="B3947" s="114" t="s">
        <v>6</v>
      </c>
      <c r="C3947" s="302" t="s">
        <v>1</v>
      </c>
      <c r="D3947" s="303"/>
      <c r="E3947" s="112" t="s">
        <v>193</v>
      </c>
      <c r="F3947" s="120" t="s">
        <v>2</v>
      </c>
      <c r="G3947" s="114" t="s">
        <v>3</v>
      </c>
      <c r="H3947" s="106"/>
      <c r="I3947" s="107" t="s">
        <v>7</v>
      </c>
      <c r="J3947" s="136"/>
      <c r="K3947" s="107" t="s">
        <v>8</v>
      </c>
      <c r="L3947" s="115" t="s">
        <v>194</v>
      </c>
    </row>
    <row r="3948" spans="2:12" x14ac:dyDescent="0.4">
      <c r="B3948" s="122">
        <v>1</v>
      </c>
      <c r="C3948" s="325" t="s">
        <v>224</v>
      </c>
      <c r="D3948" s="325"/>
      <c r="E3948" s="116">
        <f>I3920</f>
        <v>3</v>
      </c>
      <c r="F3948" s="83">
        <f>ROUND(E3948/I3920,2)</f>
        <v>1</v>
      </c>
      <c r="G3948" s="74" t="str">
        <f>IF(C3948=0,0,VLOOKUP(C3948,Tabla2[],2,FALSE))</f>
        <v>Unidad</v>
      </c>
      <c r="I3948" s="117">
        <f>IF(C3948=0,0,VLOOKUP(C3948,Tabla2[],3,FALSE))</f>
        <v>1845</v>
      </c>
      <c r="K3948" s="84">
        <f>+F3948*I3948</f>
        <v>1845</v>
      </c>
      <c r="L3948" s="118">
        <f>E3948*I3948</f>
        <v>5535</v>
      </c>
    </row>
    <row r="3949" spans="2:12" x14ac:dyDescent="0.4">
      <c r="B3949" s="122"/>
      <c r="C3949" s="306"/>
      <c r="D3949" s="306"/>
      <c r="E3949" s="116"/>
      <c r="F3949" s="83"/>
      <c r="G3949" s="74"/>
      <c r="I3949" s="117">
        <f>IF(C3949=0,0,VLOOKUP(C3949,Tabla2[],3,FALSE))</f>
        <v>0</v>
      </c>
      <c r="K3949" s="84">
        <f>+F3949*I3949</f>
        <v>0</v>
      </c>
      <c r="L3949" s="118">
        <f>E3949*I3949</f>
        <v>0</v>
      </c>
    </row>
    <row r="3950" spans="2:12" ht="17.399999999999999" thickBot="1" x14ac:dyDescent="0.45">
      <c r="B3950" s="123"/>
      <c r="C3950" s="307"/>
      <c r="D3950" s="308"/>
      <c r="E3950" s="124"/>
      <c r="F3950" s="125"/>
      <c r="G3950" s="74"/>
      <c r="I3950" s="117">
        <f>IF(C3950=0,0,VLOOKUP(C3950,Tabla2[],3,FALSE))</f>
        <v>0</v>
      </c>
      <c r="K3950" s="84">
        <f t="shared" ref="K3950" si="602">+F3950*I3950</f>
        <v>0</v>
      </c>
      <c r="L3950" s="118">
        <f t="shared" ref="L3950:L3951" si="603">E3950*I3950</f>
        <v>0</v>
      </c>
    </row>
    <row r="3951" spans="2:12" ht="17.399999999999999" thickBot="1" x14ac:dyDescent="0.45">
      <c r="B3951" s="297" t="s">
        <v>15</v>
      </c>
      <c r="C3951" s="298"/>
      <c r="D3951" s="298"/>
      <c r="E3951" s="298"/>
      <c r="F3951" s="298"/>
      <c r="G3951" s="299"/>
      <c r="I3951" s="84">
        <v>0</v>
      </c>
      <c r="K3951" s="84">
        <v>0</v>
      </c>
      <c r="L3951" s="118">
        <f t="shared" si="603"/>
        <v>0</v>
      </c>
    </row>
    <row r="3952" spans="2:12" ht="17.399999999999999" thickBot="1" x14ac:dyDescent="0.45"/>
    <row r="3953" spans="2:16" ht="17.399999999999999" thickBot="1" x14ac:dyDescent="0.45">
      <c r="F3953" s="292" t="s">
        <v>16</v>
      </c>
      <c r="G3953" s="293"/>
      <c r="H3953" s="293"/>
      <c r="I3953" s="294"/>
      <c r="K3953" s="229">
        <f>+SUM(K3948:K3951)</f>
        <v>1845</v>
      </c>
      <c r="L3953" s="119">
        <f>+SUM(L3948:L3951)</f>
        <v>5535</v>
      </c>
    </row>
    <row r="3954" spans="2:16" ht="17.399999999999999" thickBot="1" x14ac:dyDescent="0.45"/>
    <row r="3955" spans="2:16" ht="17.399999999999999" thickBot="1" x14ac:dyDescent="0.45">
      <c r="B3955" s="110" t="s">
        <v>17</v>
      </c>
      <c r="C3955" s="300" t="s">
        <v>18</v>
      </c>
      <c r="D3955" s="300"/>
      <c r="E3955" s="300"/>
      <c r="F3955" s="300"/>
      <c r="G3955" s="301"/>
    </row>
    <row r="3956" spans="2:16" x14ac:dyDescent="0.4">
      <c r="B3956" s="114" t="s">
        <v>6</v>
      </c>
      <c r="C3956" s="302" t="s">
        <v>1</v>
      </c>
      <c r="D3956" s="303"/>
      <c r="E3956" s="126"/>
      <c r="F3956" s="120" t="s">
        <v>2</v>
      </c>
      <c r="G3956" s="114" t="s">
        <v>3</v>
      </c>
      <c r="H3956" s="106"/>
      <c r="I3956" s="107" t="s">
        <v>7</v>
      </c>
      <c r="J3956" s="136"/>
      <c r="K3956" s="107" t="s">
        <v>8</v>
      </c>
      <c r="L3956" s="115" t="s">
        <v>194</v>
      </c>
    </row>
    <row r="3957" spans="2:16" x14ac:dyDescent="0.4">
      <c r="B3957" s="74"/>
      <c r="C3957" s="304"/>
      <c r="D3957" s="305"/>
      <c r="E3957" s="127"/>
      <c r="F3957" s="72"/>
      <c r="G3957" s="74"/>
      <c r="I3957" s="84">
        <v>0</v>
      </c>
      <c r="K3957" s="84">
        <f>+F3957*I3957</f>
        <v>0</v>
      </c>
      <c r="L3957" s="118">
        <f>E3957*I3957</f>
        <v>0</v>
      </c>
    </row>
    <row r="3958" spans="2:16" x14ac:dyDescent="0.4">
      <c r="B3958" s="74"/>
      <c r="C3958" s="304"/>
      <c r="D3958" s="305"/>
      <c r="E3958" s="127"/>
      <c r="F3958" s="72"/>
      <c r="G3958" s="74"/>
      <c r="I3958" s="84">
        <v>0</v>
      </c>
      <c r="K3958" s="84">
        <f t="shared" ref="K3958:K3959" si="604">+F3958*I3958</f>
        <v>0</v>
      </c>
      <c r="L3958" s="118">
        <f t="shared" ref="L3958:L3959" si="605">E3958*I3958</f>
        <v>0</v>
      </c>
    </row>
    <row r="3959" spans="2:16" x14ac:dyDescent="0.4">
      <c r="B3959" s="74"/>
      <c r="C3959" s="304"/>
      <c r="D3959" s="305"/>
      <c r="E3959" s="127"/>
      <c r="F3959" s="72"/>
      <c r="G3959" s="74"/>
      <c r="I3959" s="84">
        <v>0</v>
      </c>
      <c r="K3959" s="84">
        <f t="shared" si="604"/>
        <v>0</v>
      </c>
      <c r="L3959" s="118">
        <f t="shared" si="605"/>
        <v>0</v>
      </c>
    </row>
    <row r="3960" spans="2:16" ht="17.399999999999999" thickBot="1" x14ac:dyDescent="0.45">
      <c r="L3960" s="118"/>
    </row>
    <row r="3961" spans="2:16" ht="17.399999999999999" thickBot="1" x14ac:dyDescent="0.45">
      <c r="F3961" s="292" t="s">
        <v>19</v>
      </c>
      <c r="G3961" s="293"/>
      <c r="H3961" s="293"/>
      <c r="I3961" s="294"/>
      <c r="K3961" s="229">
        <f>+SUM(K3957:K3959)</f>
        <v>0</v>
      </c>
      <c r="L3961" s="119">
        <f>+SUM(L3956:L3959)</f>
        <v>0</v>
      </c>
    </row>
    <row r="3962" spans="2:16" ht="15" customHeight="1" x14ac:dyDescent="0.4">
      <c r="F3962" s="128"/>
      <c r="G3962" s="129"/>
      <c r="H3962" s="130"/>
      <c r="I3962" s="108"/>
      <c r="K3962" s="230"/>
    </row>
    <row r="3963" spans="2:16" ht="15" customHeight="1" thickBot="1" x14ac:dyDescent="0.45"/>
    <row r="3964" spans="2:16" ht="17.399999999999999" thickBot="1" x14ac:dyDescent="0.45">
      <c r="F3964" s="292" t="s">
        <v>20</v>
      </c>
      <c r="G3964" s="293"/>
      <c r="H3964" s="293"/>
      <c r="I3964" s="294"/>
      <c r="K3964" s="229">
        <f>(+K3935+K3944+K3953+K3961)</f>
        <v>1845</v>
      </c>
      <c r="L3964" s="119">
        <f>(+L3935+L3944+L3953+L3961)</f>
        <v>5535</v>
      </c>
      <c r="N3964" s="131"/>
      <c r="O3964" s="39"/>
      <c r="P3964" s="40"/>
    </row>
    <row r="3965" spans="2:16" ht="7.5" customHeight="1" thickBot="1" x14ac:dyDescent="0.45">
      <c r="N3965" s="131"/>
      <c r="O3965" s="41"/>
      <c r="P3965" s="40"/>
    </row>
    <row r="3966" spans="2:16" ht="17.399999999999999" thickBot="1" x14ac:dyDescent="0.45">
      <c r="F3966" s="292" t="s">
        <v>21</v>
      </c>
      <c r="G3966" s="293"/>
      <c r="H3966" s="293"/>
      <c r="I3966" s="294"/>
      <c r="K3966" s="229">
        <f>K3964*$N$2</f>
        <v>738</v>
      </c>
      <c r="L3966" s="119">
        <f>L3964*$N$2</f>
        <v>2214</v>
      </c>
    </row>
    <row r="3967" spans="2:16" ht="7.5" customHeight="1" thickBot="1" x14ac:dyDescent="0.45"/>
    <row r="3968" spans="2:16" ht="17.399999999999999" thickBot="1" x14ac:dyDescent="0.45">
      <c r="F3968" s="292" t="s">
        <v>22</v>
      </c>
      <c r="G3968" s="293"/>
      <c r="H3968" s="293"/>
      <c r="I3968" s="294"/>
      <c r="K3968" s="229">
        <f>+K3964+K3966</f>
        <v>2583</v>
      </c>
      <c r="L3968" s="119">
        <f>+L3964+L3966</f>
        <v>7749</v>
      </c>
    </row>
    <row r="3969" spans="1:16" ht="17.399999999999999" thickBot="1" x14ac:dyDescent="0.45">
      <c r="F3969" s="128"/>
      <c r="G3969" s="129"/>
      <c r="H3969" s="130"/>
      <c r="I3969" s="108"/>
      <c r="K3969" s="231"/>
      <c r="L3969" s="132">
        <f>L3968/I3920</f>
        <v>2583</v>
      </c>
      <c r="M3969" s="133">
        <f>(K3968-L3969)*I3920</f>
        <v>0</v>
      </c>
    </row>
    <row r="3970" spans="1:16" x14ac:dyDescent="0.4">
      <c r="F3970" s="128"/>
      <c r="G3970" s="129"/>
      <c r="H3970" s="130"/>
      <c r="I3970" s="108"/>
      <c r="K3970" s="232"/>
      <c r="L3970" s="131"/>
      <c r="M3970" s="134"/>
      <c r="N3970" s="135"/>
    </row>
    <row r="3971" spans="1:16" ht="17.399999999999999" thickBot="1" x14ac:dyDescent="0.45">
      <c r="B3971" s="295"/>
      <c r="C3971" s="295"/>
      <c r="D3971" s="295"/>
    </row>
    <row r="3972" spans="1:16" x14ac:dyDescent="0.4">
      <c r="B3972" s="296" t="s">
        <v>23</v>
      </c>
      <c r="C3972" s="296"/>
      <c r="D3972" s="296"/>
    </row>
    <row r="3973" spans="1:16" x14ac:dyDescent="0.4">
      <c r="B3973" s="157"/>
      <c r="C3973" s="157"/>
      <c r="D3973" s="157"/>
    </row>
    <row r="3974" spans="1:16" x14ac:dyDescent="0.4">
      <c r="B3974" s="157"/>
      <c r="C3974" s="157"/>
      <c r="D3974" s="157"/>
    </row>
    <row r="3975" spans="1:16" x14ac:dyDescent="0.4">
      <c r="B3975" s="105" t="s">
        <v>43</v>
      </c>
      <c r="C3975" s="106"/>
      <c r="D3975" s="311" t="s">
        <v>1</v>
      </c>
      <c r="E3975" s="311"/>
      <c r="F3975" s="311"/>
      <c r="G3975" s="311"/>
      <c r="H3975" s="106"/>
      <c r="I3975" s="107" t="s">
        <v>2</v>
      </c>
      <c r="J3975" s="136"/>
      <c r="K3975" s="107" t="s">
        <v>3</v>
      </c>
    </row>
    <row r="3976" spans="1:16" s="4" customFormat="1" ht="30.75" customHeight="1" x14ac:dyDescent="0.3">
      <c r="A3976" s="31"/>
      <c r="B3976" s="213">
        <f>CATALOGO!B104</f>
        <v>806.06</v>
      </c>
      <c r="C3976" s="71"/>
      <c r="D3976" s="326" t="str">
        <f>CATALOGO!C104</f>
        <v>REMOZAMIENTO DE VENTANA DE METAL + VIDRIOS</v>
      </c>
      <c r="E3976" s="326"/>
      <c r="F3976" s="326"/>
      <c r="G3976" s="326"/>
      <c r="H3976" s="71"/>
      <c r="I3976" s="213">
        <f>CATALOGO!D104</f>
        <v>10</v>
      </c>
      <c r="J3976" s="109"/>
      <c r="K3976" s="227" t="str">
        <f>CATALOGO!E104</f>
        <v>m²</v>
      </c>
      <c r="L3976" s="71"/>
      <c r="M3976" s="71"/>
      <c r="N3976" s="71"/>
      <c r="O3976" s="37"/>
      <c r="P3976" s="37"/>
    </row>
    <row r="3977" spans="1:16" ht="17.399999999999999" thickBot="1" x14ac:dyDescent="0.45"/>
    <row r="3978" spans="1:16" ht="17.399999999999999" thickBot="1" x14ac:dyDescent="0.45">
      <c r="B3978" s="110" t="s">
        <v>4</v>
      </c>
      <c r="C3978" s="300" t="s">
        <v>5</v>
      </c>
      <c r="D3978" s="300"/>
      <c r="E3978" s="300"/>
      <c r="F3978" s="300"/>
      <c r="G3978" s="301"/>
    </row>
    <row r="3979" spans="1:16" x14ac:dyDescent="0.3">
      <c r="B3979" s="111" t="s">
        <v>6</v>
      </c>
      <c r="C3979" s="313" t="s">
        <v>1</v>
      </c>
      <c r="D3979" s="314"/>
      <c r="E3979" s="112" t="s">
        <v>193</v>
      </c>
      <c r="F3979" s="113" t="s">
        <v>2</v>
      </c>
      <c r="G3979" s="114" t="s">
        <v>3</v>
      </c>
      <c r="H3979" s="106"/>
      <c r="I3979" s="107" t="s">
        <v>7</v>
      </c>
      <c r="J3979" s="136"/>
      <c r="K3979" s="228" t="s">
        <v>8</v>
      </c>
      <c r="L3979" s="115" t="s">
        <v>194</v>
      </c>
      <c r="O3979" s="323"/>
      <c r="P3979" s="323"/>
    </row>
    <row r="3980" spans="1:16" ht="17.25" customHeight="1" x14ac:dyDescent="0.3">
      <c r="B3980" s="122"/>
      <c r="C3980" s="317"/>
      <c r="D3980" s="318"/>
      <c r="E3980" s="116"/>
      <c r="F3980" s="83"/>
      <c r="G3980" s="74"/>
      <c r="I3980" s="117">
        <f>IF(C3980=0,0,VLOOKUP(C3980,Tabla1[],3,FALSE))</f>
        <v>0</v>
      </c>
      <c r="K3980" s="84">
        <f>F3980*I3980</f>
        <v>0</v>
      </c>
      <c r="L3980" s="118">
        <f t="shared" ref="L3980:L3989" si="606">E3980*I3980</f>
        <v>0</v>
      </c>
      <c r="O3980" s="44"/>
      <c r="P3980" s="45"/>
    </row>
    <row r="3981" spans="1:16" x14ac:dyDescent="0.4">
      <c r="B3981" s="122"/>
      <c r="C3981" s="317"/>
      <c r="D3981" s="318"/>
      <c r="E3981" s="116"/>
      <c r="F3981" s="83"/>
      <c r="G3981" s="74"/>
      <c r="I3981" s="117">
        <f>IF(C3981=0,0,VLOOKUP(C3981,Tabla1[],3,FALSE))</f>
        <v>0</v>
      </c>
      <c r="K3981" s="84">
        <f t="shared" ref="K3981:K3989" si="607">+F3981*I3981</f>
        <v>0</v>
      </c>
      <c r="L3981" s="118">
        <f t="shared" si="606"/>
        <v>0</v>
      </c>
      <c r="P3981" s="45"/>
    </row>
    <row r="3982" spans="1:16" x14ac:dyDescent="0.4">
      <c r="B3982" s="122"/>
      <c r="C3982" s="317"/>
      <c r="D3982" s="318"/>
      <c r="E3982" s="116"/>
      <c r="F3982" s="83"/>
      <c r="G3982" s="74"/>
      <c r="I3982" s="117">
        <f>IF(C3982=0,0,VLOOKUP(C3982,Tabla1[],3,FALSE))</f>
        <v>0</v>
      </c>
      <c r="K3982" s="84">
        <f t="shared" si="607"/>
        <v>0</v>
      </c>
      <c r="L3982" s="118">
        <f t="shared" si="606"/>
        <v>0</v>
      </c>
      <c r="O3982" s="48"/>
      <c r="P3982" s="49"/>
    </row>
    <row r="3983" spans="1:16" x14ac:dyDescent="0.4">
      <c r="B3983" s="122"/>
      <c r="C3983" s="317"/>
      <c r="D3983" s="318"/>
      <c r="E3983" s="116"/>
      <c r="F3983" s="83"/>
      <c r="G3983" s="74"/>
      <c r="I3983" s="117">
        <f>IF(C3983=0,0,VLOOKUP(C3983,Tabla1[],3,FALSE))</f>
        <v>0</v>
      </c>
      <c r="K3983" s="84">
        <f t="shared" si="607"/>
        <v>0</v>
      </c>
      <c r="L3983" s="118">
        <f t="shared" si="606"/>
        <v>0</v>
      </c>
      <c r="O3983" s="48"/>
      <c r="P3983" s="49"/>
    </row>
    <row r="3984" spans="1:16" x14ac:dyDescent="0.4">
      <c r="B3984" s="122"/>
      <c r="C3984" s="317"/>
      <c r="D3984" s="318"/>
      <c r="E3984" s="116"/>
      <c r="F3984" s="83"/>
      <c r="G3984" s="74"/>
      <c r="I3984" s="117">
        <f>IF(C3984=0,0,VLOOKUP(C3984,Tabla1[],3,FALSE))</f>
        <v>0</v>
      </c>
      <c r="K3984" s="84">
        <f t="shared" si="607"/>
        <v>0</v>
      </c>
      <c r="L3984" s="118">
        <f t="shared" si="606"/>
        <v>0</v>
      </c>
      <c r="O3984" s="48"/>
      <c r="P3984" s="49"/>
    </row>
    <row r="3985" spans="2:16" x14ac:dyDescent="0.4">
      <c r="B3985" s="122"/>
      <c r="C3985" s="318"/>
      <c r="D3985" s="306"/>
      <c r="E3985" s="116"/>
      <c r="F3985" s="83"/>
      <c r="G3985" s="74"/>
      <c r="I3985" s="117">
        <f>IF(C3985=0,0,VLOOKUP(C3985,Tabla1[],3,FALSE))</f>
        <v>0</v>
      </c>
      <c r="K3985" s="84">
        <f t="shared" si="607"/>
        <v>0</v>
      </c>
      <c r="L3985" s="118">
        <f t="shared" si="606"/>
        <v>0</v>
      </c>
      <c r="O3985" s="48"/>
      <c r="P3985" s="49"/>
    </row>
    <row r="3986" spans="2:16" x14ac:dyDescent="0.4">
      <c r="B3986" s="122"/>
      <c r="C3986" s="318"/>
      <c r="D3986" s="306"/>
      <c r="E3986" s="116"/>
      <c r="F3986" s="83"/>
      <c r="G3986" s="74"/>
      <c r="I3986" s="117">
        <f>IF(C3986=0,0,VLOOKUP(C3986,Tabla1[],3,FALSE))</f>
        <v>0</v>
      </c>
      <c r="K3986" s="84">
        <f t="shared" si="607"/>
        <v>0</v>
      </c>
      <c r="L3986" s="118">
        <f t="shared" si="606"/>
        <v>0</v>
      </c>
      <c r="O3986" s="48"/>
      <c r="P3986" s="49"/>
    </row>
    <row r="3987" spans="2:16" x14ac:dyDescent="0.4">
      <c r="B3987" s="122"/>
      <c r="C3987" s="317"/>
      <c r="D3987" s="318"/>
      <c r="E3987" s="116"/>
      <c r="F3987" s="83"/>
      <c r="G3987" s="74"/>
      <c r="I3987" s="117">
        <f>IF(C3987=0,0,VLOOKUP(C3987,Tabla1[],3,FALSE))</f>
        <v>0</v>
      </c>
      <c r="K3987" s="84">
        <f t="shared" si="607"/>
        <v>0</v>
      </c>
      <c r="L3987" s="118">
        <f t="shared" si="606"/>
        <v>0</v>
      </c>
      <c r="O3987" s="48"/>
      <c r="P3987" s="49"/>
    </row>
    <row r="3988" spans="2:16" x14ac:dyDescent="0.4">
      <c r="B3988" s="122"/>
      <c r="C3988" s="317"/>
      <c r="D3988" s="318"/>
      <c r="E3988" s="116"/>
      <c r="F3988" s="83"/>
      <c r="G3988" s="74"/>
      <c r="I3988" s="117">
        <f>IF(C3988=0,0,VLOOKUP(C3988,Tabla1[],3,FALSE))</f>
        <v>0</v>
      </c>
      <c r="K3988" s="84">
        <f t="shared" si="607"/>
        <v>0</v>
      </c>
      <c r="L3988" s="118">
        <f t="shared" si="606"/>
        <v>0</v>
      </c>
      <c r="O3988" s="48"/>
      <c r="P3988" s="49"/>
    </row>
    <row r="3989" spans="2:16" x14ac:dyDescent="0.4">
      <c r="B3989" s="122"/>
      <c r="C3989" s="319"/>
      <c r="D3989" s="318"/>
      <c r="E3989" s="116"/>
      <c r="F3989" s="83"/>
      <c r="G3989" s="74"/>
      <c r="I3989" s="117">
        <f>IF(C3989=0,0,VLOOKUP(C3989,Tabla1[],3,FALSE))</f>
        <v>0</v>
      </c>
      <c r="K3989" s="84">
        <f t="shared" si="607"/>
        <v>0</v>
      </c>
      <c r="L3989" s="118">
        <f t="shared" si="606"/>
        <v>0</v>
      </c>
      <c r="O3989" s="48"/>
      <c r="P3989" s="43"/>
    </row>
    <row r="3990" spans="2:16" ht="17.399999999999999" thickBot="1" x14ac:dyDescent="0.45"/>
    <row r="3991" spans="2:16" ht="17.399999999999999" thickBot="1" x14ac:dyDescent="0.35">
      <c r="F3991" s="292" t="s">
        <v>9</v>
      </c>
      <c r="G3991" s="293"/>
      <c r="H3991" s="293"/>
      <c r="I3991" s="294"/>
      <c r="K3991" s="229">
        <f>+SUM(K3980:K3989)</f>
        <v>0</v>
      </c>
      <c r="L3991" s="119">
        <f>+SUM(L3980:L3989)</f>
        <v>0</v>
      </c>
      <c r="O3991" s="38"/>
      <c r="P3991" s="38"/>
    </row>
    <row r="3992" spans="2:16" ht="17.399999999999999" thickBot="1" x14ac:dyDescent="0.45">
      <c r="O3992" s="42"/>
      <c r="P3992" s="43"/>
    </row>
    <row r="3993" spans="2:16" ht="17.399999999999999" thickBot="1" x14ac:dyDescent="0.45">
      <c r="B3993" s="110" t="s">
        <v>10</v>
      </c>
      <c r="C3993" s="300" t="s">
        <v>11</v>
      </c>
      <c r="D3993" s="300"/>
      <c r="E3993" s="300"/>
      <c r="F3993" s="300"/>
      <c r="G3993" s="301"/>
    </row>
    <row r="3994" spans="2:16" x14ac:dyDescent="0.4">
      <c r="B3994" s="114" t="s">
        <v>6</v>
      </c>
      <c r="C3994" s="302" t="s">
        <v>1</v>
      </c>
      <c r="D3994" s="303"/>
      <c r="E3994" s="112" t="s">
        <v>193</v>
      </c>
      <c r="F3994" s="120" t="s">
        <v>2</v>
      </c>
      <c r="G3994" s="114" t="s">
        <v>3</v>
      </c>
      <c r="H3994" s="106"/>
      <c r="I3994" s="107" t="s">
        <v>7</v>
      </c>
      <c r="J3994" s="136"/>
      <c r="K3994" s="107" t="s">
        <v>8</v>
      </c>
      <c r="L3994" s="115" t="s">
        <v>194</v>
      </c>
    </row>
    <row r="3995" spans="2:16" x14ac:dyDescent="0.4">
      <c r="B3995" s="122"/>
      <c r="C3995" s="306"/>
      <c r="D3995" s="306"/>
      <c r="E3995" s="116"/>
      <c r="F3995" s="83"/>
      <c r="G3995" s="74"/>
      <c r="I3995" s="117">
        <f>IF(C3995=0,0,VLOOKUP(C3995,Tabla3[],3,FALSE))</f>
        <v>0</v>
      </c>
      <c r="K3995" s="84">
        <f>F3995*I3995</f>
        <v>0</v>
      </c>
      <c r="L3995" s="118">
        <f>E3995*I3995</f>
        <v>0</v>
      </c>
    </row>
    <row r="3996" spans="2:16" x14ac:dyDescent="0.4">
      <c r="B3996" s="74"/>
      <c r="C3996" s="309"/>
      <c r="D3996" s="310"/>
      <c r="E3996" s="121"/>
      <c r="F3996" s="72"/>
      <c r="G3996" s="74"/>
      <c r="I3996" s="117">
        <f>IF(C3996=0,0,VLOOKUP(C3996,Tabla3[],3,FALSE))</f>
        <v>0</v>
      </c>
      <c r="K3996" s="84">
        <f t="shared" ref="K3996:K3998" si="608">+F3996*I3996</f>
        <v>0</v>
      </c>
      <c r="L3996" s="118">
        <f t="shared" ref="L3996:L3998" si="609">E3996*I3996</f>
        <v>0</v>
      </c>
    </row>
    <row r="3997" spans="2:16" x14ac:dyDescent="0.4">
      <c r="B3997" s="74"/>
      <c r="C3997" s="309"/>
      <c r="D3997" s="310"/>
      <c r="E3997" s="121"/>
      <c r="F3997" s="72"/>
      <c r="G3997" s="74"/>
      <c r="I3997" s="117">
        <f>IF(C3997=0,0,VLOOKUP(C3997,Tabla3[],3,FALSE))</f>
        <v>0</v>
      </c>
      <c r="K3997" s="84">
        <f t="shared" si="608"/>
        <v>0</v>
      </c>
      <c r="L3997" s="118">
        <f t="shared" si="609"/>
        <v>0</v>
      </c>
    </row>
    <row r="3998" spans="2:16" x14ac:dyDescent="0.4">
      <c r="B3998" s="74"/>
      <c r="C3998" s="304"/>
      <c r="D3998" s="305"/>
      <c r="E3998" s="121"/>
      <c r="F3998" s="72"/>
      <c r="G3998" s="74"/>
      <c r="I3998" s="117">
        <f>IF(C3998=0,0,VLOOKUP(C3998,Tabla3[],3,FALSE))</f>
        <v>0</v>
      </c>
      <c r="K3998" s="84">
        <f t="shared" si="608"/>
        <v>0</v>
      </c>
      <c r="L3998" s="118">
        <f t="shared" si="609"/>
        <v>0</v>
      </c>
    </row>
    <row r="3999" spans="2:16" ht="17.399999999999999" thickBot="1" x14ac:dyDescent="0.45"/>
    <row r="4000" spans="2:16" ht="17.399999999999999" thickBot="1" x14ac:dyDescent="0.45">
      <c r="F4000" s="292" t="s">
        <v>12</v>
      </c>
      <c r="G4000" s="293"/>
      <c r="H4000" s="293"/>
      <c r="I4000" s="294"/>
      <c r="K4000" s="229">
        <f>+SUM(K3995:K3998)</f>
        <v>0</v>
      </c>
      <c r="L4000" s="119">
        <f>+SUM(L3995:L3998)</f>
        <v>0</v>
      </c>
    </row>
    <row r="4001" spans="2:12" ht="17.399999999999999" thickBot="1" x14ac:dyDescent="0.45"/>
    <row r="4002" spans="2:12" ht="17.399999999999999" thickBot="1" x14ac:dyDescent="0.45">
      <c r="B4002" s="110" t="s">
        <v>13</v>
      </c>
      <c r="C4002" s="300" t="s">
        <v>14</v>
      </c>
      <c r="D4002" s="300"/>
      <c r="E4002" s="300"/>
      <c r="F4002" s="300"/>
      <c r="G4002" s="301"/>
    </row>
    <row r="4003" spans="2:12" x14ac:dyDescent="0.4">
      <c r="B4003" s="114" t="s">
        <v>6</v>
      </c>
      <c r="C4003" s="302" t="s">
        <v>1</v>
      </c>
      <c r="D4003" s="303"/>
      <c r="E4003" s="112" t="s">
        <v>193</v>
      </c>
      <c r="F4003" s="120" t="s">
        <v>2</v>
      </c>
      <c r="G4003" s="114" t="s">
        <v>3</v>
      </c>
      <c r="H4003" s="106"/>
      <c r="I4003" s="107" t="s">
        <v>7</v>
      </c>
      <c r="J4003" s="136"/>
      <c r="K4003" s="107" t="s">
        <v>8</v>
      </c>
      <c r="L4003" s="115" t="s">
        <v>194</v>
      </c>
    </row>
    <row r="4004" spans="2:12" x14ac:dyDescent="0.4">
      <c r="B4004" s="122">
        <v>1</v>
      </c>
      <c r="C4004" s="325" t="s">
        <v>602</v>
      </c>
      <c r="D4004" s="325"/>
      <c r="E4004" s="116">
        <f>I3976</f>
        <v>10</v>
      </c>
      <c r="F4004" s="83">
        <f>ROUND(E4004/I3976,2)</f>
        <v>1</v>
      </c>
      <c r="G4004" s="74" t="str">
        <f>IF(C4004=0,0,VLOOKUP(C4004,Tabla2[],2,FALSE))</f>
        <v>m²</v>
      </c>
      <c r="I4004" s="117">
        <f>IF(C4004=0,0,VLOOKUP(C4004,Tabla2[],3,FALSE))</f>
        <v>500</v>
      </c>
      <c r="K4004" s="84">
        <f>+F4004*I4004</f>
        <v>500</v>
      </c>
      <c r="L4004" s="118">
        <f>E4004*I4004</f>
        <v>5000</v>
      </c>
    </row>
    <row r="4005" spans="2:12" x14ac:dyDescent="0.4">
      <c r="B4005" s="122"/>
      <c r="C4005" s="306"/>
      <c r="D4005" s="306"/>
      <c r="E4005" s="116"/>
      <c r="F4005" s="83"/>
      <c r="G4005" s="74"/>
      <c r="I4005" s="117">
        <f>IF(C4005=0,0,VLOOKUP(C4005,Tabla2[],3,FALSE))</f>
        <v>0</v>
      </c>
      <c r="K4005" s="84">
        <f>+F4005*I4005</f>
        <v>0</v>
      </c>
      <c r="L4005" s="118">
        <f>E4005*I4005</f>
        <v>0</v>
      </c>
    </row>
    <row r="4006" spans="2:12" ht="17.399999999999999" thickBot="1" x14ac:dyDescent="0.45">
      <c r="B4006" s="123"/>
      <c r="C4006" s="307"/>
      <c r="D4006" s="308"/>
      <c r="E4006" s="124"/>
      <c r="F4006" s="125"/>
      <c r="G4006" s="74"/>
      <c r="I4006" s="117">
        <f>IF(C4006=0,0,VLOOKUP(C4006,Tabla2[],3,FALSE))</f>
        <v>0</v>
      </c>
      <c r="K4006" s="84">
        <f t="shared" ref="K4006" si="610">+F4006*I4006</f>
        <v>0</v>
      </c>
      <c r="L4006" s="118">
        <f t="shared" ref="L4006:L4007" si="611">E4006*I4006</f>
        <v>0</v>
      </c>
    </row>
    <row r="4007" spans="2:12" ht="17.399999999999999" thickBot="1" x14ac:dyDescent="0.45">
      <c r="B4007" s="297" t="s">
        <v>15</v>
      </c>
      <c r="C4007" s="298"/>
      <c r="D4007" s="298"/>
      <c r="E4007" s="298"/>
      <c r="F4007" s="298"/>
      <c r="G4007" s="299"/>
      <c r="I4007" s="84">
        <v>0</v>
      </c>
      <c r="K4007" s="84">
        <v>0</v>
      </c>
      <c r="L4007" s="118">
        <f t="shared" si="611"/>
        <v>0</v>
      </c>
    </row>
    <row r="4008" spans="2:12" ht="17.399999999999999" thickBot="1" x14ac:dyDescent="0.45"/>
    <row r="4009" spans="2:12" ht="17.399999999999999" thickBot="1" x14ac:dyDescent="0.45">
      <c r="F4009" s="292" t="s">
        <v>16</v>
      </c>
      <c r="G4009" s="293"/>
      <c r="H4009" s="293"/>
      <c r="I4009" s="294"/>
      <c r="K4009" s="229">
        <f>+SUM(K4004:K4007)</f>
        <v>500</v>
      </c>
      <c r="L4009" s="119">
        <f>+SUM(L4004:L4007)</f>
        <v>5000</v>
      </c>
    </row>
    <row r="4010" spans="2:12" ht="17.399999999999999" thickBot="1" x14ac:dyDescent="0.45"/>
    <row r="4011" spans="2:12" ht="17.399999999999999" thickBot="1" x14ac:dyDescent="0.45">
      <c r="B4011" s="110" t="s">
        <v>17</v>
      </c>
      <c r="C4011" s="300" t="s">
        <v>18</v>
      </c>
      <c r="D4011" s="300"/>
      <c r="E4011" s="300"/>
      <c r="F4011" s="300"/>
      <c r="G4011" s="301"/>
    </row>
    <row r="4012" spans="2:12" x14ac:dyDescent="0.4">
      <c r="B4012" s="114" t="s">
        <v>6</v>
      </c>
      <c r="C4012" s="302" t="s">
        <v>1</v>
      </c>
      <c r="D4012" s="303"/>
      <c r="E4012" s="126"/>
      <c r="F4012" s="120" t="s">
        <v>2</v>
      </c>
      <c r="G4012" s="114" t="s">
        <v>3</v>
      </c>
      <c r="H4012" s="106"/>
      <c r="I4012" s="107" t="s">
        <v>7</v>
      </c>
      <c r="J4012" s="136"/>
      <c r="K4012" s="107" t="s">
        <v>8</v>
      </c>
      <c r="L4012" s="115" t="s">
        <v>194</v>
      </c>
    </row>
    <row r="4013" spans="2:12" x14ac:dyDescent="0.4">
      <c r="B4013" s="74"/>
      <c r="C4013" s="304"/>
      <c r="D4013" s="305"/>
      <c r="E4013" s="127"/>
      <c r="F4013" s="72"/>
      <c r="G4013" s="74"/>
      <c r="I4013" s="84">
        <v>0</v>
      </c>
      <c r="K4013" s="84">
        <f>+F4013*I4013</f>
        <v>0</v>
      </c>
      <c r="L4013" s="118">
        <f>E4013*I4013</f>
        <v>0</v>
      </c>
    </row>
    <row r="4014" spans="2:12" x14ac:dyDescent="0.4">
      <c r="B4014" s="74"/>
      <c r="C4014" s="304"/>
      <c r="D4014" s="305"/>
      <c r="E4014" s="127"/>
      <c r="F4014" s="72"/>
      <c r="G4014" s="74"/>
      <c r="I4014" s="84">
        <v>0</v>
      </c>
      <c r="K4014" s="84">
        <f t="shared" ref="K4014:K4015" si="612">+F4014*I4014</f>
        <v>0</v>
      </c>
      <c r="L4014" s="118">
        <f t="shared" ref="L4014:L4015" si="613">E4014*I4014</f>
        <v>0</v>
      </c>
    </row>
    <row r="4015" spans="2:12" x14ac:dyDescent="0.4">
      <c r="B4015" s="74"/>
      <c r="C4015" s="304"/>
      <c r="D4015" s="305"/>
      <c r="E4015" s="127"/>
      <c r="F4015" s="72"/>
      <c r="G4015" s="74"/>
      <c r="I4015" s="84">
        <v>0</v>
      </c>
      <c r="K4015" s="84">
        <f t="shared" si="612"/>
        <v>0</v>
      </c>
      <c r="L4015" s="118">
        <f t="shared" si="613"/>
        <v>0</v>
      </c>
    </row>
    <row r="4016" spans="2:12" ht="17.399999999999999" thickBot="1" x14ac:dyDescent="0.45">
      <c r="L4016" s="118"/>
    </row>
    <row r="4017" spans="1:16" ht="17.399999999999999" thickBot="1" x14ac:dyDescent="0.45">
      <c r="F4017" s="292" t="s">
        <v>19</v>
      </c>
      <c r="G4017" s="293"/>
      <c r="H4017" s="293"/>
      <c r="I4017" s="294"/>
      <c r="K4017" s="229">
        <f>+SUM(K4013:K4015)</f>
        <v>0</v>
      </c>
      <c r="L4017" s="119">
        <f>+SUM(L4012:L4015)</f>
        <v>0</v>
      </c>
    </row>
    <row r="4018" spans="1:16" ht="15" customHeight="1" x14ac:dyDescent="0.4">
      <c r="F4018" s="128"/>
      <c r="G4018" s="129"/>
      <c r="H4018" s="130"/>
      <c r="I4018" s="108"/>
      <c r="K4018" s="230"/>
    </row>
    <row r="4019" spans="1:16" ht="15" customHeight="1" thickBot="1" x14ac:dyDescent="0.45"/>
    <row r="4020" spans="1:16" ht="17.399999999999999" thickBot="1" x14ac:dyDescent="0.45">
      <c r="F4020" s="292" t="s">
        <v>20</v>
      </c>
      <c r="G4020" s="293"/>
      <c r="H4020" s="293"/>
      <c r="I4020" s="294"/>
      <c r="K4020" s="229">
        <f>(+K3991+K4000+K4009+K4017)</f>
        <v>500</v>
      </c>
      <c r="L4020" s="119">
        <f>(+L3991+L4000+L4009+L4017)</f>
        <v>5000</v>
      </c>
      <c r="N4020" s="131"/>
      <c r="O4020" s="39"/>
      <c r="P4020" s="40"/>
    </row>
    <row r="4021" spans="1:16" ht="7.5" customHeight="1" thickBot="1" x14ac:dyDescent="0.45">
      <c r="N4021" s="131"/>
      <c r="O4021" s="41"/>
      <c r="P4021" s="40"/>
    </row>
    <row r="4022" spans="1:16" ht="17.399999999999999" thickBot="1" x14ac:dyDescent="0.45">
      <c r="F4022" s="292" t="s">
        <v>21</v>
      </c>
      <c r="G4022" s="293"/>
      <c r="H4022" s="293"/>
      <c r="I4022" s="294"/>
      <c r="K4022" s="229">
        <f>K4020*$N$2</f>
        <v>200</v>
      </c>
      <c r="L4022" s="119">
        <f>L4020*$N$2</f>
        <v>2000</v>
      </c>
    </row>
    <row r="4023" spans="1:16" ht="7.5" customHeight="1" thickBot="1" x14ac:dyDescent="0.45"/>
    <row r="4024" spans="1:16" ht="17.399999999999999" thickBot="1" x14ac:dyDescent="0.45">
      <c r="F4024" s="292" t="s">
        <v>22</v>
      </c>
      <c r="G4024" s="293"/>
      <c r="H4024" s="293"/>
      <c r="I4024" s="294"/>
      <c r="K4024" s="229">
        <f>+K4020+K4022</f>
        <v>700</v>
      </c>
      <c r="L4024" s="119">
        <f>+L4020+L4022</f>
        <v>7000</v>
      </c>
    </row>
    <row r="4025" spans="1:16" ht="17.399999999999999" thickBot="1" x14ac:dyDescent="0.45">
      <c r="F4025" s="128"/>
      <c r="G4025" s="129"/>
      <c r="H4025" s="130"/>
      <c r="I4025" s="108"/>
      <c r="K4025" s="231"/>
      <c r="L4025" s="132">
        <f>L4024/I3976</f>
        <v>700</v>
      </c>
      <c r="M4025" s="133">
        <f>(K4024-L4025)*I3976</f>
        <v>0</v>
      </c>
    </row>
    <row r="4026" spans="1:16" x14ac:dyDescent="0.4">
      <c r="F4026" s="128"/>
      <c r="G4026" s="129"/>
      <c r="H4026" s="130"/>
      <c r="I4026" s="108"/>
      <c r="K4026" s="232"/>
      <c r="L4026" s="131"/>
      <c r="M4026" s="134"/>
      <c r="N4026" s="135"/>
    </row>
    <row r="4027" spans="1:16" ht="17.399999999999999" thickBot="1" x14ac:dyDescent="0.45">
      <c r="B4027" s="295"/>
      <c r="C4027" s="295"/>
      <c r="D4027" s="295"/>
    </row>
    <row r="4028" spans="1:16" x14ac:dyDescent="0.4">
      <c r="B4028" s="296" t="s">
        <v>23</v>
      </c>
      <c r="C4028" s="296"/>
      <c r="D4028" s="296"/>
    </row>
    <row r="4029" spans="1:16" x14ac:dyDescent="0.4">
      <c r="B4029" s="157"/>
      <c r="C4029" s="157"/>
      <c r="D4029" s="157"/>
    </row>
    <row r="4030" spans="1:16" x14ac:dyDescent="0.4">
      <c r="B4030" s="157"/>
      <c r="C4030" s="157"/>
      <c r="D4030" s="157"/>
    </row>
    <row r="4031" spans="1:16" x14ac:dyDescent="0.4">
      <c r="B4031" s="105" t="s">
        <v>43</v>
      </c>
      <c r="C4031" s="106"/>
      <c r="D4031" s="311" t="s">
        <v>1</v>
      </c>
      <c r="E4031" s="311"/>
      <c r="F4031" s="311"/>
      <c r="G4031" s="311"/>
      <c r="H4031" s="106"/>
      <c r="I4031" s="107" t="s">
        <v>2</v>
      </c>
      <c r="J4031" s="136"/>
      <c r="K4031" s="107" t="s">
        <v>3</v>
      </c>
    </row>
    <row r="4032" spans="1:16" s="4" customFormat="1" ht="30.75" customHeight="1" x14ac:dyDescent="0.3">
      <c r="A4032" s="31"/>
      <c r="B4032" s="213">
        <f>CATALOGO!B105</f>
        <v>806.09</v>
      </c>
      <c r="C4032" s="71"/>
      <c r="D4032" s="326" t="str">
        <f>CATALOGO!C105</f>
        <v>REMOZAMIENTO DE BALCONES</v>
      </c>
      <c r="E4032" s="326"/>
      <c r="F4032" s="326"/>
      <c r="G4032" s="326"/>
      <c r="H4032" s="71"/>
      <c r="I4032" s="213">
        <f>CATALOGO!D105</f>
        <v>10</v>
      </c>
      <c r="J4032" s="109"/>
      <c r="K4032" s="227" t="str">
        <f>CATALOGO!E105</f>
        <v>m²</v>
      </c>
      <c r="L4032" s="71"/>
      <c r="M4032" s="71"/>
      <c r="N4032" s="71"/>
      <c r="O4032" s="37"/>
      <c r="P4032" s="37"/>
    </row>
    <row r="4033" spans="2:16" ht="17.399999999999999" thickBot="1" x14ac:dyDescent="0.45"/>
    <row r="4034" spans="2:16" ht="17.399999999999999" thickBot="1" x14ac:dyDescent="0.45">
      <c r="B4034" s="110" t="s">
        <v>4</v>
      </c>
      <c r="C4034" s="300" t="s">
        <v>5</v>
      </c>
      <c r="D4034" s="300"/>
      <c r="E4034" s="300"/>
      <c r="F4034" s="300"/>
      <c r="G4034" s="301"/>
    </row>
    <row r="4035" spans="2:16" x14ac:dyDescent="0.3">
      <c r="B4035" s="111" t="s">
        <v>6</v>
      </c>
      <c r="C4035" s="313" t="s">
        <v>1</v>
      </c>
      <c r="D4035" s="314"/>
      <c r="E4035" s="112" t="s">
        <v>193</v>
      </c>
      <c r="F4035" s="113" t="s">
        <v>2</v>
      </c>
      <c r="G4035" s="114" t="s">
        <v>3</v>
      </c>
      <c r="H4035" s="106"/>
      <c r="I4035" s="107" t="s">
        <v>7</v>
      </c>
      <c r="J4035" s="136"/>
      <c r="K4035" s="228" t="s">
        <v>8</v>
      </c>
      <c r="L4035" s="115" t="s">
        <v>194</v>
      </c>
      <c r="O4035" s="323"/>
      <c r="P4035" s="323"/>
    </row>
    <row r="4036" spans="2:16" ht="17.25" customHeight="1" x14ac:dyDescent="0.3">
      <c r="B4036" s="122"/>
      <c r="C4036" s="317"/>
      <c r="D4036" s="318"/>
      <c r="E4036" s="116"/>
      <c r="F4036" s="83"/>
      <c r="G4036" s="74"/>
      <c r="I4036" s="117">
        <f>IF(C4036=0,0,VLOOKUP(C4036,Tabla1[],3,FALSE))</f>
        <v>0</v>
      </c>
      <c r="K4036" s="84">
        <f>F4036*I4036</f>
        <v>0</v>
      </c>
      <c r="L4036" s="118">
        <f t="shared" ref="L4036:L4045" si="614">E4036*I4036</f>
        <v>0</v>
      </c>
      <c r="O4036" s="44"/>
      <c r="P4036" s="45"/>
    </row>
    <row r="4037" spans="2:16" x14ac:dyDescent="0.4">
      <c r="B4037" s="122"/>
      <c r="C4037" s="317"/>
      <c r="D4037" s="318"/>
      <c r="E4037" s="116"/>
      <c r="F4037" s="83"/>
      <c r="G4037" s="74"/>
      <c r="I4037" s="117">
        <f>IF(C4037=0,0,VLOOKUP(C4037,Tabla1[],3,FALSE))</f>
        <v>0</v>
      </c>
      <c r="K4037" s="84">
        <f t="shared" ref="K4037:K4045" si="615">+F4037*I4037</f>
        <v>0</v>
      </c>
      <c r="L4037" s="118">
        <f t="shared" si="614"/>
        <v>0</v>
      </c>
      <c r="P4037" s="45"/>
    </row>
    <row r="4038" spans="2:16" x14ac:dyDescent="0.4">
      <c r="B4038" s="122"/>
      <c r="C4038" s="317"/>
      <c r="D4038" s="318"/>
      <c r="E4038" s="116"/>
      <c r="F4038" s="83"/>
      <c r="G4038" s="74"/>
      <c r="I4038" s="117">
        <f>IF(C4038=0,0,VLOOKUP(C4038,Tabla1[],3,FALSE))</f>
        <v>0</v>
      </c>
      <c r="K4038" s="84">
        <f t="shared" si="615"/>
        <v>0</v>
      </c>
      <c r="L4038" s="118">
        <f t="shared" si="614"/>
        <v>0</v>
      </c>
      <c r="O4038" s="48"/>
      <c r="P4038" s="49"/>
    </row>
    <row r="4039" spans="2:16" x14ac:dyDescent="0.4">
      <c r="B4039" s="122"/>
      <c r="C4039" s="317"/>
      <c r="D4039" s="318"/>
      <c r="E4039" s="116"/>
      <c r="F4039" s="83"/>
      <c r="G4039" s="74"/>
      <c r="I4039" s="117">
        <f>IF(C4039=0,0,VLOOKUP(C4039,Tabla1[],3,FALSE))</f>
        <v>0</v>
      </c>
      <c r="K4039" s="84">
        <f t="shared" si="615"/>
        <v>0</v>
      </c>
      <c r="L4039" s="118">
        <f t="shared" si="614"/>
        <v>0</v>
      </c>
      <c r="O4039" s="48"/>
      <c r="P4039" s="49"/>
    </row>
    <row r="4040" spans="2:16" x14ac:dyDescent="0.4">
      <c r="B4040" s="122"/>
      <c r="C4040" s="317"/>
      <c r="D4040" s="318"/>
      <c r="E4040" s="116"/>
      <c r="F4040" s="83"/>
      <c r="G4040" s="74"/>
      <c r="I4040" s="117">
        <f>IF(C4040=0,0,VLOOKUP(C4040,Tabla1[],3,FALSE))</f>
        <v>0</v>
      </c>
      <c r="K4040" s="84">
        <f t="shared" si="615"/>
        <v>0</v>
      </c>
      <c r="L4040" s="118">
        <f t="shared" si="614"/>
        <v>0</v>
      </c>
      <c r="O4040" s="48"/>
      <c r="P4040" s="49"/>
    </row>
    <row r="4041" spans="2:16" x14ac:dyDescent="0.4">
      <c r="B4041" s="122"/>
      <c r="C4041" s="318"/>
      <c r="D4041" s="306"/>
      <c r="E4041" s="116"/>
      <c r="F4041" s="83"/>
      <c r="G4041" s="74"/>
      <c r="I4041" s="117">
        <f>IF(C4041=0,0,VLOOKUP(C4041,Tabla1[],3,FALSE))</f>
        <v>0</v>
      </c>
      <c r="K4041" s="84">
        <f t="shared" si="615"/>
        <v>0</v>
      </c>
      <c r="L4041" s="118">
        <f t="shared" si="614"/>
        <v>0</v>
      </c>
      <c r="O4041" s="48"/>
      <c r="P4041" s="49"/>
    </row>
    <row r="4042" spans="2:16" x14ac:dyDescent="0.4">
      <c r="B4042" s="122"/>
      <c r="C4042" s="318"/>
      <c r="D4042" s="306"/>
      <c r="E4042" s="116"/>
      <c r="F4042" s="83"/>
      <c r="G4042" s="74"/>
      <c r="I4042" s="117">
        <f>IF(C4042=0,0,VLOOKUP(C4042,Tabla1[],3,FALSE))</f>
        <v>0</v>
      </c>
      <c r="K4042" s="84">
        <f t="shared" si="615"/>
        <v>0</v>
      </c>
      <c r="L4042" s="118">
        <f t="shared" si="614"/>
        <v>0</v>
      </c>
      <c r="O4042" s="48"/>
      <c r="P4042" s="49"/>
    </row>
    <row r="4043" spans="2:16" x14ac:dyDescent="0.4">
      <c r="B4043" s="122"/>
      <c r="C4043" s="317"/>
      <c r="D4043" s="318"/>
      <c r="E4043" s="116"/>
      <c r="F4043" s="83"/>
      <c r="G4043" s="74"/>
      <c r="I4043" s="117">
        <f>IF(C4043=0,0,VLOOKUP(C4043,Tabla1[],3,FALSE))</f>
        <v>0</v>
      </c>
      <c r="K4043" s="84">
        <f t="shared" si="615"/>
        <v>0</v>
      </c>
      <c r="L4043" s="118">
        <f t="shared" si="614"/>
        <v>0</v>
      </c>
      <c r="O4043" s="48"/>
      <c r="P4043" s="49"/>
    </row>
    <row r="4044" spans="2:16" x14ac:dyDescent="0.4">
      <c r="B4044" s="122"/>
      <c r="C4044" s="317"/>
      <c r="D4044" s="318"/>
      <c r="E4044" s="116"/>
      <c r="F4044" s="83"/>
      <c r="G4044" s="74"/>
      <c r="I4044" s="117">
        <f>IF(C4044=0,0,VLOOKUP(C4044,Tabla1[],3,FALSE))</f>
        <v>0</v>
      </c>
      <c r="K4044" s="84">
        <f t="shared" si="615"/>
        <v>0</v>
      </c>
      <c r="L4044" s="118">
        <f t="shared" si="614"/>
        <v>0</v>
      </c>
      <c r="O4044" s="48"/>
      <c r="P4044" s="49"/>
    </row>
    <row r="4045" spans="2:16" x14ac:dyDescent="0.4">
      <c r="B4045" s="122"/>
      <c r="C4045" s="319"/>
      <c r="D4045" s="318"/>
      <c r="E4045" s="116"/>
      <c r="F4045" s="83"/>
      <c r="G4045" s="74"/>
      <c r="I4045" s="117">
        <f>IF(C4045=0,0,VLOOKUP(C4045,Tabla1[],3,FALSE))</f>
        <v>0</v>
      </c>
      <c r="K4045" s="84">
        <f t="shared" si="615"/>
        <v>0</v>
      </c>
      <c r="L4045" s="118">
        <f t="shared" si="614"/>
        <v>0</v>
      </c>
      <c r="O4045" s="48"/>
      <c r="P4045" s="43"/>
    </row>
    <row r="4046" spans="2:16" ht="17.399999999999999" thickBot="1" x14ac:dyDescent="0.45"/>
    <row r="4047" spans="2:16" ht="17.399999999999999" thickBot="1" x14ac:dyDescent="0.35">
      <c r="F4047" s="292" t="s">
        <v>9</v>
      </c>
      <c r="G4047" s="293"/>
      <c r="H4047" s="293"/>
      <c r="I4047" s="294"/>
      <c r="K4047" s="229">
        <f>+SUM(K4036:K4045)</f>
        <v>0</v>
      </c>
      <c r="L4047" s="119">
        <f>+SUM(L4036:L4045)</f>
        <v>0</v>
      </c>
      <c r="O4047" s="38"/>
      <c r="P4047" s="38"/>
    </row>
    <row r="4048" spans="2:16" ht="17.399999999999999" thickBot="1" x14ac:dyDescent="0.45">
      <c r="O4048" s="42"/>
      <c r="P4048" s="43"/>
    </row>
    <row r="4049" spans="2:12" ht="17.399999999999999" thickBot="1" x14ac:dyDescent="0.45">
      <c r="B4049" s="110" t="s">
        <v>10</v>
      </c>
      <c r="C4049" s="300" t="s">
        <v>11</v>
      </c>
      <c r="D4049" s="300"/>
      <c r="E4049" s="300"/>
      <c r="F4049" s="300"/>
      <c r="G4049" s="301"/>
    </row>
    <row r="4050" spans="2:12" x14ac:dyDescent="0.4">
      <c r="B4050" s="114" t="s">
        <v>6</v>
      </c>
      <c r="C4050" s="302" t="s">
        <v>1</v>
      </c>
      <c r="D4050" s="303"/>
      <c r="E4050" s="112" t="s">
        <v>193</v>
      </c>
      <c r="F4050" s="120" t="s">
        <v>2</v>
      </c>
      <c r="G4050" s="114" t="s">
        <v>3</v>
      </c>
      <c r="H4050" s="106"/>
      <c r="I4050" s="107" t="s">
        <v>7</v>
      </c>
      <c r="J4050" s="136"/>
      <c r="K4050" s="107" t="s">
        <v>8</v>
      </c>
      <c r="L4050" s="115" t="s">
        <v>194</v>
      </c>
    </row>
    <row r="4051" spans="2:12" x14ac:dyDescent="0.4">
      <c r="B4051" s="122"/>
      <c r="C4051" s="306"/>
      <c r="D4051" s="306"/>
      <c r="E4051" s="116"/>
      <c r="F4051" s="83"/>
      <c r="G4051" s="74"/>
      <c r="I4051" s="117">
        <f>IF(C4051=0,0,VLOOKUP(C4051,Tabla3[],3,FALSE))</f>
        <v>0</v>
      </c>
      <c r="K4051" s="84">
        <f>F4051*I4051</f>
        <v>0</v>
      </c>
      <c r="L4051" s="118">
        <f>E4051*I4051</f>
        <v>0</v>
      </c>
    </row>
    <row r="4052" spans="2:12" x14ac:dyDescent="0.4">
      <c r="B4052" s="74"/>
      <c r="C4052" s="309"/>
      <c r="D4052" s="310"/>
      <c r="E4052" s="121"/>
      <c r="F4052" s="72"/>
      <c r="G4052" s="74"/>
      <c r="I4052" s="117">
        <f>IF(C4052=0,0,VLOOKUP(C4052,Tabla3[],3,FALSE))</f>
        <v>0</v>
      </c>
      <c r="K4052" s="84">
        <f t="shared" ref="K4052:K4054" si="616">+F4052*I4052</f>
        <v>0</v>
      </c>
      <c r="L4052" s="118">
        <f t="shared" ref="L4052:L4054" si="617">E4052*I4052</f>
        <v>0</v>
      </c>
    </row>
    <row r="4053" spans="2:12" x14ac:dyDescent="0.4">
      <c r="B4053" s="74"/>
      <c r="C4053" s="309"/>
      <c r="D4053" s="310"/>
      <c r="E4053" s="121"/>
      <c r="F4053" s="72"/>
      <c r="G4053" s="74"/>
      <c r="I4053" s="117">
        <f>IF(C4053=0,0,VLOOKUP(C4053,Tabla3[],3,FALSE))</f>
        <v>0</v>
      </c>
      <c r="K4053" s="84">
        <f t="shared" si="616"/>
        <v>0</v>
      </c>
      <c r="L4053" s="118">
        <f t="shared" si="617"/>
        <v>0</v>
      </c>
    </row>
    <row r="4054" spans="2:12" x14ac:dyDescent="0.4">
      <c r="B4054" s="74"/>
      <c r="C4054" s="304"/>
      <c r="D4054" s="305"/>
      <c r="E4054" s="121"/>
      <c r="F4054" s="72"/>
      <c r="G4054" s="74"/>
      <c r="I4054" s="117">
        <f>IF(C4054=0,0,VLOOKUP(C4054,Tabla3[],3,FALSE))</f>
        <v>0</v>
      </c>
      <c r="K4054" s="84">
        <f t="shared" si="616"/>
        <v>0</v>
      </c>
      <c r="L4054" s="118">
        <f t="shared" si="617"/>
        <v>0</v>
      </c>
    </row>
    <row r="4055" spans="2:12" ht="17.399999999999999" thickBot="1" x14ac:dyDescent="0.45"/>
    <row r="4056" spans="2:12" ht="17.399999999999999" thickBot="1" x14ac:dyDescent="0.45">
      <c r="F4056" s="292" t="s">
        <v>12</v>
      </c>
      <c r="G4056" s="293"/>
      <c r="H4056" s="293"/>
      <c r="I4056" s="294"/>
      <c r="K4056" s="229">
        <f>+SUM(K4051:K4054)</f>
        <v>0</v>
      </c>
      <c r="L4056" s="119">
        <f>+SUM(L4051:L4054)</f>
        <v>0</v>
      </c>
    </row>
    <row r="4057" spans="2:12" ht="17.399999999999999" thickBot="1" x14ac:dyDescent="0.45"/>
    <row r="4058" spans="2:12" ht="17.399999999999999" thickBot="1" x14ac:dyDescent="0.45">
      <c r="B4058" s="110" t="s">
        <v>13</v>
      </c>
      <c r="C4058" s="300" t="s">
        <v>14</v>
      </c>
      <c r="D4058" s="300"/>
      <c r="E4058" s="300"/>
      <c r="F4058" s="300"/>
      <c r="G4058" s="301"/>
    </row>
    <row r="4059" spans="2:12" x14ac:dyDescent="0.4">
      <c r="B4059" s="114" t="s">
        <v>6</v>
      </c>
      <c r="C4059" s="302" t="s">
        <v>1</v>
      </c>
      <c r="D4059" s="303"/>
      <c r="E4059" s="112" t="s">
        <v>193</v>
      </c>
      <c r="F4059" s="120" t="s">
        <v>2</v>
      </c>
      <c r="G4059" s="114" t="s">
        <v>3</v>
      </c>
      <c r="H4059" s="106"/>
      <c r="I4059" s="107" t="s">
        <v>7</v>
      </c>
      <c r="J4059" s="136"/>
      <c r="K4059" s="107" t="s">
        <v>8</v>
      </c>
      <c r="L4059" s="115" t="s">
        <v>194</v>
      </c>
    </row>
    <row r="4060" spans="2:12" x14ac:dyDescent="0.4">
      <c r="B4060" s="122">
        <v>1</v>
      </c>
      <c r="C4060" s="325" t="s">
        <v>517</v>
      </c>
      <c r="D4060" s="325"/>
      <c r="E4060" s="116">
        <f>I4032</f>
        <v>10</v>
      </c>
      <c r="F4060" s="83">
        <f>ROUND(E4060/I4032,2)</f>
        <v>1</v>
      </c>
      <c r="G4060" s="74" t="str">
        <f>IF(C4060=0,0,VLOOKUP(C4060,Tabla2[],2,FALSE))</f>
        <v>m²</v>
      </c>
      <c r="I4060" s="117">
        <f>IF(C4060=0,0,VLOOKUP(C4060,Tabla2[],3,FALSE))</f>
        <v>185</v>
      </c>
      <c r="K4060" s="84">
        <f>+F4060*I4060</f>
        <v>185</v>
      </c>
      <c r="L4060" s="118">
        <f>E4060*I4060</f>
        <v>1850</v>
      </c>
    </row>
    <row r="4061" spans="2:12" x14ac:dyDescent="0.4">
      <c r="B4061" s="122"/>
      <c r="C4061" s="306"/>
      <c r="D4061" s="306"/>
      <c r="E4061" s="116"/>
      <c r="F4061" s="83"/>
      <c r="G4061" s="74"/>
      <c r="I4061" s="117">
        <f>IF(C4061=0,0,VLOOKUP(C4061,Tabla2[],3,FALSE))</f>
        <v>0</v>
      </c>
      <c r="K4061" s="84">
        <f>+F4061*I4061</f>
        <v>0</v>
      </c>
      <c r="L4061" s="118">
        <f>E4061*I4061</f>
        <v>0</v>
      </c>
    </row>
    <row r="4062" spans="2:12" ht="17.399999999999999" thickBot="1" x14ac:dyDescent="0.45">
      <c r="B4062" s="123"/>
      <c r="C4062" s="307"/>
      <c r="D4062" s="308"/>
      <c r="E4062" s="124"/>
      <c r="F4062" s="125"/>
      <c r="G4062" s="74"/>
      <c r="I4062" s="117">
        <f>IF(C4062=0,0,VLOOKUP(C4062,Tabla2[],3,FALSE))</f>
        <v>0</v>
      </c>
      <c r="K4062" s="84">
        <f t="shared" ref="K4062" si="618">+F4062*I4062</f>
        <v>0</v>
      </c>
      <c r="L4062" s="118">
        <f t="shared" ref="L4062:L4063" si="619">E4062*I4062</f>
        <v>0</v>
      </c>
    </row>
    <row r="4063" spans="2:12" ht="17.399999999999999" thickBot="1" x14ac:dyDescent="0.45">
      <c r="B4063" s="297" t="s">
        <v>15</v>
      </c>
      <c r="C4063" s="298"/>
      <c r="D4063" s="298"/>
      <c r="E4063" s="298"/>
      <c r="F4063" s="298"/>
      <c r="G4063" s="299"/>
      <c r="I4063" s="84">
        <v>0</v>
      </c>
      <c r="K4063" s="84">
        <v>0</v>
      </c>
      <c r="L4063" s="118">
        <f t="shared" si="619"/>
        <v>0</v>
      </c>
    </row>
    <row r="4064" spans="2:12" ht="17.399999999999999" thickBot="1" x14ac:dyDescent="0.45"/>
    <row r="4065" spans="2:16" ht="17.399999999999999" thickBot="1" x14ac:dyDescent="0.45">
      <c r="F4065" s="292" t="s">
        <v>16</v>
      </c>
      <c r="G4065" s="293"/>
      <c r="H4065" s="293"/>
      <c r="I4065" s="294"/>
      <c r="K4065" s="229">
        <f>+SUM(K4060:K4063)</f>
        <v>185</v>
      </c>
      <c r="L4065" s="119">
        <f>+SUM(L4060:L4063)</f>
        <v>1850</v>
      </c>
    </row>
    <row r="4066" spans="2:16" ht="17.399999999999999" thickBot="1" x14ac:dyDescent="0.45"/>
    <row r="4067" spans="2:16" ht="17.399999999999999" thickBot="1" x14ac:dyDescent="0.45">
      <c r="B4067" s="110" t="s">
        <v>17</v>
      </c>
      <c r="C4067" s="300" t="s">
        <v>18</v>
      </c>
      <c r="D4067" s="300"/>
      <c r="E4067" s="300"/>
      <c r="F4067" s="300"/>
      <c r="G4067" s="301"/>
    </row>
    <row r="4068" spans="2:16" x14ac:dyDescent="0.4">
      <c r="B4068" s="114" t="s">
        <v>6</v>
      </c>
      <c r="C4068" s="302" t="s">
        <v>1</v>
      </c>
      <c r="D4068" s="303"/>
      <c r="E4068" s="126"/>
      <c r="F4068" s="120" t="s">
        <v>2</v>
      </c>
      <c r="G4068" s="114" t="s">
        <v>3</v>
      </c>
      <c r="H4068" s="106"/>
      <c r="I4068" s="107" t="s">
        <v>7</v>
      </c>
      <c r="J4068" s="136"/>
      <c r="K4068" s="107" t="s">
        <v>8</v>
      </c>
      <c r="L4068" s="115" t="s">
        <v>194</v>
      </c>
    </row>
    <row r="4069" spans="2:16" x14ac:dyDescent="0.4">
      <c r="B4069" s="74"/>
      <c r="C4069" s="304"/>
      <c r="D4069" s="305"/>
      <c r="E4069" s="127"/>
      <c r="F4069" s="72"/>
      <c r="G4069" s="74"/>
      <c r="I4069" s="84">
        <v>0</v>
      </c>
      <c r="K4069" s="84">
        <f>+F4069*I4069</f>
        <v>0</v>
      </c>
      <c r="L4069" s="118">
        <f>E4069*I4069</f>
        <v>0</v>
      </c>
    </row>
    <row r="4070" spans="2:16" x14ac:dyDescent="0.4">
      <c r="B4070" s="74"/>
      <c r="C4070" s="304"/>
      <c r="D4070" s="305"/>
      <c r="E4070" s="127"/>
      <c r="F4070" s="72"/>
      <c r="G4070" s="74"/>
      <c r="I4070" s="84">
        <v>0</v>
      </c>
      <c r="K4070" s="84">
        <f t="shared" ref="K4070:K4071" si="620">+F4070*I4070</f>
        <v>0</v>
      </c>
      <c r="L4070" s="118">
        <f t="shared" ref="L4070:L4071" si="621">E4070*I4070</f>
        <v>0</v>
      </c>
    </row>
    <row r="4071" spans="2:16" x14ac:dyDescent="0.4">
      <c r="B4071" s="74"/>
      <c r="C4071" s="304"/>
      <c r="D4071" s="305"/>
      <c r="E4071" s="127"/>
      <c r="F4071" s="72"/>
      <c r="G4071" s="74"/>
      <c r="I4071" s="84">
        <v>0</v>
      </c>
      <c r="K4071" s="84">
        <f t="shared" si="620"/>
        <v>0</v>
      </c>
      <c r="L4071" s="118">
        <f t="shared" si="621"/>
        <v>0</v>
      </c>
    </row>
    <row r="4072" spans="2:16" ht="17.399999999999999" thickBot="1" x14ac:dyDescent="0.45">
      <c r="L4072" s="118"/>
    </row>
    <row r="4073" spans="2:16" ht="17.399999999999999" thickBot="1" x14ac:dyDescent="0.45">
      <c r="F4073" s="292" t="s">
        <v>19</v>
      </c>
      <c r="G4073" s="293"/>
      <c r="H4073" s="293"/>
      <c r="I4073" s="294"/>
      <c r="K4073" s="229">
        <f>+SUM(K4069:K4071)</f>
        <v>0</v>
      </c>
      <c r="L4073" s="119">
        <f>+SUM(L4068:L4071)</f>
        <v>0</v>
      </c>
    </row>
    <row r="4074" spans="2:16" ht="15" customHeight="1" x14ac:dyDescent="0.4">
      <c r="F4074" s="128"/>
      <c r="G4074" s="129"/>
      <c r="H4074" s="130"/>
      <c r="I4074" s="108"/>
      <c r="K4074" s="230"/>
    </row>
    <row r="4075" spans="2:16" ht="15" customHeight="1" thickBot="1" x14ac:dyDescent="0.45"/>
    <row r="4076" spans="2:16" ht="17.399999999999999" thickBot="1" x14ac:dyDescent="0.45">
      <c r="F4076" s="292" t="s">
        <v>20</v>
      </c>
      <c r="G4076" s="293"/>
      <c r="H4076" s="293"/>
      <c r="I4076" s="294"/>
      <c r="K4076" s="229">
        <f>(+K4047+K4056+K4065+K4073)</f>
        <v>185</v>
      </c>
      <c r="L4076" s="119">
        <f>(+L4047+L4056+L4065+L4073)</f>
        <v>1850</v>
      </c>
      <c r="N4076" s="131"/>
      <c r="O4076" s="39"/>
      <c r="P4076" s="40"/>
    </row>
    <row r="4077" spans="2:16" ht="7.5" customHeight="1" thickBot="1" x14ac:dyDescent="0.45">
      <c r="N4077" s="131"/>
      <c r="O4077" s="41"/>
      <c r="P4077" s="40"/>
    </row>
    <row r="4078" spans="2:16" ht="17.399999999999999" thickBot="1" x14ac:dyDescent="0.45">
      <c r="F4078" s="292" t="s">
        <v>21</v>
      </c>
      <c r="G4078" s="293"/>
      <c r="H4078" s="293"/>
      <c r="I4078" s="294"/>
      <c r="K4078" s="229">
        <f>K4076*$N$2</f>
        <v>74</v>
      </c>
      <c r="L4078" s="119">
        <f>L4076*$N$2</f>
        <v>740</v>
      </c>
    </row>
    <row r="4079" spans="2:16" ht="7.5" customHeight="1" thickBot="1" x14ac:dyDescent="0.45"/>
    <row r="4080" spans="2:16" ht="17.399999999999999" thickBot="1" x14ac:dyDescent="0.45">
      <c r="F4080" s="292" t="s">
        <v>22</v>
      </c>
      <c r="G4080" s="293"/>
      <c r="H4080" s="293"/>
      <c r="I4080" s="294"/>
      <c r="K4080" s="229">
        <f>+K4076+K4078</f>
        <v>259</v>
      </c>
      <c r="L4080" s="119">
        <f>+L4076+L4078</f>
        <v>2590</v>
      </c>
    </row>
    <row r="4081" spans="1:16" ht="17.399999999999999" thickBot="1" x14ac:dyDescent="0.45">
      <c r="F4081" s="128"/>
      <c r="G4081" s="129"/>
      <c r="H4081" s="130"/>
      <c r="I4081" s="108"/>
      <c r="K4081" s="231"/>
      <c r="L4081" s="132">
        <f>L4080/I4032</f>
        <v>259</v>
      </c>
      <c r="M4081" s="133">
        <f>(K4080-L4081)*I4032</f>
        <v>0</v>
      </c>
    </row>
    <row r="4082" spans="1:16" x14ac:dyDescent="0.4">
      <c r="F4082" s="128"/>
      <c r="G4082" s="129"/>
      <c r="H4082" s="130"/>
      <c r="I4082" s="108"/>
      <c r="K4082" s="232"/>
      <c r="L4082" s="131"/>
      <c r="M4082" s="134"/>
      <c r="N4082" s="135"/>
    </row>
    <row r="4083" spans="1:16" ht="17.399999999999999" thickBot="1" x14ac:dyDescent="0.45">
      <c r="B4083" s="295"/>
      <c r="C4083" s="295"/>
      <c r="D4083" s="295"/>
    </row>
    <row r="4084" spans="1:16" x14ac:dyDescent="0.4">
      <c r="B4084" s="296" t="s">
        <v>23</v>
      </c>
      <c r="C4084" s="296"/>
      <c r="D4084" s="296"/>
    </row>
    <row r="4085" spans="1:16" x14ac:dyDescent="0.4">
      <c r="B4085" s="157"/>
      <c r="C4085" s="157"/>
      <c r="D4085" s="157"/>
    </row>
    <row r="4087" spans="1:16" x14ac:dyDescent="0.4">
      <c r="B4087" s="105" t="s">
        <v>43</v>
      </c>
      <c r="C4087" s="106"/>
      <c r="D4087" s="311" t="s">
        <v>1</v>
      </c>
      <c r="E4087" s="311"/>
      <c r="F4087" s="311"/>
      <c r="G4087" s="311"/>
      <c r="H4087" s="106"/>
      <c r="I4087" s="107" t="s">
        <v>2</v>
      </c>
      <c r="J4087" s="136"/>
      <c r="K4087" s="107" t="s">
        <v>3</v>
      </c>
    </row>
    <row r="4088" spans="1:16" s="4" customFormat="1" ht="30.75" customHeight="1" x14ac:dyDescent="0.3">
      <c r="A4088" s="31"/>
      <c r="B4088" s="213">
        <f>CATALOGO!B107</f>
        <v>1109.03</v>
      </c>
      <c r="C4088" s="71"/>
      <c r="D4088" s="326" t="str">
        <f>CATALOGO!C107</f>
        <v>LÁMPARA LED TIPO LISTON 2 TUBOS (18 WATS)</v>
      </c>
      <c r="E4088" s="326"/>
      <c r="F4088" s="326"/>
      <c r="G4088" s="326"/>
      <c r="H4088" s="71"/>
      <c r="I4088" s="213">
        <f>CATALOGO!D107</f>
        <v>3</v>
      </c>
      <c r="J4088" s="109"/>
      <c r="K4088" s="227" t="str">
        <f>CATALOGO!E107</f>
        <v>Unidad</v>
      </c>
      <c r="L4088" s="71"/>
      <c r="M4088" s="71"/>
      <c r="N4088" s="71"/>
      <c r="O4088" s="37"/>
      <c r="P4088" s="37"/>
    </row>
    <row r="4089" spans="1:16" ht="17.399999999999999" thickBot="1" x14ac:dyDescent="0.45"/>
    <row r="4090" spans="1:16" ht="17.399999999999999" thickBot="1" x14ac:dyDescent="0.45">
      <c r="B4090" s="110" t="s">
        <v>4</v>
      </c>
      <c r="C4090" s="300" t="s">
        <v>5</v>
      </c>
      <c r="D4090" s="300"/>
      <c r="E4090" s="300"/>
      <c r="F4090" s="300"/>
      <c r="G4090" s="301"/>
    </row>
    <row r="4091" spans="1:16" x14ac:dyDescent="0.3">
      <c r="B4091" s="111" t="s">
        <v>6</v>
      </c>
      <c r="C4091" s="313" t="s">
        <v>1</v>
      </c>
      <c r="D4091" s="314"/>
      <c r="E4091" s="112" t="s">
        <v>193</v>
      </c>
      <c r="F4091" s="113" t="s">
        <v>2</v>
      </c>
      <c r="G4091" s="114" t="s">
        <v>3</v>
      </c>
      <c r="H4091" s="106"/>
      <c r="I4091" s="107" t="s">
        <v>7</v>
      </c>
      <c r="J4091" s="136"/>
      <c r="K4091" s="228" t="s">
        <v>8</v>
      </c>
      <c r="L4091" s="115" t="s">
        <v>194</v>
      </c>
      <c r="O4091" s="323"/>
      <c r="P4091" s="323"/>
    </row>
    <row r="4092" spans="1:16" ht="17.25" customHeight="1" x14ac:dyDescent="0.3">
      <c r="B4092" s="122">
        <v>1</v>
      </c>
      <c r="C4092" s="315" t="s">
        <v>258</v>
      </c>
      <c r="D4092" s="316"/>
      <c r="E4092" s="116">
        <f>I4088</f>
        <v>3</v>
      </c>
      <c r="F4092" s="83">
        <f>ROUND(E4092/I4088,2)</f>
        <v>1</v>
      </c>
      <c r="G4092" s="74" t="str">
        <f>IF(C4092=0,0,VLOOKUP(C4092,Tabla1[],2,FALSE))</f>
        <v>Unidad</v>
      </c>
      <c r="I4092" s="117">
        <f>IF(C4092=0,0,VLOOKUP(C4092,Tabla1[],3,FALSE))</f>
        <v>75</v>
      </c>
      <c r="K4092" s="84">
        <f>F4092*I4092</f>
        <v>75</v>
      </c>
      <c r="L4092" s="118">
        <f t="shared" ref="L4092:L4097" si="622">E4092*I4092</f>
        <v>225</v>
      </c>
      <c r="O4092" s="44"/>
      <c r="P4092" s="45"/>
    </row>
    <row r="4093" spans="1:16" ht="17.25" customHeight="1" x14ac:dyDescent="0.3">
      <c r="B4093" s="122">
        <v>2</v>
      </c>
      <c r="C4093" s="315" t="s">
        <v>259</v>
      </c>
      <c r="D4093" s="316"/>
      <c r="E4093" s="116">
        <f>E4092*2</f>
        <v>6</v>
      </c>
      <c r="F4093" s="83">
        <f>ROUND(E4093/I4088,2)</f>
        <v>2</v>
      </c>
      <c r="G4093" s="74" t="str">
        <f>IF(C4093=0,0,VLOOKUP(C4093,Tabla1[],2,FALSE))</f>
        <v>Unidad</v>
      </c>
      <c r="I4093" s="117">
        <f>IF(C4093=0,0,VLOOKUP(C4093,Tabla1[],3,FALSE))</f>
        <v>40</v>
      </c>
      <c r="K4093" s="84">
        <f>F4093*I4093</f>
        <v>80</v>
      </c>
      <c r="L4093" s="118">
        <f t="shared" si="622"/>
        <v>240</v>
      </c>
      <c r="O4093" s="44"/>
      <c r="P4093" s="45"/>
    </row>
    <row r="4094" spans="1:16" x14ac:dyDescent="0.3">
      <c r="B4094" s="122">
        <v>3</v>
      </c>
      <c r="C4094" s="319" t="s">
        <v>250</v>
      </c>
      <c r="D4094" s="318"/>
      <c r="E4094" s="116">
        <f>I4088*45</f>
        <v>135</v>
      </c>
      <c r="F4094" s="83">
        <f>ROUND(E4094/I4088,1)</f>
        <v>45</v>
      </c>
      <c r="G4094" s="74" t="str">
        <f>IF(C4094=0,0,VLOOKUP(C4094,Tabla1[],2,FALSE))</f>
        <v>ml</v>
      </c>
      <c r="I4094" s="117">
        <f>IF(C4094=0,0,VLOOKUP(C4094,Tabla1[],3,FALSE))</f>
        <v>5</v>
      </c>
      <c r="K4094" s="84">
        <f t="shared" ref="K4094:K4097" si="623">+F4094*I4094</f>
        <v>225</v>
      </c>
      <c r="L4094" s="118">
        <f t="shared" si="622"/>
        <v>675</v>
      </c>
      <c r="O4094" s="44"/>
      <c r="P4094" s="46"/>
    </row>
    <row r="4095" spans="1:16" x14ac:dyDescent="0.3">
      <c r="B4095" s="122">
        <v>4</v>
      </c>
      <c r="C4095" s="319" t="s">
        <v>255</v>
      </c>
      <c r="D4095" s="318"/>
      <c r="E4095" s="116">
        <f>I4088</f>
        <v>3</v>
      </c>
      <c r="F4095" s="83">
        <f>ROUND(E4095/I4088,1)</f>
        <v>1</v>
      </c>
      <c r="G4095" s="74" t="str">
        <f>IF(C4095=0,0,VLOOKUP(C4095,Tabla1[],2,FALSE))</f>
        <v>Unidad</v>
      </c>
      <c r="I4095" s="117">
        <f>IF(C4095=0,0,VLOOKUP(C4095,Tabla1[],3,FALSE))</f>
        <v>5</v>
      </c>
      <c r="K4095" s="84">
        <f t="shared" si="623"/>
        <v>5</v>
      </c>
      <c r="L4095" s="118">
        <f t="shared" si="622"/>
        <v>15</v>
      </c>
      <c r="O4095" s="44"/>
      <c r="P4095" s="46"/>
    </row>
    <row r="4096" spans="1:16" x14ac:dyDescent="0.4">
      <c r="B4096" s="122">
        <v>5</v>
      </c>
      <c r="C4096" s="319" t="s">
        <v>254</v>
      </c>
      <c r="D4096" s="318"/>
      <c r="E4096" s="116">
        <f>I4088*2.5</f>
        <v>7.5</v>
      </c>
      <c r="F4096" s="83">
        <f>ROUND(E4096/I4088,2)</f>
        <v>2.5</v>
      </c>
      <c r="G4096" s="74" t="str">
        <f>IF(C4096=0,0,VLOOKUP(C4096,Tabla1[],2,FALSE))</f>
        <v>Unidad</v>
      </c>
      <c r="I4096" s="117">
        <f>IF(C4096=0,0,VLOOKUP(C4096,Tabla1[],3,FALSE))</f>
        <v>20</v>
      </c>
      <c r="K4096" s="84">
        <f t="shared" si="623"/>
        <v>50</v>
      </c>
      <c r="L4096" s="118">
        <f t="shared" si="622"/>
        <v>150</v>
      </c>
      <c r="O4096" s="48"/>
      <c r="P4096" s="49"/>
    </row>
    <row r="4097" spans="2:16" x14ac:dyDescent="0.4">
      <c r="B4097" s="122">
        <v>6</v>
      </c>
      <c r="C4097" s="319" t="s">
        <v>260</v>
      </c>
      <c r="D4097" s="318"/>
      <c r="E4097" s="116">
        <f>I4088*6</f>
        <v>18</v>
      </c>
      <c r="F4097" s="83">
        <f>ROUND(E4097/I4088,2)</f>
        <v>6</v>
      </c>
      <c r="G4097" s="74" t="str">
        <f>IF(C4097=0,0,VLOOKUP(C4097,Tabla1[],2,FALSE))</f>
        <v>Unidad</v>
      </c>
      <c r="I4097" s="117">
        <f>IF(C4097=0,0,VLOOKUP(C4097,Tabla1[],3,FALSE))</f>
        <v>5</v>
      </c>
      <c r="K4097" s="84">
        <f t="shared" si="623"/>
        <v>30</v>
      </c>
      <c r="L4097" s="118">
        <f t="shared" si="622"/>
        <v>90</v>
      </c>
      <c r="O4097" s="48"/>
      <c r="P4097" s="49"/>
    </row>
    <row r="4098" spans="2:16" ht="17.399999999999999" thickBot="1" x14ac:dyDescent="0.45"/>
    <row r="4099" spans="2:16" ht="17.399999999999999" thickBot="1" x14ac:dyDescent="0.35">
      <c r="F4099" s="292" t="s">
        <v>9</v>
      </c>
      <c r="G4099" s="293"/>
      <c r="H4099" s="293"/>
      <c r="I4099" s="294"/>
      <c r="K4099" s="229">
        <f>+SUM(K4092:K4097)</f>
        <v>465</v>
      </c>
      <c r="L4099" s="119">
        <f>+SUM(L4092:L4097)</f>
        <v>1395</v>
      </c>
      <c r="O4099" s="38"/>
      <c r="P4099" s="38"/>
    </row>
    <row r="4100" spans="2:16" ht="17.399999999999999" thickBot="1" x14ac:dyDescent="0.45">
      <c r="O4100" s="42"/>
      <c r="P4100" s="43"/>
    </row>
    <row r="4101" spans="2:16" ht="17.399999999999999" thickBot="1" x14ac:dyDescent="0.45">
      <c r="B4101" s="110" t="s">
        <v>10</v>
      </c>
      <c r="C4101" s="300" t="s">
        <v>11</v>
      </c>
      <c r="D4101" s="300"/>
      <c r="E4101" s="300"/>
      <c r="F4101" s="300"/>
      <c r="G4101" s="301"/>
    </row>
    <row r="4102" spans="2:16" x14ac:dyDescent="0.4">
      <c r="B4102" s="114" t="s">
        <v>6</v>
      </c>
      <c r="C4102" s="302" t="s">
        <v>1</v>
      </c>
      <c r="D4102" s="303"/>
      <c r="E4102" s="112" t="s">
        <v>193</v>
      </c>
      <c r="F4102" s="120" t="s">
        <v>2</v>
      </c>
      <c r="G4102" s="114" t="s">
        <v>3</v>
      </c>
      <c r="H4102" s="106"/>
      <c r="I4102" s="107" t="s">
        <v>7</v>
      </c>
      <c r="J4102" s="136"/>
      <c r="K4102" s="107" t="s">
        <v>8</v>
      </c>
      <c r="L4102" s="115" t="s">
        <v>194</v>
      </c>
    </row>
    <row r="4103" spans="2:16" x14ac:dyDescent="0.4">
      <c r="B4103" s="122"/>
      <c r="C4103" s="306"/>
      <c r="D4103" s="306"/>
      <c r="E4103" s="116"/>
      <c r="F4103" s="83"/>
      <c r="G4103" s="74"/>
      <c r="I4103" s="117">
        <f>IF(C4103=0,0,VLOOKUP(C4103,Tabla3[],3,FALSE))</f>
        <v>0</v>
      </c>
      <c r="K4103" s="84">
        <f>F4103*I4103</f>
        <v>0</v>
      </c>
      <c r="L4103" s="118">
        <f>E4103*I4103</f>
        <v>0</v>
      </c>
    </row>
    <row r="4104" spans="2:16" x14ac:dyDescent="0.4">
      <c r="B4104" s="74"/>
      <c r="C4104" s="309"/>
      <c r="D4104" s="310"/>
      <c r="E4104" s="121"/>
      <c r="F4104" s="72"/>
      <c r="G4104" s="74"/>
      <c r="I4104" s="117">
        <f>IF(C4104=0,0,VLOOKUP(C4104,Tabla3[],3,FALSE))</f>
        <v>0</v>
      </c>
      <c r="K4104" s="84">
        <f t="shared" ref="K4104:K4106" si="624">+F4104*I4104</f>
        <v>0</v>
      </c>
      <c r="L4104" s="118">
        <f t="shared" ref="L4104:L4106" si="625">E4104*I4104</f>
        <v>0</v>
      </c>
    </row>
    <row r="4105" spans="2:16" x14ac:dyDescent="0.4">
      <c r="B4105" s="74"/>
      <c r="C4105" s="309"/>
      <c r="D4105" s="310"/>
      <c r="E4105" s="121"/>
      <c r="F4105" s="72"/>
      <c r="G4105" s="74"/>
      <c r="I4105" s="117">
        <f>IF(C4105=0,0,VLOOKUP(C4105,Tabla3[],3,FALSE))</f>
        <v>0</v>
      </c>
      <c r="K4105" s="84">
        <f t="shared" si="624"/>
        <v>0</v>
      </c>
      <c r="L4105" s="118">
        <f t="shared" si="625"/>
        <v>0</v>
      </c>
    </row>
    <row r="4106" spans="2:16" x14ac:dyDescent="0.4">
      <c r="B4106" s="74"/>
      <c r="C4106" s="304"/>
      <c r="D4106" s="305"/>
      <c r="E4106" s="121"/>
      <c r="F4106" s="72"/>
      <c r="G4106" s="74"/>
      <c r="I4106" s="117">
        <f>IF(C4106=0,0,VLOOKUP(C4106,Tabla3[],3,FALSE))</f>
        <v>0</v>
      </c>
      <c r="K4106" s="84">
        <f t="shared" si="624"/>
        <v>0</v>
      </c>
      <c r="L4106" s="118">
        <f t="shared" si="625"/>
        <v>0</v>
      </c>
    </row>
    <row r="4107" spans="2:16" ht="17.399999999999999" thickBot="1" x14ac:dyDescent="0.45"/>
    <row r="4108" spans="2:16" ht="17.399999999999999" thickBot="1" x14ac:dyDescent="0.45">
      <c r="F4108" s="292" t="s">
        <v>12</v>
      </c>
      <c r="G4108" s="293"/>
      <c r="H4108" s="293"/>
      <c r="I4108" s="294"/>
      <c r="K4108" s="229">
        <f>+SUM(K4103:K4106)</f>
        <v>0</v>
      </c>
      <c r="L4108" s="119">
        <f>+SUM(L4103:L4106)</f>
        <v>0</v>
      </c>
    </row>
    <row r="4109" spans="2:16" ht="17.399999999999999" thickBot="1" x14ac:dyDescent="0.45"/>
    <row r="4110" spans="2:16" ht="17.399999999999999" thickBot="1" x14ac:dyDescent="0.45">
      <c r="B4110" s="110" t="s">
        <v>13</v>
      </c>
      <c r="C4110" s="300" t="s">
        <v>14</v>
      </c>
      <c r="D4110" s="300"/>
      <c r="E4110" s="300"/>
      <c r="F4110" s="300"/>
      <c r="G4110" s="301"/>
    </row>
    <row r="4111" spans="2:16" x14ac:dyDescent="0.4">
      <c r="B4111" s="114" t="s">
        <v>6</v>
      </c>
      <c r="C4111" s="302" t="s">
        <v>1</v>
      </c>
      <c r="D4111" s="303"/>
      <c r="E4111" s="112" t="s">
        <v>193</v>
      </c>
      <c r="F4111" s="120" t="s">
        <v>2</v>
      </c>
      <c r="G4111" s="114" t="s">
        <v>3</v>
      </c>
      <c r="H4111" s="106"/>
      <c r="I4111" s="107" t="s">
        <v>7</v>
      </c>
      <c r="J4111" s="136"/>
      <c r="K4111" s="107" t="s">
        <v>8</v>
      </c>
      <c r="L4111" s="115" t="s">
        <v>194</v>
      </c>
    </row>
    <row r="4112" spans="2:16" x14ac:dyDescent="0.4">
      <c r="B4112" s="122">
        <v>1</v>
      </c>
      <c r="C4112" s="306" t="s">
        <v>86</v>
      </c>
      <c r="D4112" s="306"/>
      <c r="E4112" s="116">
        <f>I4088</f>
        <v>3</v>
      </c>
      <c r="F4112" s="83">
        <f>ROUND(E4112/I4088,2)</f>
        <v>1</v>
      </c>
      <c r="G4112" s="74" t="str">
        <f>IF(C4112=0,0,VLOOKUP(C4112,Tabla2[],2,FALSE))</f>
        <v>Unidad</v>
      </c>
      <c r="I4112" s="117">
        <f>IF(C4112=0,0,VLOOKUP(C4112,Tabla2[],3,FALSE))</f>
        <v>120</v>
      </c>
      <c r="K4112" s="84">
        <f>+F4112*I4112</f>
        <v>120</v>
      </c>
      <c r="L4112" s="118">
        <f>E4112*I4112</f>
        <v>360</v>
      </c>
    </row>
    <row r="4113" spans="2:16" x14ac:dyDescent="0.4">
      <c r="B4113" s="122"/>
      <c r="C4113" s="306"/>
      <c r="D4113" s="306"/>
      <c r="E4113" s="116"/>
      <c r="F4113" s="83"/>
      <c r="G4113" s="74"/>
      <c r="I4113" s="117">
        <f>IF(C4113=0,0,VLOOKUP(C4113,Tabla2[],3,FALSE))</f>
        <v>0</v>
      </c>
      <c r="K4113" s="84">
        <f>+F4113*I4113</f>
        <v>0</v>
      </c>
      <c r="L4113" s="118">
        <f>E4113*I4113</f>
        <v>0</v>
      </c>
    </row>
    <row r="4114" spans="2:16" ht="17.399999999999999" thickBot="1" x14ac:dyDescent="0.45">
      <c r="B4114" s="123"/>
      <c r="C4114" s="307"/>
      <c r="D4114" s="308"/>
      <c r="E4114" s="124"/>
      <c r="F4114" s="125"/>
      <c r="G4114" s="74"/>
      <c r="I4114" s="117">
        <f>IF(C4114=0,0,VLOOKUP(C4114,Tabla2[],3,FALSE))</f>
        <v>0</v>
      </c>
      <c r="K4114" s="84">
        <f t="shared" ref="K4114" si="626">+F4114*I4114</f>
        <v>0</v>
      </c>
      <c r="L4114" s="118">
        <f t="shared" ref="L4114:L4115" si="627">E4114*I4114</f>
        <v>0</v>
      </c>
    </row>
    <row r="4115" spans="2:16" ht="17.399999999999999" thickBot="1" x14ac:dyDescent="0.45">
      <c r="B4115" s="297" t="s">
        <v>15</v>
      </c>
      <c r="C4115" s="298"/>
      <c r="D4115" s="298"/>
      <c r="E4115" s="298"/>
      <c r="F4115" s="298"/>
      <c r="G4115" s="299"/>
      <c r="I4115" s="84">
        <v>0</v>
      </c>
      <c r="K4115" s="84">
        <v>0</v>
      </c>
      <c r="L4115" s="118">
        <f t="shared" si="627"/>
        <v>0</v>
      </c>
    </row>
    <row r="4116" spans="2:16" ht="17.399999999999999" thickBot="1" x14ac:dyDescent="0.45"/>
    <row r="4117" spans="2:16" ht="17.399999999999999" thickBot="1" x14ac:dyDescent="0.45">
      <c r="F4117" s="292" t="s">
        <v>16</v>
      </c>
      <c r="G4117" s="293"/>
      <c r="H4117" s="293"/>
      <c r="I4117" s="294"/>
      <c r="K4117" s="229">
        <f>+SUM(K4112:K4115)</f>
        <v>120</v>
      </c>
      <c r="L4117" s="119">
        <f>+SUM(L4112:L4115)</f>
        <v>360</v>
      </c>
    </row>
    <row r="4118" spans="2:16" ht="17.399999999999999" thickBot="1" x14ac:dyDescent="0.45"/>
    <row r="4119" spans="2:16" ht="17.399999999999999" thickBot="1" x14ac:dyDescent="0.45">
      <c r="B4119" s="110" t="s">
        <v>17</v>
      </c>
      <c r="C4119" s="300" t="s">
        <v>18</v>
      </c>
      <c r="D4119" s="300"/>
      <c r="E4119" s="300"/>
      <c r="F4119" s="300"/>
      <c r="G4119" s="301"/>
    </row>
    <row r="4120" spans="2:16" x14ac:dyDescent="0.4">
      <c r="B4120" s="114" t="s">
        <v>6</v>
      </c>
      <c r="C4120" s="302" t="s">
        <v>1</v>
      </c>
      <c r="D4120" s="303"/>
      <c r="E4120" s="126"/>
      <c r="F4120" s="120" t="s">
        <v>2</v>
      </c>
      <c r="G4120" s="114" t="s">
        <v>3</v>
      </c>
      <c r="H4120" s="106"/>
      <c r="I4120" s="107" t="s">
        <v>7</v>
      </c>
      <c r="J4120" s="136"/>
      <c r="K4120" s="107" t="s">
        <v>8</v>
      </c>
      <c r="L4120" s="115" t="s">
        <v>194</v>
      </c>
    </row>
    <row r="4121" spans="2:16" x14ac:dyDescent="0.4">
      <c r="B4121" s="74"/>
      <c r="C4121" s="304"/>
      <c r="D4121" s="305"/>
      <c r="E4121" s="127"/>
      <c r="F4121" s="72"/>
      <c r="G4121" s="74"/>
      <c r="I4121" s="84">
        <v>0</v>
      </c>
      <c r="K4121" s="84">
        <f>+F4121*I4121</f>
        <v>0</v>
      </c>
      <c r="L4121" s="118">
        <f>E4121*I4121</f>
        <v>0</v>
      </c>
    </row>
    <row r="4122" spans="2:16" x14ac:dyDescent="0.4">
      <c r="B4122" s="74"/>
      <c r="C4122" s="304"/>
      <c r="D4122" s="305"/>
      <c r="E4122" s="127"/>
      <c r="F4122" s="72"/>
      <c r="G4122" s="74"/>
      <c r="I4122" s="84">
        <v>0</v>
      </c>
      <c r="K4122" s="84">
        <f t="shared" ref="K4122:K4123" si="628">+F4122*I4122</f>
        <v>0</v>
      </c>
      <c r="L4122" s="118">
        <f t="shared" ref="L4122:L4123" si="629">E4122*I4122</f>
        <v>0</v>
      </c>
    </row>
    <row r="4123" spans="2:16" x14ac:dyDescent="0.4">
      <c r="B4123" s="74"/>
      <c r="C4123" s="304"/>
      <c r="D4123" s="305"/>
      <c r="E4123" s="127"/>
      <c r="F4123" s="72"/>
      <c r="G4123" s="74"/>
      <c r="I4123" s="84">
        <v>0</v>
      </c>
      <c r="K4123" s="84">
        <f t="shared" si="628"/>
        <v>0</v>
      </c>
      <c r="L4123" s="118">
        <f t="shared" si="629"/>
        <v>0</v>
      </c>
    </row>
    <row r="4124" spans="2:16" ht="17.399999999999999" thickBot="1" x14ac:dyDescent="0.45">
      <c r="L4124" s="118"/>
    </row>
    <row r="4125" spans="2:16" ht="17.399999999999999" thickBot="1" x14ac:dyDescent="0.45">
      <c r="F4125" s="292" t="s">
        <v>19</v>
      </c>
      <c r="G4125" s="293"/>
      <c r="H4125" s="293"/>
      <c r="I4125" s="294"/>
      <c r="K4125" s="229">
        <f>+SUM(K4121:K4123)</f>
        <v>0</v>
      </c>
      <c r="L4125" s="119">
        <f>+SUM(L4120:L4123)</f>
        <v>0</v>
      </c>
    </row>
    <row r="4126" spans="2:16" ht="15" customHeight="1" x14ac:dyDescent="0.4">
      <c r="F4126" s="128"/>
      <c r="G4126" s="129"/>
      <c r="H4126" s="130"/>
      <c r="I4126" s="108"/>
      <c r="K4126" s="230"/>
    </row>
    <row r="4127" spans="2:16" ht="15" customHeight="1" thickBot="1" x14ac:dyDescent="0.45"/>
    <row r="4128" spans="2:16" ht="17.399999999999999" thickBot="1" x14ac:dyDescent="0.45">
      <c r="F4128" s="292" t="s">
        <v>20</v>
      </c>
      <c r="G4128" s="293"/>
      <c r="H4128" s="293"/>
      <c r="I4128" s="294"/>
      <c r="K4128" s="229">
        <f>(+K4099+K4108+K4117+K4125)</f>
        <v>585</v>
      </c>
      <c r="L4128" s="119">
        <f>(+L4099+L4108+L4117+L4125)</f>
        <v>1755</v>
      </c>
      <c r="N4128" s="131"/>
      <c r="O4128" s="39"/>
      <c r="P4128" s="40"/>
    </row>
    <row r="4129" spans="1:16" ht="7.5" customHeight="1" thickBot="1" x14ac:dyDescent="0.45">
      <c r="N4129" s="131"/>
      <c r="O4129" s="41"/>
      <c r="P4129" s="40"/>
    </row>
    <row r="4130" spans="1:16" ht="17.399999999999999" thickBot="1" x14ac:dyDescent="0.45">
      <c r="F4130" s="292" t="s">
        <v>21</v>
      </c>
      <c r="G4130" s="293"/>
      <c r="H4130" s="293"/>
      <c r="I4130" s="294"/>
      <c r="K4130" s="229">
        <f>K4128*$N$2</f>
        <v>234</v>
      </c>
      <c r="L4130" s="119">
        <f>L4128*$N$2</f>
        <v>702</v>
      </c>
    </row>
    <row r="4131" spans="1:16" ht="7.5" customHeight="1" thickBot="1" x14ac:dyDescent="0.45"/>
    <row r="4132" spans="1:16" ht="17.399999999999999" thickBot="1" x14ac:dyDescent="0.45">
      <c r="F4132" s="292" t="s">
        <v>22</v>
      </c>
      <c r="G4132" s="293"/>
      <c r="H4132" s="293"/>
      <c r="I4132" s="294"/>
      <c r="K4132" s="229">
        <f>+K4128+K4130</f>
        <v>819</v>
      </c>
      <c r="L4132" s="119">
        <f>+L4128+L4130</f>
        <v>2457</v>
      </c>
    </row>
    <row r="4133" spans="1:16" ht="17.399999999999999" thickBot="1" x14ac:dyDescent="0.45">
      <c r="F4133" s="128"/>
      <c r="G4133" s="129"/>
      <c r="H4133" s="130"/>
      <c r="I4133" s="108"/>
      <c r="K4133" s="231"/>
      <c r="L4133" s="132">
        <f>L4132/I4088</f>
        <v>819</v>
      </c>
      <c r="M4133" s="133">
        <f>(K4132-L4133)*I4088</f>
        <v>0</v>
      </c>
    </row>
    <row r="4134" spans="1:16" x14ac:dyDescent="0.4">
      <c r="F4134" s="128"/>
      <c r="G4134" s="129"/>
      <c r="H4134" s="130"/>
      <c r="I4134" s="108"/>
      <c r="K4134" s="232"/>
      <c r="L4134" s="131"/>
      <c r="M4134" s="134"/>
      <c r="N4134" s="135"/>
    </row>
    <row r="4135" spans="1:16" ht="17.399999999999999" thickBot="1" x14ac:dyDescent="0.45">
      <c r="B4135" s="295"/>
      <c r="C4135" s="295"/>
      <c r="D4135" s="295"/>
    </row>
    <row r="4136" spans="1:16" x14ac:dyDescent="0.4">
      <c r="B4136" s="296" t="s">
        <v>23</v>
      </c>
      <c r="C4136" s="296"/>
      <c r="D4136" s="296"/>
    </row>
    <row r="4137" spans="1:16" x14ac:dyDescent="0.4">
      <c r="B4137" s="157"/>
      <c r="C4137" s="157"/>
      <c r="D4137" s="157"/>
    </row>
    <row r="4139" spans="1:16" x14ac:dyDescent="0.4">
      <c r="B4139" s="105" t="s">
        <v>43</v>
      </c>
      <c r="C4139" s="106"/>
      <c r="D4139" s="311" t="s">
        <v>1</v>
      </c>
      <c r="E4139" s="311"/>
      <c r="F4139" s="311"/>
      <c r="G4139" s="311"/>
      <c r="H4139" s="106"/>
      <c r="I4139" s="107" t="s">
        <v>2</v>
      </c>
      <c r="J4139" s="136"/>
      <c r="K4139" s="107" t="s">
        <v>3</v>
      </c>
    </row>
    <row r="4140" spans="1:16" s="4" customFormat="1" ht="30.75" customHeight="1" x14ac:dyDescent="0.3">
      <c r="A4140" s="31"/>
      <c r="B4140" s="213">
        <f>CATALOGO!B108</f>
        <v>1112.01</v>
      </c>
      <c r="C4140" s="71"/>
      <c r="D4140" s="324" t="str">
        <f>CATALOGO!C108</f>
        <v>TOMACORRIENTE DOBLE 120V</v>
      </c>
      <c r="E4140" s="324"/>
      <c r="F4140" s="324"/>
      <c r="G4140" s="324"/>
      <c r="H4140" s="71"/>
      <c r="I4140" s="213">
        <f>CATALOGO!D108</f>
        <v>1</v>
      </c>
      <c r="J4140" s="109"/>
      <c r="K4140" s="227" t="str">
        <f>CATALOGO!E108</f>
        <v>Unidad</v>
      </c>
      <c r="L4140" s="71"/>
      <c r="M4140" s="71"/>
      <c r="N4140" s="104"/>
      <c r="O4140" s="37"/>
      <c r="P4140" s="37"/>
    </row>
    <row r="4141" spans="1:16" ht="17.399999999999999" thickBot="1" x14ac:dyDescent="0.45"/>
    <row r="4142" spans="1:16" ht="17.399999999999999" thickBot="1" x14ac:dyDescent="0.45">
      <c r="B4142" s="110" t="s">
        <v>4</v>
      </c>
      <c r="C4142" s="300" t="s">
        <v>5</v>
      </c>
      <c r="D4142" s="300"/>
      <c r="E4142" s="300"/>
      <c r="F4142" s="300"/>
      <c r="G4142" s="301"/>
    </row>
    <row r="4143" spans="1:16" x14ac:dyDescent="0.3">
      <c r="B4143" s="111" t="s">
        <v>6</v>
      </c>
      <c r="C4143" s="313" t="s">
        <v>1</v>
      </c>
      <c r="D4143" s="314"/>
      <c r="E4143" s="112" t="s">
        <v>193</v>
      </c>
      <c r="F4143" s="113" t="s">
        <v>2</v>
      </c>
      <c r="G4143" s="114" t="s">
        <v>3</v>
      </c>
      <c r="H4143" s="106"/>
      <c r="I4143" s="107" t="s">
        <v>7</v>
      </c>
      <c r="J4143" s="136"/>
      <c r="K4143" s="228" t="s">
        <v>8</v>
      </c>
      <c r="L4143" s="115" t="s">
        <v>194</v>
      </c>
      <c r="O4143" s="323"/>
      <c r="P4143" s="323"/>
    </row>
    <row r="4144" spans="1:16" x14ac:dyDescent="0.3">
      <c r="B4144" s="122">
        <v>1</v>
      </c>
      <c r="C4144" s="315" t="s">
        <v>266</v>
      </c>
      <c r="D4144" s="316"/>
      <c r="E4144" s="116">
        <f>I4140</f>
        <v>1</v>
      </c>
      <c r="F4144" s="83">
        <f>ROUND(E4144/I4140,2)</f>
        <v>1</v>
      </c>
      <c r="G4144" s="74" t="str">
        <f>IF(C4144=0,0,VLOOKUP(C4144,Tabla1[],2,FALSE))</f>
        <v>Unidad</v>
      </c>
      <c r="I4144" s="117">
        <f>IF(C4144=0,0,VLOOKUP(C4144,Tabla1[],3,FALSE))</f>
        <v>40</v>
      </c>
      <c r="K4144" s="84">
        <f>F4144*I4144</f>
        <v>40</v>
      </c>
      <c r="L4144" s="118">
        <f t="shared" ref="L4144:L4147" si="630">E4144*I4144</f>
        <v>40</v>
      </c>
      <c r="O4144" s="44"/>
      <c r="P4144" s="45"/>
    </row>
    <row r="4145" spans="2:16" x14ac:dyDescent="0.3">
      <c r="B4145" s="122">
        <v>2</v>
      </c>
      <c r="C4145" s="315" t="s">
        <v>87</v>
      </c>
      <c r="D4145" s="316"/>
      <c r="E4145" s="116">
        <f>I4140</f>
        <v>1</v>
      </c>
      <c r="F4145" s="83">
        <f>ROUND(E4145/I4140,2)</f>
        <v>1</v>
      </c>
      <c r="G4145" s="74" t="str">
        <f>IF(C4145=0,0,VLOOKUP(C4145,Tabla1[],2,FALSE))</f>
        <v>Unidad</v>
      </c>
      <c r="I4145" s="117">
        <f>IF(C4145=0,0,VLOOKUP(C4145,Tabla1[],3,FALSE))</f>
        <v>10</v>
      </c>
      <c r="K4145" s="84">
        <f>F4145*I4145</f>
        <v>10</v>
      </c>
      <c r="L4145" s="118">
        <f t="shared" si="630"/>
        <v>10</v>
      </c>
      <c r="O4145" s="44"/>
      <c r="P4145" s="45"/>
    </row>
    <row r="4146" spans="2:16" x14ac:dyDescent="0.3">
      <c r="B4146" s="122">
        <v>3</v>
      </c>
      <c r="C4146" s="317" t="s">
        <v>270</v>
      </c>
      <c r="D4146" s="318"/>
      <c r="E4146" s="116">
        <f>I4140</f>
        <v>1</v>
      </c>
      <c r="F4146" s="83">
        <f>ROUND(E4146/I4140,1)</f>
        <v>1</v>
      </c>
      <c r="G4146" s="74" t="str">
        <f>IF(C4146=0,0,VLOOKUP(C4146,Tabla1[],2,FALSE))</f>
        <v>Unidad</v>
      </c>
      <c r="I4146" s="117">
        <f>IF(C4146=0,0,VLOOKUP(C4146,Tabla1[],3,FALSE))</f>
        <v>40</v>
      </c>
      <c r="K4146" s="84">
        <f t="shared" ref="K4146:K4147" si="631">+F4146*I4146</f>
        <v>40</v>
      </c>
      <c r="L4146" s="118">
        <f t="shared" si="630"/>
        <v>40</v>
      </c>
      <c r="O4146" s="44"/>
      <c r="P4146" s="46"/>
    </row>
    <row r="4147" spans="2:16" x14ac:dyDescent="0.4">
      <c r="B4147" s="122"/>
      <c r="C4147" s="317"/>
      <c r="D4147" s="318"/>
      <c r="E4147" s="116"/>
      <c r="F4147" s="83"/>
      <c r="G4147" s="74"/>
      <c r="I4147" s="117">
        <f>IF(C4147=0,0,VLOOKUP(C4147,Tabla1[],3,FALSE))</f>
        <v>0</v>
      </c>
      <c r="K4147" s="84">
        <f t="shared" si="631"/>
        <v>0</v>
      </c>
      <c r="L4147" s="118">
        <f t="shared" si="630"/>
        <v>0</v>
      </c>
      <c r="P4147" s="45"/>
    </row>
    <row r="4148" spans="2:16" ht="17.399999999999999" thickBot="1" x14ac:dyDescent="0.45"/>
    <row r="4149" spans="2:16" ht="17.399999999999999" thickBot="1" x14ac:dyDescent="0.35">
      <c r="F4149" s="292" t="s">
        <v>9</v>
      </c>
      <c r="G4149" s="293"/>
      <c r="H4149" s="293"/>
      <c r="I4149" s="294"/>
      <c r="K4149" s="229">
        <f>+SUM(K4144:K4147)</f>
        <v>90</v>
      </c>
      <c r="L4149" s="119">
        <f>+SUM(L4144:L4147)</f>
        <v>90</v>
      </c>
      <c r="O4149" s="38"/>
      <c r="P4149" s="38"/>
    </row>
    <row r="4150" spans="2:16" ht="17.399999999999999" thickBot="1" x14ac:dyDescent="0.45">
      <c r="O4150" s="42"/>
      <c r="P4150" s="43"/>
    </row>
    <row r="4151" spans="2:16" ht="17.399999999999999" thickBot="1" x14ac:dyDescent="0.45">
      <c r="B4151" s="110" t="s">
        <v>10</v>
      </c>
      <c r="C4151" s="300" t="s">
        <v>11</v>
      </c>
      <c r="D4151" s="300"/>
      <c r="E4151" s="300"/>
      <c r="F4151" s="300"/>
      <c r="G4151" s="301"/>
    </row>
    <row r="4152" spans="2:16" x14ac:dyDescent="0.4">
      <c r="B4152" s="114" t="s">
        <v>6</v>
      </c>
      <c r="C4152" s="302" t="s">
        <v>1</v>
      </c>
      <c r="D4152" s="303"/>
      <c r="E4152" s="112" t="s">
        <v>193</v>
      </c>
      <c r="F4152" s="120" t="s">
        <v>2</v>
      </c>
      <c r="G4152" s="114" t="s">
        <v>3</v>
      </c>
      <c r="H4152" s="106"/>
      <c r="I4152" s="107" t="s">
        <v>7</v>
      </c>
      <c r="J4152" s="136"/>
      <c r="K4152" s="107" t="s">
        <v>8</v>
      </c>
      <c r="L4152" s="115" t="s">
        <v>194</v>
      </c>
    </row>
    <row r="4153" spans="2:16" x14ac:dyDescent="0.4">
      <c r="B4153" s="122"/>
      <c r="C4153" s="306"/>
      <c r="D4153" s="306"/>
      <c r="E4153" s="116"/>
      <c r="F4153" s="83"/>
      <c r="G4153" s="74"/>
      <c r="I4153" s="117">
        <f>IF(C4153=0,0,VLOOKUP(C4153,Tabla3[],3,FALSE))</f>
        <v>0</v>
      </c>
      <c r="K4153" s="84">
        <f>F4153*I4153</f>
        <v>0</v>
      </c>
      <c r="L4153" s="118">
        <f>E4153*I4153</f>
        <v>0</v>
      </c>
    </row>
    <row r="4154" spans="2:16" x14ac:dyDescent="0.4">
      <c r="B4154" s="74"/>
      <c r="C4154" s="309"/>
      <c r="D4154" s="310"/>
      <c r="E4154" s="121"/>
      <c r="F4154" s="72"/>
      <c r="G4154" s="74"/>
      <c r="I4154" s="117">
        <f>IF(C4154=0,0,VLOOKUP(C4154,Tabla3[],3,FALSE))</f>
        <v>0</v>
      </c>
      <c r="K4154" s="84">
        <f t="shared" ref="K4154:K4156" si="632">+F4154*I4154</f>
        <v>0</v>
      </c>
      <c r="L4154" s="118">
        <f t="shared" ref="L4154:L4156" si="633">E4154*I4154</f>
        <v>0</v>
      </c>
    </row>
    <row r="4155" spans="2:16" x14ac:dyDescent="0.4">
      <c r="B4155" s="74"/>
      <c r="C4155" s="309"/>
      <c r="D4155" s="310"/>
      <c r="E4155" s="121"/>
      <c r="F4155" s="72"/>
      <c r="G4155" s="74"/>
      <c r="I4155" s="117">
        <f>IF(C4155=0,0,VLOOKUP(C4155,Tabla3[],3,FALSE))</f>
        <v>0</v>
      </c>
      <c r="K4155" s="84">
        <f t="shared" si="632"/>
        <v>0</v>
      </c>
      <c r="L4155" s="118">
        <f t="shared" si="633"/>
        <v>0</v>
      </c>
    </row>
    <row r="4156" spans="2:16" x14ac:dyDescent="0.4">
      <c r="B4156" s="74"/>
      <c r="C4156" s="304"/>
      <c r="D4156" s="305"/>
      <c r="E4156" s="121"/>
      <c r="F4156" s="72"/>
      <c r="G4156" s="74"/>
      <c r="I4156" s="117">
        <f>IF(C4156=0,0,VLOOKUP(C4156,Tabla3[],3,FALSE))</f>
        <v>0</v>
      </c>
      <c r="K4156" s="84">
        <f t="shared" si="632"/>
        <v>0</v>
      </c>
      <c r="L4156" s="118">
        <f t="shared" si="633"/>
        <v>0</v>
      </c>
    </row>
    <row r="4157" spans="2:16" ht="17.399999999999999" thickBot="1" x14ac:dyDescent="0.45"/>
    <row r="4158" spans="2:16" ht="17.399999999999999" thickBot="1" x14ac:dyDescent="0.45">
      <c r="F4158" s="292" t="s">
        <v>12</v>
      </c>
      <c r="G4158" s="293"/>
      <c r="H4158" s="293"/>
      <c r="I4158" s="294"/>
      <c r="K4158" s="229">
        <f>+SUM(K4153:K4156)</f>
        <v>0</v>
      </c>
      <c r="L4158" s="119">
        <f>+SUM(L4153:L4156)</f>
        <v>0</v>
      </c>
    </row>
    <row r="4159" spans="2:16" ht="17.399999999999999" thickBot="1" x14ac:dyDescent="0.45"/>
    <row r="4160" spans="2:16" ht="17.399999999999999" thickBot="1" x14ac:dyDescent="0.45">
      <c r="B4160" s="110" t="s">
        <v>13</v>
      </c>
      <c r="C4160" s="300" t="s">
        <v>14</v>
      </c>
      <c r="D4160" s="300"/>
      <c r="E4160" s="300"/>
      <c r="F4160" s="300"/>
      <c r="G4160" s="301"/>
    </row>
    <row r="4161" spans="2:12" x14ac:dyDescent="0.4">
      <c r="B4161" s="114" t="s">
        <v>6</v>
      </c>
      <c r="C4161" s="302" t="s">
        <v>1</v>
      </c>
      <c r="D4161" s="303"/>
      <c r="E4161" s="112" t="s">
        <v>193</v>
      </c>
      <c r="F4161" s="120" t="s">
        <v>2</v>
      </c>
      <c r="G4161" s="114" t="s">
        <v>3</v>
      </c>
      <c r="H4161" s="106"/>
      <c r="I4161" s="107" t="s">
        <v>7</v>
      </c>
      <c r="J4161" s="136"/>
      <c r="K4161" s="107" t="s">
        <v>8</v>
      </c>
      <c r="L4161" s="115" t="s">
        <v>194</v>
      </c>
    </row>
    <row r="4162" spans="2:12" x14ac:dyDescent="0.4">
      <c r="B4162" s="122">
        <v>1</v>
      </c>
      <c r="C4162" s="306" t="s">
        <v>603</v>
      </c>
      <c r="D4162" s="306"/>
      <c r="E4162" s="116">
        <f>I4140</f>
        <v>1</v>
      </c>
      <c r="F4162" s="83">
        <f>ROUND(E4162/I4140,2)</f>
        <v>1</v>
      </c>
      <c r="G4162" s="74" t="str">
        <f>IF(C4162=0,0,VLOOKUP(C4162,Tabla2[],2,FALSE))</f>
        <v>Unidad</v>
      </c>
      <c r="I4162" s="117">
        <f>IF(C4162=0,0,VLOOKUP(C4162,Tabla2[],3,FALSE))</f>
        <v>105</v>
      </c>
      <c r="K4162" s="84">
        <f>+F4162*I4162</f>
        <v>105</v>
      </c>
      <c r="L4162" s="118">
        <f>E4162*I4162</f>
        <v>105</v>
      </c>
    </row>
    <row r="4163" spans="2:12" x14ac:dyDescent="0.4">
      <c r="B4163" s="122"/>
      <c r="C4163" s="306"/>
      <c r="D4163" s="306"/>
      <c r="E4163" s="116"/>
      <c r="F4163" s="83"/>
      <c r="G4163" s="74"/>
      <c r="I4163" s="117">
        <f>IF(C4163=0,0,VLOOKUP(C4163,Tabla2[],3,FALSE))</f>
        <v>0</v>
      </c>
      <c r="K4163" s="84">
        <f>+F4163*I4163</f>
        <v>0</v>
      </c>
      <c r="L4163" s="118">
        <f>E4163*I4163</f>
        <v>0</v>
      </c>
    </row>
    <row r="4164" spans="2:12" ht="17.399999999999999" thickBot="1" x14ac:dyDescent="0.45">
      <c r="B4164" s="123"/>
      <c r="C4164" s="307"/>
      <c r="D4164" s="308"/>
      <c r="E4164" s="124"/>
      <c r="F4164" s="125"/>
      <c r="G4164" s="74"/>
      <c r="I4164" s="117">
        <f>IF(C4164=0,0,VLOOKUP(C4164,Tabla2[],3,FALSE))</f>
        <v>0</v>
      </c>
      <c r="K4164" s="84">
        <f t="shared" ref="K4164" si="634">+F4164*I4164</f>
        <v>0</v>
      </c>
      <c r="L4164" s="118">
        <f t="shared" ref="L4164:L4165" si="635">E4164*I4164</f>
        <v>0</v>
      </c>
    </row>
    <row r="4165" spans="2:12" ht="17.399999999999999" thickBot="1" x14ac:dyDescent="0.45">
      <c r="B4165" s="297" t="s">
        <v>15</v>
      </c>
      <c r="C4165" s="298"/>
      <c r="D4165" s="298"/>
      <c r="E4165" s="298"/>
      <c r="F4165" s="298"/>
      <c r="G4165" s="299"/>
      <c r="I4165" s="84">
        <v>0</v>
      </c>
      <c r="K4165" s="84">
        <v>0</v>
      </c>
      <c r="L4165" s="118">
        <f t="shared" si="635"/>
        <v>0</v>
      </c>
    </row>
    <row r="4166" spans="2:12" ht="17.399999999999999" thickBot="1" x14ac:dyDescent="0.45"/>
    <row r="4167" spans="2:12" ht="17.399999999999999" thickBot="1" x14ac:dyDescent="0.45">
      <c r="F4167" s="292" t="s">
        <v>16</v>
      </c>
      <c r="G4167" s="293"/>
      <c r="H4167" s="293"/>
      <c r="I4167" s="294"/>
      <c r="K4167" s="229">
        <f>+SUM(K4162:K4165)</f>
        <v>105</v>
      </c>
      <c r="L4167" s="119">
        <f>+SUM(L4162:L4165)</f>
        <v>105</v>
      </c>
    </row>
    <row r="4168" spans="2:12" ht="17.399999999999999" thickBot="1" x14ac:dyDescent="0.45"/>
    <row r="4169" spans="2:12" ht="17.399999999999999" thickBot="1" x14ac:dyDescent="0.45">
      <c r="B4169" s="110" t="s">
        <v>17</v>
      </c>
      <c r="C4169" s="300" t="s">
        <v>18</v>
      </c>
      <c r="D4169" s="300"/>
      <c r="E4169" s="300"/>
      <c r="F4169" s="300"/>
      <c r="G4169" s="301"/>
    </row>
    <row r="4170" spans="2:12" x14ac:dyDescent="0.4">
      <c r="B4170" s="114" t="s">
        <v>6</v>
      </c>
      <c r="C4170" s="302" t="s">
        <v>1</v>
      </c>
      <c r="D4170" s="303"/>
      <c r="E4170" s="126"/>
      <c r="F4170" s="120" t="s">
        <v>2</v>
      </c>
      <c r="G4170" s="114" t="s">
        <v>3</v>
      </c>
      <c r="H4170" s="106"/>
      <c r="I4170" s="107" t="s">
        <v>7</v>
      </c>
      <c r="J4170" s="136"/>
      <c r="K4170" s="107" t="s">
        <v>8</v>
      </c>
      <c r="L4170" s="115" t="s">
        <v>194</v>
      </c>
    </row>
    <row r="4171" spans="2:12" x14ac:dyDescent="0.4">
      <c r="B4171" s="74"/>
      <c r="C4171" s="304"/>
      <c r="D4171" s="305"/>
      <c r="E4171" s="127"/>
      <c r="F4171" s="72"/>
      <c r="G4171" s="74"/>
      <c r="I4171" s="84">
        <v>0</v>
      </c>
      <c r="K4171" s="84">
        <f>+F4171*I4171</f>
        <v>0</v>
      </c>
      <c r="L4171" s="118">
        <f>E4171*I4171</f>
        <v>0</v>
      </c>
    </row>
    <row r="4172" spans="2:12" x14ac:dyDescent="0.4">
      <c r="B4172" s="74"/>
      <c r="C4172" s="304"/>
      <c r="D4172" s="305"/>
      <c r="E4172" s="127"/>
      <c r="F4172" s="72"/>
      <c r="G4172" s="74"/>
      <c r="I4172" s="84">
        <v>0</v>
      </c>
      <c r="K4172" s="84">
        <f t="shared" ref="K4172:K4173" si="636">+F4172*I4172</f>
        <v>0</v>
      </c>
      <c r="L4172" s="118">
        <f t="shared" ref="L4172:L4173" si="637">E4172*I4172</f>
        <v>0</v>
      </c>
    </row>
    <row r="4173" spans="2:12" x14ac:dyDescent="0.4">
      <c r="B4173" s="74"/>
      <c r="C4173" s="304"/>
      <c r="D4173" s="305"/>
      <c r="E4173" s="127"/>
      <c r="F4173" s="72"/>
      <c r="G4173" s="74"/>
      <c r="I4173" s="84">
        <v>0</v>
      </c>
      <c r="K4173" s="84">
        <f t="shared" si="636"/>
        <v>0</v>
      </c>
      <c r="L4173" s="118">
        <f t="shared" si="637"/>
        <v>0</v>
      </c>
    </row>
    <row r="4174" spans="2:12" ht="17.399999999999999" thickBot="1" x14ac:dyDescent="0.45">
      <c r="L4174" s="118"/>
    </row>
    <row r="4175" spans="2:12" ht="17.399999999999999" thickBot="1" x14ac:dyDescent="0.45">
      <c r="F4175" s="292" t="s">
        <v>19</v>
      </c>
      <c r="G4175" s="293"/>
      <c r="H4175" s="293"/>
      <c r="I4175" s="294"/>
      <c r="K4175" s="229">
        <f>+SUM(K4171:K4173)</f>
        <v>0</v>
      </c>
      <c r="L4175" s="119">
        <f>+SUM(L4170:L4173)</f>
        <v>0</v>
      </c>
    </row>
    <row r="4176" spans="2:12" ht="15" customHeight="1" x14ac:dyDescent="0.4">
      <c r="F4176" s="128"/>
      <c r="G4176" s="129"/>
      <c r="H4176" s="130"/>
      <c r="I4176" s="108"/>
      <c r="K4176" s="230"/>
    </row>
    <row r="4177" spans="1:16" ht="15" customHeight="1" thickBot="1" x14ac:dyDescent="0.45"/>
    <row r="4178" spans="1:16" ht="17.399999999999999" thickBot="1" x14ac:dyDescent="0.45">
      <c r="F4178" s="292" t="s">
        <v>20</v>
      </c>
      <c r="G4178" s="293"/>
      <c r="H4178" s="293"/>
      <c r="I4178" s="294"/>
      <c r="K4178" s="229">
        <f>(+K4149+K4158+K4167+K4175)</f>
        <v>195</v>
      </c>
      <c r="L4178" s="119">
        <f>(+L4149+L4158+L4167+L4175)</f>
        <v>195</v>
      </c>
      <c r="N4178" s="131"/>
      <c r="O4178" s="39"/>
      <c r="P4178" s="40"/>
    </row>
    <row r="4179" spans="1:16" ht="7.5" customHeight="1" thickBot="1" x14ac:dyDescent="0.45">
      <c r="N4179" s="131"/>
      <c r="O4179" s="41"/>
      <c r="P4179" s="40"/>
    </row>
    <row r="4180" spans="1:16" ht="17.399999999999999" thickBot="1" x14ac:dyDescent="0.45">
      <c r="F4180" s="292" t="s">
        <v>21</v>
      </c>
      <c r="G4180" s="293"/>
      <c r="H4180" s="293"/>
      <c r="I4180" s="294"/>
      <c r="K4180" s="229">
        <f>K4178*$N$2</f>
        <v>78</v>
      </c>
      <c r="L4180" s="119">
        <f>L4178*$N$2</f>
        <v>78</v>
      </c>
    </row>
    <row r="4181" spans="1:16" ht="7.5" customHeight="1" thickBot="1" x14ac:dyDescent="0.45"/>
    <row r="4182" spans="1:16" ht="17.399999999999999" thickBot="1" x14ac:dyDescent="0.45">
      <c r="F4182" s="292" t="s">
        <v>22</v>
      </c>
      <c r="G4182" s="293"/>
      <c r="H4182" s="293"/>
      <c r="I4182" s="294"/>
      <c r="K4182" s="229">
        <f>+K4178+K4180</f>
        <v>273</v>
      </c>
      <c r="L4182" s="119">
        <f>+L4178+L4180</f>
        <v>273</v>
      </c>
    </row>
    <row r="4183" spans="1:16" ht="17.399999999999999" thickBot="1" x14ac:dyDescent="0.45">
      <c r="F4183" s="128"/>
      <c r="G4183" s="129"/>
      <c r="H4183" s="130"/>
      <c r="I4183" s="108"/>
      <c r="K4183" s="231"/>
      <c r="L4183" s="132">
        <f>L4182/I4140</f>
        <v>273</v>
      </c>
      <c r="M4183" s="133">
        <f>(K4182-L4183)*I4140</f>
        <v>0</v>
      </c>
    </row>
    <row r="4184" spans="1:16" x14ac:dyDescent="0.4">
      <c r="F4184" s="128"/>
      <c r="G4184" s="129"/>
      <c r="H4184" s="130"/>
      <c r="I4184" s="108"/>
      <c r="K4184" s="232"/>
      <c r="L4184" s="131"/>
      <c r="M4184" s="134"/>
      <c r="N4184" s="135"/>
    </row>
    <row r="4185" spans="1:16" ht="17.399999999999999" thickBot="1" x14ac:dyDescent="0.45">
      <c r="B4185" s="295"/>
      <c r="C4185" s="295"/>
      <c r="D4185" s="295"/>
    </row>
    <row r="4186" spans="1:16" x14ac:dyDescent="0.4">
      <c r="B4186" s="296" t="s">
        <v>23</v>
      </c>
      <c r="C4186" s="296"/>
      <c r="D4186" s="296"/>
    </row>
    <row r="4187" spans="1:16" x14ac:dyDescent="0.4">
      <c r="B4187" s="157"/>
      <c r="C4187" s="157"/>
      <c r="D4187" s="157"/>
    </row>
    <row r="4189" spans="1:16" x14ac:dyDescent="0.4">
      <c r="B4189" s="105" t="s">
        <v>43</v>
      </c>
      <c r="C4189" s="106"/>
      <c r="D4189" s="311" t="s">
        <v>1</v>
      </c>
      <c r="E4189" s="311"/>
      <c r="F4189" s="311"/>
      <c r="G4189" s="311"/>
      <c r="H4189" s="106"/>
      <c r="I4189" s="107" t="s">
        <v>2</v>
      </c>
      <c r="J4189" s="136"/>
      <c r="K4189" s="107" t="s">
        <v>3</v>
      </c>
    </row>
    <row r="4190" spans="1:16" s="58" customFormat="1" ht="30.75" customHeight="1" x14ac:dyDescent="0.3">
      <c r="A4190" s="56"/>
      <c r="B4190" s="213">
        <f>CATALOGO!B111</f>
        <v>111.03</v>
      </c>
      <c r="C4190" s="137"/>
      <c r="D4190" s="322" t="str">
        <f>CATALOGO!C111</f>
        <v>DEMOLICIÓN DE PISO CERÁMICO/PORCELANATO</v>
      </c>
      <c r="E4190" s="322"/>
      <c r="F4190" s="322"/>
      <c r="G4190" s="322"/>
      <c r="H4190" s="137"/>
      <c r="I4190" s="213">
        <f>CATALOGO!D111</f>
        <v>37</v>
      </c>
      <c r="J4190" s="109"/>
      <c r="K4190" s="227" t="str">
        <f>CATALOGO!E111</f>
        <v>m²</v>
      </c>
      <c r="L4190" s="137"/>
      <c r="M4190" s="137"/>
      <c r="N4190" s="137"/>
      <c r="O4190" s="57"/>
      <c r="P4190" s="57"/>
    </row>
    <row r="4191" spans="1:16" ht="17.399999999999999" thickBot="1" x14ac:dyDescent="0.45"/>
    <row r="4192" spans="1:16" ht="17.399999999999999" thickBot="1" x14ac:dyDescent="0.45">
      <c r="B4192" s="110" t="s">
        <v>4</v>
      </c>
      <c r="C4192" s="300" t="s">
        <v>5</v>
      </c>
      <c r="D4192" s="300"/>
      <c r="E4192" s="300"/>
      <c r="F4192" s="300"/>
      <c r="G4192" s="301"/>
    </row>
    <row r="4193" spans="2:12" x14ac:dyDescent="0.4">
      <c r="B4193" s="111" t="s">
        <v>6</v>
      </c>
      <c r="C4193" s="313" t="s">
        <v>1</v>
      </c>
      <c r="D4193" s="314"/>
      <c r="E4193" s="112" t="s">
        <v>193</v>
      </c>
      <c r="F4193" s="113" t="s">
        <v>2</v>
      </c>
      <c r="G4193" s="114" t="s">
        <v>3</v>
      </c>
      <c r="H4193" s="106"/>
      <c r="I4193" s="107" t="s">
        <v>7</v>
      </c>
      <c r="J4193" s="136"/>
      <c r="K4193" s="228" t="s">
        <v>8</v>
      </c>
      <c r="L4193" s="115" t="s">
        <v>194</v>
      </c>
    </row>
    <row r="4194" spans="2:12" x14ac:dyDescent="0.4">
      <c r="B4194" s="74"/>
      <c r="C4194" s="306"/>
      <c r="D4194" s="306"/>
      <c r="E4194" s="116"/>
      <c r="F4194" s="83"/>
      <c r="G4194" s="74"/>
      <c r="I4194" s="117">
        <f>IF(C4194=0,0,VLOOKUP(C4194,Tabla1[],3,FALSE))</f>
        <v>0</v>
      </c>
      <c r="K4194" s="84">
        <f>+F4194*I4194</f>
        <v>0</v>
      </c>
      <c r="L4194" s="118">
        <f>E4194*I4194</f>
        <v>0</v>
      </c>
    </row>
    <row r="4195" spans="2:12" x14ac:dyDescent="0.4">
      <c r="B4195" s="74"/>
      <c r="C4195" s="306"/>
      <c r="D4195" s="306"/>
      <c r="E4195" s="116"/>
      <c r="F4195" s="83"/>
      <c r="G4195" s="74"/>
      <c r="I4195" s="117">
        <f>IF(C4195=0,0,VLOOKUP(C4195,Tabla1[],3,FALSE))</f>
        <v>0</v>
      </c>
      <c r="K4195" s="84">
        <f t="shared" ref="K4195:K4203" si="638">+F4195*I4195</f>
        <v>0</v>
      </c>
      <c r="L4195" s="118">
        <f t="shared" ref="L4195:L4203" si="639">E4195*I4195</f>
        <v>0</v>
      </c>
    </row>
    <row r="4196" spans="2:12" x14ac:dyDescent="0.4">
      <c r="B4196" s="74"/>
      <c r="C4196" s="306"/>
      <c r="D4196" s="306"/>
      <c r="E4196" s="116"/>
      <c r="F4196" s="83"/>
      <c r="G4196" s="74"/>
      <c r="I4196" s="117">
        <f>IF(C4196=0,0,VLOOKUP(C4196,Tabla1[],3,FALSE))</f>
        <v>0</v>
      </c>
      <c r="K4196" s="84">
        <f t="shared" si="638"/>
        <v>0</v>
      </c>
      <c r="L4196" s="118">
        <f t="shared" si="639"/>
        <v>0</v>
      </c>
    </row>
    <row r="4197" spans="2:12" x14ac:dyDescent="0.4">
      <c r="B4197" s="74"/>
      <c r="C4197" s="306"/>
      <c r="D4197" s="306"/>
      <c r="E4197" s="116"/>
      <c r="F4197" s="83"/>
      <c r="G4197" s="74"/>
      <c r="I4197" s="117">
        <f>IF(C4197=0,0,VLOOKUP(C4197,Tabla1[],3,FALSE))</f>
        <v>0</v>
      </c>
      <c r="K4197" s="84">
        <f t="shared" si="638"/>
        <v>0</v>
      </c>
      <c r="L4197" s="118">
        <f t="shared" si="639"/>
        <v>0</v>
      </c>
    </row>
    <row r="4198" spans="2:12" x14ac:dyDescent="0.4">
      <c r="B4198" s="74"/>
      <c r="C4198" s="321"/>
      <c r="D4198" s="321"/>
      <c r="E4198" s="116"/>
      <c r="F4198" s="83"/>
      <c r="G4198" s="74"/>
      <c r="I4198" s="117">
        <f>IF(C4198=0,0,VLOOKUP(C4198,Tabla1[],3,FALSE))</f>
        <v>0</v>
      </c>
      <c r="K4198" s="84">
        <f t="shared" si="638"/>
        <v>0</v>
      </c>
      <c r="L4198" s="118">
        <f t="shared" si="639"/>
        <v>0</v>
      </c>
    </row>
    <row r="4199" spans="2:12" x14ac:dyDescent="0.4">
      <c r="B4199" s="74"/>
      <c r="C4199" s="321"/>
      <c r="D4199" s="321"/>
      <c r="E4199" s="116"/>
      <c r="F4199" s="72"/>
      <c r="G4199" s="74"/>
      <c r="I4199" s="117">
        <f>IF(C4199=0,0,VLOOKUP(C4199,Tabla1[],3,FALSE))</f>
        <v>0</v>
      </c>
      <c r="K4199" s="84">
        <f t="shared" si="638"/>
        <v>0</v>
      </c>
      <c r="L4199" s="118">
        <f t="shared" si="639"/>
        <v>0</v>
      </c>
    </row>
    <row r="4200" spans="2:12" x14ac:dyDescent="0.4">
      <c r="B4200" s="74"/>
      <c r="C4200" s="321"/>
      <c r="D4200" s="321"/>
      <c r="E4200" s="116"/>
      <c r="F4200" s="72"/>
      <c r="G4200" s="74"/>
      <c r="I4200" s="117">
        <f>IF(C4200=0,0,VLOOKUP(C4200,Tabla1[],3,FALSE))</f>
        <v>0</v>
      </c>
      <c r="K4200" s="84">
        <f t="shared" si="638"/>
        <v>0</v>
      </c>
      <c r="L4200" s="118">
        <f t="shared" si="639"/>
        <v>0</v>
      </c>
    </row>
    <row r="4201" spans="2:12" x14ac:dyDescent="0.4">
      <c r="B4201" s="74"/>
      <c r="C4201" s="321"/>
      <c r="D4201" s="321"/>
      <c r="E4201" s="116"/>
      <c r="F4201" s="72"/>
      <c r="G4201" s="74"/>
      <c r="I4201" s="117">
        <f>IF(C4201=0,0,VLOOKUP(C4201,Tabla1[],3,FALSE))</f>
        <v>0</v>
      </c>
      <c r="K4201" s="84">
        <f t="shared" si="638"/>
        <v>0</v>
      </c>
      <c r="L4201" s="118">
        <f t="shared" si="639"/>
        <v>0</v>
      </c>
    </row>
    <row r="4202" spans="2:12" x14ac:dyDescent="0.4">
      <c r="B4202" s="74"/>
      <c r="C4202" s="321"/>
      <c r="D4202" s="321"/>
      <c r="E4202" s="116"/>
      <c r="F4202" s="72"/>
      <c r="G4202" s="74"/>
      <c r="I4202" s="117">
        <f>IF(C4202=0,0,VLOOKUP(C4202,Tabla1[],3,FALSE))</f>
        <v>0</v>
      </c>
      <c r="K4202" s="84">
        <f t="shared" si="638"/>
        <v>0</v>
      </c>
      <c r="L4202" s="118">
        <f t="shared" si="639"/>
        <v>0</v>
      </c>
    </row>
    <row r="4203" spans="2:12" x14ac:dyDescent="0.4">
      <c r="B4203" s="74"/>
      <c r="C4203" s="321"/>
      <c r="D4203" s="321"/>
      <c r="E4203" s="116"/>
      <c r="F4203" s="72"/>
      <c r="G4203" s="74"/>
      <c r="I4203" s="117">
        <f>IF(C4203=0,0,VLOOKUP(C4203,Tabla1[],3,FALSE))</f>
        <v>0</v>
      </c>
      <c r="K4203" s="84">
        <f t="shared" si="638"/>
        <v>0</v>
      </c>
      <c r="L4203" s="118">
        <f t="shared" si="639"/>
        <v>0</v>
      </c>
    </row>
    <row r="4204" spans="2:12" ht="17.399999999999999" thickBot="1" x14ac:dyDescent="0.45"/>
    <row r="4205" spans="2:12" ht="17.399999999999999" thickBot="1" x14ac:dyDescent="0.45">
      <c r="F4205" s="292" t="s">
        <v>9</v>
      </c>
      <c r="G4205" s="293"/>
      <c r="H4205" s="293"/>
      <c r="I4205" s="294"/>
      <c r="K4205" s="229">
        <f>+SUM(K4194:K4203)</f>
        <v>0</v>
      </c>
      <c r="L4205" s="119">
        <f>+SUM(L4194:L4203)</f>
        <v>0</v>
      </c>
    </row>
    <row r="4206" spans="2:12" ht="17.399999999999999" thickBot="1" x14ac:dyDescent="0.45"/>
    <row r="4207" spans="2:12" ht="17.399999999999999" thickBot="1" x14ac:dyDescent="0.45">
      <c r="B4207" s="110" t="s">
        <v>10</v>
      </c>
      <c r="C4207" s="300" t="s">
        <v>11</v>
      </c>
      <c r="D4207" s="300"/>
      <c r="E4207" s="300"/>
      <c r="F4207" s="300"/>
      <c r="G4207" s="301"/>
    </row>
    <row r="4208" spans="2:12" x14ac:dyDescent="0.4">
      <c r="B4208" s="114" t="s">
        <v>6</v>
      </c>
      <c r="C4208" s="302" t="s">
        <v>1</v>
      </c>
      <c r="D4208" s="303"/>
      <c r="E4208" s="112" t="s">
        <v>193</v>
      </c>
      <c r="F4208" s="120" t="s">
        <v>2</v>
      </c>
      <c r="G4208" s="114" t="s">
        <v>3</v>
      </c>
      <c r="H4208" s="106"/>
      <c r="I4208" s="107" t="s">
        <v>7</v>
      </c>
      <c r="J4208" s="136"/>
      <c r="K4208" s="107" t="s">
        <v>8</v>
      </c>
      <c r="L4208" s="115" t="s">
        <v>194</v>
      </c>
    </row>
    <row r="4209" spans="2:12" x14ac:dyDescent="0.4">
      <c r="B4209" s="122"/>
      <c r="C4209" s="306"/>
      <c r="D4209" s="306"/>
      <c r="E4209" s="116"/>
      <c r="F4209" s="83"/>
      <c r="G4209" s="74"/>
      <c r="I4209" s="117"/>
      <c r="K4209" s="84"/>
      <c r="L4209" s="118">
        <f>E4209*I4209</f>
        <v>0</v>
      </c>
    </row>
    <row r="4210" spans="2:12" x14ac:dyDescent="0.4">
      <c r="B4210" s="74"/>
      <c r="C4210" s="206"/>
      <c r="D4210" s="207"/>
      <c r="E4210" s="121"/>
      <c r="F4210" s="72"/>
      <c r="G4210" s="74"/>
      <c r="I4210" s="117">
        <f>IF(C4210=0,0,VLOOKUP(C4210,Tabla3[],3,FALSE))</f>
        <v>0</v>
      </c>
      <c r="K4210" s="84">
        <f t="shared" ref="K4210:K4212" si="640">+F4210*I4210</f>
        <v>0</v>
      </c>
      <c r="L4210" s="118">
        <f t="shared" ref="L4210:L4212" si="641">E4210*I4210</f>
        <v>0</v>
      </c>
    </row>
    <row r="4211" spans="2:12" x14ac:dyDescent="0.4">
      <c r="B4211" s="74"/>
      <c r="C4211" s="206"/>
      <c r="D4211" s="207"/>
      <c r="E4211" s="121"/>
      <c r="F4211" s="72"/>
      <c r="G4211" s="74"/>
      <c r="I4211" s="117">
        <f>IF(C4211=0,0,VLOOKUP(C4211,Tabla3[],3,FALSE))</f>
        <v>0</v>
      </c>
      <c r="K4211" s="84">
        <f t="shared" si="640"/>
        <v>0</v>
      </c>
      <c r="L4211" s="118">
        <f t="shared" si="641"/>
        <v>0</v>
      </c>
    </row>
    <row r="4212" spans="2:12" x14ac:dyDescent="0.4">
      <c r="B4212" s="74"/>
      <c r="C4212" s="304"/>
      <c r="D4212" s="305"/>
      <c r="E4212" s="121"/>
      <c r="F4212" s="72"/>
      <c r="G4212" s="74"/>
      <c r="I4212" s="117">
        <f>IF(C4212=0,0,VLOOKUP(C4212,Tabla3[],3,FALSE))</f>
        <v>0</v>
      </c>
      <c r="K4212" s="84">
        <f t="shared" si="640"/>
        <v>0</v>
      </c>
      <c r="L4212" s="118">
        <f t="shared" si="641"/>
        <v>0</v>
      </c>
    </row>
    <row r="4213" spans="2:12" ht="17.399999999999999" thickBot="1" x14ac:dyDescent="0.45"/>
    <row r="4214" spans="2:12" ht="17.399999999999999" thickBot="1" x14ac:dyDescent="0.45">
      <c r="F4214" s="292" t="s">
        <v>12</v>
      </c>
      <c r="G4214" s="293"/>
      <c r="H4214" s="293"/>
      <c r="I4214" s="294"/>
      <c r="K4214" s="229">
        <f>+SUM(K4209:K4212)</f>
        <v>0</v>
      </c>
      <c r="L4214" s="119">
        <f>+SUM(L4209:L4212)</f>
        <v>0</v>
      </c>
    </row>
    <row r="4215" spans="2:12" ht="17.399999999999999" thickBot="1" x14ac:dyDescent="0.45"/>
    <row r="4216" spans="2:12" ht="17.399999999999999" thickBot="1" x14ac:dyDescent="0.45">
      <c r="B4216" s="110" t="s">
        <v>13</v>
      </c>
      <c r="C4216" s="300" t="s">
        <v>14</v>
      </c>
      <c r="D4216" s="300"/>
      <c r="E4216" s="300"/>
      <c r="F4216" s="300"/>
      <c r="G4216" s="301"/>
    </row>
    <row r="4217" spans="2:12" x14ac:dyDescent="0.4">
      <c r="B4217" s="114" t="s">
        <v>6</v>
      </c>
      <c r="C4217" s="302" t="s">
        <v>1</v>
      </c>
      <c r="D4217" s="303"/>
      <c r="E4217" s="112" t="s">
        <v>193</v>
      </c>
      <c r="F4217" s="120" t="s">
        <v>2</v>
      </c>
      <c r="G4217" s="114" t="s">
        <v>3</v>
      </c>
      <c r="H4217" s="106"/>
      <c r="I4217" s="107" t="s">
        <v>7</v>
      </c>
      <c r="J4217" s="136"/>
      <c r="K4217" s="107" t="s">
        <v>8</v>
      </c>
      <c r="L4217" s="115" t="s">
        <v>194</v>
      </c>
    </row>
    <row r="4218" spans="2:12" x14ac:dyDescent="0.4">
      <c r="B4218" s="122">
        <v>1</v>
      </c>
      <c r="C4218" s="306" t="s">
        <v>195</v>
      </c>
      <c r="D4218" s="306"/>
      <c r="E4218" s="116">
        <f>I4190</f>
        <v>37</v>
      </c>
      <c r="F4218" s="83">
        <f>ROUND(E4218/I4190,2)</f>
        <v>1</v>
      </c>
      <c r="G4218" s="74" t="str">
        <f>IF(C4218=0,0,VLOOKUP(C4218,Tabla2[],2,FALSE))</f>
        <v>m²</v>
      </c>
      <c r="I4218" s="117">
        <f>IF(C4218=0,0,VLOOKUP(C4218,Tabla2[],3,FALSE))</f>
        <v>90</v>
      </c>
      <c r="K4218" s="84">
        <f>+F4218*I4218</f>
        <v>90</v>
      </c>
      <c r="L4218" s="118">
        <f>E4218*I4218</f>
        <v>3330</v>
      </c>
    </row>
    <row r="4219" spans="2:12" x14ac:dyDescent="0.4">
      <c r="B4219" s="122"/>
      <c r="C4219" s="306"/>
      <c r="D4219" s="306"/>
      <c r="E4219" s="116"/>
      <c r="F4219" s="83"/>
      <c r="G4219" s="74"/>
      <c r="I4219" s="117">
        <f>IF(C4219=0,0,VLOOKUP(C4219,Tabla2[],3,FALSE))</f>
        <v>0</v>
      </c>
      <c r="K4219" s="84">
        <f>+F4219*I4219</f>
        <v>0</v>
      </c>
      <c r="L4219" s="118">
        <f>E4219*I4219</f>
        <v>0</v>
      </c>
    </row>
    <row r="4220" spans="2:12" ht="17.399999999999999" thickBot="1" x14ac:dyDescent="0.45">
      <c r="B4220" s="123"/>
      <c r="C4220" s="307"/>
      <c r="D4220" s="308"/>
      <c r="E4220" s="124"/>
      <c r="F4220" s="125"/>
      <c r="G4220" s="74"/>
      <c r="I4220" s="117">
        <f>IF(C4220=0,0,VLOOKUP(C4220,Tabla2[],3,FALSE))</f>
        <v>0</v>
      </c>
      <c r="K4220" s="84">
        <f t="shared" ref="K4220" si="642">+F4220*I4220</f>
        <v>0</v>
      </c>
      <c r="L4220" s="118">
        <f t="shared" ref="L4220:L4221" si="643">E4220*I4220</f>
        <v>0</v>
      </c>
    </row>
    <row r="4221" spans="2:12" ht="17.399999999999999" thickBot="1" x14ac:dyDescent="0.45">
      <c r="B4221" s="297" t="s">
        <v>15</v>
      </c>
      <c r="C4221" s="298"/>
      <c r="D4221" s="298"/>
      <c r="E4221" s="298"/>
      <c r="F4221" s="298"/>
      <c r="G4221" s="299"/>
      <c r="I4221" s="84">
        <v>0</v>
      </c>
      <c r="K4221" s="84">
        <v>0</v>
      </c>
      <c r="L4221" s="118">
        <f t="shared" si="643"/>
        <v>0</v>
      </c>
    </row>
    <row r="4222" spans="2:12" ht="17.399999999999999" thickBot="1" x14ac:dyDescent="0.45"/>
    <row r="4223" spans="2:12" ht="17.399999999999999" thickBot="1" x14ac:dyDescent="0.45">
      <c r="F4223" s="292" t="s">
        <v>16</v>
      </c>
      <c r="G4223" s="293"/>
      <c r="H4223" s="293"/>
      <c r="I4223" s="294"/>
      <c r="K4223" s="229">
        <f>+SUM(K4218:K4221)</f>
        <v>90</v>
      </c>
      <c r="L4223" s="119">
        <f>+SUM(L4218:L4221)</f>
        <v>3330</v>
      </c>
    </row>
    <row r="4224" spans="2:12" ht="17.399999999999999" thickBot="1" x14ac:dyDescent="0.45"/>
    <row r="4225" spans="2:16" ht="17.399999999999999" thickBot="1" x14ac:dyDescent="0.45">
      <c r="B4225" s="110" t="s">
        <v>17</v>
      </c>
      <c r="C4225" s="300" t="s">
        <v>18</v>
      </c>
      <c r="D4225" s="300"/>
      <c r="E4225" s="300"/>
      <c r="F4225" s="300"/>
      <c r="G4225" s="301"/>
    </row>
    <row r="4226" spans="2:16" x14ac:dyDescent="0.4">
      <c r="B4226" s="114" t="s">
        <v>6</v>
      </c>
      <c r="C4226" s="302" t="s">
        <v>1</v>
      </c>
      <c r="D4226" s="303"/>
      <c r="E4226" s="126"/>
      <c r="F4226" s="120" t="s">
        <v>2</v>
      </c>
      <c r="G4226" s="114" t="s">
        <v>3</v>
      </c>
      <c r="H4226" s="106"/>
      <c r="I4226" s="107" t="s">
        <v>7</v>
      </c>
      <c r="J4226" s="136"/>
      <c r="K4226" s="107" t="s">
        <v>8</v>
      </c>
      <c r="L4226" s="115" t="s">
        <v>194</v>
      </c>
    </row>
    <row r="4227" spans="2:16" x14ac:dyDescent="0.4">
      <c r="B4227" s="74"/>
      <c r="C4227" s="304"/>
      <c r="D4227" s="305"/>
      <c r="E4227" s="127"/>
      <c r="F4227" s="72"/>
      <c r="G4227" s="74"/>
      <c r="I4227" s="84">
        <v>0</v>
      </c>
      <c r="K4227" s="84">
        <f>+F4227*I4227</f>
        <v>0</v>
      </c>
      <c r="L4227" s="118">
        <f>E4227*I4227</f>
        <v>0</v>
      </c>
    </row>
    <row r="4228" spans="2:16" x14ac:dyDescent="0.4">
      <c r="B4228" s="74"/>
      <c r="C4228" s="304"/>
      <c r="D4228" s="305"/>
      <c r="E4228" s="127"/>
      <c r="F4228" s="72"/>
      <c r="G4228" s="74"/>
      <c r="I4228" s="84">
        <v>0</v>
      </c>
      <c r="K4228" s="84">
        <f t="shared" ref="K4228:K4229" si="644">+F4228*I4228</f>
        <v>0</v>
      </c>
      <c r="L4228" s="118">
        <f t="shared" ref="L4228:L4229" si="645">E4228*I4228</f>
        <v>0</v>
      </c>
    </row>
    <row r="4229" spans="2:16" x14ac:dyDescent="0.4">
      <c r="B4229" s="74"/>
      <c r="C4229" s="304"/>
      <c r="D4229" s="305"/>
      <c r="E4229" s="127"/>
      <c r="F4229" s="72"/>
      <c r="G4229" s="74"/>
      <c r="I4229" s="84">
        <v>0</v>
      </c>
      <c r="K4229" s="84">
        <f t="shared" si="644"/>
        <v>0</v>
      </c>
      <c r="L4229" s="118">
        <f t="shared" si="645"/>
        <v>0</v>
      </c>
    </row>
    <row r="4230" spans="2:16" ht="17.399999999999999" thickBot="1" x14ac:dyDescent="0.45">
      <c r="L4230" s="118"/>
    </row>
    <row r="4231" spans="2:16" ht="17.399999999999999" thickBot="1" x14ac:dyDescent="0.45">
      <c r="F4231" s="292" t="s">
        <v>19</v>
      </c>
      <c r="G4231" s="293"/>
      <c r="H4231" s="293"/>
      <c r="I4231" s="294"/>
      <c r="K4231" s="229">
        <f>+SUM(K4227:K4229)</f>
        <v>0</v>
      </c>
      <c r="L4231" s="119">
        <f>+SUM(L4226:L4229)</f>
        <v>0</v>
      </c>
    </row>
    <row r="4232" spans="2:16" ht="15" customHeight="1" x14ac:dyDescent="0.4">
      <c r="F4232" s="128"/>
      <c r="G4232" s="129"/>
      <c r="H4232" s="130"/>
      <c r="I4232" s="108"/>
      <c r="K4232" s="230"/>
    </row>
    <row r="4233" spans="2:16" ht="15" customHeight="1" thickBot="1" x14ac:dyDescent="0.45"/>
    <row r="4234" spans="2:16" ht="17.399999999999999" thickBot="1" x14ac:dyDescent="0.45">
      <c r="F4234" s="292" t="s">
        <v>20</v>
      </c>
      <c r="G4234" s="293"/>
      <c r="H4234" s="293"/>
      <c r="I4234" s="294"/>
      <c r="K4234" s="229">
        <f>(+K4205+K4214+K4223+K4231)</f>
        <v>90</v>
      </c>
      <c r="L4234" s="119">
        <f>(+L4205+L4214+L4223+L4231)</f>
        <v>3330</v>
      </c>
      <c r="N4234" s="131"/>
      <c r="O4234" s="39"/>
      <c r="P4234" s="40"/>
    </row>
    <row r="4235" spans="2:16" ht="7.5" customHeight="1" thickBot="1" x14ac:dyDescent="0.45">
      <c r="N4235" s="131"/>
      <c r="O4235" s="41"/>
      <c r="P4235" s="40"/>
    </row>
    <row r="4236" spans="2:16" ht="17.399999999999999" thickBot="1" x14ac:dyDescent="0.45">
      <c r="F4236" s="292" t="s">
        <v>21</v>
      </c>
      <c r="G4236" s="293"/>
      <c r="H4236" s="293"/>
      <c r="I4236" s="294"/>
      <c r="K4236" s="229">
        <f>K4234*$N$2</f>
        <v>36</v>
      </c>
      <c r="L4236" s="119">
        <f>L4234*$N$2</f>
        <v>1332</v>
      </c>
    </row>
    <row r="4237" spans="2:16" ht="7.5" customHeight="1" thickBot="1" x14ac:dyDescent="0.45"/>
    <row r="4238" spans="2:16" ht="17.399999999999999" thickBot="1" x14ac:dyDescent="0.45">
      <c r="F4238" s="292" t="s">
        <v>22</v>
      </c>
      <c r="G4238" s="293"/>
      <c r="H4238" s="293"/>
      <c r="I4238" s="294"/>
      <c r="K4238" s="229">
        <f>+K4234+K4236</f>
        <v>126</v>
      </c>
      <c r="L4238" s="119">
        <f>+L4234+L4236</f>
        <v>4662</v>
      </c>
    </row>
    <row r="4239" spans="2:16" ht="17.399999999999999" thickBot="1" x14ac:dyDescent="0.45">
      <c r="F4239" s="128"/>
      <c r="G4239" s="129"/>
      <c r="H4239" s="130"/>
      <c r="I4239" s="108"/>
      <c r="K4239" s="231"/>
      <c r="L4239" s="132">
        <f>L4238/I4190</f>
        <v>126</v>
      </c>
      <c r="M4239" s="133">
        <f>(K4238-L4239)*I4190</f>
        <v>0</v>
      </c>
    </row>
    <row r="4240" spans="2:16" x14ac:dyDescent="0.4">
      <c r="F4240" s="128"/>
      <c r="G4240" s="129"/>
      <c r="H4240" s="130"/>
      <c r="I4240" s="108"/>
      <c r="K4240" s="232"/>
      <c r="L4240" s="131"/>
      <c r="M4240" s="134"/>
      <c r="N4240" s="135"/>
    </row>
    <row r="4241" spans="1:16" ht="17.399999999999999" thickBot="1" x14ac:dyDescent="0.45">
      <c r="B4241" s="295"/>
      <c r="C4241" s="295"/>
      <c r="D4241" s="295"/>
    </row>
    <row r="4242" spans="1:16" x14ac:dyDescent="0.4">
      <c r="B4242" s="296" t="s">
        <v>23</v>
      </c>
      <c r="C4242" s="296"/>
      <c r="D4242" s="296"/>
    </row>
    <row r="4243" spans="1:16" x14ac:dyDescent="0.4">
      <c r="B4243" s="157"/>
      <c r="C4243" s="157"/>
      <c r="D4243" s="157"/>
    </row>
    <row r="4245" spans="1:16" x14ac:dyDescent="0.4">
      <c r="B4245" s="105" t="s">
        <v>43</v>
      </c>
      <c r="C4245" s="106"/>
      <c r="D4245" s="311" t="s">
        <v>1</v>
      </c>
      <c r="E4245" s="311"/>
      <c r="F4245" s="311"/>
      <c r="G4245" s="311"/>
      <c r="H4245" s="106"/>
      <c r="I4245" s="107" t="s">
        <v>2</v>
      </c>
      <c r="J4245" s="136"/>
      <c r="K4245" s="107" t="s">
        <v>3</v>
      </c>
    </row>
    <row r="4246" spans="1:16" s="58" customFormat="1" ht="30.75" customHeight="1" x14ac:dyDescent="0.3">
      <c r="A4246" s="56"/>
      <c r="B4246" s="213">
        <f>CATALOGO!B112</f>
        <v>114.03</v>
      </c>
      <c r="C4246" s="137"/>
      <c r="D4246" s="322" t="str">
        <f>CATALOGO!C112</f>
        <v>DESMONTAJE DE CUBIERTA DE TECHO</v>
      </c>
      <c r="E4246" s="322"/>
      <c r="F4246" s="322"/>
      <c r="G4246" s="322"/>
      <c r="H4246" s="137"/>
      <c r="I4246" s="213">
        <f>CATALOGO!D112</f>
        <v>21</v>
      </c>
      <c r="J4246" s="109"/>
      <c r="K4246" s="227" t="str">
        <f>CATALOGO!E112</f>
        <v>m²</v>
      </c>
      <c r="L4246" s="137"/>
      <c r="M4246" s="137"/>
      <c r="N4246" s="137"/>
      <c r="O4246" s="57"/>
      <c r="P4246" s="57"/>
    </row>
    <row r="4247" spans="1:16" ht="17.399999999999999" thickBot="1" x14ac:dyDescent="0.45"/>
    <row r="4248" spans="1:16" ht="17.399999999999999" thickBot="1" x14ac:dyDescent="0.45">
      <c r="B4248" s="110" t="s">
        <v>4</v>
      </c>
      <c r="C4248" s="300" t="s">
        <v>5</v>
      </c>
      <c r="D4248" s="300"/>
      <c r="E4248" s="300"/>
      <c r="F4248" s="300"/>
      <c r="G4248" s="301"/>
    </row>
    <row r="4249" spans="1:16" x14ac:dyDescent="0.4">
      <c r="B4249" s="111" t="s">
        <v>6</v>
      </c>
      <c r="C4249" s="313" t="s">
        <v>1</v>
      </c>
      <c r="D4249" s="314"/>
      <c r="E4249" s="112" t="s">
        <v>193</v>
      </c>
      <c r="F4249" s="113" t="s">
        <v>2</v>
      </c>
      <c r="G4249" s="114" t="s">
        <v>3</v>
      </c>
      <c r="H4249" s="106"/>
      <c r="I4249" s="107" t="s">
        <v>7</v>
      </c>
      <c r="J4249" s="136"/>
      <c r="K4249" s="228" t="s">
        <v>8</v>
      </c>
      <c r="L4249" s="115" t="s">
        <v>194</v>
      </c>
    </row>
    <row r="4250" spans="1:16" x14ac:dyDescent="0.4">
      <c r="B4250" s="74"/>
      <c r="C4250" s="306"/>
      <c r="D4250" s="306"/>
      <c r="E4250" s="116"/>
      <c r="F4250" s="83"/>
      <c r="G4250" s="74"/>
      <c r="I4250" s="117">
        <f>IF(C4250=0,0,VLOOKUP(C4250,Tabla1[],3,FALSE))</f>
        <v>0</v>
      </c>
      <c r="K4250" s="84">
        <f>+F4250*I4250</f>
        <v>0</v>
      </c>
      <c r="L4250" s="118">
        <f>E4250*I4250</f>
        <v>0</v>
      </c>
    </row>
    <row r="4251" spans="1:16" x14ac:dyDescent="0.4">
      <c r="B4251" s="74"/>
      <c r="C4251" s="306"/>
      <c r="D4251" s="306"/>
      <c r="E4251" s="116"/>
      <c r="F4251" s="83"/>
      <c r="G4251" s="74"/>
      <c r="I4251" s="117">
        <f>IF(C4251=0,0,VLOOKUP(C4251,Tabla1[],3,FALSE))</f>
        <v>0</v>
      </c>
      <c r="K4251" s="84">
        <f t="shared" ref="K4251:K4254" si="646">+F4251*I4251</f>
        <v>0</v>
      </c>
      <c r="L4251" s="118">
        <f t="shared" ref="L4251:L4254" si="647">E4251*I4251</f>
        <v>0</v>
      </c>
    </row>
    <row r="4252" spans="1:16" x14ac:dyDescent="0.4">
      <c r="B4252" s="74"/>
      <c r="C4252" s="306"/>
      <c r="D4252" s="306"/>
      <c r="E4252" s="116"/>
      <c r="F4252" s="83"/>
      <c r="G4252" s="74"/>
      <c r="I4252" s="117">
        <f>IF(C4252=0,0,VLOOKUP(C4252,Tabla1[],3,FALSE))</f>
        <v>0</v>
      </c>
      <c r="K4252" s="84">
        <f t="shared" si="646"/>
        <v>0</v>
      </c>
      <c r="L4252" s="118">
        <f t="shared" si="647"/>
        <v>0</v>
      </c>
    </row>
    <row r="4253" spans="1:16" x14ac:dyDescent="0.4">
      <c r="B4253" s="74"/>
      <c r="C4253" s="306"/>
      <c r="D4253" s="306"/>
      <c r="E4253" s="116"/>
      <c r="F4253" s="83"/>
      <c r="G4253" s="74"/>
      <c r="I4253" s="117">
        <f>IF(C4253=0,0,VLOOKUP(C4253,Tabla1[],3,FALSE))</f>
        <v>0</v>
      </c>
      <c r="K4253" s="84">
        <f t="shared" si="646"/>
        <v>0</v>
      </c>
      <c r="L4253" s="118">
        <f t="shared" si="647"/>
        <v>0</v>
      </c>
    </row>
    <row r="4254" spans="1:16" x14ac:dyDescent="0.4">
      <c r="B4254" s="74"/>
      <c r="C4254" s="321"/>
      <c r="D4254" s="321"/>
      <c r="E4254" s="116"/>
      <c r="F4254" s="72"/>
      <c r="G4254" s="74"/>
      <c r="I4254" s="117">
        <f>IF(C4254=0,0,VLOOKUP(C4254,Tabla1[],3,FALSE))</f>
        <v>0</v>
      </c>
      <c r="K4254" s="84">
        <f t="shared" si="646"/>
        <v>0</v>
      </c>
      <c r="L4254" s="118">
        <f t="shared" si="647"/>
        <v>0</v>
      </c>
    </row>
    <row r="4255" spans="1:16" ht="17.399999999999999" thickBot="1" x14ac:dyDescent="0.45"/>
    <row r="4256" spans="1:16" ht="17.399999999999999" thickBot="1" x14ac:dyDescent="0.45">
      <c r="F4256" s="292" t="s">
        <v>9</v>
      </c>
      <c r="G4256" s="293"/>
      <c r="H4256" s="293"/>
      <c r="I4256" s="294"/>
      <c r="K4256" s="229">
        <f>+SUM(K4250:K4254)</f>
        <v>0</v>
      </c>
      <c r="L4256" s="119">
        <f>+SUM(L4250:L4254)</f>
        <v>0</v>
      </c>
    </row>
    <row r="4257" spans="2:12" ht="17.399999999999999" thickBot="1" x14ac:dyDescent="0.45"/>
    <row r="4258" spans="2:12" ht="17.399999999999999" thickBot="1" x14ac:dyDescent="0.45">
      <c r="B4258" s="110" t="s">
        <v>10</v>
      </c>
      <c r="C4258" s="300" t="s">
        <v>11</v>
      </c>
      <c r="D4258" s="300"/>
      <c r="E4258" s="300"/>
      <c r="F4258" s="300"/>
      <c r="G4258" s="301"/>
    </row>
    <row r="4259" spans="2:12" x14ac:dyDescent="0.4">
      <c r="B4259" s="114" t="s">
        <v>6</v>
      </c>
      <c r="C4259" s="302" t="s">
        <v>1</v>
      </c>
      <c r="D4259" s="303"/>
      <c r="E4259" s="112" t="s">
        <v>193</v>
      </c>
      <c r="F4259" s="120" t="s">
        <v>2</v>
      </c>
      <c r="G4259" s="114" t="s">
        <v>3</v>
      </c>
      <c r="H4259" s="106"/>
      <c r="I4259" s="107" t="s">
        <v>7</v>
      </c>
      <c r="J4259" s="136"/>
      <c r="K4259" s="107" t="s">
        <v>8</v>
      </c>
      <c r="L4259" s="115" t="s">
        <v>194</v>
      </c>
    </row>
    <row r="4260" spans="2:12" x14ac:dyDescent="0.4">
      <c r="B4260" s="122"/>
      <c r="C4260" s="306"/>
      <c r="D4260" s="306"/>
      <c r="E4260" s="116"/>
      <c r="F4260" s="83"/>
      <c r="G4260" s="74"/>
      <c r="I4260" s="117"/>
      <c r="K4260" s="84"/>
      <c r="L4260" s="118">
        <f>E4260*I4260</f>
        <v>0</v>
      </c>
    </row>
    <row r="4261" spans="2:12" x14ac:dyDescent="0.4">
      <c r="B4261" s="74"/>
      <c r="C4261" s="206"/>
      <c r="D4261" s="207"/>
      <c r="E4261" s="121"/>
      <c r="F4261" s="72"/>
      <c r="G4261" s="74"/>
      <c r="I4261" s="117">
        <f>IF(C4261=0,0,VLOOKUP(C4261,Tabla3[],3,FALSE))</f>
        <v>0</v>
      </c>
      <c r="K4261" s="84">
        <f t="shared" ref="K4261:K4263" si="648">+F4261*I4261</f>
        <v>0</v>
      </c>
      <c r="L4261" s="118">
        <f t="shared" ref="L4261:L4263" si="649">E4261*I4261</f>
        <v>0</v>
      </c>
    </row>
    <row r="4262" spans="2:12" x14ac:dyDescent="0.4">
      <c r="B4262" s="74"/>
      <c r="C4262" s="206"/>
      <c r="D4262" s="207"/>
      <c r="E4262" s="121"/>
      <c r="F4262" s="72"/>
      <c r="G4262" s="74"/>
      <c r="I4262" s="117">
        <f>IF(C4262=0,0,VLOOKUP(C4262,Tabla3[],3,FALSE))</f>
        <v>0</v>
      </c>
      <c r="K4262" s="84">
        <f t="shared" si="648"/>
        <v>0</v>
      </c>
      <c r="L4262" s="118">
        <f t="shared" si="649"/>
        <v>0</v>
      </c>
    </row>
    <row r="4263" spans="2:12" x14ac:dyDescent="0.4">
      <c r="B4263" s="74"/>
      <c r="C4263" s="304"/>
      <c r="D4263" s="305"/>
      <c r="E4263" s="121"/>
      <c r="F4263" s="72"/>
      <c r="G4263" s="74"/>
      <c r="I4263" s="117">
        <f>IF(C4263=0,0,VLOOKUP(C4263,Tabla3[],3,FALSE))</f>
        <v>0</v>
      </c>
      <c r="K4263" s="84">
        <f t="shared" si="648"/>
        <v>0</v>
      </c>
      <c r="L4263" s="118">
        <f t="shared" si="649"/>
        <v>0</v>
      </c>
    </row>
    <row r="4264" spans="2:12" ht="17.399999999999999" thickBot="1" x14ac:dyDescent="0.45"/>
    <row r="4265" spans="2:12" ht="17.399999999999999" thickBot="1" x14ac:dyDescent="0.45">
      <c r="F4265" s="292" t="s">
        <v>12</v>
      </c>
      <c r="G4265" s="293"/>
      <c r="H4265" s="293"/>
      <c r="I4265" s="294"/>
      <c r="K4265" s="229">
        <f>+SUM(K4260:K4263)</f>
        <v>0</v>
      </c>
      <c r="L4265" s="119">
        <f>+SUM(L4260:L4263)</f>
        <v>0</v>
      </c>
    </row>
    <row r="4266" spans="2:12" ht="17.399999999999999" thickBot="1" x14ac:dyDescent="0.45"/>
    <row r="4267" spans="2:12" ht="17.399999999999999" thickBot="1" x14ac:dyDescent="0.45">
      <c r="B4267" s="110" t="s">
        <v>13</v>
      </c>
      <c r="C4267" s="300" t="s">
        <v>14</v>
      </c>
      <c r="D4267" s="300"/>
      <c r="E4267" s="300"/>
      <c r="F4267" s="300"/>
      <c r="G4267" s="301"/>
    </row>
    <row r="4268" spans="2:12" x14ac:dyDescent="0.4">
      <c r="B4268" s="114" t="s">
        <v>6</v>
      </c>
      <c r="C4268" s="302" t="s">
        <v>1</v>
      </c>
      <c r="D4268" s="303"/>
      <c r="E4268" s="112" t="s">
        <v>193</v>
      </c>
      <c r="F4268" s="120" t="s">
        <v>2</v>
      </c>
      <c r="G4268" s="114" t="s">
        <v>3</v>
      </c>
      <c r="H4268" s="106"/>
      <c r="I4268" s="107" t="s">
        <v>7</v>
      </c>
      <c r="J4268" s="136"/>
      <c r="K4268" s="107" t="s">
        <v>8</v>
      </c>
      <c r="L4268" s="115" t="s">
        <v>194</v>
      </c>
    </row>
    <row r="4269" spans="2:12" x14ac:dyDescent="0.4">
      <c r="B4269" s="122">
        <v>1</v>
      </c>
      <c r="C4269" s="306" t="s">
        <v>277</v>
      </c>
      <c r="D4269" s="306"/>
      <c r="E4269" s="116">
        <f>I4246</f>
        <v>21</v>
      </c>
      <c r="F4269" s="83">
        <f>ROUND(E4269/I4246,2)</f>
        <v>1</v>
      </c>
      <c r="G4269" s="74" t="str">
        <f>IF(C4269=0,0,VLOOKUP(C4269,Tabla2[],2,FALSE))</f>
        <v>m²</v>
      </c>
      <c r="I4269" s="117">
        <f>IF(C4269=0,0,VLOOKUP(C4269,Tabla2[],3,FALSE))</f>
        <v>60</v>
      </c>
      <c r="K4269" s="84">
        <f>+F4269*I4269</f>
        <v>60</v>
      </c>
      <c r="L4269" s="118">
        <f>E4269*I4269</f>
        <v>1260</v>
      </c>
    </row>
    <row r="4270" spans="2:12" x14ac:dyDescent="0.4">
      <c r="B4270" s="122"/>
      <c r="C4270" s="306"/>
      <c r="D4270" s="306"/>
      <c r="E4270" s="116"/>
      <c r="F4270" s="83"/>
      <c r="G4270" s="74"/>
      <c r="I4270" s="117">
        <f>IF(C4270=0,0,VLOOKUP(C4270,Tabla2[],3,FALSE))</f>
        <v>0</v>
      </c>
      <c r="K4270" s="84">
        <f>+F4270*I4270</f>
        <v>0</v>
      </c>
      <c r="L4270" s="118">
        <f>E4270*I4270</f>
        <v>0</v>
      </c>
    </row>
    <row r="4271" spans="2:12" ht="17.399999999999999" thickBot="1" x14ac:dyDescent="0.45">
      <c r="B4271" s="123"/>
      <c r="C4271" s="307"/>
      <c r="D4271" s="308"/>
      <c r="E4271" s="124"/>
      <c r="F4271" s="125"/>
      <c r="G4271" s="74"/>
      <c r="I4271" s="117">
        <f>IF(C4271=0,0,VLOOKUP(C4271,Tabla2[],3,FALSE))</f>
        <v>0</v>
      </c>
      <c r="K4271" s="84">
        <f t="shared" ref="K4271" si="650">+F4271*I4271</f>
        <v>0</v>
      </c>
      <c r="L4271" s="118">
        <f t="shared" ref="L4271:L4272" si="651">E4271*I4271</f>
        <v>0</v>
      </c>
    </row>
    <row r="4272" spans="2:12" ht="17.399999999999999" thickBot="1" x14ac:dyDescent="0.45">
      <c r="B4272" s="297" t="s">
        <v>15</v>
      </c>
      <c r="C4272" s="298"/>
      <c r="D4272" s="298"/>
      <c r="E4272" s="298"/>
      <c r="F4272" s="298"/>
      <c r="G4272" s="299"/>
      <c r="I4272" s="84">
        <v>0</v>
      </c>
      <c r="K4272" s="84">
        <v>0</v>
      </c>
      <c r="L4272" s="118">
        <f t="shared" si="651"/>
        <v>0</v>
      </c>
    </row>
    <row r="4273" spans="2:16" ht="17.399999999999999" thickBot="1" x14ac:dyDescent="0.45"/>
    <row r="4274" spans="2:16" ht="17.399999999999999" thickBot="1" x14ac:dyDescent="0.45">
      <c r="F4274" s="292" t="s">
        <v>16</v>
      </c>
      <c r="G4274" s="293"/>
      <c r="H4274" s="293"/>
      <c r="I4274" s="294"/>
      <c r="K4274" s="229">
        <f>+SUM(K4269:K4272)</f>
        <v>60</v>
      </c>
      <c r="L4274" s="119">
        <f>+SUM(L4269:L4272)</f>
        <v>1260</v>
      </c>
    </row>
    <row r="4275" spans="2:16" ht="17.399999999999999" thickBot="1" x14ac:dyDescent="0.45"/>
    <row r="4276" spans="2:16" ht="17.399999999999999" thickBot="1" x14ac:dyDescent="0.45">
      <c r="B4276" s="110" t="s">
        <v>17</v>
      </c>
      <c r="C4276" s="300" t="s">
        <v>18</v>
      </c>
      <c r="D4276" s="300"/>
      <c r="E4276" s="300"/>
      <c r="F4276" s="300"/>
      <c r="G4276" s="301"/>
    </row>
    <row r="4277" spans="2:16" x14ac:dyDescent="0.4">
      <c r="B4277" s="114" t="s">
        <v>6</v>
      </c>
      <c r="C4277" s="302" t="s">
        <v>1</v>
      </c>
      <c r="D4277" s="303"/>
      <c r="E4277" s="126"/>
      <c r="F4277" s="120" t="s">
        <v>2</v>
      </c>
      <c r="G4277" s="114" t="s">
        <v>3</v>
      </c>
      <c r="H4277" s="106"/>
      <c r="I4277" s="107" t="s">
        <v>7</v>
      </c>
      <c r="J4277" s="136"/>
      <c r="K4277" s="107" t="s">
        <v>8</v>
      </c>
      <c r="L4277" s="115" t="s">
        <v>194</v>
      </c>
    </row>
    <row r="4278" spans="2:16" x14ac:dyDescent="0.4">
      <c r="B4278" s="74"/>
      <c r="C4278" s="304"/>
      <c r="D4278" s="305"/>
      <c r="E4278" s="127"/>
      <c r="F4278" s="72"/>
      <c r="G4278" s="74"/>
      <c r="I4278" s="84">
        <v>0</v>
      </c>
      <c r="K4278" s="84">
        <f>+F4278*I4278</f>
        <v>0</v>
      </c>
      <c r="L4278" s="118">
        <f>E4278*I4278</f>
        <v>0</v>
      </c>
    </row>
    <row r="4279" spans="2:16" x14ac:dyDescent="0.4">
      <c r="B4279" s="74"/>
      <c r="C4279" s="304"/>
      <c r="D4279" s="305"/>
      <c r="E4279" s="127"/>
      <c r="F4279" s="72"/>
      <c r="G4279" s="74"/>
      <c r="I4279" s="84">
        <v>0</v>
      </c>
      <c r="K4279" s="84">
        <f t="shared" ref="K4279:K4280" si="652">+F4279*I4279</f>
        <v>0</v>
      </c>
      <c r="L4279" s="118">
        <f t="shared" ref="L4279:L4280" si="653">E4279*I4279</f>
        <v>0</v>
      </c>
    </row>
    <row r="4280" spans="2:16" x14ac:dyDescent="0.4">
      <c r="B4280" s="74"/>
      <c r="C4280" s="304"/>
      <c r="D4280" s="305"/>
      <c r="E4280" s="127"/>
      <c r="F4280" s="72"/>
      <c r="G4280" s="74"/>
      <c r="I4280" s="84">
        <v>0</v>
      </c>
      <c r="K4280" s="84">
        <f t="shared" si="652"/>
        <v>0</v>
      </c>
      <c r="L4280" s="118">
        <f t="shared" si="653"/>
        <v>0</v>
      </c>
    </row>
    <row r="4281" spans="2:16" ht="17.399999999999999" thickBot="1" x14ac:dyDescent="0.45">
      <c r="L4281" s="118"/>
    </row>
    <row r="4282" spans="2:16" ht="17.399999999999999" thickBot="1" x14ac:dyDescent="0.45">
      <c r="F4282" s="292" t="s">
        <v>19</v>
      </c>
      <c r="G4282" s="293"/>
      <c r="H4282" s="293"/>
      <c r="I4282" s="294"/>
      <c r="K4282" s="229">
        <f>+SUM(K4278:K4280)</f>
        <v>0</v>
      </c>
      <c r="L4282" s="119">
        <f>+SUM(L4277:L4280)</f>
        <v>0</v>
      </c>
    </row>
    <row r="4283" spans="2:16" ht="15" customHeight="1" x14ac:dyDescent="0.4">
      <c r="F4283" s="128"/>
      <c r="G4283" s="129"/>
      <c r="H4283" s="130"/>
      <c r="I4283" s="108"/>
      <c r="K4283" s="230"/>
    </row>
    <row r="4284" spans="2:16" ht="15" customHeight="1" thickBot="1" x14ac:dyDescent="0.45"/>
    <row r="4285" spans="2:16" ht="17.399999999999999" thickBot="1" x14ac:dyDescent="0.45">
      <c r="F4285" s="292" t="s">
        <v>20</v>
      </c>
      <c r="G4285" s="293"/>
      <c r="H4285" s="293"/>
      <c r="I4285" s="294"/>
      <c r="K4285" s="229">
        <f>(+K4256+K4265+K4274+K4282)</f>
        <v>60</v>
      </c>
      <c r="L4285" s="119">
        <f>(+L4256+L4265+L4274+L4282)</f>
        <v>1260</v>
      </c>
      <c r="N4285" s="131"/>
      <c r="O4285" s="39"/>
      <c r="P4285" s="40"/>
    </row>
    <row r="4286" spans="2:16" ht="7.5" customHeight="1" thickBot="1" x14ac:dyDescent="0.45">
      <c r="N4286" s="131"/>
      <c r="O4286" s="41"/>
      <c r="P4286" s="40"/>
    </row>
    <row r="4287" spans="2:16" ht="17.399999999999999" thickBot="1" x14ac:dyDescent="0.45">
      <c r="F4287" s="292" t="s">
        <v>21</v>
      </c>
      <c r="G4287" s="293"/>
      <c r="H4287" s="293"/>
      <c r="I4287" s="294"/>
      <c r="K4287" s="229">
        <f>K4285*$N$2</f>
        <v>24</v>
      </c>
      <c r="L4287" s="119">
        <f>L4285*$N$2</f>
        <v>504</v>
      </c>
    </row>
    <row r="4288" spans="2:16" ht="7.5" customHeight="1" thickBot="1" x14ac:dyDescent="0.45"/>
    <row r="4289" spans="1:16" ht="17.399999999999999" thickBot="1" x14ac:dyDescent="0.45">
      <c r="F4289" s="292" t="s">
        <v>22</v>
      </c>
      <c r="G4289" s="293"/>
      <c r="H4289" s="293"/>
      <c r="I4289" s="294"/>
      <c r="K4289" s="229">
        <f>+K4285+K4287</f>
        <v>84</v>
      </c>
      <c r="L4289" s="119">
        <f>+L4285+L4287</f>
        <v>1764</v>
      </c>
    </row>
    <row r="4290" spans="1:16" ht="17.399999999999999" thickBot="1" x14ac:dyDescent="0.45">
      <c r="F4290" s="128"/>
      <c r="G4290" s="129"/>
      <c r="H4290" s="130"/>
      <c r="I4290" s="108"/>
      <c r="K4290" s="231"/>
      <c r="L4290" s="132">
        <f>L4289/I4246</f>
        <v>84</v>
      </c>
      <c r="M4290" s="133">
        <f>(K4289-L4290)*I4246</f>
        <v>0</v>
      </c>
    </row>
    <row r="4291" spans="1:16" x14ac:dyDescent="0.4">
      <c r="F4291" s="128"/>
      <c r="G4291" s="129"/>
      <c r="H4291" s="130"/>
      <c r="I4291" s="108"/>
      <c r="K4291" s="232"/>
      <c r="L4291" s="131"/>
      <c r="M4291" s="134"/>
      <c r="N4291" s="135"/>
    </row>
    <row r="4292" spans="1:16" ht="17.399999999999999" thickBot="1" x14ac:dyDescent="0.45">
      <c r="B4292" s="295"/>
      <c r="C4292" s="295"/>
      <c r="D4292" s="295"/>
    </row>
    <row r="4293" spans="1:16" x14ac:dyDescent="0.4">
      <c r="B4293" s="296" t="s">
        <v>23</v>
      </c>
      <c r="C4293" s="296"/>
      <c r="D4293" s="296"/>
    </row>
    <row r="4294" spans="1:16" x14ac:dyDescent="0.4">
      <c r="B4294" s="157"/>
      <c r="C4294" s="157"/>
      <c r="D4294" s="157"/>
    </row>
    <row r="4295" spans="1:16" x14ac:dyDescent="0.4">
      <c r="B4295" s="157"/>
      <c r="C4295" s="157"/>
      <c r="D4295" s="157"/>
    </row>
    <row r="4296" spans="1:16" x14ac:dyDescent="0.4">
      <c r="B4296" s="105" t="s">
        <v>43</v>
      </c>
      <c r="C4296" s="106"/>
      <c r="D4296" s="311" t="s">
        <v>1</v>
      </c>
      <c r="E4296" s="311"/>
      <c r="F4296" s="311"/>
      <c r="G4296" s="311"/>
      <c r="H4296" s="106"/>
      <c r="I4296" s="107" t="s">
        <v>2</v>
      </c>
      <c r="J4296" s="136"/>
      <c r="K4296" s="107" t="s">
        <v>3</v>
      </c>
    </row>
    <row r="4297" spans="1:16" s="4" customFormat="1" ht="30.75" customHeight="1" x14ac:dyDescent="0.3">
      <c r="A4297" s="31"/>
      <c r="B4297" s="213">
        <f>CATALOGO!B113</f>
        <v>118.01</v>
      </c>
      <c r="C4297" s="137"/>
      <c r="D4297" s="322" t="str">
        <f>CATALOGO!C113</f>
        <v>DESMONTAJE DE ACCESORIOS ELÉCTRICOS</v>
      </c>
      <c r="E4297" s="322"/>
      <c r="F4297" s="322"/>
      <c r="G4297" s="322"/>
      <c r="H4297" s="137"/>
      <c r="I4297" s="213">
        <f>CATALOGO!D113</f>
        <v>3</v>
      </c>
      <c r="J4297" s="109"/>
      <c r="K4297" s="227" t="str">
        <f>CATALOGO!E113</f>
        <v>Unidad</v>
      </c>
      <c r="L4297" s="71"/>
      <c r="M4297" s="71"/>
      <c r="N4297" s="104"/>
      <c r="O4297" s="37"/>
      <c r="P4297" s="37"/>
    </row>
    <row r="4298" spans="1:16" ht="17.399999999999999" thickBot="1" x14ac:dyDescent="0.45"/>
    <row r="4299" spans="1:16" ht="17.399999999999999" thickBot="1" x14ac:dyDescent="0.45">
      <c r="B4299" s="110" t="s">
        <v>4</v>
      </c>
      <c r="C4299" s="300" t="s">
        <v>5</v>
      </c>
      <c r="D4299" s="300"/>
      <c r="E4299" s="300"/>
      <c r="F4299" s="300"/>
      <c r="G4299" s="301"/>
    </row>
    <row r="4300" spans="1:16" x14ac:dyDescent="0.4">
      <c r="B4300" s="111" t="s">
        <v>6</v>
      </c>
      <c r="C4300" s="313" t="s">
        <v>1</v>
      </c>
      <c r="D4300" s="314"/>
      <c r="E4300" s="112" t="s">
        <v>193</v>
      </c>
      <c r="F4300" s="113" t="s">
        <v>2</v>
      </c>
      <c r="G4300" s="114" t="s">
        <v>3</v>
      </c>
      <c r="H4300" s="106"/>
      <c r="I4300" s="107" t="s">
        <v>7</v>
      </c>
      <c r="J4300" s="136"/>
      <c r="K4300" s="228" t="s">
        <v>8</v>
      </c>
      <c r="L4300" s="115" t="s">
        <v>194</v>
      </c>
    </row>
    <row r="4301" spans="1:16" x14ac:dyDescent="0.4">
      <c r="B4301" s="74"/>
      <c r="C4301" s="306"/>
      <c r="D4301" s="306"/>
      <c r="E4301" s="116"/>
      <c r="F4301" s="83"/>
      <c r="G4301" s="74"/>
      <c r="I4301" s="117">
        <f>IF(C4301=0,0,VLOOKUP(C4301,Tabla1[],3,FALSE))</f>
        <v>0</v>
      </c>
      <c r="K4301" s="84">
        <f>+F4301*I4301</f>
        <v>0</v>
      </c>
      <c r="L4301" s="118">
        <f>E4301*I4301</f>
        <v>0</v>
      </c>
    </row>
    <row r="4302" spans="1:16" x14ac:dyDescent="0.4">
      <c r="B4302" s="74"/>
      <c r="C4302" s="306"/>
      <c r="D4302" s="306"/>
      <c r="E4302" s="116"/>
      <c r="F4302" s="83"/>
      <c r="G4302" s="74"/>
      <c r="I4302" s="117">
        <f>IF(C4302=0,0,VLOOKUP(C4302,Tabla1[],3,FALSE))</f>
        <v>0</v>
      </c>
      <c r="K4302" s="84">
        <f t="shared" ref="K4302:K4303" si="654">+F4302*I4302</f>
        <v>0</v>
      </c>
      <c r="L4302" s="118">
        <f t="shared" ref="L4302:L4303" si="655">E4302*I4302</f>
        <v>0</v>
      </c>
    </row>
    <row r="4303" spans="1:16" x14ac:dyDescent="0.4">
      <c r="B4303" s="74"/>
      <c r="C4303" s="321"/>
      <c r="D4303" s="321"/>
      <c r="E4303" s="116"/>
      <c r="F4303" s="72"/>
      <c r="G4303" s="74"/>
      <c r="I4303" s="117">
        <f>IF(C4303=0,0,VLOOKUP(C4303,Tabla1[],3,FALSE))</f>
        <v>0</v>
      </c>
      <c r="K4303" s="84">
        <f t="shared" si="654"/>
        <v>0</v>
      </c>
      <c r="L4303" s="118">
        <f t="shared" si="655"/>
        <v>0</v>
      </c>
    </row>
    <row r="4304" spans="1:16" ht="17.399999999999999" thickBot="1" x14ac:dyDescent="0.45"/>
    <row r="4305" spans="2:12" ht="17.399999999999999" thickBot="1" x14ac:dyDescent="0.45">
      <c r="F4305" s="292" t="s">
        <v>9</v>
      </c>
      <c r="G4305" s="293"/>
      <c r="H4305" s="293"/>
      <c r="I4305" s="294"/>
      <c r="K4305" s="229">
        <f>+SUM(K4301:K4303)</f>
        <v>0</v>
      </c>
      <c r="L4305" s="119">
        <f>+SUM(L4301:L4303)</f>
        <v>0</v>
      </c>
    </row>
    <row r="4306" spans="2:12" ht="17.399999999999999" thickBot="1" x14ac:dyDescent="0.45"/>
    <row r="4307" spans="2:12" ht="17.399999999999999" thickBot="1" x14ac:dyDescent="0.45">
      <c r="B4307" s="110" t="s">
        <v>10</v>
      </c>
      <c r="C4307" s="300" t="s">
        <v>11</v>
      </c>
      <c r="D4307" s="300"/>
      <c r="E4307" s="300"/>
      <c r="F4307" s="300"/>
      <c r="G4307" s="301"/>
    </row>
    <row r="4308" spans="2:12" x14ac:dyDescent="0.4">
      <c r="B4308" s="114" t="s">
        <v>6</v>
      </c>
      <c r="C4308" s="302" t="s">
        <v>1</v>
      </c>
      <c r="D4308" s="303"/>
      <c r="E4308" s="112" t="s">
        <v>193</v>
      </c>
      <c r="F4308" s="120" t="s">
        <v>2</v>
      </c>
      <c r="G4308" s="114" t="s">
        <v>3</v>
      </c>
      <c r="H4308" s="106"/>
      <c r="I4308" s="107" t="s">
        <v>7</v>
      </c>
      <c r="J4308" s="136"/>
      <c r="K4308" s="107" t="s">
        <v>8</v>
      </c>
      <c r="L4308" s="115" t="s">
        <v>194</v>
      </c>
    </row>
    <row r="4309" spans="2:12" x14ac:dyDescent="0.4">
      <c r="B4309" s="122"/>
      <c r="C4309" s="306"/>
      <c r="D4309" s="306"/>
      <c r="E4309" s="116"/>
      <c r="F4309" s="83"/>
      <c r="G4309" s="74"/>
      <c r="I4309" s="117">
        <f>IF(C4309=0,0,VLOOKUP(C4309,Tabla3[],3,FALSE))</f>
        <v>0</v>
      </c>
      <c r="K4309" s="84">
        <f t="shared" ref="K4309:K4312" si="656">+F4309*I4309</f>
        <v>0</v>
      </c>
      <c r="L4309" s="118">
        <f>E4309*I4309</f>
        <v>0</v>
      </c>
    </row>
    <row r="4310" spans="2:12" x14ac:dyDescent="0.4">
      <c r="B4310" s="74"/>
      <c r="C4310" s="206"/>
      <c r="D4310" s="207"/>
      <c r="E4310" s="121"/>
      <c r="F4310" s="72"/>
      <c r="G4310" s="74"/>
      <c r="I4310" s="117">
        <f>IF(C4310=0,0,VLOOKUP(C4310,Tabla3[],3,FALSE))</f>
        <v>0</v>
      </c>
      <c r="K4310" s="84">
        <f t="shared" si="656"/>
        <v>0</v>
      </c>
      <c r="L4310" s="118">
        <f t="shared" ref="L4310:L4312" si="657">E4310*I4310</f>
        <v>0</v>
      </c>
    </row>
    <row r="4311" spans="2:12" x14ac:dyDescent="0.4">
      <c r="B4311" s="74"/>
      <c r="C4311" s="206"/>
      <c r="D4311" s="207"/>
      <c r="E4311" s="121"/>
      <c r="F4311" s="72"/>
      <c r="G4311" s="74"/>
      <c r="I4311" s="117">
        <f>IF(C4311=0,0,VLOOKUP(C4311,Tabla3[],3,FALSE))</f>
        <v>0</v>
      </c>
      <c r="K4311" s="84">
        <f t="shared" si="656"/>
        <v>0</v>
      </c>
      <c r="L4311" s="118">
        <f t="shared" si="657"/>
        <v>0</v>
      </c>
    </row>
    <row r="4312" spans="2:12" x14ac:dyDescent="0.4">
      <c r="B4312" s="74"/>
      <c r="C4312" s="304"/>
      <c r="D4312" s="305"/>
      <c r="E4312" s="121"/>
      <c r="F4312" s="72"/>
      <c r="G4312" s="74"/>
      <c r="I4312" s="117">
        <f>IF(C4312=0,0,VLOOKUP(C4312,Tabla3[],3,FALSE))</f>
        <v>0</v>
      </c>
      <c r="K4312" s="84">
        <f t="shared" si="656"/>
        <v>0</v>
      </c>
      <c r="L4312" s="118">
        <f t="shared" si="657"/>
        <v>0</v>
      </c>
    </row>
    <row r="4313" spans="2:12" ht="17.399999999999999" thickBot="1" x14ac:dyDescent="0.45"/>
    <row r="4314" spans="2:12" ht="17.399999999999999" thickBot="1" x14ac:dyDescent="0.45">
      <c r="F4314" s="292" t="s">
        <v>12</v>
      </c>
      <c r="G4314" s="293"/>
      <c r="H4314" s="293"/>
      <c r="I4314" s="294"/>
      <c r="K4314" s="229">
        <f>+SUM(K4309:K4312)</f>
        <v>0</v>
      </c>
      <c r="L4314" s="119">
        <f>+SUM(L4309:L4312)</f>
        <v>0</v>
      </c>
    </row>
    <row r="4315" spans="2:12" ht="17.399999999999999" thickBot="1" x14ac:dyDescent="0.45"/>
    <row r="4316" spans="2:12" ht="17.399999999999999" thickBot="1" x14ac:dyDescent="0.45">
      <c r="B4316" s="110" t="s">
        <v>13</v>
      </c>
      <c r="C4316" s="300" t="s">
        <v>14</v>
      </c>
      <c r="D4316" s="300"/>
      <c r="E4316" s="300"/>
      <c r="F4316" s="300"/>
      <c r="G4316" s="301"/>
    </row>
    <row r="4317" spans="2:12" x14ac:dyDescent="0.4">
      <c r="B4317" s="114" t="s">
        <v>6</v>
      </c>
      <c r="C4317" s="302" t="s">
        <v>1</v>
      </c>
      <c r="D4317" s="303"/>
      <c r="E4317" s="112" t="s">
        <v>193</v>
      </c>
      <c r="F4317" s="120" t="s">
        <v>2</v>
      </c>
      <c r="G4317" s="114" t="s">
        <v>3</v>
      </c>
      <c r="H4317" s="106"/>
      <c r="I4317" s="107" t="s">
        <v>7</v>
      </c>
      <c r="J4317" s="136"/>
      <c r="K4317" s="107" t="s">
        <v>8</v>
      </c>
      <c r="L4317" s="115" t="s">
        <v>194</v>
      </c>
    </row>
    <row r="4318" spans="2:12" x14ac:dyDescent="0.4">
      <c r="B4318" s="122">
        <v>1</v>
      </c>
      <c r="C4318" s="306" t="s">
        <v>464</v>
      </c>
      <c r="D4318" s="306"/>
      <c r="E4318" s="116">
        <f>I4297</f>
        <v>3</v>
      </c>
      <c r="F4318" s="83">
        <f>ROUND(E4318/I4297,2)</f>
        <v>1</v>
      </c>
      <c r="G4318" s="74" t="str">
        <f>IF(C4318=0,0,VLOOKUP(C4318,Tabla2[],2,FALSE))</f>
        <v>Unidad</v>
      </c>
      <c r="I4318" s="117">
        <f>IF(C4318=0,0,VLOOKUP(C4318,Tabla2[],3,FALSE))</f>
        <v>60</v>
      </c>
      <c r="K4318" s="84">
        <f>+F4318*I4318</f>
        <v>60</v>
      </c>
      <c r="L4318" s="118">
        <f>E4318*I4318</f>
        <v>180</v>
      </c>
    </row>
    <row r="4319" spans="2:12" x14ac:dyDescent="0.4">
      <c r="B4319" s="122"/>
      <c r="C4319" s="306"/>
      <c r="D4319" s="306"/>
      <c r="E4319" s="116"/>
      <c r="F4319" s="83"/>
      <c r="G4319" s="74"/>
      <c r="I4319" s="117">
        <f>IF(C4319=0,0,VLOOKUP(C4319,Tabla2[],3,FALSE))</f>
        <v>0</v>
      </c>
      <c r="K4319" s="84">
        <f>+F4319*I4319</f>
        <v>0</v>
      </c>
      <c r="L4319" s="118">
        <f>E4319*I4319</f>
        <v>0</v>
      </c>
    </row>
    <row r="4320" spans="2:12" ht="17.399999999999999" thickBot="1" x14ac:dyDescent="0.45">
      <c r="B4320" s="123"/>
      <c r="C4320" s="307"/>
      <c r="D4320" s="308"/>
      <c r="E4320" s="124"/>
      <c r="F4320" s="125"/>
      <c r="G4320" s="74"/>
      <c r="I4320" s="117">
        <f>IF(C4320=0,0,VLOOKUP(C4320,Tabla2[],3,FALSE))</f>
        <v>0</v>
      </c>
      <c r="K4320" s="84">
        <f t="shared" ref="K4320" si="658">+F4320*I4320</f>
        <v>0</v>
      </c>
      <c r="L4320" s="118">
        <f t="shared" ref="L4320:L4321" si="659">E4320*I4320</f>
        <v>0</v>
      </c>
    </row>
    <row r="4321" spans="2:16" ht="17.399999999999999" thickBot="1" x14ac:dyDescent="0.45">
      <c r="B4321" s="297" t="s">
        <v>15</v>
      </c>
      <c r="C4321" s="298"/>
      <c r="D4321" s="298"/>
      <c r="E4321" s="298"/>
      <c r="F4321" s="298"/>
      <c r="G4321" s="299"/>
      <c r="I4321" s="84">
        <v>0</v>
      </c>
      <c r="K4321" s="84">
        <v>0</v>
      </c>
      <c r="L4321" s="118">
        <f t="shared" si="659"/>
        <v>0</v>
      </c>
    </row>
    <row r="4322" spans="2:16" ht="17.399999999999999" thickBot="1" x14ac:dyDescent="0.45"/>
    <row r="4323" spans="2:16" ht="17.399999999999999" thickBot="1" x14ac:dyDescent="0.45">
      <c r="F4323" s="292" t="s">
        <v>16</v>
      </c>
      <c r="G4323" s="293"/>
      <c r="H4323" s="293"/>
      <c r="I4323" s="294"/>
      <c r="K4323" s="229">
        <f>+SUM(K4318:K4321)</f>
        <v>60</v>
      </c>
      <c r="L4323" s="119">
        <f>+SUM(L4318:L4321)</f>
        <v>180</v>
      </c>
    </row>
    <row r="4324" spans="2:16" ht="17.399999999999999" thickBot="1" x14ac:dyDescent="0.45"/>
    <row r="4325" spans="2:16" ht="17.399999999999999" thickBot="1" x14ac:dyDescent="0.45">
      <c r="B4325" s="110" t="s">
        <v>17</v>
      </c>
      <c r="C4325" s="300" t="s">
        <v>18</v>
      </c>
      <c r="D4325" s="300"/>
      <c r="E4325" s="300"/>
      <c r="F4325" s="300"/>
      <c r="G4325" s="301"/>
    </row>
    <row r="4326" spans="2:16" x14ac:dyDescent="0.4">
      <c r="B4326" s="114" t="s">
        <v>6</v>
      </c>
      <c r="C4326" s="302" t="s">
        <v>1</v>
      </c>
      <c r="D4326" s="303"/>
      <c r="E4326" s="126"/>
      <c r="F4326" s="120" t="s">
        <v>2</v>
      </c>
      <c r="G4326" s="114" t="s">
        <v>3</v>
      </c>
      <c r="H4326" s="106"/>
      <c r="I4326" s="107" t="s">
        <v>7</v>
      </c>
      <c r="J4326" s="136"/>
      <c r="K4326" s="107" t="s">
        <v>8</v>
      </c>
      <c r="L4326" s="115" t="s">
        <v>194</v>
      </c>
    </row>
    <row r="4327" spans="2:16" x14ac:dyDescent="0.4">
      <c r="B4327" s="74"/>
      <c r="C4327" s="304"/>
      <c r="D4327" s="305"/>
      <c r="E4327" s="127"/>
      <c r="F4327" s="72"/>
      <c r="G4327" s="74"/>
      <c r="I4327" s="84">
        <v>0</v>
      </c>
      <c r="K4327" s="84">
        <f>+F4327*I4327</f>
        <v>0</v>
      </c>
      <c r="L4327" s="118">
        <f>E4327*I4327</f>
        <v>0</v>
      </c>
    </row>
    <row r="4328" spans="2:16" x14ac:dyDescent="0.4">
      <c r="B4328" s="74"/>
      <c r="C4328" s="304"/>
      <c r="D4328" s="305"/>
      <c r="E4328" s="127"/>
      <c r="F4328" s="72"/>
      <c r="G4328" s="74"/>
      <c r="I4328" s="84">
        <v>0</v>
      </c>
      <c r="K4328" s="84">
        <f t="shared" ref="K4328:K4329" si="660">+F4328*I4328</f>
        <v>0</v>
      </c>
      <c r="L4328" s="118">
        <f t="shared" ref="L4328:L4329" si="661">E4328*I4328</f>
        <v>0</v>
      </c>
    </row>
    <row r="4329" spans="2:16" x14ac:dyDescent="0.4">
      <c r="B4329" s="74"/>
      <c r="C4329" s="304"/>
      <c r="D4329" s="305"/>
      <c r="E4329" s="127"/>
      <c r="F4329" s="72"/>
      <c r="G4329" s="74"/>
      <c r="I4329" s="84">
        <v>0</v>
      </c>
      <c r="K4329" s="84">
        <f t="shared" si="660"/>
        <v>0</v>
      </c>
      <c r="L4329" s="118">
        <f t="shared" si="661"/>
        <v>0</v>
      </c>
    </row>
    <row r="4330" spans="2:16" ht="17.399999999999999" thickBot="1" x14ac:dyDescent="0.45">
      <c r="L4330" s="118"/>
    </row>
    <row r="4331" spans="2:16" ht="17.399999999999999" thickBot="1" x14ac:dyDescent="0.45">
      <c r="F4331" s="292" t="s">
        <v>19</v>
      </c>
      <c r="G4331" s="293"/>
      <c r="H4331" s="293"/>
      <c r="I4331" s="294"/>
      <c r="K4331" s="229">
        <f>+SUM(K4327:K4329)</f>
        <v>0</v>
      </c>
      <c r="L4331" s="119">
        <f>+SUM(L4326:L4329)</f>
        <v>0</v>
      </c>
    </row>
    <row r="4332" spans="2:16" ht="15" customHeight="1" x14ac:dyDescent="0.4">
      <c r="F4332" s="128"/>
      <c r="G4332" s="129"/>
      <c r="H4332" s="130"/>
      <c r="I4332" s="108"/>
      <c r="K4332" s="230"/>
    </row>
    <row r="4333" spans="2:16" ht="15" customHeight="1" thickBot="1" x14ac:dyDescent="0.45"/>
    <row r="4334" spans="2:16" ht="17.399999999999999" thickBot="1" x14ac:dyDescent="0.45">
      <c r="F4334" s="292" t="s">
        <v>20</v>
      </c>
      <c r="G4334" s="293"/>
      <c r="H4334" s="293"/>
      <c r="I4334" s="294"/>
      <c r="K4334" s="229">
        <f>(+K4305+K4314+K4323+K4331)</f>
        <v>60</v>
      </c>
      <c r="L4334" s="119">
        <f>(+L4305+L4314+L4323+L4331)</f>
        <v>180</v>
      </c>
      <c r="N4334" s="131"/>
      <c r="O4334" s="39"/>
      <c r="P4334" s="40"/>
    </row>
    <row r="4335" spans="2:16" ht="7.5" customHeight="1" thickBot="1" x14ac:dyDescent="0.45">
      <c r="N4335" s="131"/>
      <c r="O4335" s="41"/>
      <c r="P4335" s="40"/>
    </row>
    <row r="4336" spans="2:16" ht="17.399999999999999" thickBot="1" x14ac:dyDescent="0.45">
      <c r="F4336" s="292" t="s">
        <v>21</v>
      </c>
      <c r="G4336" s="293"/>
      <c r="H4336" s="293"/>
      <c r="I4336" s="294"/>
      <c r="K4336" s="229">
        <f>K4334*$N$2</f>
        <v>24</v>
      </c>
      <c r="L4336" s="119">
        <f>L4334*$N$2</f>
        <v>72</v>
      </c>
    </row>
    <row r="4337" spans="1:16" ht="7.5" customHeight="1" thickBot="1" x14ac:dyDescent="0.45"/>
    <row r="4338" spans="1:16" ht="17.399999999999999" thickBot="1" x14ac:dyDescent="0.45">
      <c r="F4338" s="292" t="s">
        <v>22</v>
      </c>
      <c r="G4338" s="293"/>
      <c r="H4338" s="293"/>
      <c r="I4338" s="294"/>
      <c r="K4338" s="229">
        <f>+K4334+K4336</f>
        <v>84</v>
      </c>
      <c r="L4338" s="119">
        <f>+L4334+L4336</f>
        <v>252</v>
      </c>
    </row>
    <row r="4339" spans="1:16" ht="17.399999999999999" thickBot="1" x14ac:dyDescent="0.45">
      <c r="F4339" s="128"/>
      <c r="G4339" s="129"/>
      <c r="H4339" s="130"/>
      <c r="I4339" s="108"/>
      <c r="K4339" s="231"/>
      <c r="L4339" s="132">
        <f>L4338/I4297</f>
        <v>84</v>
      </c>
      <c r="M4339" s="133">
        <f>(K4338-L4339)*I4297</f>
        <v>0</v>
      </c>
    </row>
    <row r="4340" spans="1:16" x14ac:dyDescent="0.4">
      <c r="F4340" s="128"/>
      <c r="G4340" s="129"/>
      <c r="H4340" s="130"/>
      <c r="I4340" s="108"/>
      <c r="K4340" s="232"/>
      <c r="L4340" s="131"/>
      <c r="M4340" s="134"/>
      <c r="N4340" s="135"/>
    </row>
    <row r="4341" spans="1:16" ht="17.399999999999999" thickBot="1" x14ac:dyDescent="0.45">
      <c r="B4341" s="295"/>
      <c r="C4341" s="295"/>
      <c r="D4341" s="295"/>
    </row>
    <row r="4342" spans="1:16" x14ac:dyDescent="0.4">
      <c r="B4342" s="296" t="s">
        <v>23</v>
      </c>
      <c r="C4342" s="296"/>
      <c r="D4342" s="296"/>
    </row>
    <row r="4343" spans="1:16" x14ac:dyDescent="0.4">
      <c r="B4343" s="157"/>
      <c r="C4343" s="157"/>
      <c r="D4343" s="157"/>
    </row>
    <row r="4345" spans="1:16" x14ac:dyDescent="0.4">
      <c r="B4345" s="105" t="s">
        <v>43</v>
      </c>
      <c r="C4345" s="106"/>
      <c r="D4345" s="311" t="s">
        <v>1</v>
      </c>
      <c r="E4345" s="311"/>
      <c r="F4345" s="311"/>
      <c r="G4345" s="311"/>
      <c r="H4345" s="106"/>
      <c r="I4345" s="107" t="s">
        <v>2</v>
      </c>
      <c r="J4345" s="136"/>
      <c r="K4345" s="107" t="s">
        <v>3</v>
      </c>
    </row>
    <row r="4346" spans="1:16" s="4" customFormat="1" ht="30.75" customHeight="1" x14ac:dyDescent="0.3">
      <c r="A4346" s="31"/>
      <c r="B4346" s="213">
        <f>CATALOGO!B116</f>
        <v>101.07</v>
      </c>
      <c r="C4346" s="71"/>
      <c r="D4346" s="324" t="str">
        <f>CATALOGO!C116</f>
        <v>PREPARACIÓN DE ÁREA DE TRABAJO EN REMOZAMIENTO</v>
      </c>
      <c r="E4346" s="324"/>
      <c r="F4346" s="324"/>
      <c r="G4346" s="324"/>
      <c r="H4346" s="71"/>
      <c r="I4346" s="213">
        <f>CATALOGO!D116</f>
        <v>108</v>
      </c>
      <c r="J4346" s="109"/>
      <c r="K4346" s="227" t="str">
        <f>CATALOGO!E116</f>
        <v>m²</v>
      </c>
      <c r="L4346" s="71"/>
      <c r="M4346" s="71"/>
      <c r="N4346" s="104"/>
      <c r="O4346" s="37"/>
      <c r="P4346" s="37"/>
    </row>
    <row r="4347" spans="1:16" ht="17.399999999999999" thickBot="1" x14ac:dyDescent="0.45"/>
    <row r="4348" spans="1:16" ht="17.399999999999999" thickBot="1" x14ac:dyDescent="0.45">
      <c r="B4348" s="110" t="s">
        <v>4</v>
      </c>
      <c r="C4348" s="300" t="s">
        <v>5</v>
      </c>
      <c r="D4348" s="300"/>
      <c r="E4348" s="300"/>
      <c r="F4348" s="300"/>
      <c r="G4348" s="301"/>
    </row>
    <row r="4349" spans="1:16" x14ac:dyDescent="0.3">
      <c r="B4349" s="111" t="s">
        <v>6</v>
      </c>
      <c r="C4349" s="313" t="s">
        <v>1</v>
      </c>
      <c r="D4349" s="314"/>
      <c r="E4349" s="112" t="s">
        <v>193</v>
      </c>
      <c r="F4349" s="113" t="s">
        <v>2</v>
      </c>
      <c r="G4349" s="114" t="s">
        <v>3</v>
      </c>
      <c r="H4349" s="106"/>
      <c r="I4349" s="107" t="s">
        <v>7</v>
      </c>
      <c r="J4349" s="136"/>
      <c r="K4349" s="228" t="s">
        <v>8</v>
      </c>
      <c r="L4349" s="115" t="s">
        <v>194</v>
      </c>
      <c r="O4349" s="323"/>
      <c r="P4349" s="323"/>
    </row>
    <row r="4350" spans="1:16" ht="16.5" customHeight="1" x14ac:dyDescent="0.3">
      <c r="B4350" s="122"/>
      <c r="C4350" s="315"/>
      <c r="D4350" s="316"/>
      <c r="E4350" s="116"/>
      <c r="F4350" s="83"/>
      <c r="G4350" s="74"/>
      <c r="I4350" s="117">
        <f>IF(C4350=0,0,VLOOKUP(C4350,Tabla1[],3,FALSE))</f>
        <v>0</v>
      </c>
      <c r="K4350" s="84">
        <f>F4350*I4350</f>
        <v>0</v>
      </c>
      <c r="L4350" s="118">
        <f t="shared" ref="L4350:L4355" si="662">E4350*I4350</f>
        <v>0</v>
      </c>
      <c r="O4350" s="44"/>
      <c r="P4350" s="45"/>
    </row>
    <row r="4351" spans="1:16" x14ac:dyDescent="0.3">
      <c r="B4351" s="122"/>
      <c r="C4351" s="315"/>
      <c r="D4351" s="316"/>
      <c r="E4351" s="116"/>
      <c r="F4351" s="83"/>
      <c r="G4351" s="74"/>
      <c r="I4351" s="117">
        <f>IF(C4351=0,0,VLOOKUP(C4351,Tabla1[],3,FALSE))</f>
        <v>0</v>
      </c>
      <c r="K4351" s="84">
        <f t="shared" ref="K4351:K4352" si="663">+F4351*I4351</f>
        <v>0</v>
      </c>
      <c r="L4351" s="118">
        <f t="shared" si="662"/>
        <v>0</v>
      </c>
      <c r="O4351" s="44"/>
      <c r="P4351" s="47"/>
    </row>
    <row r="4352" spans="1:16" x14ac:dyDescent="0.4">
      <c r="B4352" s="122"/>
      <c r="C4352" s="315"/>
      <c r="D4352" s="316"/>
      <c r="E4352" s="116"/>
      <c r="F4352" s="83"/>
      <c r="G4352" s="74"/>
      <c r="I4352" s="117">
        <f>IF(C4352=0,0,VLOOKUP(C4352,Tabla1[],3,FALSE))</f>
        <v>0</v>
      </c>
      <c r="K4352" s="84">
        <f t="shared" si="663"/>
        <v>0</v>
      </c>
      <c r="L4352" s="118">
        <f t="shared" si="662"/>
        <v>0</v>
      </c>
      <c r="O4352" s="48"/>
      <c r="P4352" s="49"/>
    </row>
    <row r="4353" spans="2:16" ht="16.5" customHeight="1" x14ac:dyDescent="0.3">
      <c r="B4353" s="122"/>
      <c r="C4353" s="315"/>
      <c r="D4353" s="316"/>
      <c r="E4353" s="116"/>
      <c r="F4353" s="83"/>
      <c r="G4353" s="74"/>
      <c r="I4353" s="117">
        <f>IF(C4353=0,0,VLOOKUP(C4353,Tabla1[],3,FALSE))</f>
        <v>0</v>
      </c>
      <c r="K4353" s="84">
        <f>F4353*I4353</f>
        <v>0</v>
      </c>
      <c r="L4353" s="118">
        <f t="shared" si="662"/>
        <v>0</v>
      </c>
      <c r="O4353" s="44"/>
      <c r="P4353" s="45"/>
    </row>
    <row r="4354" spans="2:16" ht="16.5" customHeight="1" x14ac:dyDescent="0.3">
      <c r="B4354" s="122"/>
      <c r="C4354" s="315"/>
      <c r="D4354" s="316"/>
      <c r="E4354" s="116"/>
      <c r="F4354" s="83"/>
      <c r="G4354" s="74"/>
      <c r="I4354" s="117">
        <f>IF(C4354=0,0,VLOOKUP(C4354,Tabla1[],3,FALSE))</f>
        <v>0</v>
      </c>
      <c r="K4354" s="84">
        <f t="shared" ref="K4354:K4355" si="664">+F4354*I4354</f>
        <v>0</v>
      </c>
      <c r="L4354" s="118">
        <f t="shared" si="662"/>
        <v>0</v>
      </c>
      <c r="O4354" s="44"/>
      <c r="P4354" s="46"/>
    </row>
    <row r="4355" spans="2:16" x14ac:dyDescent="0.3">
      <c r="B4355" s="122"/>
      <c r="C4355" s="315"/>
      <c r="D4355" s="316"/>
      <c r="E4355" s="116"/>
      <c r="F4355" s="83"/>
      <c r="G4355" s="74"/>
      <c r="I4355" s="117">
        <f>IF(C4355=0,0,VLOOKUP(C4355,Tabla1[],3,FALSE))</f>
        <v>0</v>
      </c>
      <c r="K4355" s="84">
        <f t="shared" si="664"/>
        <v>0</v>
      </c>
      <c r="L4355" s="118">
        <f t="shared" si="662"/>
        <v>0</v>
      </c>
      <c r="O4355" s="44"/>
      <c r="P4355" s="46"/>
    </row>
    <row r="4356" spans="2:16" ht="17.399999999999999" thickBot="1" x14ac:dyDescent="0.45"/>
    <row r="4357" spans="2:16" ht="17.399999999999999" thickBot="1" x14ac:dyDescent="0.35">
      <c r="F4357" s="292" t="s">
        <v>9</v>
      </c>
      <c r="G4357" s="293"/>
      <c r="H4357" s="293"/>
      <c r="I4357" s="294"/>
      <c r="K4357" s="229">
        <f>+SUM(K4350:K4355)</f>
        <v>0</v>
      </c>
      <c r="L4357" s="119">
        <f>+SUM(L4350:L4355)</f>
        <v>0</v>
      </c>
      <c r="O4357" s="38"/>
      <c r="P4357" s="38"/>
    </row>
    <row r="4358" spans="2:16" ht="17.399999999999999" thickBot="1" x14ac:dyDescent="0.45">
      <c r="O4358" s="42"/>
      <c r="P4358" s="43"/>
    </row>
    <row r="4359" spans="2:16" ht="17.399999999999999" thickBot="1" x14ac:dyDescent="0.45">
      <c r="B4359" s="110" t="s">
        <v>10</v>
      </c>
      <c r="C4359" s="300" t="s">
        <v>11</v>
      </c>
      <c r="D4359" s="300"/>
      <c r="E4359" s="300"/>
      <c r="F4359" s="300"/>
      <c r="G4359" s="301"/>
    </row>
    <row r="4360" spans="2:16" x14ac:dyDescent="0.4">
      <c r="B4360" s="114" t="s">
        <v>6</v>
      </c>
      <c r="C4360" s="302" t="s">
        <v>1</v>
      </c>
      <c r="D4360" s="303"/>
      <c r="E4360" s="112" t="s">
        <v>193</v>
      </c>
      <c r="F4360" s="120" t="s">
        <v>2</v>
      </c>
      <c r="G4360" s="114" t="s">
        <v>3</v>
      </c>
      <c r="H4360" s="106"/>
      <c r="I4360" s="107" t="s">
        <v>7</v>
      </c>
      <c r="J4360" s="136"/>
      <c r="K4360" s="107" t="s">
        <v>8</v>
      </c>
      <c r="L4360" s="115" t="s">
        <v>194</v>
      </c>
    </row>
    <row r="4361" spans="2:16" x14ac:dyDescent="0.4">
      <c r="B4361" s="122">
        <v>1</v>
      </c>
      <c r="C4361" s="306" t="s">
        <v>190</v>
      </c>
      <c r="D4361" s="306"/>
      <c r="E4361" s="116">
        <f>I4346*0.05</f>
        <v>5.4</v>
      </c>
      <c r="F4361" s="83">
        <f>ROUND(E4361/I4346,2)</f>
        <v>0.05</v>
      </c>
      <c r="G4361" s="74" t="str">
        <f>IF(C4361=0,0,VLOOKUP(C4361,Tabla3[],2,FALSE))</f>
        <v>Viaje</v>
      </c>
      <c r="I4361" s="117">
        <f>IF(C4361=0,0,VLOOKUP(C4361,Tabla3[],3,FALSE))</f>
        <v>200</v>
      </c>
      <c r="K4361" s="84">
        <f>F4361*I4361</f>
        <v>10</v>
      </c>
      <c r="L4361" s="118">
        <f>E4361*I4361</f>
        <v>1080</v>
      </c>
    </row>
    <row r="4362" spans="2:16" x14ac:dyDescent="0.4">
      <c r="B4362" s="74"/>
      <c r="C4362" s="309"/>
      <c r="D4362" s="310"/>
      <c r="E4362" s="121"/>
      <c r="F4362" s="72"/>
      <c r="G4362" s="74"/>
      <c r="I4362" s="117">
        <f>IF(C4362=0,0,VLOOKUP(C4362,Tabla3[],3,FALSE))</f>
        <v>0</v>
      </c>
      <c r="K4362" s="84">
        <f t="shared" ref="K4362:K4364" si="665">+F4362*I4362</f>
        <v>0</v>
      </c>
      <c r="L4362" s="118">
        <f t="shared" ref="L4362:L4364" si="666">E4362*I4362</f>
        <v>0</v>
      </c>
    </row>
    <row r="4363" spans="2:16" x14ac:dyDescent="0.4">
      <c r="B4363" s="74"/>
      <c r="C4363" s="309"/>
      <c r="D4363" s="310"/>
      <c r="E4363" s="121"/>
      <c r="F4363" s="72"/>
      <c r="G4363" s="74"/>
      <c r="I4363" s="117">
        <f>IF(C4363=0,0,VLOOKUP(C4363,Tabla3[],3,FALSE))</f>
        <v>0</v>
      </c>
      <c r="K4363" s="84">
        <f t="shared" si="665"/>
        <v>0</v>
      </c>
      <c r="L4363" s="118">
        <f t="shared" si="666"/>
        <v>0</v>
      </c>
    </row>
    <row r="4364" spans="2:16" x14ac:dyDescent="0.4">
      <c r="B4364" s="74"/>
      <c r="C4364" s="304"/>
      <c r="D4364" s="305"/>
      <c r="E4364" s="121"/>
      <c r="F4364" s="72"/>
      <c r="G4364" s="74"/>
      <c r="I4364" s="117">
        <f>IF(C4364=0,0,VLOOKUP(C4364,Tabla3[],3,FALSE))</f>
        <v>0</v>
      </c>
      <c r="K4364" s="84">
        <f t="shared" si="665"/>
        <v>0</v>
      </c>
      <c r="L4364" s="118">
        <f t="shared" si="666"/>
        <v>0</v>
      </c>
    </row>
    <row r="4365" spans="2:16" ht="17.399999999999999" thickBot="1" x14ac:dyDescent="0.45"/>
    <row r="4366" spans="2:16" ht="17.399999999999999" thickBot="1" x14ac:dyDescent="0.45">
      <c r="F4366" s="292" t="s">
        <v>12</v>
      </c>
      <c r="G4366" s="293"/>
      <c r="H4366" s="293"/>
      <c r="I4366" s="294"/>
      <c r="K4366" s="229">
        <f>+SUM(K4361:K4364)</f>
        <v>10</v>
      </c>
      <c r="L4366" s="119">
        <f>+SUM(L4361:L4364)</f>
        <v>1080</v>
      </c>
    </row>
    <row r="4367" spans="2:16" ht="17.399999999999999" thickBot="1" x14ac:dyDescent="0.45"/>
    <row r="4368" spans="2:16" ht="17.399999999999999" thickBot="1" x14ac:dyDescent="0.45">
      <c r="B4368" s="110" t="s">
        <v>13</v>
      </c>
      <c r="C4368" s="300" t="s">
        <v>14</v>
      </c>
      <c r="D4368" s="300"/>
      <c r="E4368" s="300"/>
      <c r="F4368" s="300"/>
      <c r="G4368" s="301"/>
    </row>
    <row r="4369" spans="2:12" x14ac:dyDescent="0.4">
      <c r="B4369" s="114" t="s">
        <v>6</v>
      </c>
      <c r="C4369" s="302" t="s">
        <v>1</v>
      </c>
      <c r="D4369" s="303"/>
      <c r="E4369" s="112" t="s">
        <v>193</v>
      </c>
      <c r="F4369" s="120" t="s">
        <v>2</v>
      </c>
      <c r="G4369" s="114" t="s">
        <v>3</v>
      </c>
      <c r="H4369" s="106"/>
      <c r="I4369" s="107" t="s">
        <v>7</v>
      </c>
      <c r="J4369" s="136"/>
      <c r="K4369" s="107" t="s">
        <v>8</v>
      </c>
      <c r="L4369" s="115" t="s">
        <v>194</v>
      </c>
    </row>
    <row r="4370" spans="2:12" x14ac:dyDescent="0.4">
      <c r="B4370" s="122"/>
      <c r="C4370" s="306"/>
      <c r="D4370" s="306"/>
      <c r="E4370" s="116"/>
      <c r="F4370" s="83"/>
      <c r="G4370" s="74"/>
      <c r="I4370" s="117">
        <f>IF(C4370=0,0,VLOOKUP(C4370,Tabla3[],3,FALSE))</f>
        <v>0</v>
      </c>
      <c r="K4370" s="84">
        <f>+F4370*I4370</f>
        <v>0</v>
      </c>
      <c r="L4370" s="118">
        <f>E4370*I4370</f>
        <v>0</v>
      </c>
    </row>
    <row r="4371" spans="2:12" x14ac:dyDescent="0.4">
      <c r="B4371" s="122"/>
      <c r="C4371" s="306"/>
      <c r="D4371" s="306"/>
      <c r="E4371" s="116"/>
      <c r="F4371" s="83"/>
      <c r="G4371" s="74"/>
      <c r="I4371" s="117">
        <f>IF(C4371=0,0,VLOOKUP(C4371,Tabla3[],3,FALSE))</f>
        <v>0</v>
      </c>
      <c r="K4371" s="84">
        <f>+F4371*I4371</f>
        <v>0</v>
      </c>
      <c r="L4371" s="118">
        <f>E4371*I4371</f>
        <v>0</v>
      </c>
    </row>
    <row r="4372" spans="2:12" ht="17.399999999999999" thickBot="1" x14ac:dyDescent="0.45">
      <c r="B4372" s="123"/>
      <c r="C4372" s="307"/>
      <c r="D4372" s="308"/>
      <c r="E4372" s="124"/>
      <c r="F4372" s="125"/>
      <c r="G4372" s="74"/>
      <c r="I4372" s="117">
        <f>IF(C4372=0,0,VLOOKUP(C4372,Tabla3[],3,FALSE))</f>
        <v>0</v>
      </c>
      <c r="K4372" s="84">
        <f t="shared" ref="K4372" si="667">+F4372*I4372</f>
        <v>0</v>
      </c>
      <c r="L4372" s="118">
        <f t="shared" ref="L4372:L4373" si="668">E4372*I4372</f>
        <v>0</v>
      </c>
    </row>
    <row r="4373" spans="2:12" ht="17.399999999999999" thickBot="1" x14ac:dyDescent="0.45">
      <c r="B4373" s="297" t="s">
        <v>15</v>
      </c>
      <c r="C4373" s="298"/>
      <c r="D4373" s="298"/>
      <c r="E4373" s="298"/>
      <c r="F4373" s="298"/>
      <c r="G4373" s="299"/>
      <c r="I4373" s="117">
        <f>IF(C4373=0,0,VLOOKUP(C4373,Tabla3[],3,FALSE))</f>
        <v>0</v>
      </c>
      <c r="K4373" s="84">
        <v>0</v>
      </c>
      <c r="L4373" s="118">
        <f t="shared" si="668"/>
        <v>0</v>
      </c>
    </row>
    <row r="4374" spans="2:12" ht="17.399999999999999" thickBot="1" x14ac:dyDescent="0.45"/>
    <row r="4375" spans="2:12" ht="17.399999999999999" thickBot="1" x14ac:dyDescent="0.45">
      <c r="F4375" s="292" t="s">
        <v>16</v>
      </c>
      <c r="G4375" s="293"/>
      <c r="H4375" s="293"/>
      <c r="I4375" s="294"/>
      <c r="K4375" s="229">
        <f>+SUM(K4370:K4373)</f>
        <v>0</v>
      </c>
      <c r="L4375" s="119">
        <f>+SUM(L4370:L4373)</f>
        <v>0</v>
      </c>
    </row>
    <row r="4376" spans="2:12" ht="17.399999999999999" thickBot="1" x14ac:dyDescent="0.45"/>
    <row r="4377" spans="2:12" ht="17.399999999999999" thickBot="1" x14ac:dyDescent="0.45">
      <c r="B4377" s="110" t="s">
        <v>17</v>
      </c>
      <c r="C4377" s="300" t="s">
        <v>18</v>
      </c>
      <c r="D4377" s="300"/>
      <c r="E4377" s="300"/>
      <c r="F4377" s="300"/>
      <c r="G4377" s="301"/>
    </row>
    <row r="4378" spans="2:12" x14ac:dyDescent="0.4">
      <c r="B4378" s="114" t="s">
        <v>6</v>
      </c>
      <c r="C4378" s="302" t="s">
        <v>1</v>
      </c>
      <c r="D4378" s="303"/>
      <c r="E4378" s="126"/>
      <c r="F4378" s="120" t="s">
        <v>2</v>
      </c>
      <c r="G4378" s="114" t="s">
        <v>3</v>
      </c>
      <c r="H4378" s="106"/>
      <c r="I4378" s="107" t="s">
        <v>7</v>
      </c>
      <c r="J4378" s="136"/>
      <c r="K4378" s="107" t="s">
        <v>8</v>
      </c>
      <c r="L4378" s="115" t="s">
        <v>194</v>
      </c>
    </row>
    <row r="4379" spans="2:12" x14ac:dyDescent="0.4">
      <c r="B4379" s="74"/>
      <c r="C4379" s="304"/>
      <c r="D4379" s="305"/>
      <c r="E4379" s="127"/>
      <c r="F4379" s="72"/>
      <c r="G4379" s="74"/>
      <c r="I4379" s="84">
        <v>0</v>
      </c>
      <c r="K4379" s="84">
        <f>+F4379*I4379</f>
        <v>0</v>
      </c>
      <c r="L4379" s="118">
        <f>E4379*I4379</f>
        <v>0</v>
      </c>
    </row>
    <row r="4380" spans="2:12" x14ac:dyDescent="0.4">
      <c r="B4380" s="74"/>
      <c r="C4380" s="304"/>
      <c r="D4380" s="305"/>
      <c r="E4380" s="127"/>
      <c r="F4380" s="72"/>
      <c r="G4380" s="74"/>
      <c r="I4380" s="84">
        <v>0</v>
      </c>
      <c r="K4380" s="84">
        <f t="shared" ref="K4380:K4381" si="669">+F4380*I4380</f>
        <v>0</v>
      </c>
      <c r="L4380" s="118">
        <f t="shared" ref="L4380:L4381" si="670">E4380*I4380</f>
        <v>0</v>
      </c>
    </row>
    <row r="4381" spans="2:12" x14ac:dyDescent="0.4">
      <c r="B4381" s="74"/>
      <c r="C4381" s="304"/>
      <c r="D4381" s="305"/>
      <c r="E4381" s="127"/>
      <c r="F4381" s="72"/>
      <c r="G4381" s="74"/>
      <c r="I4381" s="84">
        <v>0</v>
      </c>
      <c r="K4381" s="84">
        <f t="shared" si="669"/>
        <v>0</v>
      </c>
      <c r="L4381" s="118">
        <f t="shared" si="670"/>
        <v>0</v>
      </c>
    </row>
    <row r="4382" spans="2:12" ht="17.399999999999999" thickBot="1" x14ac:dyDescent="0.45">
      <c r="L4382" s="118"/>
    </row>
    <row r="4383" spans="2:12" ht="17.399999999999999" thickBot="1" x14ac:dyDescent="0.45">
      <c r="F4383" s="292" t="s">
        <v>19</v>
      </c>
      <c r="G4383" s="293"/>
      <c r="H4383" s="293"/>
      <c r="I4383" s="294"/>
      <c r="K4383" s="229">
        <f>+SUM(K4379:K4381)</f>
        <v>0</v>
      </c>
      <c r="L4383" s="119">
        <f>+SUM(L4378:L4381)</f>
        <v>0</v>
      </c>
    </row>
    <row r="4384" spans="2:12" ht="15" customHeight="1" x14ac:dyDescent="0.4">
      <c r="F4384" s="128"/>
      <c r="G4384" s="129"/>
      <c r="H4384" s="130"/>
      <c r="I4384" s="108"/>
      <c r="K4384" s="230"/>
    </row>
    <row r="4385" spans="1:16" ht="15" customHeight="1" thickBot="1" x14ac:dyDescent="0.45"/>
    <row r="4386" spans="1:16" ht="17.399999999999999" thickBot="1" x14ac:dyDescent="0.45">
      <c r="F4386" s="292" t="s">
        <v>20</v>
      </c>
      <c r="G4386" s="293"/>
      <c r="H4386" s="293"/>
      <c r="I4386" s="294"/>
      <c r="K4386" s="229">
        <f>(+K4357+K4366+K4375+K4383)</f>
        <v>10</v>
      </c>
      <c r="L4386" s="119">
        <f>(+L4357+L4366+L4375+L4383)</f>
        <v>1080</v>
      </c>
      <c r="N4386" s="131"/>
      <c r="O4386" s="39"/>
      <c r="P4386" s="40"/>
    </row>
    <row r="4387" spans="1:16" ht="7.5" customHeight="1" thickBot="1" x14ac:dyDescent="0.45">
      <c r="N4387" s="131"/>
      <c r="O4387" s="41"/>
      <c r="P4387" s="40"/>
    </row>
    <row r="4388" spans="1:16" ht="17.399999999999999" thickBot="1" x14ac:dyDescent="0.45">
      <c r="F4388" s="292" t="s">
        <v>21</v>
      </c>
      <c r="G4388" s="293"/>
      <c r="H4388" s="293"/>
      <c r="I4388" s="294"/>
      <c r="K4388" s="229">
        <f>K4386*$N$2</f>
        <v>4</v>
      </c>
      <c r="L4388" s="119">
        <f>L4386*$N$2</f>
        <v>432</v>
      </c>
    </row>
    <row r="4389" spans="1:16" ht="7.5" customHeight="1" thickBot="1" x14ac:dyDescent="0.45"/>
    <row r="4390" spans="1:16" ht="17.399999999999999" thickBot="1" x14ac:dyDescent="0.45">
      <c r="F4390" s="292" t="s">
        <v>22</v>
      </c>
      <c r="G4390" s="293"/>
      <c r="H4390" s="293"/>
      <c r="I4390" s="294"/>
      <c r="K4390" s="229">
        <f>+K4386+K4388</f>
        <v>14</v>
      </c>
      <c r="L4390" s="119">
        <f>+L4386+L4388</f>
        <v>1512</v>
      </c>
    </row>
    <row r="4391" spans="1:16" ht="17.399999999999999" thickBot="1" x14ac:dyDescent="0.45">
      <c r="F4391" s="128"/>
      <c r="G4391" s="129"/>
      <c r="H4391" s="130"/>
      <c r="I4391" s="108"/>
      <c r="K4391" s="231"/>
      <c r="L4391" s="132">
        <f>L4390/I4346</f>
        <v>14</v>
      </c>
      <c r="M4391" s="133">
        <f>(K4390-L4391)*I4346</f>
        <v>0</v>
      </c>
    </row>
    <row r="4392" spans="1:16" x14ac:dyDescent="0.4">
      <c r="F4392" s="128"/>
      <c r="G4392" s="129"/>
      <c r="H4392" s="130"/>
      <c r="I4392" s="108"/>
      <c r="K4392" s="232"/>
      <c r="L4392" s="131"/>
      <c r="M4392" s="134"/>
      <c r="N4392" s="135"/>
    </row>
    <row r="4393" spans="1:16" ht="17.399999999999999" thickBot="1" x14ac:dyDescent="0.45">
      <c r="B4393" s="295"/>
      <c r="C4393" s="295"/>
      <c r="D4393" s="295"/>
    </row>
    <row r="4394" spans="1:16" x14ac:dyDescent="0.4">
      <c r="B4394" s="296" t="s">
        <v>23</v>
      </c>
      <c r="C4394" s="296"/>
      <c r="D4394" s="296"/>
    </row>
    <row r="4395" spans="1:16" x14ac:dyDescent="0.4">
      <c r="B4395" s="157"/>
      <c r="C4395" s="157"/>
      <c r="D4395" s="157"/>
    </row>
    <row r="4397" spans="1:16" x14ac:dyDescent="0.4">
      <c r="B4397" s="105" t="s">
        <v>43</v>
      </c>
      <c r="C4397" s="106"/>
      <c r="D4397" s="311" t="s">
        <v>1</v>
      </c>
      <c r="E4397" s="311"/>
      <c r="F4397" s="311"/>
      <c r="G4397" s="311"/>
      <c r="H4397" s="106"/>
      <c r="I4397" s="107" t="s">
        <v>2</v>
      </c>
      <c r="J4397" s="136"/>
      <c r="K4397" s="107" t="s">
        <v>3</v>
      </c>
    </row>
    <row r="4398" spans="1:16" s="4" customFormat="1" ht="30.75" customHeight="1" x14ac:dyDescent="0.3">
      <c r="A4398" s="31"/>
      <c r="B4398" s="213">
        <f>CATALOGO!B117</f>
        <v>115.02</v>
      </c>
      <c r="C4398" s="71"/>
      <c r="D4398" s="324" t="str">
        <f>CATALOGO!C117</f>
        <v>DESMONTAJE DE PUERTA DE METAL (UNA HOJA)</v>
      </c>
      <c r="E4398" s="324"/>
      <c r="F4398" s="324"/>
      <c r="G4398" s="324"/>
      <c r="H4398" s="71"/>
      <c r="I4398" s="213">
        <f>CATALOGO!D117</f>
        <v>2</v>
      </c>
      <c r="J4398" s="109"/>
      <c r="K4398" s="227" t="str">
        <f>CATALOGO!E117</f>
        <v>Unidad</v>
      </c>
      <c r="L4398" s="71"/>
      <c r="M4398" s="71"/>
      <c r="N4398" s="104"/>
      <c r="O4398" s="37"/>
      <c r="P4398" s="37"/>
    </row>
    <row r="4399" spans="1:16" ht="17.399999999999999" thickBot="1" x14ac:dyDescent="0.45"/>
    <row r="4400" spans="1:16" ht="17.399999999999999" thickBot="1" x14ac:dyDescent="0.45">
      <c r="B4400" s="110" t="s">
        <v>4</v>
      </c>
      <c r="C4400" s="300" t="s">
        <v>5</v>
      </c>
      <c r="D4400" s="300"/>
      <c r="E4400" s="300"/>
      <c r="F4400" s="300"/>
      <c r="G4400" s="301"/>
    </row>
    <row r="4401" spans="2:16" x14ac:dyDescent="0.3">
      <c r="B4401" s="111" t="s">
        <v>6</v>
      </c>
      <c r="C4401" s="313" t="s">
        <v>1</v>
      </c>
      <c r="D4401" s="314"/>
      <c r="E4401" s="112" t="s">
        <v>193</v>
      </c>
      <c r="F4401" s="113" t="s">
        <v>2</v>
      </c>
      <c r="G4401" s="114" t="s">
        <v>3</v>
      </c>
      <c r="H4401" s="106"/>
      <c r="I4401" s="107" t="s">
        <v>7</v>
      </c>
      <c r="J4401" s="136"/>
      <c r="K4401" s="228" t="s">
        <v>8</v>
      </c>
      <c r="L4401" s="115" t="s">
        <v>194</v>
      </c>
      <c r="O4401" s="323"/>
      <c r="P4401" s="323"/>
    </row>
    <row r="4402" spans="2:16" ht="16.5" customHeight="1" x14ac:dyDescent="0.3">
      <c r="B4402" s="122"/>
      <c r="C4402" s="315"/>
      <c r="D4402" s="316"/>
      <c r="E4402" s="116"/>
      <c r="F4402" s="83"/>
      <c r="G4402" s="74"/>
      <c r="I4402" s="117">
        <f>IF(C4402=0,0,VLOOKUP(C4402,Tabla1[],3,FALSE))</f>
        <v>0</v>
      </c>
      <c r="K4402" s="84">
        <f>F4402*I4402</f>
        <v>0</v>
      </c>
      <c r="L4402" s="118">
        <f t="shared" ref="L4402:L4407" si="671">E4402*I4402</f>
        <v>0</v>
      </c>
      <c r="O4402" s="44"/>
      <c r="P4402" s="45"/>
    </row>
    <row r="4403" spans="2:16" x14ac:dyDescent="0.3">
      <c r="B4403" s="122"/>
      <c r="C4403" s="315"/>
      <c r="D4403" s="316"/>
      <c r="E4403" s="116"/>
      <c r="F4403" s="83"/>
      <c r="G4403" s="74"/>
      <c r="I4403" s="117">
        <f>IF(C4403=0,0,VLOOKUP(C4403,Tabla1[],3,FALSE))</f>
        <v>0</v>
      </c>
      <c r="K4403" s="84">
        <f t="shared" ref="K4403:K4404" si="672">+F4403*I4403</f>
        <v>0</v>
      </c>
      <c r="L4403" s="118">
        <f t="shared" si="671"/>
        <v>0</v>
      </c>
      <c r="O4403" s="44"/>
      <c r="P4403" s="47"/>
    </row>
    <row r="4404" spans="2:16" x14ac:dyDescent="0.4">
      <c r="B4404" s="122"/>
      <c r="C4404" s="315"/>
      <c r="D4404" s="316"/>
      <c r="E4404" s="116"/>
      <c r="F4404" s="83"/>
      <c r="G4404" s="74"/>
      <c r="I4404" s="117">
        <f>IF(C4404=0,0,VLOOKUP(C4404,Tabla1[],3,FALSE))</f>
        <v>0</v>
      </c>
      <c r="K4404" s="84">
        <f t="shared" si="672"/>
        <v>0</v>
      </c>
      <c r="L4404" s="118">
        <f t="shared" si="671"/>
        <v>0</v>
      </c>
      <c r="O4404" s="48"/>
      <c r="P4404" s="49"/>
    </row>
    <row r="4405" spans="2:16" ht="16.5" customHeight="1" x14ac:dyDescent="0.3">
      <c r="B4405" s="122"/>
      <c r="C4405" s="315"/>
      <c r="D4405" s="316"/>
      <c r="E4405" s="116"/>
      <c r="F4405" s="83"/>
      <c r="G4405" s="74"/>
      <c r="I4405" s="117">
        <f>IF(C4405=0,0,VLOOKUP(C4405,Tabla1[],3,FALSE))</f>
        <v>0</v>
      </c>
      <c r="K4405" s="84">
        <f>F4405*I4405</f>
        <v>0</v>
      </c>
      <c r="L4405" s="118">
        <f t="shared" si="671"/>
        <v>0</v>
      </c>
      <c r="O4405" s="44"/>
      <c r="P4405" s="45"/>
    </row>
    <row r="4406" spans="2:16" ht="16.5" customHeight="1" x14ac:dyDescent="0.3">
      <c r="B4406" s="122"/>
      <c r="C4406" s="315"/>
      <c r="D4406" s="316"/>
      <c r="E4406" s="116"/>
      <c r="F4406" s="83"/>
      <c r="G4406" s="74"/>
      <c r="I4406" s="117">
        <f>IF(C4406=0,0,VLOOKUP(C4406,Tabla1[],3,FALSE))</f>
        <v>0</v>
      </c>
      <c r="K4406" s="84">
        <f t="shared" ref="K4406:K4407" si="673">+F4406*I4406</f>
        <v>0</v>
      </c>
      <c r="L4406" s="118">
        <f t="shared" si="671"/>
        <v>0</v>
      </c>
      <c r="O4406" s="44"/>
      <c r="P4406" s="46"/>
    </row>
    <row r="4407" spans="2:16" x14ac:dyDescent="0.3">
      <c r="B4407" s="122"/>
      <c r="C4407" s="315"/>
      <c r="D4407" s="316"/>
      <c r="E4407" s="116"/>
      <c r="F4407" s="83"/>
      <c r="G4407" s="74"/>
      <c r="I4407" s="117">
        <f>IF(C4407=0,0,VLOOKUP(C4407,Tabla1[],3,FALSE))</f>
        <v>0</v>
      </c>
      <c r="K4407" s="84">
        <f t="shared" si="673"/>
        <v>0</v>
      </c>
      <c r="L4407" s="118">
        <f t="shared" si="671"/>
        <v>0</v>
      </c>
      <c r="O4407" s="44"/>
      <c r="P4407" s="46"/>
    </row>
    <row r="4408" spans="2:16" ht="17.399999999999999" thickBot="1" x14ac:dyDescent="0.45"/>
    <row r="4409" spans="2:16" ht="17.399999999999999" thickBot="1" x14ac:dyDescent="0.35">
      <c r="F4409" s="292" t="s">
        <v>9</v>
      </c>
      <c r="G4409" s="293"/>
      <c r="H4409" s="293"/>
      <c r="I4409" s="294"/>
      <c r="K4409" s="229">
        <f>+SUM(K4402:K4407)</f>
        <v>0</v>
      </c>
      <c r="L4409" s="119">
        <f>+SUM(L4402:L4407)</f>
        <v>0</v>
      </c>
      <c r="O4409" s="38"/>
      <c r="P4409" s="38"/>
    </row>
    <row r="4410" spans="2:16" ht="17.399999999999999" thickBot="1" x14ac:dyDescent="0.45">
      <c r="O4410" s="42"/>
      <c r="P4410" s="43"/>
    </row>
    <row r="4411" spans="2:16" ht="17.399999999999999" thickBot="1" x14ac:dyDescent="0.45">
      <c r="B4411" s="110" t="s">
        <v>10</v>
      </c>
      <c r="C4411" s="300" t="s">
        <v>11</v>
      </c>
      <c r="D4411" s="300"/>
      <c r="E4411" s="300"/>
      <c r="F4411" s="300"/>
      <c r="G4411" s="301"/>
    </row>
    <row r="4412" spans="2:16" x14ac:dyDescent="0.4">
      <c r="B4412" s="114" t="s">
        <v>6</v>
      </c>
      <c r="C4412" s="302" t="s">
        <v>1</v>
      </c>
      <c r="D4412" s="303"/>
      <c r="E4412" s="112" t="s">
        <v>193</v>
      </c>
      <c r="F4412" s="120" t="s">
        <v>2</v>
      </c>
      <c r="G4412" s="114" t="s">
        <v>3</v>
      </c>
      <c r="H4412" s="106"/>
      <c r="I4412" s="107" t="s">
        <v>7</v>
      </c>
      <c r="J4412" s="136"/>
      <c r="K4412" s="107" t="s">
        <v>8</v>
      </c>
      <c r="L4412" s="115" t="s">
        <v>194</v>
      </c>
    </row>
    <row r="4413" spans="2:16" x14ac:dyDescent="0.4">
      <c r="B4413" s="122"/>
      <c r="C4413" s="306"/>
      <c r="D4413" s="306"/>
      <c r="E4413" s="116"/>
      <c r="F4413" s="83"/>
      <c r="G4413" s="74"/>
      <c r="I4413" s="117">
        <f>IF(C4413=0,0,VLOOKUP(C4413,Tabla1[],3,FALSE))</f>
        <v>0</v>
      </c>
      <c r="K4413" s="84">
        <f>F4413*I4413</f>
        <v>0</v>
      </c>
      <c r="L4413" s="118">
        <f>E4413*I4413</f>
        <v>0</v>
      </c>
    </row>
    <row r="4414" spans="2:16" x14ac:dyDescent="0.4">
      <c r="B4414" s="74"/>
      <c r="C4414" s="309"/>
      <c r="D4414" s="310"/>
      <c r="E4414" s="121"/>
      <c r="F4414" s="72"/>
      <c r="G4414" s="74"/>
      <c r="I4414" s="117">
        <f>IF(C4414=0,0,VLOOKUP(C4414,Tabla1[],3,FALSE))</f>
        <v>0</v>
      </c>
      <c r="K4414" s="84">
        <f t="shared" ref="K4414:K4416" si="674">+F4414*I4414</f>
        <v>0</v>
      </c>
      <c r="L4414" s="118">
        <f t="shared" ref="L4414:L4416" si="675">E4414*I4414</f>
        <v>0</v>
      </c>
    </row>
    <row r="4415" spans="2:16" x14ac:dyDescent="0.4">
      <c r="B4415" s="74"/>
      <c r="C4415" s="309"/>
      <c r="D4415" s="310"/>
      <c r="E4415" s="121"/>
      <c r="F4415" s="72"/>
      <c r="G4415" s="74"/>
      <c r="I4415" s="117">
        <f>IF(C4415=0,0,VLOOKUP(C4415,Tabla1[],3,FALSE))</f>
        <v>0</v>
      </c>
      <c r="K4415" s="84">
        <f t="shared" si="674"/>
        <v>0</v>
      </c>
      <c r="L4415" s="118">
        <f t="shared" si="675"/>
        <v>0</v>
      </c>
    </row>
    <row r="4416" spans="2:16" x14ac:dyDescent="0.4">
      <c r="B4416" s="74"/>
      <c r="C4416" s="304"/>
      <c r="D4416" s="305"/>
      <c r="E4416" s="121"/>
      <c r="F4416" s="72"/>
      <c r="G4416" s="74"/>
      <c r="I4416" s="117">
        <f>IF(C4416=0,0,VLOOKUP(C4416,Tabla1[],3,FALSE))</f>
        <v>0</v>
      </c>
      <c r="K4416" s="84">
        <f t="shared" si="674"/>
        <v>0</v>
      </c>
      <c r="L4416" s="118">
        <f t="shared" si="675"/>
        <v>0</v>
      </c>
    </row>
    <row r="4417" spans="2:12" ht="17.399999999999999" thickBot="1" x14ac:dyDescent="0.45"/>
    <row r="4418" spans="2:12" ht="17.399999999999999" thickBot="1" x14ac:dyDescent="0.45">
      <c r="F4418" s="292" t="s">
        <v>12</v>
      </c>
      <c r="G4418" s="293"/>
      <c r="H4418" s="293"/>
      <c r="I4418" s="294"/>
      <c r="K4418" s="229">
        <f>+SUM(K4413:K4416)</f>
        <v>0</v>
      </c>
      <c r="L4418" s="119">
        <f>+SUM(L4413:L4416)</f>
        <v>0</v>
      </c>
    </row>
    <row r="4419" spans="2:12" ht="17.399999999999999" thickBot="1" x14ac:dyDescent="0.45"/>
    <row r="4420" spans="2:12" ht="17.399999999999999" thickBot="1" x14ac:dyDescent="0.45">
      <c r="B4420" s="110" t="s">
        <v>13</v>
      </c>
      <c r="C4420" s="300" t="s">
        <v>14</v>
      </c>
      <c r="D4420" s="300"/>
      <c r="E4420" s="300"/>
      <c r="F4420" s="300"/>
      <c r="G4420" s="301"/>
    </row>
    <row r="4421" spans="2:12" x14ac:dyDescent="0.4">
      <c r="B4421" s="114" t="s">
        <v>6</v>
      </c>
      <c r="C4421" s="302" t="s">
        <v>1</v>
      </c>
      <c r="D4421" s="303"/>
      <c r="E4421" s="112" t="s">
        <v>193</v>
      </c>
      <c r="F4421" s="120" t="s">
        <v>2</v>
      </c>
      <c r="G4421" s="114" t="s">
        <v>3</v>
      </c>
      <c r="H4421" s="106"/>
      <c r="I4421" s="107" t="s">
        <v>7</v>
      </c>
      <c r="J4421" s="136"/>
      <c r="K4421" s="107" t="s">
        <v>8</v>
      </c>
      <c r="L4421" s="115" t="s">
        <v>194</v>
      </c>
    </row>
    <row r="4422" spans="2:12" x14ac:dyDescent="0.4">
      <c r="B4422" s="122">
        <v>1</v>
      </c>
      <c r="C4422" s="306" t="s">
        <v>394</v>
      </c>
      <c r="D4422" s="306"/>
      <c r="E4422" s="116">
        <f>I4398</f>
        <v>2</v>
      </c>
      <c r="F4422" s="83">
        <f>ROUND(E4422/I4398,2)</f>
        <v>1</v>
      </c>
      <c r="G4422" s="74" t="str">
        <f>IF(C4422=0,0,VLOOKUP(C4422,Tabla2[],2,FALSE))</f>
        <v>Unidad</v>
      </c>
      <c r="I4422" s="117">
        <f>IF(C4422=0,0,VLOOKUP(C4422,Tabla2[],3,FALSE))</f>
        <v>220</v>
      </c>
      <c r="K4422" s="84">
        <f>+F4422*I4422</f>
        <v>220</v>
      </c>
      <c r="L4422" s="118">
        <f>E4422*I4422</f>
        <v>440</v>
      </c>
    </row>
    <row r="4423" spans="2:12" x14ac:dyDescent="0.4">
      <c r="B4423" s="122"/>
      <c r="C4423" s="306"/>
      <c r="D4423" s="306"/>
      <c r="E4423" s="116"/>
      <c r="F4423" s="83"/>
      <c r="G4423" s="74"/>
      <c r="I4423" s="117">
        <f>IF(C4423=0,0,VLOOKUP(C4423,Tabla2[],3,FALSE))</f>
        <v>0</v>
      </c>
      <c r="K4423" s="84">
        <f>+F4423*I4423</f>
        <v>0</v>
      </c>
      <c r="L4423" s="118">
        <f>E4423*I4423</f>
        <v>0</v>
      </c>
    </row>
    <row r="4424" spans="2:12" ht="17.399999999999999" thickBot="1" x14ac:dyDescent="0.45">
      <c r="B4424" s="123"/>
      <c r="C4424" s="307"/>
      <c r="D4424" s="308"/>
      <c r="E4424" s="124"/>
      <c r="F4424" s="125"/>
      <c r="G4424" s="74"/>
      <c r="I4424" s="117">
        <f>IF(C4424=0,0,VLOOKUP(C4424,Tabla2[],3,FALSE))</f>
        <v>0</v>
      </c>
      <c r="K4424" s="84">
        <f t="shared" ref="K4424" si="676">+F4424*I4424</f>
        <v>0</v>
      </c>
      <c r="L4424" s="118">
        <f t="shared" ref="L4424:L4425" si="677">E4424*I4424</f>
        <v>0</v>
      </c>
    </row>
    <row r="4425" spans="2:12" ht="17.399999999999999" thickBot="1" x14ac:dyDescent="0.45">
      <c r="B4425" s="297" t="s">
        <v>15</v>
      </c>
      <c r="C4425" s="298"/>
      <c r="D4425" s="298"/>
      <c r="E4425" s="298"/>
      <c r="F4425" s="298"/>
      <c r="G4425" s="299"/>
      <c r="I4425" s="117">
        <f>IF(C4425=0,0,VLOOKUP(C4425,Tabla2[],3,FALSE))</f>
        <v>0</v>
      </c>
      <c r="K4425" s="84">
        <v>0</v>
      </c>
      <c r="L4425" s="118">
        <f t="shared" si="677"/>
        <v>0</v>
      </c>
    </row>
    <row r="4426" spans="2:12" ht="17.399999999999999" thickBot="1" x14ac:dyDescent="0.45"/>
    <row r="4427" spans="2:12" ht="17.399999999999999" thickBot="1" x14ac:dyDescent="0.45">
      <c r="F4427" s="292" t="s">
        <v>16</v>
      </c>
      <c r="G4427" s="293"/>
      <c r="H4427" s="293"/>
      <c r="I4427" s="294"/>
      <c r="K4427" s="229">
        <f>+SUM(K4422:K4425)</f>
        <v>220</v>
      </c>
      <c r="L4427" s="119">
        <f>+SUM(L4422:L4425)</f>
        <v>440</v>
      </c>
    </row>
    <row r="4428" spans="2:12" ht="17.399999999999999" thickBot="1" x14ac:dyDescent="0.45"/>
    <row r="4429" spans="2:12" ht="17.399999999999999" thickBot="1" x14ac:dyDescent="0.45">
      <c r="B4429" s="110" t="s">
        <v>17</v>
      </c>
      <c r="C4429" s="300" t="s">
        <v>18</v>
      </c>
      <c r="D4429" s="300"/>
      <c r="E4429" s="300"/>
      <c r="F4429" s="300"/>
      <c r="G4429" s="301"/>
    </row>
    <row r="4430" spans="2:12" x14ac:dyDescent="0.4">
      <c r="B4430" s="114" t="s">
        <v>6</v>
      </c>
      <c r="C4430" s="302" t="s">
        <v>1</v>
      </c>
      <c r="D4430" s="303"/>
      <c r="E4430" s="126"/>
      <c r="F4430" s="120" t="s">
        <v>2</v>
      </c>
      <c r="G4430" s="114" t="s">
        <v>3</v>
      </c>
      <c r="H4430" s="106"/>
      <c r="I4430" s="107" t="s">
        <v>7</v>
      </c>
      <c r="J4430" s="136"/>
      <c r="K4430" s="107" t="s">
        <v>8</v>
      </c>
      <c r="L4430" s="115" t="s">
        <v>194</v>
      </c>
    </row>
    <row r="4431" spans="2:12" x14ac:dyDescent="0.4">
      <c r="B4431" s="74"/>
      <c r="C4431" s="304"/>
      <c r="D4431" s="305"/>
      <c r="E4431" s="127"/>
      <c r="F4431" s="72"/>
      <c r="G4431" s="74"/>
      <c r="I4431" s="84">
        <v>0</v>
      </c>
      <c r="K4431" s="84">
        <f>+F4431*I4431</f>
        <v>0</v>
      </c>
      <c r="L4431" s="118">
        <f>E4431*I4431</f>
        <v>0</v>
      </c>
    </row>
    <row r="4432" spans="2:12" x14ac:dyDescent="0.4">
      <c r="B4432" s="74"/>
      <c r="C4432" s="304"/>
      <c r="D4432" s="305"/>
      <c r="E4432" s="127"/>
      <c r="F4432" s="72"/>
      <c r="G4432" s="74"/>
      <c r="I4432" s="84">
        <v>0</v>
      </c>
      <c r="K4432" s="84">
        <f t="shared" ref="K4432:K4433" si="678">+F4432*I4432</f>
        <v>0</v>
      </c>
      <c r="L4432" s="118">
        <f t="shared" ref="L4432:L4433" si="679">E4432*I4432</f>
        <v>0</v>
      </c>
    </row>
    <row r="4433" spans="2:16" x14ac:dyDescent="0.4">
      <c r="B4433" s="74"/>
      <c r="C4433" s="304"/>
      <c r="D4433" s="305"/>
      <c r="E4433" s="127"/>
      <c r="F4433" s="72"/>
      <c r="G4433" s="74"/>
      <c r="I4433" s="84">
        <v>0</v>
      </c>
      <c r="K4433" s="84">
        <f t="shared" si="678"/>
        <v>0</v>
      </c>
      <c r="L4433" s="118">
        <f t="shared" si="679"/>
        <v>0</v>
      </c>
    </row>
    <row r="4434" spans="2:16" ht="17.399999999999999" thickBot="1" x14ac:dyDescent="0.45">
      <c r="L4434" s="118"/>
    </row>
    <row r="4435" spans="2:16" ht="17.399999999999999" thickBot="1" x14ac:dyDescent="0.45">
      <c r="F4435" s="292" t="s">
        <v>19</v>
      </c>
      <c r="G4435" s="293"/>
      <c r="H4435" s="293"/>
      <c r="I4435" s="294"/>
      <c r="K4435" s="229">
        <f>+SUM(K4431:K4433)</f>
        <v>0</v>
      </c>
      <c r="L4435" s="119">
        <f>+SUM(L4430:L4433)</f>
        <v>0</v>
      </c>
    </row>
    <row r="4436" spans="2:16" ht="15" customHeight="1" x14ac:dyDescent="0.4">
      <c r="F4436" s="128"/>
      <c r="G4436" s="129"/>
      <c r="H4436" s="130"/>
      <c r="I4436" s="108"/>
      <c r="K4436" s="230"/>
    </row>
    <row r="4437" spans="2:16" ht="15" customHeight="1" thickBot="1" x14ac:dyDescent="0.45"/>
    <row r="4438" spans="2:16" ht="17.399999999999999" thickBot="1" x14ac:dyDescent="0.45">
      <c r="F4438" s="292" t="s">
        <v>20</v>
      </c>
      <c r="G4438" s="293"/>
      <c r="H4438" s="293"/>
      <c r="I4438" s="294"/>
      <c r="K4438" s="229">
        <f>(+K4409+K4418+K4427+K4435)</f>
        <v>220</v>
      </c>
      <c r="L4438" s="119">
        <f>(+L4409+L4418+L4427+L4435)</f>
        <v>440</v>
      </c>
      <c r="N4438" s="131"/>
      <c r="O4438" s="39"/>
      <c r="P4438" s="40"/>
    </row>
    <row r="4439" spans="2:16" ht="7.5" customHeight="1" thickBot="1" x14ac:dyDescent="0.45">
      <c r="N4439" s="131"/>
      <c r="O4439" s="41"/>
      <c r="P4439" s="40"/>
    </row>
    <row r="4440" spans="2:16" ht="17.399999999999999" thickBot="1" x14ac:dyDescent="0.45">
      <c r="F4440" s="292" t="s">
        <v>21</v>
      </c>
      <c r="G4440" s="293"/>
      <c r="H4440" s="293"/>
      <c r="I4440" s="294"/>
      <c r="K4440" s="229">
        <f>K4438*$N$2</f>
        <v>88</v>
      </c>
      <c r="L4440" s="119">
        <f>L4438*$N$2</f>
        <v>176</v>
      </c>
    </row>
    <row r="4441" spans="2:16" ht="7.5" customHeight="1" thickBot="1" x14ac:dyDescent="0.45"/>
    <row r="4442" spans="2:16" ht="17.399999999999999" thickBot="1" x14ac:dyDescent="0.45">
      <c r="F4442" s="292" t="s">
        <v>22</v>
      </c>
      <c r="G4442" s="293"/>
      <c r="H4442" s="293"/>
      <c r="I4442" s="294"/>
      <c r="K4442" s="229">
        <f>+K4438+K4440</f>
        <v>308</v>
      </c>
      <c r="L4442" s="119">
        <f>+L4438+L4440</f>
        <v>616</v>
      </c>
    </row>
    <row r="4443" spans="2:16" ht="17.399999999999999" thickBot="1" x14ac:dyDescent="0.45">
      <c r="F4443" s="128"/>
      <c r="G4443" s="129"/>
      <c r="H4443" s="130"/>
      <c r="I4443" s="108"/>
      <c r="K4443" s="231"/>
      <c r="L4443" s="132">
        <f>L4442/I4398</f>
        <v>308</v>
      </c>
      <c r="M4443" s="133">
        <f>(K4442-L4443)*I4398</f>
        <v>0</v>
      </c>
    </row>
    <row r="4444" spans="2:16" x14ac:dyDescent="0.4">
      <c r="F4444" s="128"/>
      <c r="G4444" s="129"/>
      <c r="H4444" s="130"/>
      <c r="I4444" s="108"/>
      <c r="K4444" s="232"/>
      <c r="L4444" s="131"/>
      <c r="M4444" s="134"/>
      <c r="N4444" s="135"/>
    </row>
    <row r="4445" spans="2:16" ht="17.399999999999999" thickBot="1" x14ac:dyDescent="0.45">
      <c r="B4445" s="295"/>
      <c r="C4445" s="295"/>
      <c r="D4445" s="295"/>
    </row>
    <row r="4446" spans="2:16" x14ac:dyDescent="0.4">
      <c r="B4446" s="296" t="s">
        <v>23</v>
      </c>
      <c r="C4446" s="296"/>
      <c r="D4446" s="296"/>
    </row>
    <row r="4449" spans="1:16" x14ac:dyDescent="0.4">
      <c r="B4449" s="105" t="s">
        <v>43</v>
      </c>
      <c r="C4449" s="106"/>
      <c r="D4449" s="311" t="s">
        <v>1</v>
      </c>
      <c r="E4449" s="311"/>
      <c r="F4449" s="311"/>
      <c r="G4449" s="311"/>
      <c r="H4449" s="106"/>
      <c r="I4449" s="107" t="s">
        <v>2</v>
      </c>
      <c r="J4449" s="136"/>
      <c r="K4449" s="107" t="s">
        <v>3</v>
      </c>
    </row>
    <row r="4450" spans="1:16" s="4" customFormat="1" ht="30.75" customHeight="1" x14ac:dyDescent="0.3">
      <c r="A4450" s="31"/>
      <c r="B4450" s="213">
        <f>CATALOGO!B119</f>
        <v>508.01</v>
      </c>
      <c r="C4450" s="71"/>
      <c r="D4450" s="324" t="str">
        <f>CATALOGO!C119</f>
        <v>CUBIERTA TIPO PANEL SÁDWICH (T=1.5", LÁMINA CAL 26)</v>
      </c>
      <c r="E4450" s="324"/>
      <c r="F4450" s="324"/>
      <c r="G4450" s="324"/>
      <c r="H4450" s="71"/>
      <c r="I4450" s="213">
        <f>CATALOGO!D119</f>
        <v>156</v>
      </c>
      <c r="J4450" s="109"/>
      <c r="K4450" s="227" t="str">
        <f>CATALOGO!E119</f>
        <v>m²</v>
      </c>
      <c r="L4450" s="71"/>
      <c r="M4450" s="71"/>
      <c r="N4450" s="104"/>
      <c r="O4450" s="37"/>
      <c r="P4450" s="37"/>
    </row>
    <row r="4451" spans="1:16" ht="17.399999999999999" thickBot="1" x14ac:dyDescent="0.45"/>
    <row r="4452" spans="1:16" ht="17.399999999999999" thickBot="1" x14ac:dyDescent="0.45">
      <c r="B4452" s="110" t="s">
        <v>4</v>
      </c>
      <c r="C4452" s="300" t="s">
        <v>5</v>
      </c>
      <c r="D4452" s="300"/>
      <c r="E4452" s="300"/>
      <c r="F4452" s="300"/>
      <c r="G4452" s="301"/>
    </row>
    <row r="4453" spans="1:16" x14ac:dyDescent="0.3">
      <c r="B4453" s="111" t="s">
        <v>6</v>
      </c>
      <c r="C4453" s="313" t="s">
        <v>1</v>
      </c>
      <c r="D4453" s="314"/>
      <c r="E4453" s="112" t="s">
        <v>193</v>
      </c>
      <c r="F4453" s="113" t="s">
        <v>2</v>
      </c>
      <c r="G4453" s="114" t="s">
        <v>3</v>
      </c>
      <c r="H4453" s="106"/>
      <c r="I4453" s="107" t="s">
        <v>7</v>
      </c>
      <c r="J4453" s="136"/>
      <c r="K4453" s="228" t="s">
        <v>8</v>
      </c>
      <c r="L4453" s="115" t="s">
        <v>194</v>
      </c>
      <c r="O4453" s="323"/>
      <c r="P4453" s="323"/>
    </row>
    <row r="4454" spans="1:16" ht="16.5" customHeight="1" x14ac:dyDescent="0.3">
      <c r="B4454" s="122">
        <v>1</v>
      </c>
      <c r="C4454" s="315" t="s">
        <v>596</v>
      </c>
      <c r="D4454" s="316"/>
      <c r="E4454" s="116">
        <f>I4450*0.9</f>
        <v>140.4</v>
      </c>
      <c r="F4454" s="83">
        <f>ROUND(E4454/I4450,2)</f>
        <v>0.9</v>
      </c>
      <c r="G4454" s="74" t="str">
        <f>IF(C4454=0,0,VLOOKUP(C4454,Tabla1[],2,FALSE))</f>
        <v>m²</v>
      </c>
      <c r="I4454" s="117">
        <f>IF(C4454=0,0,VLOOKUP(C4454,Tabla1[],3,FALSE))</f>
        <v>250</v>
      </c>
      <c r="K4454" s="84">
        <f>F4454*I4454</f>
        <v>225</v>
      </c>
      <c r="L4454" s="118">
        <f t="shared" ref="L4454:L4460" si="680">E4454*I4454</f>
        <v>35100</v>
      </c>
      <c r="O4454" s="44"/>
      <c r="P4454" s="45"/>
    </row>
    <row r="4455" spans="1:16" x14ac:dyDescent="0.3">
      <c r="B4455" s="122">
        <v>2</v>
      </c>
      <c r="C4455" s="315" t="s">
        <v>597</v>
      </c>
      <c r="D4455" s="316"/>
      <c r="E4455" s="116">
        <f>I4450*0.52</f>
        <v>81.12</v>
      </c>
      <c r="F4455" s="83">
        <f>ROUND(E4455/I4450,2)</f>
        <v>0.52</v>
      </c>
      <c r="G4455" s="74" t="str">
        <f>IF(C4455=0,0,VLOOKUP(C4455,Tabla1[],2,FALSE))</f>
        <v>ml</v>
      </c>
      <c r="I4455" s="117">
        <f>IF(C4455=0,0,VLOOKUP(C4455,Tabla1[],3,FALSE))</f>
        <v>45</v>
      </c>
      <c r="K4455" s="84">
        <f t="shared" ref="K4455:K4456" si="681">+F4455*I4455</f>
        <v>23.400000000000002</v>
      </c>
      <c r="L4455" s="118">
        <f t="shared" si="680"/>
        <v>3650.4</v>
      </c>
      <c r="O4455" s="44"/>
      <c r="P4455" s="47"/>
    </row>
    <row r="4456" spans="1:16" x14ac:dyDescent="0.4">
      <c r="B4456" s="122">
        <v>3</v>
      </c>
      <c r="C4456" s="315" t="s">
        <v>598</v>
      </c>
      <c r="D4456" s="316"/>
      <c r="E4456" s="116">
        <f>I4450*0.08</f>
        <v>12.48</v>
      </c>
      <c r="F4456" s="83">
        <f>ROUND(E4456/I4450,2)</f>
        <v>0.08</v>
      </c>
      <c r="G4456" s="74" t="str">
        <f>IF(C4456=0,0,VLOOKUP(C4456,Tabla1[],2,FALSE))</f>
        <v>Unidad</v>
      </c>
      <c r="I4456" s="117">
        <f>IF(C4456=0,0,VLOOKUP(C4456,Tabla1[],3,FALSE))</f>
        <v>20</v>
      </c>
      <c r="K4456" s="84">
        <f t="shared" si="681"/>
        <v>1.6</v>
      </c>
      <c r="L4456" s="118">
        <f t="shared" si="680"/>
        <v>249.60000000000002</v>
      </c>
      <c r="O4456" s="48"/>
      <c r="P4456" s="49"/>
    </row>
    <row r="4457" spans="1:16" ht="16.5" customHeight="1" x14ac:dyDescent="0.3">
      <c r="B4457" s="122"/>
      <c r="C4457" s="315"/>
      <c r="D4457" s="316"/>
      <c r="E4457" s="116"/>
      <c r="F4457" s="83"/>
      <c r="G4457" s="74"/>
      <c r="I4457" s="117">
        <f>IF(C4457=0,0,VLOOKUP(C4457,Tabla1[],3,FALSE))</f>
        <v>0</v>
      </c>
      <c r="K4457" s="84">
        <f>F4457*I4457</f>
        <v>0</v>
      </c>
      <c r="L4457" s="118">
        <f t="shared" si="680"/>
        <v>0</v>
      </c>
      <c r="O4457" s="44"/>
      <c r="P4457" s="45"/>
    </row>
    <row r="4458" spans="1:16" ht="16.5" customHeight="1" x14ac:dyDescent="0.3">
      <c r="B4458" s="122"/>
      <c r="C4458" s="315"/>
      <c r="D4458" s="316"/>
      <c r="E4458" s="116"/>
      <c r="F4458" s="83"/>
      <c r="G4458" s="74"/>
      <c r="I4458" s="117">
        <f>IF(C4458=0,0,VLOOKUP(C4458,Tabla1[],3,FALSE))</f>
        <v>0</v>
      </c>
      <c r="K4458" s="84">
        <f t="shared" ref="K4458:K4460" si="682">+F4458*I4458</f>
        <v>0</v>
      </c>
      <c r="L4458" s="118">
        <f t="shared" si="680"/>
        <v>0</v>
      </c>
      <c r="O4458" s="44"/>
      <c r="P4458" s="46"/>
    </row>
    <row r="4459" spans="1:16" x14ac:dyDescent="0.3">
      <c r="B4459" s="122"/>
      <c r="C4459" s="315"/>
      <c r="D4459" s="316"/>
      <c r="E4459" s="116"/>
      <c r="F4459" s="83"/>
      <c r="G4459" s="74"/>
      <c r="I4459" s="117">
        <f>IF(C4459=0,0,VLOOKUP(C4459,Tabla1[],3,FALSE))</f>
        <v>0</v>
      </c>
      <c r="K4459" s="84">
        <f t="shared" si="682"/>
        <v>0</v>
      </c>
      <c r="L4459" s="118">
        <f t="shared" si="680"/>
        <v>0</v>
      </c>
      <c r="O4459" s="44"/>
      <c r="P4459" s="46"/>
    </row>
    <row r="4460" spans="1:16" x14ac:dyDescent="0.4">
      <c r="B4460" s="122"/>
      <c r="C4460" s="315"/>
      <c r="D4460" s="316"/>
      <c r="E4460" s="116"/>
      <c r="F4460" s="83"/>
      <c r="G4460" s="74"/>
      <c r="I4460" s="117">
        <f>IF(C4460=0,0,VLOOKUP(C4460,Tabla1[],3,FALSE))</f>
        <v>0</v>
      </c>
      <c r="K4460" s="84">
        <f t="shared" si="682"/>
        <v>0</v>
      </c>
      <c r="L4460" s="118">
        <f t="shared" si="680"/>
        <v>0</v>
      </c>
      <c r="O4460" s="48"/>
      <c r="P4460" s="49"/>
    </row>
    <row r="4461" spans="1:16" ht="17.399999999999999" thickBot="1" x14ac:dyDescent="0.45"/>
    <row r="4462" spans="1:16" ht="17.399999999999999" thickBot="1" x14ac:dyDescent="0.35">
      <c r="F4462" s="292" t="s">
        <v>9</v>
      </c>
      <c r="G4462" s="293"/>
      <c r="H4462" s="293"/>
      <c r="I4462" s="294"/>
      <c r="K4462" s="229">
        <f>+SUM(K4454:K4460)</f>
        <v>250</v>
      </c>
      <c r="L4462" s="119">
        <f>+SUM(L4454:L4460)</f>
        <v>39000</v>
      </c>
      <c r="O4462" s="38"/>
      <c r="P4462" s="38"/>
    </row>
    <row r="4463" spans="1:16" ht="17.399999999999999" thickBot="1" x14ac:dyDescent="0.45">
      <c r="O4463" s="42"/>
      <c r="P4463" s="43"/>
    </row>
    <row r="4464" spans="1:16" ht="17.399999999999999" thickBot="1" x14ac:dyDescent="0.45">
      <c r="B4464" s="110" t="s">
        <v>10</v>
      </c>
      <c r="C4464" s="300" t="s">
        <v>11</v>
      </c>
      <c r="D4464" s="300"/>
      <c r="E4464" s="300"/>
      <c r="F4464" s="300"/>
      <c r="G4464" s="301"/>
    </row>
    <row r="4465" spans="2:12" x14ac:dyDescent="0.4">
      <c r="B4465" s="114" t="s">
        <v>6</v>
      </c>
      <c r="C4465" s="302" t="s">
        <v>1</v>
      </c>
      <c r="D4465" s="303"/>
      <c r="E4465" s="112" t="s">
        <v>193</v>
      </c>
      <c r="F4465" s="120" t="s">
        <v>2</v>
      </c>
      <c r="G4465" s="114" t="s">
        <v>3</v>
      </c>
      <c r="H4465" s="106"/>
      <c r="I4465" s="107" t="s">
        <v>7</v>
      </c>
      <c r="J4465" s="136"/>
      <c r="K4465" s="107" t="s">
        <v>8</v>
      </c>
      <c r="L4465" s="115" t="s">
        <v>194</v>
      </c>
    </row>
    <row r="4466" spans="2:12" x14ac:dyDescent="0.4">
      <c r="B4466" s="122"/>
      <c r="C4466" s="306"/>
      <c r="D4466" s="306"/>
      <c r="E4466" s="116"/>
      <c r="F4466" s="83"/>
      <c r="G4466" s="74"/>
      <c r="I4466" s="117">
        <f>IF(C4466=0,0,VLOOKUP(C4466,Tabla1[],3,FALSE))</f>
        <v>0</v>
      </c>
      <c r="K4466" s="84">
        <f>F4466*I4466</f>
        <v>0</v>
      </c>
      <c r="L4466" s="118">
        <f>E4466*I4466</f>
        <v>0</v>
      </c>
    </row>
    <row r="4467" spans="2:12" x14ac:dyDescent="0.4">
      <c r="B4467" s="74"/>
      <c r="C4467" s="309"/>
      <c r="D4467" s="310"/>
      <c r="E4467" s="121"/>
      <c r="F4467" s="72"/>
      <c r="G4467" s="74"/>
      <c r="I4467" s="117">
        <f>IF(C4467=0,0,VLOOKUP(C4467,Tabla1[],3,FALSE))</f>
        <v>0</v>
      </c>
      <c r="K4467" s="84">
        <f t="shared" ref="K4467:K4469" si="683">+F4467*I4467</f>
        <v>0</v>
      </c>
      <c r="L4467" s="118">
        <f t="shared" ref="L4467:L4469" si="684">E4467*I4467</f>
        <v>0</v>
      </c>
    </row>
    <row r="4468" spans="2:12" x14ac:dyDescent="0.4">
      <c r="B4468" s="74"/>
      <c r="C4468" s="309"/>
      <c r="D4468" s="310"/>
      <c r="E4468" s="121"/>
      <c r="F4468" s="72"/>
      <c r="G4468" s="74"/>
      <c r="I4468" s="117">
        <f>IF(C4468=0,0,VLOOKUP(C4468,Tabla1[],3,FALSE))</f>
        <v>0</v>
      </c>
      <c r="K4468" s="84">
        <f t="shared" si="683"/>
        <v>0</v>
      </c>
      <c r="L4468" s="118">
        <f t="shared" si="684"/>
        <v>0</v>
      </c>
    </row>
    <row r="4469" spans="2:12" x14ac:dyDescent="0.4">
      <c r="B4469" s="74"/>
      <c r="C4469" s="304"/>
      <c r="D4469" s="305"/>
      <c r="E4469" s="121"/>
      <c r="F4469" s="72"/>
      <c r="G4469" s="74"/>
      <c r="I4469" s="117">
        <f>IF(C4469=0,0,VLOOKUP(C4469,Tabla1[],3,FALSE))</f>
        <v>0</v>
      </c>
      <c r="K4469" s="84">
        <f t="shared" si="683"/>
        <v>0</v>
      </c>
      <c r="L4469" s="118">
        <f t="shared" si="684"/>
        <v>0</v>
      </c>
    </row>
    <row r="4470" spans="2:12" ht="17.399999999999999" thickBot="1" x14ac:dyDescent="0.45"/>
    <row r="4471" spans="2:12" ht="17.399999999999999" thickBot="1" x14ac:dyDescent="0.45">
      <c r="F4471" s="292" t="s">
        <v>12</v>
      </c>
      <c r="G4471" s="293"/>
      <c r="H4471" s="293"/>
      <c r="I4471" s="294"/>
      <c r="K4471" s="229">
        <f>+SUM(K4466:K4469)</f>
        <v>0</v>
      </c>
      <c r="L4471" s="119">
        <f>+SUM(L4466:L4469)</f>
        <v>0</v>
      </c>
    </row>
    <row r="4472" spans="2:12" ht="17.399999999999999" thickBot="1" x14ac:dyDescent="0.45"/>
    <row r="4473" spans="2:12" ht="17.399999999999999" thickBot="1" x14ac:dyDescent="0.45">
      <c r="B4473" s="110" t="s">
        <v>13</v>
      </c>
      <c r="C4473" s="300" t="s">
        <v>14</v>
      </c>
      <c r="D4473" s="300"/>
      <c r="E4473" s="300"/>
      <c r="F4473" s="300"/>
      <c r="G4473" s="301"/>
    </row>
    <row r="4474" spans="2:12" x14ac:dyDescent="0.4">
      <c r="B4474" s="114" t="s">
        <v>6</v>
      </c>
      <c r="C4474" s="302" t="s">
        <v>1</v>
      </c>
      <c r="D4474" s="303"/>
      <c r="E4474" s="112" t="s">
        <v>193</v>
      </c>
      <c r="F4474" s="120" t="s">
        <v>2</v>
      </c>
      <c r="G4474" s="114" t="s">
        <v>3</v>
      </c>
      <c r="H4474" s="106"/>
      <c r="I4474" s="107" t="s">
        <v>7</v>
      </c>
      <c r="J4474" s="136"/>
      <c r="K4474" s="107" t="s">
        <v>8</v>
      </c>
      <c r="L4474" s="115" t="s">
        <v>194</v>
      </c>
    </row>
    <row r="4475" spans="2:12" x14ac:dyDescent="0.4">
      <c r="B4475" s="122">
        <v>1</v>
      </c>
      <c r="C4475" s="306" t="s">
        <v>599</v>
      </c>
      <c r="D4475" s="306"/>
      <c r="E4475" s="116">
        <f>I4450</f>
        <v>156</v>
      </c>
      <c r="F4475" s="83">
        <f>ROUND(E4475/I4450,2)</f>
        <v>1</v>
      </c>
      <c r="G4475" s="74" t="str">
        <f>IF(C4475=0,0,VLOOKUP(C4475,Tabla2[],2,FALSE))</f>
        <v>m²</v>
      </c>
      <c r="I4475" s="117">
        <f>IF(C4475=0,0,VLOOKUP(C4475,Tabla2[],3,FALSE))</f>
        <v>100</v>
      </c>
      <c r="K4475" s="84">
        <f>+F4475*I4475</f>
        <v>100</v>
      </c>
      <c r="L4475" s="118">
        <f>E4475*I4475</f>
        <v>15600</v>
      </c>
    </row>
    <row r="4476" spans="2:12" x14ac:dyDescent="0.4">
      <c r="B4476" s="122"/>
      <c r="C4476" s="306"/>
      <c r="D4476" s="306"/>
      <c r="E4476" s="116"/>
      <c r="F4476" s="83"/>
      <c r="G4476" s="74"/>
      <c r="I4476" s="117">
        <f>IF(C4476=0,0,VLOOKUP(C4476,Tabla2[],3,FALSE))</f>
        <v>0</v>
      </c>
      <c r="K4476" s="84">
        <f>+F4476*I4476</f>
        <v>0</v>
      </c>
      <c r="L4476" s="118">
        <f>E4476*I4476</f>
        <v>0</v>
      </c>
    </row>
    <row r="4477" spans="2:12" ht="17.399999999999999" thickBot="1" x14ac:dyDescent="0.45">
      <c r="B4477" s="123"/>
      <c r="C4477" s="307"/>
      <c r="D4477" s="308"/>
      <c r="E4477" s="124"/>
      <c r="F4477" s="125"/>
      <c r="G4477" s="74"/>
      <c r="I4477" s="117">
        <f>IF(C4477=0,0,VLOOKUP(C4477,Tabla2[],3,FALSE))</f>
        <v>0</v>
      </c>
      <c r="K4477" s="84">
        <f t="shared" ref="K4477" si="685">+F4477*I4477</f>
        <v>0</v>
      </c>
      <c r="L4477" s="118">
        <f t="shared" ref="L4477:L4478" si="686">E4477*I4477</f>
        <v>0</v>
      </c>
    </row>
    <row r="4478" spans="2:12" ht="17.399999999999999" thickBot="1" x14ac:dyDescent="0.45">
      <c r="B4478" s="297" t="s">
        <v>15</v>
      </c>
      <c r="C4478" s="298"/>
      <c r="D4478" s="298"/>
      <c r="E4478" s="298"/>
      <c r="F4478" s="298"/>
      <c r="G4478" s="299"/>
      <c r="I4478" s="117">
        <f>IF(C4478=0,0,VLOOKUP(C4478,Tabla2[],3,FALSE))</f>
        <v>0</v>
      </c>
      <c r="K4478" s="84">
        <v>0</v>
      </c>
      <c r="L4478" s="118">
        <f t="shared" si="686"/>
        <v>0</v>
      </c>
    </row>
    <row r="4479" spans="2:12" ht="17.399999999999999" thickBot="1" x14ac:dyDescent="0.45"/>
    <row r="4480" spans="2:12" ht="17.399999999999999" thickBot="1" x14ac:dyDescent="0.45">
      <c r="F4480" s="292" t="s">
        <v>16</v>
      </c>
      <c r="G4480" s="293"/>
      <c r="H4480" s="293"/>
      <c r="I4480" s="294"/>
      <c r="K4480" s="229">
        <f>+SUM(K4475:K4478)</f>
        <v>100</v>
      </c>
      <c r="L4480" s="119">
        <f>+SUM(L4475:L4478)</f>
        <v>15600</v>
      </c>
    </row>
    <row r="4481" spans="2:16" ht="17.399999999999999" thickBot="1" x14ac:dyDescent="0.45"/>
    <row r="4482" spans="2:16" ht="17.399999999999999" thickBot="1" x14ac:dyDescent="0.45">
      <c r="B4482" s="110" t="s">
        <v>17</v>
      </c>
      <c r="C4482" s="300" t="s">
        <v>18</v>
      </c>
      <c r="D4482" s="300"/>
      <c r="E4482" s="300"/>
      <c r="F4482" s="300"/>
      <c r="G4482" s="301"/>
    </row>
    <row r="4483" spans="2:16" x14ac:dyDescent="0.4">
      <c r="B4483" s="114" t="s">
        <v>6</v>
      </c>
      <c r="C4483" s="302" t="s">
        <v>1</v>
      </c>
      <c r="D4483" s="303"/>
      <c r="E4483" s="126"/>
      <c r="F4483" s="120" t="s">
        <v>2</v>
      </c>
      <c r="G4483" s="114" t="s">
        <v>3</v>
      </c>
      <c r="H4483" s="106"/>
      <c r="I4483" s="107" t="s">
        <v>7</v>
      </c>
      <c r="J4483" s="136"/>
      <c r="K4483" s="107" t="s">
        <v>8</v>
      </c>
      <c r="L4483" s="115" t="s">
        <v>194</v>
      </c>
    </row>
    <row r="4484" spans="2:16" x14ac:dyDescent="0.4">
      <c r="B4484" s="74"/>
      <c r="C4484" s="304"/>
      <c r="D4484" s="305"/>
      <c r="E4484" s="127"/>
      <c r="F4484" s="72"/>
      <c r="G4484" s="74"/>
      <c r="I4484" s="84">
        <v>0</v>
      </c>
      <c r="K4484" s="84">
        <f>+F4484*I4484</f>
        <v>0</v>
      </c>
      <c r="L4484" s="118">
        <f>E4484*I4484</f>
        <v>0</v>
      </c>
    </row>
    <row r="4485" spans="2:16" x14ac:dyDescent="0.4">
      <c r="B4485" s="74"/>
      <c r="C4485" s="304"/>
      <c r="D4485" s="305"/>
      <c r="E4485" s="127"/>
      <c r="F4485" s="72"/>
      <c r="G4485" s="74"/>
      <c r="I4485" s="84">
        <v>0</v>
      </c>
      <c r="K4485" s="84">
        <f t="shared" ref="K4485:K4486" si="687">+F4485*I4485</f>
        <v>0</v>
      </c>
      <c r="L4485" s="118">
        <f t="shared" ref="L4485:L4486" si="688">E4485*I4485</f>
        <v>0</v>
      </c>
    </row>
    <row r="4486" spans="2:16" x14ac:dyDescent="0.4">
      <c r="B4486" s="74"/>
      <c r="C4486" s="304"/>
      <c r="D4486" s="305"/>
      <c r="E4486" s="127"/>
      <c r="F4486" s="72"/>
      <c r="G4486" s="74"/>
      <c r="I4486" s="84">
        <v>0</v>
      </c>
      <c r="K4486" s="84">
        <f t="shared" si="687"/>
        <v>0</v>
      </c>
      <c r="L4486" s="118">
        <f t="shared" si="688"/>
        <v>0</v>
      </c>
    </row>
    <row r="4487" spans="2:16" ht="17.399999999999999" thickBot="1" x14ac:dyDescent="0.45">
      <c r="L4487" s="118"/>
    </row>
    <row r="4488" spans="2:16" ht="17.399999999999999" thickBot="1" x14ac:dyDescent="0.45">
      <c r="F4488" s="292" t="s">
        <v>19</v>
      </c>
      <c r="G4488" s="293"/>
      <c r="H4488" s="293"/>
      <c r="I4488" s="294"/>
      <c r="K4488" s="229">
        <f>+SUM(K4484:K4486)</f>
        <v>0</v>
      </c>
      <c r="L4488" s="119">
        <f>+SUM(L4483:L4486)</f>
        <v>0</v>
      </c>
    </row>
    <row r="4489" spans="2:16" ht="15" customHeight="1" x14ac:dyDescent="0.4">
      <c r="F4489" s="128"/>
      <c r="G4489" s="129"/>
      <c r="H4489" s="130"/>
      <c r="I4489" s="108"/>
      <c r="K4489" s="230"/>
    </row>
    <row r="4490" spans="2:16" ht="15" customHeight="1" thickBot="1" x14ac:dyDescent="0.45"/>
    <row r="4491" spans="2:16" ht="17.399999999999999" thickBot="1" x14ac:dyDescent="0.45">
      <c r="F4491" s="292" t="s">
        <v>20</v>
      </c>
      <c r="G4491" s="293"/>
      <c r="H4491" s="293"/>
      <c r="I4491" s="294"/>
      <c r="K4491" s="229">
        <f>(+K4462+K4471+K4480+K4488)</f>
        <v>350</v>
      </c>
      <c r="L4491" s="119">
        <f>(+L4462+L4471+L4480+L4488)</f>
        <v>54600</v>
      </c>
      <c r="N4491" s="131"/>
      <c r="O4491" s="39"/>
      <c r="P4491" s="40"/>
    </row>
    <row r="4492" spans="2:16" ht="7.5" customHeight="1" thickBot="1" x14ac:dyDescent="0.45">
      <c r="N4492" s="131"/>
      <c r="O4492" s="41"/>
      <c r="P4492" s="40"/>
    </row>
    <row r="4493" spans="2:16" ht="17.399999999999999" thickBot="1" x14ac:dyDescent="0.45">
      <c r="F4493" s="292" t="s">
        <v>21</v>
      </c>
      <c r="G4493" s="293"/>
      <c r="H4493" s="293"/>
      <c r="I4493" s="294"/>
      <c r="K4493" s="229">
        <f>K4491*$N$2</f>
        <v>140</v>
      </c>
      <c r="L4493" s="119">
        <f>L4491*$N$2</f>
        <v>21840</v>
      </c>
    </row>
    <row r="4494" spans="2:16" ht="7.5" customHeight="1" thickBot="1" x14ac:dyDescent="0.45"/>
    <row r="4495" spans="2:16" ht="17.399999999999999" thickBot="1" x14ac:dyDescent="0.45">
      <c r="F4495" s="292" t="s">
        <v>22</v>
      </c>
      <c r="G4495" s="293"/>
      <c r="H4495" s="293"/>
      <c r="I4495" s="294"/>
      <c r="K4495" s="229">
        <f>+K4491+K4493</f>
        <v>490</v>
      </c>
      <c r="L4495" s="119">
        <f>+L4491+L4493</f>
        <v>76440</v>
      </c>
    </row>
    <row r="4496" spans="2:16" ht="17.399999999999999" thickBot="1" x14ac:dyDescent="0.45">
      <c r="F4496" s="128"/>
      <c r="G4496" s="129"/>
      <c r="H4496" s="130"/>
      <c r="I4496" s="108"/>
      <c r="K4496" s="231"/>
      <c r="L4496" s="132">
        <f>L4495/I4450</f>
        <v>490</v>
      </c>
      <c r="M4496" s="133">
        <f>(K4495-L4496)*I4450</f>
        <v>0</v>
      </c>
    </row>
    <row r="4497" spans="1:16" x14ac:dyDescent="0.4">
      <c r="F4497" s="128"/>
      <c r="G4497" s="129"/>
      <c r="H4497" s="130"/>
      <c r="I4497" s="108"/>
      <c r="K4497" s="232"/>
      <c r="L4497" s="131"/>
      <c r="M4497" s="134"/>
      <c r="N4497" s="135"/>
    </row>
    <row r="4498" spans="1:16" ht="17.399999999999999" thickBot="1" x14ac:dyDescent="0.45">
      <c r="B4498" s="295"/>
      <c r="C4498" s="295"/>
      <c r="D4498" s="295"/>
    </row>
    <row r="4499" spans="1:16" x14ac:dyDescent="0.4">
      <c r="B4499" s="296" t="s">
        <v>23</v>
      </c>
      <c r="C4499" s="296"/>
      <c r="D4499" s="296"/>
    </row>
    <row r="4502" spans="1:16" x14ac:dyDescent="0.4">
      <c r="B4502" s="105" t="s">
        <v>43</v>
      </c>
      <c r="C4502" s="106"/>
      <c r="D4502" s="311" t="s">
        <v>1</v>
      </c>
      <c r="E4502" s="311"/>
      <c r="F4502" s="311"/>
      <c r="G4502" s="311"/>
      <c r="H4502" s="106"/>
      <c r="I4502" s="107" t="s">
        <v>2</v>
      </c>
      <c r="J4502" s="136"/>
      <c r="K4502" s="107" t="s">
        <v>3</v>
      </c>
    </row>
    <row r="4503" spans="1:16" s="4" customFormat="1" ht="30.75" customHeight="1" x14ac:dyDescent="0.3">
      <c r="A4503" s="31"/>
      <c r="B4503" s="213">
        <f>CATALOGO!B121</f>
        <v>605.01</v>
      </c>
      <c r="C4503" s="71"/>
      <c r="D4503" s="324" t="str">
        <f>CATALOGO!C121</f>
        <v>PISO CERÁMICO</v>
      </c>
      <c r="E4503" s="324"/>
      <c r="F4503" s="324"/>
      <c r="G4503" s="324"/>
      <c r="H4503" s="71"/>
      <c r="I4503" s="213">
        <f>CATALOGO!D121</f>
        <v>108</v>
      </c>
      <c r="J4503" s="109"/>
      <c r="K4503" s="227" t="str">
        <f>CATALOGO!E121</f>
        <v>m²</v>
      </c>
      <c r="L4503" s="71"/>
      <c r="M4503" s="71"/>
      <c r="N4503" s="104"/>
      <c r="O4503" s="37"/>
      <c r="P4503" s="37"/>
    </row>
    <row r="4504" spans="1:16" ht="17.399999999999999" thickBot="1" x14ac:dyDescent="0.45"/>
    <row r="4505" spans="1:16" ht="17.399999999999999" thickBot="1" x14ac:dyDescent="0.45">
      <c r="B4505" s="110" t="s">
        <v>4</v>
      </c>
      <c r="C4505" s="300" t="s">
        <v>5</v>
      </c>
      <c r="D4505" s="300"/>
      <c r="E4505" s="300"/>
      <c r="F4505" s="300"/>
      <c r="G4505" s="301"/>
    </row>
    <row r="4506" spans="1:16" x14ac:dyDescent="0.3">
      <c r="B4506" s="111" t="s">
        <v>6</v>
      </c>
      <c r="C4506" s="313" t="s">
        <v>1</v>
      </c>
      <c r="D4506" s="314"/>
      <c r="E4506" s="112" t="s">
        <v>193</v>
      </c>
      <c r="F4506" s="113" t="s">
        <v>2</v>
      </c>
      <c r="G4506" s="114" t="s">
        <v>3</v>
      </c>
      <c r="H4506" s="106"/>
      <c r="I4506" s="107" t="s">
        <v>7</v>
      </c>
      <c r="J4506" s="136"/>
      <c r="K4506" s="228" t="s">
        <v>8</v>
      </c>
      <c r="L4506" s="115" t="s">
        <v>194</v>
      </c>
      <c r="O4506" s="323"/>
      <c r="P4506" s="323"/>
    </row>
    <row r="4507" spans="1:16" ht="16.5" customHeight="1" x14ac:dyDescent="0.3">
      <c r="B4507" s="122">
        <v>1</v>
      </c>
      <c r="C4507" s="317" t="s">
        <v>214</v>
      </c>
      <c r="D4507" s="318"/>
      <c r="E4507" s="116">
        <f>I4503*0.7</f>
        <v>75.599999999999994</v>
      </c>
      <c r="F4507" s="83">
        <f>ROUND(E4507/I4503,2)</f>
        <v>0.7</v>
      </c>
      <c r="G4507" s="74" t="str">
        <f>IF(C4507=0,0,VLOOKUP(C4507,Tabla1[],2,FALSE))</f>
        <v>Saco</v>
      </c>
      <c r="I4507" s="117">
        <f>IF(C4507=0,0,VLOOKUP(C4507,Tabla1[],3,FALSE))</f>
        <v>80</v>
      </c>
      <c r="K4507" s="84">
        <f>F4507*I4507</f>
        <v>56</v>
      </c>
      <c r="L4507" s="118">
        <f t="shared" ref="L4507:L4511" si="689">E4507*I4507</f>
        <v>6048</v>
      </c>
      <c r="O4507" s="44"/>
      <c r="P4507" s="45"/>
    </row>
    <row r="4508" spans="1:16" x14ac:dyDescent="0.3">
      <c r="B4508" s="122">
        <v>2</v>
      </c>
      <c r="C4508" s="319" t="s">
        <v>73</v>
      </c>
      <c r="D4508" s="318"/>
      <c r="E4508" s="116">
        <f>I4503*0.02</f>
        <v>2.16</v>
      </c>
      <c r="F4508" s="83">
        <f>ROUND(E4508/I4503,2)</f>
        <v>0.02</v>
      </c>
      <c r="G4508" s="74" t="str">
        <f>IF(C4508=0,0,VLOOKUP(C4508,Tabla1[],2,FALSE))</f>
        <v>m³</v>
      </c>
      <c r="I4508" s="117">
        <f>IF(C4508=0,0,VLOOKUP(C4508,Tabla1[],3,FALSE))</f>
        <v>250</v>
      </c>
      <c r="K4508" s="84">
        <f t="shared" ref="K4508:K4511" si="690">+F4508*I4508</f>
        <v>5</v>
      </c>
      <c r="L4508" s="118">
        <f t="shared" si="689"/>
        <v>540</v>
      </c>
      <c r="O4508" s="44"/>
      <c r="P4508" s="47"/>
    </row>
    <row r="4509" spans="1:16" x14ac:dyDescent="0.4">
      <c r="B4509" s="122">
        <v>3</v>
      </c>
      <c r="C4509" s="319" t="s">
        <v>215</v>
      </c>
      <c r="D4509" s="318"/>
      <c r="E4509" s="116">
        <f>I4503*0.02</f>
        <v>2.16</v>
      </c>
      <c r="F4509" s="83">
        <f>ROUND(E4509/I4503,2)</f>
        <v>0.02</v>
      </c>
      <c r="G4509" s="74" t="str">
        <f>IF(C4509=0,0,VLOOKUP(C4509,Tabla1[],2,FALSE))</f>
        <v>Bolsa</v>
      </c>
      <c r="I4509" s="117">
        <f>IF(C4509=0,0,VLOOKUP(C4509,Tabla1[],3,FALSE))</f>
        <v>50</v>
      </c>
      <c r="K4509" s="84">
        <f t="shared" si="690"/>
        <v>1</v>
      </c>
      <c r="L4509" s="118">
        <f t="shared" si="689"/>
        <v>108</v>
      </c>
      <c r="O4509" s="48"/>
      <c r="P4509" s="49"/>
    </row>
    <row r="4510" spans="1:16" ht="16.5" customHeight="1" x14ac:dyDescent="0.3">
      <c r="B4510" s="122">
        <v>4</v>
      </c>
      <c r="C4510" s="315" t="s">
        <v>600</v>
      </c>
      <c r="D4510" s="316"/>
      <c r="E4510" s="116">
        <f>I4503*0.7</f>
        <v>75.599999999999994</v>
      </c>
      <c r="F4510" s="83">
        <f>ROUND(E4510/I4503,2)</f>
        <v>0.7</v>
      </c>
      <c r="G4510" s="74" t="str">
        <f>IF(C4510=0,0,VLOOKUP(C4510,Tabla1[],2,FALSE))</f>
        <v>m²</v>
      </c>
      <c r="I4510" s="117">
        <f>IF(C4510=0,0,VLOOKUP(C4510,Tabla1[],3,FALSE))</f>
        <v>90</v>
      </c>
      <c r="K4510" s="84">
        <f t="shared" si="690"/>
        <v>62.999999999999993</v>
      </c>
      <c r="L4510" s="118">
        <f t="shared" si="689"/>
        <v>6803.9999999999991</v>
      </c>
      <c r="O4510" s="44"/>
      <c r="P4510" s="45"/>
    </row>
    <row r="4511" spans="1:16" x14ac:dyDescent="0.4">
      <c r="B4511" s="122"/>
      <c r="C4511" s="319"/>
      <c r="D4511" s="318"/>
      <c r="E4511" s="116"/>
      <c r="F4511" s="83"/>
      <c r="G4511" s="74"/>
      <c r="I4511" s="117">
        <f>IF(C4511=0,0,VLOOKUP(C4511,Tabla1[],3,FALSE))</f>
        <v>0</v>
      </c>
      <c r="K4511" s="84">
        <f t="shared" si="690"/>
        <v>0</v>
      </c>
      <c r="L4511" s="118">
        <f t="shared" si="689"/>
        <v>0</v>
      </c>
      <c r="O4511" s="48"/>
      <c r="P4511" s="49"/>
    </row>
    <row r="4512" spans="1:16" ht="17.399999999999999" thickBot="1" x14ac:dyDescent="0.45"/>
    <row r="4513" spans="2:16" ht="17.399999999999999" thickBot="1" x14ac:dyDescent="0.35">
      <c r="F4513" s="292" t="s">
        <v>9</v>
      </c>
      <c r="G4513" s="293"/>
      <c r="H4513" s="293"/>
      <c r="I4513" s="294"/>
      <c r="K4513" s="229">
        <f>+SUM(K4507:K4511)</f>
        <v>125</v>
      </c>
      <c r="L4513" s="119">
        <f>+SUM(L4507:L4511)</f>
        <v>13500</v>
      </c>
      <c r="O4513" s="38"/>
      <c r="P4513" s="38"/>
    </row>
    <row r="4514" spans="2:16" ht="17.399999999999999" thickBot="1" x14ac:dyDescent="0.45">
      <c r="O4514" s="42"/>
      <c r="P4514" s="43"/>
    </row>
    <row r="4515" spans="2:16" ht="17.399999999999999" thickBot="1" x14ac:dyDescent="0.45">
      <c r="B4515" s="110" t="s">
        <v>10</v>
      </c>
      <c r="C4515" s="300" t="s">
        <v>11</v>
      </c>
      <c r="D4515" s="300"/>
      <c r="E4515" s="300"/>
      <c r="F4515" s="300"/>
      <c r="G4515" s="301"/>
    </row>
    <row r="4516" spans="2:16" x14ac:dyDescent="0.4">
      <c r="B4516" s="114" t="s">
        <v>6</v>
      </c>
      <c r="C4516" s="302" t="s">
        <v>1</v>
      </c>
      <c r="D4516" s="303"/>
      <c r="E4516" s="112" t="s">
        <v>193</v>
      </c>
      <c r="F4516" s="120" t="s">
        <v>2</v>
      </c>
      <c r="G4516" s="114" t="s">
        <v>3</v>
      </c>
      <c r="H4516" s="106"/>
      <c r="I4516" s="107" t="s">
        <v>7</v>
      </c>
      <c r="J4516" s="136"/>
      <c r="K4516" s="107" t="s">
        <v>8</v>
      </c>
      <c r="L4516" s="115" t="s">
        <v>194</v>
      </c>
    </row>
    <row r="4517" spans="2:16" x14ac:dyDescent="0.4">
      <c r="B4517" s="122"/>
      <c r="C4517" s="306"/>
      <c r="D4517" s="306"/>
      <c r="E4517" s="116"/>
      <c r="F4517" s="83"/>
      <c r="G4517" s="74"/>
      <c r="I4517" s="117">
        <f>IF(C4517=0,0,VLOOKUP(C4517,Tabla3[],3,FALSE))</f>
        <v>0</v>
      </c>
      <c r="K4517" s="84">
        <f>F4517*I4517</f>
        <v>0</v>
      </c>
      <c r="L4517" s="118">
        <f>E4517*I4517</f>
        <v>0</v>
      </c>
    </row>
    <row r="4518" spans="2:16" x14ac:dyDescent="0.4">
      <c r="B4518" s="74"/>
      <c r="C4518" s="309"/>
      <c r="D4518" s="310"/>
      <c r="E4518" s="121"/>
      <c r="F4518" s="72"/>
      <c r="G4518" s="74"/>
      <c r="I4518" s="117">
        <f>IF(C4518=0,0,VLOOKUP(C4518,Tabla3[],3,FALSE))</f>
        <v>0</v>
      </c>
      <c r="K4518" s="84">
        <f t="shared" ref="K4518:K4520" si="691">+F4518*I4518</f>
        <v>0</v>
      </c>
      <c r="L4518" s="118">
        <f t="shared" ref="L4518:L4520" si="692">E4518*I4518</f>
        <v>0</v>
      </c>
    </row>
    <row r="4519" spans="2:16" x14ac:dyDescent="0.4">
      <c r="B4519" s="74"/>
      <c r="C4519" s="309"/>
      <c r="D4519" s="310"/>
      <c r="E4519" s="121"/>
      <c r="F4519" s="72"/>
      <c r="G4519" s="74"/>
      <c r="I4519" s="117">
        <f>IF(C4519=0,0,VLOOKUP(C4519,Tabla3[],3,FALSE))</f>
        <v>0</v>
      </c>
      <c r="K4519" s="84">
        <f t="shared" si="691"/>
        <v>0</v>
      </c>
      <c r="L4519" s="118">
        <f t="shared" si="692"/>
        <v>0</v>
      </c>
    </row>
    <row r="4520" spans="2:16" x14ac:dyDescent="0.4">
      <c r="B4520" s="74"/>
      <c r="C4520" s="304"/>
      <c r="D4520" s="305"/>
      <c r="E4520" s="121"/>
      <c r="F4520" s="72"/>
      <c r="G4520" s="74"/>
      <c r="I4520" s="117">
        <f>IF(C4520=0,0,VLOOKUP(C4520,Tabla3[],3,FALSE))</f>
        <v>0</v>
      </c>
      <c r="K4520" s="84">
        <f t="shared" si="691"/>
        <v>0</v>
      </c>
      <c r="L4520" s="118">
        <f t="shared" si="692"/>
        <v>0</v>
      </c>
    </row>
    <row r="4521" spans="2:16" ht="17.399999999999999" thickBot="1" x14ac:dyDescent="0.45"/>
    <row r="4522" spans="2:16" ht="17.399999999999999" thickBot="1" x14ac:dyDescent="0.45">
      <c r="F4522" s="292" t="s">
        <v>12</v>
      </c>
      <c r="G4522" s="293"/>
      <c r="H4522" s="293"/>
      <c r="I4522" s="294"/>
      <c r="K4522" s="229">
        <f>+SUM(K4517:K4520)</f>
        <v>0</v>
      </c>
      <c r="L4522" s="119">
        <f>+SUM(L4517:L4520)</f>
        <v>0</v>
      </c>
    </row>
    <row r="4523" spans="2:16" ht="17.399999999999999" thickBot="1" x14ac:dyDescent="0.45"/>
    <row r="4524" spans="2:16" ht="17.399999999999999" thickBot="1" x14ac:dyDescent="0.45">
      <c r="B4524" s="110" t="s">
        <v>13</v>
      </c>
      <c r="C4524" s="300" t="s">
        <v>14</v>
      </c>
      <c r="D4524" s="300"/>
      <c r="E4524" s="300"/>
      <c r="F4524" s="300"/>
      <c r="G4524" s="301"/>
    </row>
    <row r="4525" spans="2:16" x14ac:dyDescent="0.4">
      <c r="B4525" s="114" t="s">
        <v>6</v>
      </c>
      <c r="C4525" s="302" t="s">
        <v>1</v>
      </c>
      <c r="D4525" s="303"/>
      <c r="E4525" s="112" t="s">
        <v>193</v>
      </c>
      <c r="F4525" s="120" t="s">
        <v>2</v>
      </c>
      <c r="G4525" s="114" t="s">
        <v>3</v>
      </c>
      <c r="H4525" s="106"/>
      <c r="I4525" s="107" t="s">
        <v>7</v>
      </c>
      <c r="J4525" s="136"/>
      <c r="K4525" s="107" t="s">
        <v>8</v>
      </c>
      <c r="L4525" s="115" t="s">
        <v>194</v>
      </c>
    </row>
    <row r="4526" spans="2:16" x14ac:dyDescent="0.4">
      <c r="B4526" s="122">
        <v>1</v>
      </c>
      <c r="C4526" s="306" t="s">
        <v>216</v>
      </c>
      <c r="D4526" s="306"/>
      <c r="E4526" s="116">
        <f>I4503</f>
        <v>108</v>
      </c>
      <c r="F4526" s="83">
        <f>ROUND(E4526/I4503,2)</f>
        <v>1</v>
      </c>
      <c r="G4526" s="74" t="str">
        <f>IF(C4526=0,0,VLOOKUP(C4526,Tabla2[],2,FALSE))</f>
        <v>m²</v>
      </c>
      <c r="I4526" s="117">
        <f>IF(C4526=0,0,VLOOKUP(C4526,Tabla2[],3,FALSE))</f>
        <v>100</v>
      </c>
      <c r="K4526" s="84">
        <f>+F4526*I4526</f>
        <v>100</v>
      </c>
      <c r="L4526" s="118">
        <f>E4526*I4526</f>
        <v>10800</v>
      </c>
    </row>
    <row r="4527" spans="2:16" x14ac:dyDescent="0.4">
      <c r="B4527" s="122"/>
      <c r="C4527" s="306"/>
      <c r="D4527" s="306"/>
      <c r="E4527" s="116"/>
      <c r="F4527" s="83"/>
      <c r="G4527" s="74"/>
      <c r="I4527" s="117">
        <f>IF(C4527=0,0,VLOOKUP(C4527,Tabla2[],3,FALSE))</f>
        <v>0</v>
      </c>
      <c r="K4527" s="84">
        <f>+F4527*I4527</f>
        <v>0</v>
      </c>
      <c r="L4527" s="118">
        <f>E4527*I4527</f>
        <v>0</v>
      </c>
    </row>
    <row r="4528" spans="2:16" ht="17.399999999999999" thickBot="1" x14ac:dyDescent="0.45">
      <c r="B4528" s="123"/>
      <c r="C4528" s="307"/>
      <c r="D4528" s="308"/>
      <c r="E4528" s="124"/>
      <c r="F4528" s="125"/>
      <c r="G4528" s="74"/>
      <c r="I4528" s="117">
        <f>IF(C4528=0,0,VLOOKUP(C4528,Tabla2[],3,FALSE))</f>
        <v>0</v>
      </c>
      <c r="K4528" s="84">
        <f t="shared" ref="K4528" si="693">+F4528*I4528</f>
        <v>0</v>
      </c>
      <c r="L4528" s="118">
        <f t="shared" ref="L4528:L4529" si="694">E4528*I4528</f>
        <v>0</v>
      </c>
    </row>
    <row r="4529" spans="2:16" ht="17.399999999999999" thickBot="1" x14ac:dyDescent="0.45">
      <c r="B4529" s="297" t="s">
        <v>15</v>
      </c>
      <c r="C4529" s="298"/>
      <c r="D4529" s="298"/>
      <c r="E4529" s="298"/>
      <c r="F4529" s="298"/>
      <c r="G4529" s="299"/>
      <c r="I4529" s="117">
        <f>IF(C4529=0,0,VLOOKUP(C4529,Tabla2[],3,FALSE))</f>
        <v>0</v>
      </c>
      <c r="K4529" s="84">
        <v>0</v>
      </c>
      <c r="L4529" s="118">
        <f t="shared" si="694"/>
        <v>0</v>
      </c>
    </row>
    <row r="4530" spans="2:16" ht="17.399999999999999" thickBot="1" x14ac:dyDescent="0.45"/>
    <row r="4531" spans="2:16" ht="17.399999999999999" thickBot="1" x14ac:dyDescent="0.45">
      <c r="F4531" s="292" t="s">
        <v>16</v>
      </c>
      <c r="G4531" s="293"/>
      <c r="H4531" s="293"/>
      <c r="I4531" s="294"/>
      <c r="K4531" s="229">
        <f>+SUM(K4526:K4529)</f>
        <v>100</v>
      </c>
      <c r="L4531" s="119">
        <f>+SUM(L4526:L4529)</f>
        <v>10800</v>
      </c>
    </row>
    <row r="4532" spans="2:16" ht="17.399999999999999" thickBot="1" x14ac:dyDescent="0.45"/>
    <row r="4533" spans="2:16" ht="17.399999999999999" thickBot="1" x14ac:dyDescent="0.45">
      <c r="B4533" s="110" t="s">
        <v>17</v>
      </c>
      <c r="C4533" s="300" t="s">
        <v>18</v>
      </c>
      <c r="D4533" s="300"/>
      <c r="E4533" s="300"/>
      <c r="F4533" s="300"/>
      <c r="G4533" s="301"/>
    </row>
    <row r="4534" spans="2:16" x14ac:dyDescent="0.4">
      <c r="B4534" s="114" t="s">
        <v>6</v>
      </c>
      <c r="C4534" s="302" t="s">
        <v>1</v>
      </c>
      <c r="D4534" s="303"/>
      <c r="E4534" s="126"/>
      <c r="F4534" s="120" t="s">
        <v>2</v>
      </c>
      <c r="G4534" s="114" t="s">
        <v>3</v>
      </c>
      <c r="H4534" s="106"/>
      <c r="I4534" s="107" t="s">
        <v>7</v>
      </c>
      <c r="J4534" s="136"/>
      <c r="K4534" s="107" t="s">
        <v>8</v>
      </c>
      <c r="L4534" s="115" t="s">
        <v>194</v>
      </c>
    </row>
    <row r="4535" spans="2:16" x14ac:dyDescent="0.4">
      <c r="B4535" s="74"/>
      <c r="C4535" s="304"/>
      <c r="D4535" s="305"/>
      <c r="E4535" s="127"/>
      <c r="F4535" s="72"/>
      <c r="G4535" s="74"/>
      <c r="I4535" s="84">
        <v>0</v>
      </c>
      <c r="K4535" s="84">
        <f>+F4535*I4535</f>
        <v>0</v>
      </c>
      <c r="L4535" s="118">
        <f>E4535*I4535</f>
        <v>0</v>
      </c>
    </row>
    <row r="4536" spans="2:16" x14ac:dyDescent="0.4">
      <c r="B4536" s="74"/>
      <c r="C4536" s="304"/>
      <c r="D4536" s="305"/>
      <c r="E4536" s="127"/>
      <c r="F4536" s="72"/>
      <c r="G4536" s="74"/>
      <c r="I4536" s="84">
        <v>0</v>
      </c>
      <c r="K4536" s="84">
        <f t="shared" ref="K4536:K4537" si="695">+F4536*I4536</f>
        <v>0</v>
      </c>
      <c r="L4536" s="118">
        <f t="shared" ref="L4536:L4537" si="696">E4536*I4536</f>
        <v>0</v>
      </c>
    </row>
    <row r="4537" spans="2:16" x14ac:dyDescent="0.4">
      <c r="B4537" s="74"/>
      <c r="C4537" s="304"/>
      <c r="D4537" s="305"/>
      <c r="E4537" s="127"/>
      <c r="F4537" s="72"/>
      <c r="G4537" s="74"/>
      <c r="I4537" s="84">
        <v>0</v>
      </c>
      <c r="K4537" s="84">
        <f t="shared" si="695"/>
        <v>0</v>
      </c>
      <c r="L4537" s="118">
        <f t="shared" si="696"/>
        <v>0</v>
      </c>
    </row>
    <row r="4538" spans="2:16" ht="17.399999999999999" thickBot="1" x14ac:dyDescent="0.45">
      <c r="L4538" s="118"/>
    </row>
    <row r="4539" spans="2:16" ht="17.399999999999999" thickBot="1" x14ac:dyDescent="0.45">
      <c r="F4539" s="292" t="s">
        <v>19</v>
      </c>
      <c r="G4539" s="293"/>
      <c r="H4539" s="293"/>
      <c r="I4539" s="294"/>
      <c r="K4539" s="229">
        <f>+SUM(K4535:K4537)</f>
        <v>0</v>
      </c>
      <c r="L4539" s="119">
        <f>+SUM(L4534:L4537)</f>
        <v>0</v>
      </c>
    </row>
    <row r="4540" spans="2:16" ht="15" customHeight="1" x14ac:dyDescent="0.4">
      <c r="F4540" s="128"/>
      <c r="G4540" s="129"/>
      <c r="H4540" s="130"/>
      <c r="I4540" s="108"/>
      <c r="K4540" s="230"/>
    </row>
    <row r="4541" spans="2:16" ht="15" customHeight="1" thickBot="1" x14ac:dyDescent="0.45"/>
    <row r="4542" spans="2:16" ht="17.399999999999999" thickBot="1" x14ac:dyDescent="0.45">
      <c r="F4542" s="292" t="s">
        <v>20</v>
      </c>
      <c r="G4542" s="293"/>
      <c r="H4542" s="293"/>
      <c r="I4542" s="294"/>
      <c r="K4542" s="229">
        <f>(+K4513+K4522+K4531+K4539)</f>
        <v>225</v>
      </c>
      <c r="L4542" s="119">
        <f>(+L4513+L4522+L4531+L4539)</f>
        <v>24300</v>
      </c>
      <c r="N4542" s="131"/>
      <c r="O4542" s="39"/>
      <c r="P4542" s="40"/>
    </row>
    <row r="4543" spans="2:16" ht="7.5" customHeight="1" thickBot="1" x14ac:dyDescent="0.45">
      <c r="N4543" s="131"/>
      <c r="O4543" s="41"/>
      <c r="P4543" s="40"/>
    </row>
    <row r="4544" spans="2:16" ht="17.399999999999999" thickBot="1" x14ac:dyDescent="0.45">
      <c r="F4544" s="292" t="s">
        <v>21</v>
      </c>
      <c r="G4544" s="293"/>
      <c r="H4544" s="293"/>
      <c r="I4544" s="294"/>
      <c r="K4544" s="229">
        <f>K4542*$N$2</f>
        <v>90</v>
      </c>
      <c r="L4544" s="119">
        <f>L4542*$N$2</f>
        <v>9720</v>
      </c>
    </row>
    <row r="4545" spans="1:16" ht="7.5" customHeight="1" thickBot="1" x14ac:dyDescent="0.45"/>
    <row r="4546" spans="1:16" ht="17.399999999999999" thickBot="1" x14ac:dyDescent="0.45">
      <c r="F4546" s="292" t="s">
        <v>22</v>
      </c>
      <c r="G4546" s="293"/>
      <c r="H4546" s="293"/>
      <c r="I4546" s="294"/>
      <c r="K4546" s="229">
        <f>+K4542+K4544</f>
        <v>315</v>
      </c>
      <c r="L4546" s="119">
        <f>+L4542+L4544</f>
        <v>34020</v>
      </c>
    </row>
    <row r="4547" spans="1:16" ht="17.399999999999999" thickBot="1" x14ac:dyDescent="0.45">
      <c r="F4547" s="128"/>
      <c r="G4547" s="129"/>
      <c r="H4547" s="130"/>
      <c r="I4547" s="108"/>
      <c r="K4547" s="231"/>
      <c r="L4547" s="132">
        <f>L4546/I4503</f>
        <v>315</v>
      </c>
      <c r="M4547" s="133">
        <f>(K4546-L4547)*I4503</f>
        <v>0</v>
      </c>
    </row>
    <row r="4548" spans="1:16" x14ac:dyDescent="0.4">
      <c r="F4548" s="128"/>
      <c r="G4548" s="129"/>
      <c r="H4548" s="130"/>
      <c r="I4548" s="108"/>
      <c r="K4548" s="232"/>
      <c r="L4548" s="131"/>
      <c r="M4548" s="134"/>
      <c r="N4548" s="135"/>
    </row>
    <row r="4549" spans="1:16" ht="17.399999999999999" thickBot="1" x14ac:dyDescent="0.45">
      <c r="B4549" s="295"/>
      <c r="C4549" s="295"/>
      <c r="D4549" s="295"/>
    </row>
    <row r="4550" spans="1:16" x14ac:dyDescent="0.4">
      <c r="B4550" s="296" t="s">
        <v>23</v>
      </c>
      <c r="C4550" s="296"/>
      <c r="D4550" s="296"/>
    </row>
    <row r="4551" spans="1:16" x14ac:dyDescent="0.4">
      <c r="B4551" s="157"/>
      <c r="C4551" s="157"/>
      <c r="D4551" s="157"/>
    </row>
    <row r="4553" spans="1:16" x14ac:dyDescent="0.4">
      <c r="B4553" s="105" t="s">
        <v>43</v>
      </c>
      <c r="C4553" s="106"/>
      <c r="D4553" s="311" t="s">
        <v>1</v>
      </c>
      <c r="E4553" s="311"/>
      <c r="F4553" s="311"/>
      <c r="G4553" s="311"/>
      <c r="H4553" s="106"/>
      <c r="I4553" s="107" t="s">
        <v>2</v>
      </c>
      <c r="J4553" s="136"/>
      <c r="K4553" s="107" t="s">
        <v>3</v>
      </c>
    </row>
    <row r="4554" spans="1:16" s="4" customFormat="1" ht="30.75" customHeight="1" x14ac:dyDescent="0.3">
      <c r="A4554" s="31"/>
      <c r="B4554" s="213">
        <f>CATALOGO!B122</f>
        <v>605.08000000000004</v>
      </c>
      <c r="C4554" s="71"/>
      <c r="D4554" s="324" t="str">
        <f>CATALOGO!C122</f>
        <v>PISO CERÁMICO ANTIDESLIZANTE</v>
      </c>
      <c r="E4554" s="324"/>
      <c r="F4554" s="324"/>
      <c r="G4554" s="324"/>
      <c r="H4554" s="71"/>
      <c r="I4554" s="213">
        <f>CATALOGO!D122</f>
        <v>28</v>
      </c>
      <c r="J4554" s="109"/>
      <c r="K4554" s="227" t="str">
        <f>CATALOGO!E122</f>
        <v>m²</v>
      </c>
      <c r="L4554" s="71"/>
      <c r="M4554" s="71"/>
      <c r="N4554" s="104"/>
      <c r="O4554" s="37"/>
      <c r="P4554" s="37"/>
    </row>
    <row r="4555" spans="1:16" ht="17.399999999999999" thickBot="1" x14ac:dyDescent="0.45"/>
    <row r="4556" spans="1:16" ht="17.399999999999999" thickBot="1" x14ac:dyDescent="0.45">
      <c r="B4556" s="110" t="s">
        <v>4</v>
      </c>
      <c r="C4556" s="300" t="s">
        <v>5</v>
      </c>
      <c r="D4556" s="300"/>
      <c r="E4556" s="300"/>
      <c r="F4556" s="300"/>
      <c r="G4556" s="301"/>
    </row>
    <row r="4557" spans="1:16" x14ac:dyDescent="0.3">
      <c r="B4557" s="111" t="s">
        <v>6</v>
      </c>
      <c r="C4557" s="313" t="s">
        <v>1</v>
      </c>
      <c r="D4557" s="314"/>
      <c r="E4557" s="112" t="s">
        <v>193</v>
      </c>
      <c r="F4557" s="113" t="s">
        <v>2</v>
      </c>
      <c r="G4557" s="114" t="s">
        <v>3</v>
      </c>
      <c r="H4557" s="106"/>
      <c r="I4557" s="107" t="s">
        <v>7</v>
      </c>
      <c r="J4557" s="136"/>
      <c r="K4557" s="228" t="s">
        <v>8</v>
      </c>
      <c r="L4557" s="115" t="s">
        <v>194</v>
      </c>
      <c r="O4557" s="323"/>
      <c r="P4557" s="323"/>
    </row>
    <row r="4558" spans="1:16" ht="16.5" customHeight="1" x14ac:dyDescent="0.3">
      <c r="B4558" s="122">
        <v>1</v>
      </c>
      <c r="C4558" s="317" t="s">
        <v>214</v>
      </c>
      <c r="D4558" s="318"/>
      <c r="E4558" s="116">
        <f>I4554*0.7</f>
        <v>19.599999999999998</v>
      </c>
      <c r="F4558" s="83">
        <f>ROUND(E4558/I4554,2)</f>
        <v>0.7</v>
      </c>
      <c r="G4558" s="74" t="str">
        <f>IF(C4558=0,0,VLOOKUP(C4558,Tabla1[],2,FALSE))</f>
        <v>Saco</v>
      </c>
      <c r="I4558" s="117">
        <f>IF(C4558=0,0,VLOOKUP(C4558,Tabla1[],3,FALSE))</f>
        <v>80</v>
      </c>
      <c r="K4558" s="84">
        <f>F4558*I4558</f>
        <v>56</v>
      </c>
      <c r="L4558" s="118">
        <f t="shared" ref="L4558:L4562" si="697">E4558*I4558</f>
        <v>1567.9999999999998</v>
      </c>
      <c r="O4558" s="44"/>
      <c r="P4558" s="45"/>
    </row>
    <row r="4559" spans="1:16" x14ac:dyDescent="0.3">
      <c r="B4559" s="122">
        <v>2</v>
      </c>
      <c r="C4559" s="319" t="s">
        <v>73</v>
      </c>
      <c r="D4559" s="318"/>
      <c r="E4559" s="116">
        <f>I4554*0.02</f>
        <v>0.56000000000000005</v>
      </c>
      <c r="F4559" s="83">
        <f>ROUND(E4559/I4554,2)</f>
        <v>0.02</v>
      </c>
      <c r="G4559" s="74" t="str">
        <f>IF(C4559=0,0,VLOOKUP(C4559,Tabla1[],2,FALSE))</f>
        <v>m³</v>
      </c>
      <c r="I4559" s="117">
        <f>IF(C4559=0,0,VLOOKUP(C4559,Tabla1[],3,FALSE))</f>
        <v>250</v>
      </c>
      <c r="K4559" s="84">
        <f t="shared" ref="K4559:K4562" si="698">+F4559*I4559</f>
        <v>5</v>
      </c>
      <c r="L4559" s="118">
        <f t="shared" si="697"/>
        <v>140</v>
      </c>
      <c r="O4559" s="44"/>
      <c r="P4559" s="47"/>
    </row>
    <row r="4560" spans="1:16" x14ac:dyDescent="0.4">
      <c r="B4560" s="122">
        <v>3</v>
      </c>
      <c r="C4560" s="319" t="s">
        <v>215</v>
      </c>
      <c r="D4560" s="318"/>
      <c r="E4560" s="116">
        <f>I4554*0.03</f>
        <v>0.84</v>
      </c>
      <c r="F4560" s="83">
        <f>ROUND(E4560/I4554,2)</f>
        <v>0.03</v>
      </c>
      <c r="G4560" s="74" t="str">
        <f>IF(C4560=0,0,VLOOKUP(C4560,Tabla1[],2,FALSE))</f>
        <v>Bolsa</v>
      </c>
      <c r="I4560" s="117">
        <f>IF(C4560=0,0,VLOOKUP(C4560,Tabla1[],3,FALSE))</f>
        <v>50</v>
      </c>
      <c r="K4560" s="84">
        <f t="shared" si="698"/>
        <v>1.5</v>
      </c>
      <c r="L4560" s="118">
        <f t="shared" si="697"/>
        <v>42</v>
      </c>
      <c r="O4560" s="48"/>
      <c r="P4560" s="49"/>
    </row>
    <row r="4561" spans="2:16" ht="16.5" customHeight="1" x14ac:dyDescent="0.3">
      <c r="B4561" s="122">
        <v>4</v>
      </c>
      <c r="C4561" s="315" t="s">
        <v>601</v>
      </c>
      <c r="D4561" s="316"/>
      <c r="E4561" s="116">
        <f>I4554*0.7</f>
        <v>19.599999999999998</v>
      </c>
      <c r="F4561" s="83">
        <f>ROUND(E4561/I4554,2)</f>
        <v>0.7</v>
      </c>
      <c r="G4561" s="74" t="str">
        <f>IF(C4561=0,0,VLOOKUP(C4561,Tabla1[],2,FALSE))</f>
        <v>m²</v>
      </c>
      <c r="I4561" s="117">
        <f>IF(C4561=0,0,VLOOKUP(C4561,Tabla1[],3,FALSE))</f>
        <v>125</v>
      </c>
      <c r="K4561" s="84">
        <f t="shared" si="698"/>
        <v>87.5</v>
      </c>
      <c r="L4561" s="118">
        <f t="shared" si="697"/>
        <v>2449.9999999999995</v>
      </c>
      <c r="O4561" s="44"/>
      <c r="P4561" s="45"/>
    </row>
    <row r="4562" spans="2:16" x14ac:dyDescent="0.4">
      <c r="B4562" s="122"/>
      <c r="C4562" s="319"/>
      <c r="D4562" s="318"/>
      <c r="E4562" s="116"/>
      <c r="F4562" s="83"/>
      <c r="G4562" s="74"/>
      <c r="I4562" s="117">
        <f>IF(C4562=0,0,VLOOKUP(C4562,Tabla1[],3,FALSE))</f>
        <v>0</v>
      </c>
      <c r="K4562" s="84">
        <f t="shared" si="698"/>
        <v>0</v>
      </c>
      <c r="L4562" s="118">
        <f t="shared" si="697"/>
        <v>0</v>
      </c>
      <c r="O4562" s="48"/>
      <c r="P4562" s="49"/>
    </row>
    <row r="4563" spans="2:16" ht="17.399999999999999" thickBot="1" x14ac:dyDescent="0.45"/>
    <row r="4564" spans="2:16" ht="17.399999999999999" thickBot="1" x14ac:dyDescent="0.35">
      <c r="F4564" s="292" t="s">
        <v>9</v>
      </c>
      <c r="G4564" s="293"/>
      <c r="H4564" s="293"/>
      <c r="I4564" s="294"/>
      <c r="K4564" s="229">
        <f>+SUM(K4558:K4562)</f>
        <v>150</v>
      </c>
      <c r="L4564" s="119">
        <f>+SUM(L4558:L4562)</f>
        <v>4199.9999999999991</v>
      </c>
      <c r="O4564" s="38"/>
      <c r="P4564" s="38"/>
    </row>
    <row r="4565" spans="2:16" ht="17.399999999999999" thickBot="1" x14ac:dyDescent="0.45">
      <c r="O4565" s="42"/>
      <c r="P4565" s="43"/>
    </row>
    <row r="4566" spans="2:16" ht="17.399999999999999" thickBot="1" x14ac:dyDescent="0.45">
      <c r="B4566" s="110" t="s">
        <v>10</v>
      </c>
      <c r="C4566" s="300" t="s">
        <v>11</v>
      </c>
      <c r="D4566" s="300"/>
      <c r="E4566" s="300"/>
      <c r="F4566" s="300"/>
      <c r="G4566" s="301"/>
    </row>
    <row r="4567" spans="2:16" x14ac:dyDescent="0.4">
      <c r="B4567" s="114" t="s">
        <v>6</v>
      </c>
      <c r="C4567" s="302" t="s">
        <v>1</v>
      </c>
      <c r="D4567" s="303"/>
      <c r="E4567" s="112" t="s">
        <v>193</v>
      </c>
      <c r="F4567" s="120" t="s">
        <v>2</v>
      </c>
      <c r="G4567" s="114" t="s">
        <v>3</v>
      </c>
      <c r="H4567" s="106"/>
      <c r="I4567" s="107" t="s">
        <v>7</v>
      </c>
      <c r="J4567" s="136"/>
      <c r="K4567" s="107" t="s">
        <v>8</v>
      </c>
      <c r="L4567" s="115" t="s">
        <v>194</v>
      </c>
    </row>
    <row r="4568" spans="2:16" x14ac:dyDescent="0.4">
      <c r="B4568" s="122"/>
      <c r="C4568" s="306"/>
      <c r="D4568" s="306"/>
      <c r="E4568" s="116"/>
      <c r="F4568" s="83"/>
      <c r="G4568" s="74"/>
      <c r="I4568" s="117">
        <f>IF(C4568=0,0,VLOOKUP(C4568,Tabla3[],3,FALSE))</f>
        <v>0</v>
      </c>
      <c r="K4568" s="84">
        <f>F4568*I4568</f>
        <v>0</v>
      </c>
      <c r="L4568" s="118">
        <f>E4568*I4568</f>
        <v>0</v>
      </c>
    </row>
    <row r="4569" spans="2:16" x14ac:dyDescent="0.4">
      <c r="B4569" s="74"/>
      <c r="C4569" s="309"/>
      <c r="D4569" s="310"/>
      <c r="E4569" s="121"/>
      <c r="F4569" s="72"/>
      <c r="G4569" s="74"/>
      <c r="I4569" s="117">
        <f>IF(C4569=0,0,VLOOKUP(C4569,Tabla3[],3,FALSE))</f>
        <v>0</v>
      </c>
      <c r="K4569" s="84">
        <f t="shared" ref="K4569:K4571" si="699">+F4569*I4569</f>
        <v>0</v>
      </c>
      <c r="L4569" s="118">
        <f t="shared" ref="L4569:L4571" si="700">E4569*I4569</f>
        <v>0</v>
      </c>
    </row>
    <row r="4570" spans="2:16" x14ac:dyDescent="0.4">
      <c r="B4570" s="74"/>
      <c r="C4570" s="309"/>
      <c r="D4570" s="310"/>
      <c r="E4570" s="121"/>
      <c r="F4570" s="72"/>
      <c r="G4570" s="74"/>
      <c r="I4570" s="117">
        <f>IF(C4570=0,0,VLOOKUP(C4570,Tabla3[],3,FALSE))</f>
        <v>0</v>
      </c>
      <c r="K4570" s="84">
        <f t="shared" si="699"/>
        <v>0</v>
      </c>
      <c r="L4570" s="118">
        <f t="shared" si="700"/>
        <v>0</v>
      </c>
    </row>
    <row r="4571" spans="2:16" x14ac:dyDescent="0.4">
      <c r="B4571" s="74"/>
      <c r="C4571" s="304"/>
      <c r="D4571" s="305"/>
      <c r="E4571" s="121"/>
      <c r="F4571" s="72"/>
      <c r="G4571" s="74"/>
      <c r="I4571" s="117">
        <f>IF(C4571=0,0,VLOOKUP(C4571,Tabla3[],3,FALSE))</f>
        <v>0</v>
      </c>
      <c r="K4571" s="84">
        <f t="shared" si="699"/>
        <v>0</v>
      </c>
      <c r="L4571" s="118">
        <f t="shared" si="700"/>
        <v>0</v>
      </c>
    </row>
    <row r="4572" spans="2:16" ht="17.399999999999999" thickBot="1" x14ac:dyDescent="0.45"/>
    <row r="4573" spans="2:16" ht="17.399999999999999" thickBot="1" x14ac:dyDescent="0.45">
      <c r="F4573" s="292" t="s">
        <v>12</v>
      </c>
      <c r="G4573" s="293"/>
      <c r="H4573" s="293"/>
      <c r="I4573" s="294"/>
      <c r="K4573" s="229">
        <f>+SUM(K4568:K4571)</f>
        <v>0</v>
      </c>
      <c r="L4573" s="119">
        <f>+SUM(L4568:L4571)</f>
        <v>0</v>
      </c>
    </row>
    <row r="4574" spans="2:16" ht="17.399999999999999" thickBot="1" x14ac:dyDescent="0.45"/>
    <row r="4575" spans="2:16" ht="17.399999999999999" thickBot="1" x14ac:dyDescent="0.45">
      <c r="B4575" s="110" t="s">
        <v>13</v>
      </c>
      <c r="C4575" s="300" t="s">
        <v>14</v>
      </c>
      <c r="D4575" s="300"/>
      <c r="E4575" s="300"/>
      <c r="F4575" s="300"/>
      <c r="G4575" s="301"/>
    </row>
    <row r="4576" spans="2:16" x14ac:dyDescent="0.4">
      <c r="B4576" s="114" t="s">
        <v>6</v>
      </c>
      <c r="C4576" s="302" t="s">
        <v>1</v>
      </c>
      <c r="D4576" s="303"/>
      <c r="E4576" s="112" t="s">
        <v>193</v>
      </c>
      <c r="F4576" s="120" t="s">
        <v>2</v>
      </c>
      <c r="G4576" s="114" t="s">
        <v>3</v>
      </c>
      <c r="H4576" s="106"/>
      <c r="I4576" s="107" t="s">
        <v>7</v>
      </c>
      <c r="J4576" s="136"/>
      <c r="K4576" s="107" t="s">
        <v>8</v>
      </c>
      <c r="L4576" s="115" t="s">
        <v>194</v>
      </c>
    </row>
    <row r="4577" spans="2:12" x14ac:dyDescent="0.4">
      <c r="B4577" s="122">
        <v>1</v>
      </c>
      <c r="C4577" s="306" t="s">
        <v>216</v>
      </c>
      <c r="D4577" s="306"/>
      <c r="E4577" s="116">
        <f>I4554</f>
        <v>28</v>
      </c>
      <c r="F4577" s="83">
        <f>ROUND(E4577/I4554,2)</f>
        <v>1</v>
      </c>
      <c r="G4577" s="74" t="str">
        <f>IF(C4577=0,0,VLOOKUP(C4577,Tabla2[],2,FALSE))</f>
        <v>m²</v>
      </c>
      <c r="I4577" s="117">
        <f>IF(C4577=0,0,VLOOKUP(C4577,Tabla2[],3,FALSE))</f>
        <v>100</v>
      </c>
      <c r="K4577" s="84">
        <f>+F4577*I4577</f>
        <v>100</v>
      </c>
      <c r="L4577" s="118">
        <f>E4577*I4577</f>
        <v>2800</v>
      </c>
    </row>
    <row r="4578" spans="2:12" x14ac:dyDescent="0.4">
      <c r="B4578" s="122"/>
      <c r="C4578" s="306"/>
      <c r="D4578" s="306"/>
      <c r="E4578" s="116"/>
      <c r="F4578" s="83"/>
      <c r="G4578" s="74"/>
      <c r="I4578" s="117">
        <f>IF(C4578=0,0,VLOOKUP(C4578,Tabla2[],3,FALSE))</f>
        <v>0</v>
      </c>
      <c r="K4578" s="84">
        <f>+F4578*I4578</f>
        <v>0</v>
      </c>
      <c r="L4578" s="118">
        <f>E4578*I4578</f>
        <v>0</v>
      </c>
    </row>
    <row r="4579" spans="2:12" ht="17.399999999999999" thickBot="1" x14ac:dyDescent="0.45">
      <c r="B4579" s="123"/>
      <c r="C4579" s="307"/>
      <c r="D4579" s="308"/>
      <c r="E4579" s="124"/>
      <c r="F4579" s="125"/>
      <c r="G4579" s="74"/>
      <c r="I4579" s="117">
        <f>IF(C4579=0,0,VLOOKUP(C4579,Tabla2[],3,FALSE))</f>
        <v>0</v>
      </c>
      <c r="K4579" s="84">
        <f t="shared" ref="K4579" si="701">+F4579*I4579</f>
        <v>0</v>
      </c>
      <c r="L4579" s="118">
        <f t="shared" ref="L4579:L4580" si="702">E4579*I4579</f>
        <v>0</v>
      </c>
    </row>
    <row r="4580" spans="2:12" ht="17.399999999999999" thickBot="1" x14ac:dyDescent="0.45">
      <c r="B4580" s="297" t="s">
        <v>15</v>
      </c>
      <c r="C4580" s="298"/>
      <c r="D4580" s="298"/>
      <c r="E4580" s="298"/>
      <c r="F4580" s="298"/>
      <c r="G4580" s="299"/>
      <c r="I4580" s="117">
        <f>IF(C4580=0,0,VLOOKUP(C4580,Tabla2[],3,FALSE))</f>
        <v>0</v>
      </c>
      <c r="K4580" s="84">
        <v>0</v>
      </c>
      <c r="L4580" s="118">
        <f t="shared" si="702"/>
        <v>0</v>
      </c>
    </row>
    <row r="4581" spans="2:12" ht="17.399999999999999" thickBot="1" x14ac:dyDescent="0.45"/>
    <row r="4582" spans="2:12" ht="17.399999999999999" thickBot="1" x14ac:dyDescent="0.45">
      <c r="F4582" s="292" t="s">
        <v>16</v>
      </c>
      <c r="G4582" s="293"/>
      <c r="H4582" s="293"/>
      <c r="I4582" s="294"/>
      <c r="K4582" s="229">
        <f>+SUM(K4577:K4580)</f>
        <v>100</v>
      </c>
      <c r="L4582" s="119">
        <f>+SUM(L4577:L4580)</f>
        <v>2800</v>
      </c>
    </row>
    <row r="4583" spans="2:12" ht="17.399999999999999" thickBot="1" x14ac:dyDescent="0.45"/>
    <row r="4584" spans="2:12" ht="17.399999999999999" thickBot="1" x14ac:dyDescent="0.45">
      <c r="B4584" s="110" t="s">
        <v>17</v>
      </c>
      <c r="C4584" s="300" t="s">
        <v>18</v>
      </c>
      <c r="D4584" s="300"/>
      <c r="E4584" s="300"/>
      <c r="F4584" s="300"/>
      <c r="G4584" s="301"/>
    </row>
    <row r="4585" spans="2:12" x14ac:dyDescent="0.4">
      <c r="B4585" s="114" t="s">
        <v>6</v>
      </c>
      <c r="C4585" s="302" t="s">
        <v>1</v>
      </c>
      <c r="D4585" s="303"/>
      <c r="E4585" s="126"/>
      <c r="F4585" s="120" t="s">
        <v>2</v>
      </c>
      <c r="G4585" s="114" t="s">
        <v>3</v>
      </c>
      <c r="H4585" s="106"/>
      <c r="I4585" s="107" t="s">
        <v>7</v>
      </c>
      <c r="J4585" s="136"/>
      <c r="K4585" s="107" t="s">
        <v>8</v>
      </c>
      <c r="L4585" s="115" t="s">
        <v>194</v>
      </c>
    </row>
    <row r="4586" spans="2:12" x14ac:dyDescent="0.4">
      <c r="B4586" s="74"/>
      <c r="C4586" s="304"/>
      <c r="D4586" s="305"/>
      <c r="E4586" s="127"/>
      <c r="F4586" s="72"/>
      <c r="G4586" s="74"/>
      <c r="I4586" s="84">
        <v>0</v>
      </c>
      <c r="K4586" s="84">
        <f>+F4586*I4586</f>
        <v>0</v>
      </c>
      <c r="L4586" s="118">
        <f>E4586*I4586</f>
        <v>0</v>
      </c>
    </row>
    <row r="4587" spans="2:12" x14ac:dyDescent="0.4">
      <c r="B4587" s="74"/>
      <c r="C4587" s="304"/>
      <c r="D4587" s="305"/>
      <c r="E4587" s="127"/>
      <c r="F4587" s="72"/>
      <c r="G4587" s="74"/>
      <c r="I4587" s="84">
        <v>0</v>
      </c>
      <c r="K4587" s="84">
        <f t="shared" ref="K4587:K4588" si="703">+F4587*I4587</f>
        <v>0</v>
      </c>
      <c r="L4587" s="118">
        <f t="shared" ref="L4587:L4588" si="704">E4587*I4587</f>
        <v>0</v>
      </c>
    </row>
    <row r="4588" spans="2:12" x14ac:dyDescent="0.4">
      <c r="B4588" s="74"/>
      <c r="C4588" s="304"/>
      <c r="D4588" s="305"/>
      <c r="E4588" s="127"/>
      <c r="F4588" s="72"/>
      <c r="G4588" s="74"/>
      <c r="I4588" s="84">
        <v>0</v>
      </c>
      <c r="K4588" s="84">
        <f t="shared" si="703"/>
        <v>0</v>
      </c>
      <c r="L4588" s="118">
        <f t="shared" si="704"/>
        <v>0</v>
      </c>
    </row>
    <row r="4589" spans="2:12" ht="17.399999999999999" thickBot="1" x14ac:dyDescent="0.45">
      <c r="L4589" s="118"/>
    </row>
    <row r="4590" spans="2:12" ht="17.399999999999999" thickBot="1" x14ac:dyDescent="0.45">
      <c r="F4590" s="292" t="s">
        <v>19</v>
      </c>
      <c r="G4590" s="293"/>
      <c r="H4590" s="293"/>
      <c r="I4590" s="294"/>
      <c r="K4590" s="229">
        <f>+SUM(K4586:K4588)</f>
        <v>0</v>
      </c>
      <c r="L4590" s="119">
        <f>+SUM(L4585:L4588)</f>
        <v>0</v>
      </c>
    </row>
    <row r="4591" spans="2:12" ht="15" customHeight="1" x14ac:dyDescent="0.4">
      <c r="F4591" s="128"/>
      <c r="G4591" s="129"/>
      <c r="H4591" s="130"/>
      <c r="I4591" s="108"/>
      <c r="K4591" s="230"/>
    </row>
    <row r="4592" spans="2:12" ht="15" customHeight="1" thickBot="1" x14ac:dyDescent="0.45"/>
    <row r="4593" spans="1:16" ht="17.399999999999999" thickBot="1" x14ac:dyDescent="0.45">
      <c r="F4593" s="292" t="s">
        <v>20</v>
      </c>
      <c r="G4593" s="293"/>
      <c r="H4593" s="293"/>
      <c r="I4593" s="294"/>
      <c r="K4593" s="229">
        <f>(+K4564+K4573+K4582+K4590)</f>
        <v>250</v>
      </c>
      <c r="L4593" s="119">
        <f>(+L4564+L4573+L4582+L4590)</f>
        <v>6999.9999999999991</v>
      </c>
      <c r="N4593" s="131"/>
      <c r="O4593" s="39"/>
      <c r="P4593" s="40"/>
    </row>
    <row r="4594" spans="1:16" ht="7.5" customHeight="1" thickBot="1" x14ac:dyDescent="0.45">
      <c r="N4594" s="131"/>
      <c r="O4594" s="41"/>
      <c r="P4594" s="40"/>
    </row>
    <row r="4595" spans="1:16" ht="17.399999999999999" thickBot="1" x14ac:dyDescent="0.45">
      <c r="F4595" s="292" t="s">
        <v>21</v>
      </c>
      <c r="G4595" s="293"/>
      <c r="H4595" s="293"/>
      <c r="I4595" s="294"/>
      <c r="K4595" s="229">
        <f>K4593*$N$2</f>
        <v>100</v>
      </c>
      <c r="L4595" s="119">
        <f>L4593*$N$2</f>
        <v>2800</v>
      </c>
    </row>
    <row r="4596" spans="1:16" ht="7.5" customHeight="1" thickBot="1" x14ac:dyDescent="0.45"/>
    <row r="4597" spans="1:16" ht="17.399999999999999" thickBot="1" x14ac:dyDescent="0.45">
      <c r="F4597" s="292" t="s">
        <v>22</v>
      </c>
      <c r="G4597" s="293"/>
      <c r="H4597" s="293"/>
      <c r="I4597" s="294"/>
      <c r="K4597" s="229">
        <f>+K4593+K4595</f>
        <v>350</v>
      </c>
      <c r="L4597" s="119">
        <f>+L4593+L4595</f>
        <v>9800</v>
      </c>
    </row>
    <row r="4598" spans="1:16" ht="17.399999999999999" thickBot="1" x14ac:dyDescent="0.45">
      <c r="F4598" s="128"/>
      <c r="G4598" s="129"/>
      <c r="H4598" s="130"/>
      <c r="I4598" s="108"/>
      <c r="K4598" s="231"/>
      <c r="L4598" s="132">
        <f>L4597/I4554</f>
        <v>350</v>
      </c>
      <c r="M4598" s="133">
        <f>(K4597-L4598)*I4554</f>
        <v>0</v>
      </c>
    </row>
    <row r="4599" spans="1:16" x14ac:dyDescent="0.4">
      <c r="F4599" s="128"/>
      <c r="G4599" s="129"/>
      <c r="H4599" s="130"/>
      <c r="I4599" s="108"/>
      <c r="K4599" s="232"/>
      <c r="L4599" s="131"/>
      <c r="M4599" s="134"/>
      <c r="N4599" s="135"/>
    </row>
    <row r="4600" spans="1:16" ht="17.399999999999999" thickBot="1" x14ac:dyDescent="0.45">
      <c r="B4600" s="295"/>
      <c r="C4600" s="295"/>
      <c r="D4600" s="295"/>
    </row>
    <row r="4601" spans="1:16" x14ac:dyDescent="0.4">
      <c r="B4601" s="296" t="s">
        <v>23</v>
      </c>
      <c r="C4601" s="296"/>
      <c r="D4601" s="296"/>
    </row>
    <row r="4602" spans="1:16" x14ac:dyDescent="0.4">
      <c r="B4602" s="157"/>
      <c r="C4602" s="157"/>
      <c r="D4602" s="157"/>
    </row>
    <row r="4603" spans="1:16" x14ac:dyDescent="0.4">
      <c r="B4603" s="157"/>
      <c r="C4603" s="157"/>
      <c r="D4603" s="157"/>
    </row>
    <row r="4604" spans="1:16" x14ac:dyDescent="0.4">
      <c r="B4604" s="105" t="s">
        <v>43</v>
      </c>
      <c r="C4604" s="106"/>
      <c r="D4604" s="311" t="s">
        <v>1</v>
      </c>
      <c r="E4604" s="311"/>
      <c r="F4604" s="311"/>
      <c r="G4604" s="311"/>
      <c r="H4604" s="106"/>
      <c r="I4604" s="107" t="s">
        <v>2</v>
      </c>
      <c r="J4604" s="136"/>
      <c r="K4604" s="107" t="s">
        <v>3</v>
      </c>
    </row>
    <row r="4605" spans="1:16" s="4" customFormat="1" ht="30.75" customHeight="1" x14ac:dyDescent="0.3">
      <c r="A4605" s="31"/>
      <c r="B4605" s="213">
        <f>CATALOGO!B123</f>
        <v>611.01</v>
      </c>
      <c r="C4605" s="71"/>
      <c r="D4605" s="326" t="str">
        <f>CATALOGO!C123</f>
        <v>PINTURA DE MUROS</v>
      </c>
      <c r="E4605" s="326"/>
      <c r="F4605" s="326"/>
      <c r="G4605" s="326"/>
      <c r="H4605" s="71"/>
      <c r="I4605" s="213">
        <f>CATALOGO!D123</f>
        <v>280</v>
      </c>
      <c r="J4605" s="109"/>
      <c r="K4605" s="227" t="str">
        <f>CATALOGO!E123</f>
        <v>m²</v>
      </c>
      <c r="L4605" s="71"/>
      <c r="M4605" s="71"/>
      <c r="N4605" s="71"/>
      <c r="O4605" s="37"/>
      <c r="P4605" s="37"/>
    </row>
    <row r="4606" spans="1:16" ht="17.399999999999999" thickBot="1" x14ac:dyDescent="0.45"/>
    <row r="4607" spans="1:16" ht="17.399999999999999" thickBot="1" x14ac:dyDescent="0.45">
      <c r="B4607" s="110" t="s">
        <v>4</v>
      </c>
      <c r="C4607" s="300" t="s">
        <v>5</v>
      </c>
      <c r="D4607" s="300"/>
      <c r="E4607" s="300"/>
      <c r="F4607" s="300"/>
      <c r="G4607" s="301"/>
    </row>
    <row r="4608" spans="1:16" x14ac:dyDescent="0.3">
      <c r="B4608" s="111" t="s">
        <v>6</v>
      </c>
      <c r="C4608" s="313" t="s">
        <v>1</v>
      </c>
      <c r="D4608" s="314"/>
      <c r="E4608" s="112" t="s">
        <v>193</v>
      </c>
      <c r="F4608" s="113" t="s">
        <v>2</v>
      </c>
      <c r="G4608" s="114" t="s">
        <v>3</v>
      </c>
      <c r="H4608" s="106"/>
      <c r="I4608" s="107" t="s">
        <v>7</v>
      </c>
      <c r="J4608" s="136"/>
      <c r="K4608" s="228" t="s">
        <v>8</v>
      </c>
      <c r="L4608" s="115" t="s">
        <v>194</v>
      </c>
      <c r="O4608" s="323"/>
      <c r="P4608" s="323"/>
    </row>
    <row r="4609" spans="2:16" ht="17.25" customHeight="1" x14ac:dyDescent="0.3">
      <c r="B4609" s="122">
        <v>1</v>
      </c>
      <c r="C4609" s="317" t="s">
        <v>78</v>
      </c>
      <c r="D4609" s="318"/>
      <c r="E4609" s="116">
        <f>I4605*0.04</f>
        <v>11.200000000000001</v>
      </c>
      <c r="F4609" s="83">
        <f>ROUND(E4609/I4605,2)</f>
        <v>0.04</v>
      </c>
      <c r="G4609" s="74" t="str">
        <f>IF(C4609=0,0,VLOOKUP(C4609,Tabla1[],2,FALSE))</f>
        <v>Unidad</v>
      </c>
      <c r="I4609" s="117">
        <f>IF(C4609=0,0,VLOOKUP(C4609,Tabla1[],3,FALSE))</f>
        <v>25</v>
      </c>
      <c r="K4609" s="84">
        <f>F4609*I4609</f>
        <v>1</v>
      </c>
      <c r="L4609" s="118">
        <f t="shared" ref="L4609:L4618" si="705">E4609*I4609</f>
        <v>280</v>
      </c>
      <c r="O4609" s="44"/>
      <c r="P4609" s="45"/>
    </row>
    <row r="4610" spans="2:16" x14ac:dyDescent="0.4">
      <c r="B4610" s="122">
        <v>2</v>
      </c>
      <c r="C4610" s="317" t="s">
        <v>79</v>
      </c>
      <c r="D4610" s="318"/>
      <c r="E4610" s="116">
        <f>I4605*0.02</f>
        <v>5.6000000000000005</v>
      </c>
      <c r="F4610" s="83">
        <f>ROUND(E4610/I4605,2)</f>
        <v>0.02</v>
      </c>
      <c r="G4610" s="74" t="str">
        <f>IF(C4610=0,0,VLOOKUP(C4610,Tabla1[],2,FALSE))</f>
        <v>Unidad</v>
      </c>
      <c r="I4610" s="117">
        <f>IF(C4610=0,0,VLOOKUP(C4610,Tabla1[],3,FALSE))</f>
        <v>50</v>
      </c>
      <c r="K4610" s="84">
        <f t="shared" ref="K4610:K4618" si="706">+F4610*I4610</f>
        <v>1</v>
      </c>
      <c r="L4610" s="118">
        <f t="shared" si="705"/>
        <v>280</v>
      </c>
      <c r="P4610" s="45"/>
    </row>
    <row r="4611" spans="2:16" x14ac:dyDescent="0.4">
      <c r="B4611" s="122">
        <v>3</v>
      </c>
      <c r="C4611" s="317" t="s">
        <v>220</v>
      </c>
      <c r="D4611" s="318"/>
      <c r="E4611" s="116">
        <f>I4605*0.01</f>
        <v>2.8000000000000003</v>
      </c>
      <c r="F4611" s="83">
        <f>ROUND(E4611/I4605,2)</f>
        <v>0.01</v>
      </c>
      <c r="G4611" s="74" t="str">
        <f>IF(C4611=0,0,VLOOKUP(C4611,Tabla1[],2,FALSE))</f>
        <v>Cubeta</v>
      </c>
      <c r="I4611" s="117">
        <f>IF(C4611=0,0,VLOOKUP(C4611,Tabla1[],3,FALSE))</f>
        <v>1500</v>
      </c>
      <c r="K4611" s="84">
        <f t="shared" si="706"/>
        <v>15</v>
      </c>
      <c r="L4611" s="118">
        <f t="shared" si="705"/>
        <v>4200</v>
      </c>
      <c r="O4611" s="48"/>
      <c r="P4611" s="49"/>
    </row>
    <row r="4612" spans="2:16" x14ac:dyDescent="0.4">
      <c r="B4612" s="122">
        <v>4</v>
      </c>
      <c r="C4612" s="317" t="s">
        <v>221</v>
      </c>
      <c r="D4612" s="318"/>
      <c r="E4612" s="116">
        <f>I4605*0.02</f>
        <v>5.6000000000000005</v>
      </c>
      <c r="F4612" s="83">
        <f>ROUND(E4612/I4605,2)</f>
        <v>0.02</v>
      </c>
      <c r="G4612" s="74" t="str">
        <f>IF(C4612=0,0,VLOOKUP(C4612,Tabla1[],2,FALSE))</f>
        <v>Unidad</v>
      </c>
      <c r="I4612" s="117">
        <f>IF(C4612=0,0,VLOOKUP(C4612,Tabla1[],3,FALSE))</f>
        <v>50</v>
      </c>
      <c r="K4612" s="84">
        <f t="shared" si="706"/>
        <v>1</v>
      </c>
      <c r="L4612" s="118">
        <f t="shared" si="705"/>
        <v>280</v>
      </c>
      <c r="O4612" s="48"/>
      <c r="P4612" s="49"/>
    </row>
    <row r="4613" spans="2:16" x14ac:dyDescent="0.4">
      <c r="B4613" s="122">
        <v>5</v>
      </c>
      <c r="C4613" s="317" t="s">
        <v>184</v>
      </c>
      <c r="D4613" s="318"/>
      <c r="E4613" s="116">
        <f>I4605*0.08</f>
        <v>22.400000000000002</v>
      </c>
      <c r="F4613" s="83">
        <f>ROUND(E4613/I4605,2)</f>
        <v>0.08</v>
      </c>
      <c r="G4613" s="74" t="str">
        <f>IF(C4613=0,0,VLOOKUP(C4613,Tabla1[],2,FALSE))</f>
        <v>Libra</v>
      </c>
      <c r="I4613" s="117">
        <f>IF(C4613=0,0,VLOOKUP(C4613,Tabla1[],3,FALSE))</f>
        <v>25</v>
      </c>
      <c r="K4613" s="84">
        <f t="shared" si="706"/>
        <v>2</v>
      </c>
      <c r="L4613" s="118">
        <f t="shared" si="705"/>
        <v>560</v>
      </c>
      <c r="O4613" s="48"/>
      <c r="P4613" s="49"/>
    </row>
    <row r="4614" spans="2:16" x14ac:dyDescent="0.4">
      <c r="B4614" s="122">
        <v>6</v>
      </c>
      <c r="C4614" s="318" t="s">
        <v>80</v>
      </c>
      <c r="D4614" s="306"/>
      <c r="E4614" s="116">
        <f>I4605*0.04</f>
        <v>11.200000000000001</v>
      </c>
      <c r="F4614" s="83">
        <f>ROUND(E4614/I4605,2)</f>
        <v>0.04</v>
      </c>
      <c r="G4614" s="74" t="str">
        <f>IF(C4614=0,0,VLOOKUP(C4614,Tabla1[],2,FALSE))</f>
        <v>Unidad</v>
      </c>
      <c r="I4614" s="117">
        <f>IF(C4614=0,0,VLOOKUP(C4614,Tabla1[],3,FALSE))</f>
        <v>100</v>
      </c>
      <c r="K4614" s="84">
        <f t="shared" si="706"/>
        <v>4</v>
      </c>
      <c r="L4614" s="118">
        <f t="shared" si="705"/>
        <v>1120</v>
      </c>
      <c r="O4614" s="48"/>
      <c r="P4614" s="49"/>
    </row>
    <row r="4615" spans="2:16" x14ac:dyDescent="0.4">
      <c r="B4615" s="122">
        <v>7</v>
      </c>
      <c r="C4615" s="318" t="s">
        <v>223</v>
      </c>
      <c r="D4615" s="306"/>
      <c r="E4615" s="116">
        <f>I4605*0.02</f>
        <v>5.6000000000000005</v>
      </c>
      <c r="F4615" s="83">
        <f>ROUND(E4615/I4605,2)</f>
        <v>0.02</v>
      </c>
      <c r="G4615" s="74" t="str">
        <f>IF(C4615=0,0,VLOOKUP(C4615,Tabla1[],2,FALSE))</f>
        <v>Unidad</v>
      </c>
      <c r="I4615" s="117">
        <f>IF(C4615=0,0,VLOOKUP(C4615,Tabla1[],3,FALSE))</f>
        <v>50</v>
      </c>
      <c r="K4615" s="84">
        <f t="shared" si="706"/>
        <v>1</v>
      </c>
      <c r="L4615" s="118">
        <f t="shared" si="705"/>
        <v>280</v>
      </c>
      <c r="O4615" s="48"/>
      <c r="P4615" s="49"/>
    </row>
    <row r="4616" spans="2:16" x14ac:dyDescent="0.4">
      <c r="B4616" s="122"/>
      <c r="C4616" s="317"/>
      <c r="D4616" s="318"/>
      <c r="E4616" s="116"/>
      <c r="F4616" s="83"/>
      <c r="G4616" s="74"/>
      <c r="I4616" s="117">
        <f>IF(C4616=0,0,VLOOKUP(C4616,Tabla1[],3,FALSE))</f>
        <v>0</v>
      </c>
      <c r="K4616" s="84">
        <f t="shared" si="706"/>
        <v>0</v>
      </c>
      <c r="L4616" s="118">
        <f t="shared" si="705"/>
        <v>0</v>
      </c>
      <c r="O4616" s="48"/>
      <c r="P4616" s="49"/>
    </row>
    <row r="4617" spans="2:16" x14ac:dyDescent="0.4">
      <c r="B4617" s="122"/>
      <c r="C4617" s="317"/>
      <c r="D4617" s="318"/>
      <c r="E4617" s="116"/>
      <c r="F4617" s="83"/>
      <c r="G4617" s="74"/>
      <c r="I4617" s="117">
        <f>IF(C4617=0,0,VLOOKUP(C4617,Tabla1[],3,FALSE))</f>
        <v>0</v>
      </c>
      <c r="K4617" s="84">
        <f t="shared" si="706"/>
        <v>0</v>
      </c>
      <c r="L4617" s="118">
        <f t="shared" si="705"/>
        <v>0</v>
      </c>
      <c r="O4617" s="48"/>
      <c r="P4617" s="49"/>
    </row>
    <row r="4618" spans="2:16" x14ac:dyDescent="0.4">
      <c r="B4618" s="122"/>
      <c r="C4618" s="319"/>
      <c r="D4618" s="318"/>
      <c r="E4618" s="116"/>
      <c r="F4618" s="83"/>
      <c r="G4618" s="74"/>
      <c r="I4618" s="117">
        <f>IF(C4618=0,0,VLOOKUP(C4618,Tabla1[],3,FALSE))</f>
        <v>0</v>
      </c>
      <c r="K4618" s="84">
        <f t="shared" si="706"/>
        <v>0</v>
      </c>
      <c r="L4618" s="118">
        <f t="shared" si="705"/>
        <v>0</v>
      </c>
      <c r="O4618" s="48"/>
      <c r="P4618" s="43"/>
    </row>
    <row r="4619" spans="2:16" ht="17.399999999999999" thickBot="1" x14ac:dyDescent="0.45"/>
    <row r="4620" spans="2:16" ht="17.399999999999999" thickBot="1" x14ac:dyDescent="0.35">
      <c r="F4620" s="292" t="s">
        <v>9</v>
      </c>
      <c r="G4620" s="293"/>
      <c r="H4620" s="293"/>
      <c r="I4620" s="294"/>
      <c r="K4620" s="229">
        <f>+SUM(K4609:K4618)</f>
        <v>25</v>
      </c>
      <c r="L4620" s="119">
        <f>+SUM(L4609:L4618)</f>
        <v>7000</v>
      </c>
      <c r="O4620" s="38"/>
      <c r="P4620" s="38"/>
    </row>
    <row r="4621" spans="2:16" ht="17.399999999999999" thickBot="1" x14ac:dyDescent="0.45">
      <c r="O4621" s="42"/>
      <c r="P4621" s="43"/>
    </row>
    <row r="4622" spans="2:16" ht="17.399999999999999" thickBot="1" x14ac:dyDescent="0.45">
      <c r="B4622" s="110" t="s">
        <v>10</v>
      </c>
      <c r="C4622" s="300" t="s">
        <v>11</v>
      </c>
      <c r="D4622" s="300"/>
      <c r="E4622" s="300"/>
      <c r="F4622" s="300"/>
      <c r="G4622" s="301"/>
    </row>
    <row r="4623" spans="2:16" x14ac:dyDescent="0.4">
      <c r="B4623" s="114" t="s">
        <v>6</v>
      </c>
      <c r="C4623" s="302" t="s">
        <v>1</v>
      </c>
      <c r="D4623" s="303"/>
      <c r="E4623" s="112" t="s">
        <v>193</v>
      </c>
      <c r="F4623" s="120" t="s">
        <v>2</v>
      </c>
      <c r="G4623" s="114" t="s">
        <v>3</v>
      </c>
      <c r="H4623" s="106"/>
      <c r="I4623" s="107" t="s">
        <v>7</v>
      </c>
      <c r="J4623" s="136"/>
      <c r="K4623" s="107" t="s">
        <v>8</v>
      </c>
      <c r="L4623" s="115" t="s">
        <v>194</v>
      </c>
    </row>
    <row r="4624" spans="2:16" x14ac:dyDescent="0.4">
      <c r="B4624" s="122"/>
      <c r="C4624" s="306"/>
      <c r="D4624" s="306"/>
      <c r="E4624" s="116"/>
      <c r="F4624" s="83"/>
      <c r="G4624" s="74"/>
      <c r="I4624" s="117">
        <f>IF(C4624=0,0,VLOOKUP(C4624,Tabla3[],3,FALSE))</f>
        <v>0</v>
      </c>
      <c r="K4624" s="84">
        <f>F4624*I4624</f>
        <v>0</v>
      </c>
      <c r="L4624" s="118">
        <f>E4624*I4624</f>
        <v>0</v>
      </c>
    </row>
    <row r="4625" spans="2:12" x14ac:dyDescent="0.4">
      <c r="B4625" s="74"/>
      <c r="C4625" s="309"/>
      <c r="D4625" s="310"/>
      <c r="E4625" s="121"/>
      <c r="F4625" s="72"/>
      <c r="G4625" s="74"/>
      <c r="I4625" s="117">
        <f>IF(C4625=0,0,VLOOKUP(C4625,Tabla3[],3,FALSE))</f>
        <v>0</v>
      </c>
      <c r="K4625" s="84">
        <f t="shared" ref="K4625:K4627" si="707">+F4625*I4625</f>
        <v>0</v>
      </c>
      <c r="L4625" s="118">
        <f t="shared" ref="L4625:L4627" si="708">E4625*I4625</f>
        <v>0</v>
      </c>
    </row>
    <row r="4626" spans="2:12" x14ac:dyDescent="0.4">
      <c r="B4626" s="74"/>
      <c r="C4626" s="309"/>
      <c r="D4626" s="310"/>
      <c r="E4626" s="121"/>
      <c r="F4626" s="72"/>
      <c r="G4626" s="74"/>
      <c r="I4626" s="117">
        <f>IF(C4626=0,0,VLOOKUP(C4626,Tabla3[],3,FALSE))</f>
        <v>0</v>
      </c>
      <c r="K4626" s="84">
        <f t="shared" si="707"/>
        <v>0</v>
      </c>
      <c r="L4626" s="118">
        <f t="shared" si="708"/>
        <v>0</v>
      </c>
    </row>
    <row r="4627" spans="2:12" x14ac:dyDescent="0.4">
      <c r="B4627" s="74"/>
      <c r="C4627" s="304"/>
      <c r="D4627" s="305"/>
      <c r="E4627" s="121"/>
      <c r="F4627" s="72"/>
      <c r="G4627" s="74"/>
      <c r="I4627" s="117">
        <f>IF(C4627=0,0,VLOOKUP(C4627,Tabla3[],3,FALSE))</f>
        <v>0</v>
      </c>
      <c r="K4627" s="84">
        <f t="shared" si="707"/>
        <v>0</v>
      </c>
      <c r="L4627" s="118">
        <f t="shared" si="708"/>
        <v>0</v>
      </c>
    </row>
    <row r="4628" spans="2:12" ht="17.399999999999999" thickBot="1" x14ac:dyDescent="0.45"/>
    <row r="4629" spans="2:12" ht="17.399999999999999" thickBot="1" x14ac:dyDescent="0.45">
      <c r="F4629" s="292" t="s">
        <v>12</v>
      </c>
      <c r="G4629" s="293"/>
      <c r="H4629" s="293"/>
      <c r="I4629" s="294"/>
      <c r="K4629" s="229">
        <f>+SUM(K4624:K4627)</f>
        <v>0</v>
      </c>
      <c r="L4629" s="119">
        <f>+SUM(L4624:L4627)</f>
        <v>0</v>
      </c>
    </row>
    <row r="4630" spans="2:12" ht="17.399999999999999" thickBot="1" x14ac:dyDescent="0.45"/>
    <row r="4631" spans="2:12" ht="17.399999999999999" thickBot="1" x14ac:dyDescent="0.45">
      <c r="B4631" s="110" t="s">
        <v>13</v>
      </c>
      <c r="C4631" s="300" t="s">
        <v>14</v>
      </c>
      <c r="D4631" s="300"/>
      <c r="E4631" s="300"/>
      <c r="F4631" s="300"/>
      <c r="G4631" s="301"/>
    </row>
    <row r="4632" spans="2:12" x14ac:dyDescent="0.4">
      <c r="B4632" s="114" t="s">
        <v>6</v>
      </c>
      <c r="C4632" s="302" t="s">
        <v>1</v>
      </c>
      <c r="D4632" s="303"/>
      <c r="E4632" s="112" t="s">
        <v>193</v>
      </c>
      <c r="F4632" s="120" t="s">
        <v>2</v>
      </c>
      <c r="G4632" s="114" t="s">
        <v>3</v>
      </c>
      <c r="H4632" s="106"/>
      <c r="I4632" s="107" t="s">
        <v>7</v>
      </c>
      <c r="J4632" s="136"/>
      <c r="K4632" s="107" t="s">
        <v>8</v>
      </c>
      <c r="L4632" s="115" t="s">
        <v>194</v>
      </c>
    </row>
    <row r="4633" spans="2:12" x14ac:dyDescent="0.4">
      <c r="B4633" s="122">
        <v>1</v>
      </c>
      <c r="C4633" s="306" t="s">
        <v>187</v>
      </c>
      <c r="D4633" s="306"/>
      <c r="E4633" s="116">
        <f>I4605</f>
        <v>280</v>
      </c>
      <c r="F4633" s="83">
        <f>ROUND(E4633/I4605,2)</f>
        <v>1</v>
      </c>
      <c r="G4633" s="74" t="str">
        <f>IF(C4633=0,0,VLOOKUP(C4633,Tabla2[],2,FALSE))</f>
        <v>m²</v>
      </c>
      <c r="I4633" s="117">
        <f>IF(C4633=0,0,VLOOKUP(C4633,Tabla2[],3,FALSE))</f>
        <v>10</v>
      </c>
      <c r="K4633" s="84">
        <f>+F4633*I4633</f>
        <v>10</v>
      </c>
      <c r="L4633" s="118">
        <f>E4633*I4633</f>
        <v>2800</v>
      </c>
    </row>
    <row r="4634" spans="2:12" x14ac:dyDescent="0.4">
      <c r="B4634" s="122"/>
      <c r="C4634" s="306"/>
      <c r="D4634" s="306"/>
      <c r="E4634" s="116"/>
      <c r="F4634" s="83"/>
      <c r="G4634" s="74"/>
      <c r="I4634" s="117">
        <f>IF(C4634=0,0,VLOOKUP(C4634,Tabla2[],3,FALSE))</f>
        <v>0</v>
      </c>
      <c r="K4634" s="84">
        <f>+F4634*I4634</f>
        <v>0</v>
      </c>
      <c r="L4634" s="118">
        <f>E4634*I4634</f>
        <v>0</v>
      </c>
    </row>
    <row r="4635" spans="2:12" ht="17.399999999999999" thickBot="1" x14ac:dyDescent="0.45">
      <c r="B4635" s="123"/>
      <c r="C4635" s="307"/>
      <c r="D4635" s="308"/>
      <c r="E4635" s="124"/>
      <c r="F4635" s="125"/>
      <c r="G4635" s="74"/>
      <c r="I4635" s="117">
        <f>IF(C4635=0,0,VLOOKUP(C4635,Tabla2[],3,FALSE))</f>
        <v>0</v>
      </c>
      <c r="K4635" s="84">
        <f t="shared" ref="K4635" si="709">+F4635*I4635</f>
        <v>0</v>
      </c>
      <c r="L4635" s="118">
        <f t="shared" ref="L4635:L4636" si="710">E4635*I4635</f>
        <v>0</v>
      </c>
    </row>
    <row r="4636" spans="2:12" ht="17.399999999999999" thickBot="1" x14ac:dyDescent="0.45">
      <c r="B4636" s="297" t="s">
        <v>15</v>
      </c>
      <c r="C4636" s="298"/>
      <c r="D4636" s="298"/>
      <c r="E4636" s="298"/>
      <c r="F4636" s="298"/>
      <c r="G4636" s="299"/>
      <c r="I4636" s="84">
        <v>0</v>
      </c>
      <c r="K4636" s="84">
        <v>0</v>
      </c>
      <c r="L4636" s="118">
        <f t="shared" si="710"/>
        <v>0</v>
      </c>
    </row>
    <row r="4637" spans="2:12" ht="17.399999999999999" thickBot="1" x14ac:dyDescent="0.45"/>
    <row r="4638" spans="2:12" ht="17.399999999999999" thickBot="1" x14ac:dyDescent="0.45">
      <c r="F4638" s="292" t="s">
        <v>16</v>
      </c>
      <c r="G4638" s="293"/>
      <c r="H4638" s="293"/>
      <c r="I4638" s="294"/>
      <c r="K4638" s="229">
        <f>+SUM(K4633:K4636)</f>
        <v>10</v>
      </c>
      <c r="L4638" s="119">
        <f>+SUM(L4633:L4636)</f>
        <v>2800</v>
      </c>
    </row>
    <row r="4639" spans="2:12" ht="17.399999999999999" thickBot="1" x14ac:dyDescent="0.45"/>
    <row r="4640" spans="2:12" ht="17.399999999999999" thickBot="1" x14ac:dyDescent="0.45">
      <c r="B4640" s="110" t="s">
        <v>17</v>
      </c>
      <c r="C4640" s="300" t="s">
        <v>18</v>
      </c>
      <c r="D4640" s="300"/>
      <c r="E4640" s="300"/>
      <c r="F4640" s="300"/>
      <c r="G4640" s="301"/>
    </row>
    <row r="4641" spans="2:16" x14ac:dyDescent="0.4">
      <c r="B4641" s="114" t="s">
        <v>6</v>
      </c>
      <c r="C4641" s="302" t="s">
        <v>1</v>
      </c>
      <c r="D4641" s="303"/>
      <c r="E4641" s="126"/>
      <c r="F4641" s="120" t="s">
        <v>2</v>
      </c>
      <c r="G4641" s="114" t="s">
        <v>3</v>
      </c>
      <c r="H4641" s="106"/>
      <c r="I4641" s="107" t="s">
        <v>7</v>
      </c>
      <c r="J4641" s="136"/>
      <c r="K4641" s="107" t="s">
        <v>8</v>
      </c>
      <c r="L4641" s="115" t="s">
        <v>194</v>
      </c>
    </row>
    <row r="4642" spans="2:16" x14ac:dyDescent="0.4">
      <c r="B4642" s="74"/>
      <c r="C4642" s="304"/>
      <c r="D4642" s="305"/>
      <c r="E4642" s="127"/>
      <c r="F4642" s="72"/>
      <c r="G4642" s="74"/>
      <c r="I4642" s="84">
        <v>0</v>
      </c>
      <c r="K4642" s="84">
        <f>+F4642*I4642</f>
        <v>0</v>
      </c>
      <c r="L4642" s="118">
        <f>E4642*I4642</f>
        <v>0</v>
      </c>
    </row>
    <row r="4643" spans="2:16" x14ac:dyDescent="0.4">
      <c r="B4643" s="74"/>
      <c r="C4643" s="304"/>
      <c r="D4643" s="305"/>
      <c r="E4643" s="127"/>
      <c r="F4643" s="72"/>
      <c r="G4643" s="74"/>
      <c r="I4643" s="84">
        <v>0</v>
      </c>
      <c r="K4643" s="84">
        <f t="shared" ref="K4643:K4644" si="711">+F4643*I4643</f>
        <v>0</v>
      </c>
      <c r="L4643" s="118">
        <f t="shared" ref="L4643:L4644" si="712">E4643*I4643</f>
        <v>0</v>
      </c>
    </row>
    <row r="4644" spans="2:16" x14ac:dyDescent="0.4">
      <c r="B4644" s="74"/>
      <c r="C4644" s="304"/>
      <c r="D4644" s="305"/>
      <c r="E4644" s="127"/>
      <c r="F4644" s="72"/>
      <c r="G4644" s="74"/>
      <c r="I4644" s="84">
        <v>0</v>
      </c>
      <c r="K4644" s="84">
        <f t="shared" si="711"/>
        <v>0</v>
      </c>
      <c r="L4644" s="118">
        <f t="shared" si="712"/>
        <v>0</v>
      </c>
    </row>
    <row r="4645" spans="2:16" ht="17.399999999999999" thickBot="1" x14ac:dyDescent="0.45">
      <c r="L4645" s="118"/>
    </row>
    <row r="4646" spans="2:16" ht="17.399999999999999" thickBot="1" x14ac:dyDescent="0.45">
      <c r="F4646" s="292" t="s">
        <v>19</v>
      </c>
      <c r="G4646" s="293"/>
      <c r="H4646" s="293"/>
      <c r="I4646" s="294"/>
      <c r="K4646" s="229">
        <f>+SUM(K4642:K4644)</f>
        <v>0</v>
      </c>
      <c r="L4646" s="119">
        <f>+SUM(L4641:L4644)</f>
        <v>0</v>
      </c>
    </row>
    <row r="4647" spans="2:16" ht="15" customHeight="1" x14ac:dyDescent="0.4">
      <c r="F4647" s="128"/>
      <c r="G4647" s="129"/>
      <c r="H4647" s="130"/>
      <c r="I4647" s="108"/>
      <c r="K4647" s="230"/>
    </row>
    <row r="4648" spans="2:16" ht="15" customHeight="1" thickBot="1" x14ac:dyDescent="0.45"/>
    <row r="4649" spans="2:16" ht="17.399999999999999" thickBot="1" x14ac:dyDescent="0.45">
      <c r="F4649" s="292" t="s">
        <v>20</v>
      </c>
      <c r="G4649" s="293"/>
      <c r="H4649" s="293"/>
      <c r="I4649" s="294"/>
      <c r="K4649" s="229">
        <f>(+K4620+K4629+K4638+K4646)</f>
        <v>35</v>
      </c>
      <c r="L4649" s="119">
        <f>(+L4620+L4629+L4638+L4646)</f>
        <v>9800</v>
      </c>
      <c r="N4649" s="131"/>
      <c r="O4649" s="39"/>
      <c r="P4649" s="40"/>
    </row>
    <row r="4650" spans="2:16" ht="7.5" customHeight="1" thickBot="1" x14ac:dyDescent="0.45">
      <c r="N4650" s="131"/>
      <c r="O4650" s="41"/>
      <c r="P4650" s="40"/>
    </row>
    <row r="4651" spans="2:16" ht="17.399999999999999" thickBot="1" x14ac:dyDescent="0.45">
      <c r="F4651" s="292" t="s">
        <v>21</v>
      </c>
      <c r="G4651" s="293"/>
      <c r="H4651" s="293"/>
      <c r="I4651" s="294"/>
      <c r="K4651" s="229">
        <f>K4649*$N$2</f>
        <v>14</v>
      </c>
      <c r="L4651" s="119">
        <f>L4649*$N$2</f>
        <v>3920</v>
      </c>
    </row>
    <row r="4652" spans="2:16" ht="7.5" customHeight="1" thickBot="1" x14ac:dyDescent="0.45"/>
    <row r="4653" spans="2:16" ht="17.399999999999999" thickBot="1" x14ac:dyDescent="0.45">
      <c r="F4653" s="292" t="s">
        <v>22</v>
      </c>
      <c r="G4653" s="293"/>
      <c r="H4653" s="293"/>
      <c r="I4653" s="294"/>
      <c r="K4653" s="229">
        <f>+K4649+K4651</f>
        <v>49</v>
      </c>
      <c r="L4653" s="119">
        <f>+L4649+L4651</f>
        <v>13720</v>
      </c>
    </row>
    <row r="4654" spans="2:16" ht="17.399999999999999" thickBot="1" x14ac:dyDescent="0.45">
      <c r="F4654" s="128"/>
      <c r="G4654" s="129"/>
      <c r="H4654" s="130"/>
      <c r="I4654" s="108"/>
      <c r="K4654" s="231"/>
      <c r="L4654" s="132">
        <f>L4653/I4605</f>
        <v>49</v>
      </c>
      <c r="M4654" s="133">
        <f>(K4653-L4654)*I4605</f>
        <v>0</v>
      </c>
    </row>
    <row r="4655" spans="2:16" x14ac:dyDescent="0.4">
      <c r="F4655" s="128"/>
      <c r="G4655" s="129"/>
      <c r="H4655" s="130"/>
      <c r="I4655" s="108"/>
      <c r="K4655" s="232"/>
      <c r="L4655" s="131"/>
      <c r="M4655" s="134"/>
      <c r="N4655" s="135"/>
    </row>
    <row r="4656" spans="2:16" ht="17.399999999999999" thickBot="1" x14ac:dyDescent="0.45">
      <c r="B4656" s="295"/>
      <c r="C4656" s="295"/>
      <c r="D4656" s="295"/>
    </row>
    <row r="4657" spans="1:16" x14ac:dyDescent="0.4">
      <c r="B4657" s="296" t="s">
        <v>23</v>
      </c>
      <c r="C4657" s="296"/>
      <c r="D4657" s="296"/>
    </row>
    <row r="4658" spans="1:16" x14ac:dyDescent="0.4">
      <c r="B4658" s="157"/>
      <c r="C4658" s="157"/>
      <c r="D4658" s="157"/>
    </row>
    <row r="4659" spans="1:16" x14ac:dyDescent="0.4">
      <c r="B4659" s="157"/>
      <c r="C4659" s="157"/>
      <c r="D4659" s="157"/>
    </row>
    <row r="4660" spans="1:16" x14ac:dyDescent="0.4">
      <c r="B4660" s="105" t="s">
        <v>43</v>
      </c>
      <c r="C4660" s="106"/>
      <c r="D4660" s="311" t="s">
        <v>1</v>
      </c>
      <c r="E4660" s="311"/>
      <c r="F4660" s="311"/>
      <c r="G4660" s="311"/>
      <c r="H4660" s="106"/>
      <c r="I4660" s="107" t="s">
        <v>2</v>
      </c>
      <c r="J4660" s="136"/>
      <c r="K4660" s="107" t="s">
        <v>3</v>
      </c>
    </row>
    <row r="4661" spans="1:16" s="4" customFormat="1" ht="30.75" customHeight="1" x14ac:dyDescent="0.3">
      <c r="A4661" s="31"/>
      <c r="B4661" s="213">
        <f>CATALOGO!B125</f>
        <v>701.02</v>
      </c>
      <c r="C4661" s="71"/>
      <c r="D4661" s="326" t="str">
        <f>CATALOGO!C125</f>
        <v>PUERTA METAL + CHAPA (1 hoja)</v>
      </c>
      <c r="E4661" s="326"/>
      <c r="F4661" s="326"/>
      <c r="G4661" s="326"/>
      <c r="H4661" s="71"/>
      <c r="I4661" s="213">
        <f>CATALOGO!D125</f>
        <v>2</v>
      </c>
      <c r="J4661" s="109"/>
      <c r="K4661" s="227" t="str">
        <f>CATALOGO!E125</f>
        <v>Unidad</v>
      </c>
      <c r="L4661" s="71"/>
      <c r="M4661" s="71"/>
      <c r="N4661" s="71"/>
      <c r="O4661" s="37"/>
      <c r="P4661" s="37"/>
    </row>
    <row r="4662" spans="1:16" ht="17.399999999999999" thickBot="1" x14ac:dyDescent="0.45"/>
    <row r="4663" spans="1:16" ht="17.399999999999999" thickBot="1" x14ac:dyDescent="0.45">
      <c r="B4663" s="110" t="s">
        <v>4</v>
      </c>
      <c r="C4663" s="300" t="s">
        <v>5</v>
      </c>
      <c r="D4663" s="300"/>
      <c r="E4663" s="300"/>
      <c r="F4663" s="300"/>
      <c r="G4663" s="301"/>
    </row>
    <row r="4664" spans="1:16" x14ac:dyDescent="0.3">
      <c r="B4664" s="111" t="s">
        <v>6</v>
      </c>
      <c r="C4664" s="313" t="s">
        <v>1</v>
      </c>
      <c r="D4664" s="314"/>
      <c r="E4664" s="112" t="s">
        <v>193</v>
      </c>
      <c r="F4664" s="113" t="s">
        <v>2</v>
      </c>
      <c r="G4664" s="114" t="s">
        <v>3</v>
      </c>
      <c r="H4664" s="106"/>
      <c r="I4664" s="107" t="s">
        <v>7</v>
      </c>
      <c r="J4664" s="136"/>
      <c r="K4664" s="228" t="s">
        <v>8</v>
      </c>
      <c r="L4664" s="115" t="s">
        <v>194</v>
      </c>
      <c r="O4664" s="323"/>
      <c r="P4664" s="323"/>
    </row>
    <row r="4665" spans="1:16" ht="17.25" customHeight="1" x14ac:dyDescent="0.3">
      <c r="B4665" s="122"/>
      <c r="C4665" s="317"/>
      <c r="D4665" s="318"/>
      <c r="E4665" s="116"/>
      <c r="F4665" s="83"/>
      <c r="G4665" s="74"/>
      <c r="I4665" s="117">
        <f>IF(C4665=0,0,VLOOKUP(C4665,Tabla1[],3,FALSE))</f>
        <v>0</v>
      </c>
      <c r="K4665" s="84">
        <f>F4665*I4665</f>
        <v>0</v>
      </c>
      <c r="L4665" s="118">
        <f t="shared" ref="L4665:L4674" si="713">E4665*I4665</f>
        <v>0</v>
      </c>
      <c r="O4665" s="44"/>
      <c r="P4665" s="45"/>
    </row>
    <row r="4666" spans="1:16" x14ac:dyDescent="0.4">
      <c r="B4666" s="122"/>
      <c r="C4666" s="317"/>
      <c r="D4666" s="318"/>
      <c r="E4666" s="116"/>
      <c r="F4666" s="83"/>
      <c r="G4666" s="74"/>
      <c r="I4666" s="117">
        <f>IF(C4666=0,0,VLOOKUP(C4666,Tabla1[],3,FALSE))</f>
        <v>0</v>
      </c>
      <c r="K4666" s="84">
        <f t="shared" ref="K4666:K4674" si="714">+F4666*I4666</f>
        <v>0</v>
      </c>
      <c r="L4666" s="118">
        <f t="shared" si="713"/>
        <v>0</v>
      </c>
      <c r="P4666" s="45"/>
    </row>
    <row r="4667" spans="1:16" x14ac:dyDescent="0.4">
      <c r="B4667" s="122"/>
      <c r="C4667" s="317"/>
      <c r="D4667" s="318"/>
      <c r="E4667" s="116"/>
      <c r="F4667" s="83"/>
      <c r="G4667" s="74"/>
      <c r="I4667" s="117">
        <f>IF(C4667=0,0,VLOOKUP(C4667,Tabla1[],3,FALSE))</f>
        <v>0</v>
      </c>
      <c r="K4667" s="84">
        <f t="shared" si="714"/>
        <v>0</v>
      </c>
      <c r="L4667" s="118">
        <f t="shared" si="713"/>
        <v>0</v>
      </c>
      <c r="O4667" s="48"/>
      <c r="P4667" s="49"/>
    </row>
    <row r="4668" spans="1:16" x14ac:dyDescent="0.4">
      <c r="B4668" s="122"/>
      <c r="C4668" s="317"/>
      <c r="D4668" s="318"/>
      <c r="E4668" s="116"/>
      <c r="F4668" s="83"/>
      <c r="G4668" s="74"/>
      <c r="I4668" s="117">
        <f>IF(C4668=0,0,VLOOKUP(C4668,Tabla1[],3,FALSE))</f>
        <v>0</v>
      </c>
      <c r="K4668" s="84">
        <f t="shared" si="714"/>
        <v>0</v>
      </c>
      <c r="L4668" s="118">
        <f t="shared" si="713"/>
        <v>0</v>
      </c>
      <c r="O4668" s="48"/>
      <c r="P4668" s="49"/>
    </row>
    <row r="4669" spans="1:16" x14ac:dyDescent="0.4">
      <c r="B4669" s="122"/>
      <c r="C4669" s="317"/>
      <c r="D4669" s="318"/>
      <c r="E4669" s="116"/>
      <c r="F4669" s="83"/>
      <c r="G4669" s="74"/>
      <c r="I4669" s="117">
        <f>IF(C4669=0,0,VLOOKUP(C4669,Tabla1[],3,FALSE))</f>
        <v>0</v>
      </c>
      <c r="K4669" s="84">
        <f t="shared" si="714"/>
        <v>0</v>
      </c>
      <c r="L4669" s="118">
        <f t="shared" si="713"/>
        <v>0</v>
      </c>
      <c r="O4669" s="48"/>
      <c r="P4669" s="49"/>
    </row>
    <row r="4670" spans="1:16" x14ac:dyDescent="0.4">
      <c r="B4670" s="122"/>
      <c r="C4670" s="318"/>
      <c r="D4670" s="306"/>
      <c r="E4670" s="116"/>
      <c r="F4670" s="83"/>
      <c r="G4670" s="74"/>
      <c r="I4670" s="117">
        <f>IF(C4670=0,0,VLOOKUP(C4670,Tabla1[],3,FALSE))</f>
        <v>0</v>
      </c>
      <c r="K4670" s="84">
        <f t="shared" si="714"/>
        <v>0</v>
      </c>
      <c r="L4670" s="118">
        <f t="shared" si="713"/>
        <v>0</v>
      </c>
      <c r="O4670" s="48"/>
      <c r="P4670" s="49"/>
    </row>
    <row r="4671" spans="1:16" x14ac:dyDescent="0.4">
      <c r="B4671" s="122"/>
      <c r="C4671" s="318"/>
      <c r="D4671" s="306"/>
      <c r="E4671" s="116"/>
      <c r="F4671" s="83"/>
      <c r="G4671" s="74"/>
      <c r="I4671" s="117">
        <f>IF(C4671=0,0,VLOOKUP(C4671,Tabla1[],3,FALSE))</f>
        <v>0</v>
      </c>
      <c r="K4671" s="84">
        <f t="shared" si="714"/>
        <v>0</v>
      </c>
      <c r="L4671" s="118">
        <f t="shared" si="713"/>
        <v>0</v>
      </c>
      <c r="O4671" s="48"/>
      <c r="P4671" s="49"/>
    </row>
    <row r="4672" spans="1:16" x14ac:dyDescent="0.4">
      <c r="B4672" s="122"/>
      <c r="C4672" s="317"/>
      <c r="D4672" s="318"/>
      <c r="E4672" s="116"/>
      <c r="F4672" s="83"/>
      <c r="G4672" s="74"/>
      <c r="I4672" s="117">
        <f>IF(C4672=0,0,VLOOKUP(C4672,Tabla1[],3,FALSE))</f>
        <v>0</v>
      </c>
      <c r="K4672" s="84">
        <f t="shared" si="714"/>
        <v>0</v>
      </c>
      <c r="L4672" s="118">
        <f t="shared" si="713"/>
        <v>0</v>
      </c>
      <c r="O4672" s="48"/>
      <c r="P4672" s="49"/>
    </row>
    <row r="4673" spans="2:16" x14ac:dyDescent="0.4">
      <c r="B4673" s="122"/>
      <c r="C4673" s="317"/>
      <c r="D4673" s="318"/>
      <c r="E4673" s="116"/>
      <c r="F4673" s="83"/>
      <c r="G4673" s="74"/>
      <c r="I4673" s="117">
        <f>IF(C4673=0,0,VLOOKUP(C4673,Tabla1[],3,FALSE))</f>
        <v>0</v>
      </c>
      <c r="K4673" s="84">
        <f t="shared" si="714"/>
        <v>0</v>
      </c>
      <c r="L4673" s="118">
        <f t="shared" si="713"/>
        <v>0</v>
      </c>
      <c r="O4673" s="48"/>
      <c r="P4673" s="49"/>
    </row>
    <row r="4674" spans="2:16" x14ac:dyDescent="0.4">
      <c r="B4674" s="122"/>
      <c r="C4674" s="319"/>
      <c r="D4674" s="318"/>
      <c r="E4674" s="116"/>
      <c r="F4674" s="83"/>
      <c r="G4674" s="74"/>
      <c r="I4674" s="117">
        <f>IF(C4674=0,0,VLOOKUP(C4674,Tabla1[],3,FALSE))</f>
        <v>0</v>
      </c>
      <c r="K4674" s="84">
        <f t="shared" si="714"/>
        <v>0</v>
      </c>
      <c r="L4674" s="118">
        <f t="shared" si="713"/>
        <v>0</v>
      </c>
      <c r="O4674" s="48"/>
      <c r="P4674" s="43"/>
    </row>
    <row r="4675" spans="2:16" ht="17.399999999999999" thickBot="1" x14ac:dyDescent="0.45"/>
    <row r="4676" spans="2:16" ht="17.399999999999999" thickBot="1" x14ac:dyDescent="0.35">
      <c r="F4676" s="292" t="s">
        <v>9</v>
      </c>
      <c r="G4676" s="293"/>
      <c r="H4676" s="293"/>
      <c r="I4676" s="294"/>
      <c r="K4676" s="229">
        <f>+SUM(K4665:K4674)</f>
        <v>0</v>
      </c>
      <c r="L4676" s="119">
        <f>+SUM(L4665:L4674)</f>
        <v>0</v>
      </c>
      <c r="O4676" s="38"/>
      <c r="P4676" s="38"/>
    </row>
    <row r="4677" spans="2:16" ht="17.399999999999999" thickBot="1" x14ac:dyDescent="0.45">
      <c r="O4677" s="42"/>
      <c r="P4677" s="43"/>
    </row>
    <row r="4678" spans="2:16" ht="17.399999999999999" thickBot="1" x14ac:dyDescent="0.45">
      <c r="B4678" s="110" t="s">
        <v>10</v>
      </c>
      <c r="C4678" s="300" t="s">
        <v>11</v>
      </c>
      <c r="D4678" s="300"/>
      <c r="E4678" s="300"/>
      <c r="F4678" s="300"/>
      <c r="G4678" s="301"/>
    </row>
    <row r="4679" spans="2:16" x14ac:dyDescent="0.4">
      <c r="B4679" s="114" t="s">
        <v>6</v>
      </c>
      <c r="C4679" s="302" t="s">
        <v>1</v>
      </c>
      <c r="D4679" s="303"/>
      <c r="E4679" s="112" t="s">
        <v>193</v>
      </c>
      <c r="F4679" s="120" t="s">
        <v>2</v>
      </c>
      <c r="G4679" s="114" t="s">
        <v>3</v>
      </c>
      <c r="H4679" s="106"/>
      <c r="I4679" s="107" t="s">
        <v>7</v>
      </c>
      <c r="J4679" s="136"/>
      <c r="K4679" s="107" t="s">
        <v>8</v>
      </c>
      <c r="L4679" s="115" t="s">
        <v>194</v>
      </c>
    </row>
    <row r="4680" spans="2:16" x14ac:dyDescent="0.4">
      <c r="B4680" s="122"/>
      <c r="C4680" s="306"/>
      <c r="D4680" s="306"/>
      <c r="E4680" s="116"/>
      <c r="F4680" s="83"/>
      <c r="G4680" s="74"/>
      <c r="I4680" s="117">
        <f>IF(C4680=0,0,VLOOKUP(C4680,Tabla3[],3,FALSE))</f>
        <v>0</v>
      </c>
      <c r="K4680" s="84">
        <f>F4680*I4680</f>
        <v>0</v>
      </c>
      <c r="L4680" s="118">
        <f>E4680*I4680</f>
        <v>0</v>
      </c>
    </row>
    <row r="4681" spans="2:16" x14ac:dyDescent="0.4">
      <c r="B4681" s="74"/>
      <c r="C4681" s="309"/>
      <c r="D4681" s="310"/>
      <c r="E4681" s="121"/>
      <c r="F4681" s="72"/>
      <c r="G4681" s="74"/>
      <c r="I4681" s="117">
        <f>IF(C4681=0,0,VLOOKUP(C4681,Tabla3[],3,FALSE))</f>
        <v>0</v>
      </c>
      <c r="K4681" s="84">
        <f t="shared" ref="K4681:K4683" si="715">+F4681*I4681</f>
        <v>0</v>
      </c>
      <c r="L4681" s="118">
        <f t="shared" ref="L4681:L4683" si="716">E4681*I4681</f>
        <v>0</v>
      </c>
    </row>
    <row r="4682" spans="2:16" x14ac:dyDescent="0.4">
      <c r="B4682" s="74"/>
      <c r="C4682" s="309"/>
      <c r="D4682" s="310"/>
      <c r="E4682" s="121"/>
      <c r="F4682" s="72"/>
      <c r="G4682" s="74"/>
      <c r="I4682" s="117">
        <f>IF(C4682=0,0,VLOOKUP(C4682,Tabla3[],3,FALSE))</f>
        <v>0</v>
      </c>
      <c r="K4682" s="84">
        <f t="shared" si="715"/>
        <v>0</v>
      </c>
      <c r="L4682" s="118">
        <f t="shared" si="716"/>
        <v>0</v>
      </c>
    </row>
    <row r="4683" spans="2:16" x14ac:dyDescent="0.4">
      <c r="B4683" s="74"/>
      <c r="C4683" s="304"/>
      <c r="D4683" s="305"/>
      <c r="E4683" s="121"/>
      <c r="F4683" s="72"/>
      <c r="G4683" s="74"/>
      <c r="I4683" s="117">
        <f>IF(C4683=0,0,VLOOKUP(C4683,Tabla3[],3,FALSE))</f>
        <v>0</v>
      </c>
      <c r="K4683" s="84">
        <f t="shared" si="715"/>
        <v>0</v>
      </c>
      <c r="L4683" s="118">
        <f t="shared" si="716"/>
        <v>0</v>
      </c>
    </row>
    <row r="4684" spans="2:16" ht="17.399999999999999" thickBot="1" x14ac:dyDescent="0.45"/>
    <row r="4685" spans="2:16" ht="17.399999999999999" thickBot="1" x14ac:dyDescent="0.45">
      <c r="F4685" s="292" t="s">
        <v>12</v>
      </c>
      <c r="G4685" s="293"/>
      <c r="H4685" s="293"/>
      <c r="I4685" s="294"/>
      <c r="K4685" s="229">
        <f>+SUM(K4680:K4683)</f>
        <v>0</v>
      </c>
      <c r="L4685" s="119">
        <f>+SUM(L4680:L4683)</f>
        <v>0</v>
      </c>
    </row>
    <row r="4686" spans="2:16" ht="17.399999999999999" thickBot="1" x14ac:dyDescent="0.45"/>
    <row r="4687" spans="2:16" ht="17.399999999999999" thickBot="1" x14ac:dyDescent="0.45">
      <c r="B4687" s="110" t="s">
        <v>13</v>
      </c>
      <c r="C4687" s="300" t="s">
        <v>14</v>
      </c>
      <c r="D4687" s="300"/>
      <c r="E4687" s="300"/>
      <c r="F4687" s="300"/>
      <c r="G4687" s="301"/>
    </row>
    <row r="4688" spans="2:16" x14ac:dyDescent="0.4">
      <c r="B4688" s="114" t="s">
        <v>6</v>
      </c>
      <c r="C4688" s="302" t="s">
        <v>1</v>
      </c>
      <c r="D4688" s="303"/>
      <c r="E4688" s="112" t="s">
        <v>193</v>
      </c>
      <c r="F4688" s="120" t="s">
        <v>2</v>
      </c>
      <c r="G4688" s="114" t="s">
        <v>3</v>
      </c>
      <c r="H4688" s="106"/>
      <c r="I4688" s="107" t="s">
        <v>7</v>
      </c>
      <c r="J4688" s="136"/>
      <c r="K4688" s="107" t="s">
        <v>8</v>
      </c>
      <c r="L4688" s="115" t="s">
        <v>194</v>
      </c>
    </row>
    <row r="4689" spans="2:12" x14ac:dyDescent="0.4">
      <c r="B4689" s="122">
        <v>1</v>
      </c>
      <c r="C4689" s="325" t="s">
        <v>224</v>
      </c>
      <c r="D4689" s="325"/>
      <c r="E4689" s="116">
        <f>I4661</f>
        <v>2</v>
      </c>
      <c r="F4689" s="83">
        <f>ROUND(E4689/I4661,2)</f>
        <v>1</v>
      </c>
      <c r="G4689" s="74" t="str">
        <f>IF(C4689=0,0,VLOOKUP(C4689,Tabla2[],2,FALSE))</f>
        <v>Unidad</v>
      </c>
      <c r="I4689" s="117">
        <f>IF(C4689=0,0,VLOOKUP(C4689,Tabla2[],3,FALSE))</f>
        <v>1845</v>
      </c>
      <c r="K4689" s="84">
        <f>+F4689*I4689</f>
        <v>1845</v>
      </c>
      <c r="L4689" s="118">
        <f>E4689*I4689</f>
        <v>3690</v>
      </c>
    </row>
    <row r="4690" spans="2:12" x14ac:dyDescent="0.4">
      <c r="B4690" s="122"/>
      <c r="C4690" s="306"/>
      <c r="D4690" s="306"/>
      <c r="E4690" s="116"/>
      <c r="F4690" s="83"/>
      <c r="G4690" s="74"/>
      <c r="I4690" s="117">
        <f>IF(C4690=0,0,VLOOKUP(C4690,Tabla2[],3,FALSE))</f>
        <v>0</v>
      </c>
      <c r="K4690" s="84">
        <f>+F4690*I4690</f>
        <v>0</v>
      </c>
      <c r="L4690" s="118">
        <f>E4690*I4690</f>
        <v>0</v>
      </c>
    </row>
    <row r="4691" spans="2:12" ht="17.399999999999999" thickBot="1" x14ac:dyDescent="0.45">
      <c r="B4691" s="123"/>
      <c r="C4691" s="307"/>
      <c r="D4691" s="308"/>
      <c r="E4691" s="124"/>
      <c r="F4691" s="125"/>
      <c r="G4691" s="74"/>
      <c r="I4691" s="117">
        <f>IF(C4691=0,0,VLOOKUP(C4691,Tabla2[],3,FALSE))</f>
        <v>0</v>
      </c>
      <c r="K4691" s="84">
        <f t="shared" ref="K4691" si="717">+F4691*I4691</f>
        <v>0</v>
      </c>
      <c r="L4691" s="118">
        <f t="shared" ref="L4691:L4692" si="718">E4691*I4691</f>
        <v>0</v>
      </c>
    </row>
    <row r="4692" spans="2:12" ht="17.399999999999999" thickBot="1" x14ac:dyDescent="0.45">
      <c r="B4692" s="297" t="s">
        <v>15</v>
      </c>
      <c r="C4692" s="298"/>
      <c r="D4692" s="298"/>
      <c r="E4692" s="298"/>
      <c r="F4692" s="298"/>
      <c r="G4692" s="299"/>
      <c r="I4692" s="84">
        <v>0</v>
      </c>
      <c r="K4692" s="84">
        <v>0</v>
      </c>
      <c r="L4692" s="118">
        <f t="shared" si="718"/>
        <v>0</v>
      </c>
    </row>
    <row r="4693" spans="2:12" ht="17.399999999999999" thickBot="1" x14ac:dyDescent="0.45"/>
    <row r="4694" spans="2:12" ht="17.399999999999999" thickBot="1" x14ac:dyDescent="0.45">
      <c r="F4694" s="292" t="s">
        <v>16</v>
      </c>
      <c r="G4694" s="293"/>
      <c r="H4694" s="293"/>
      <c r="I4694" s="294"/>
      <c r="K4694" s="229">
        <f>+SUM(K4689:K4692)</f>
        <v>1845</v>
      </c>
      <c r="L4694" s="119">
        <f>+SUM(L4689:L4692)</f>
        <v>3690</v>
      </c>
    </row>
    <row r="4695" spans="2:12" ht="17.399999999999999" thickBot="1" x14ac:dyDescent="0.45"/>
    <row r="4696" spans="2:12" ht="17.399999999999999" thickBot="1" x14ac:dyDescent="0.45">
      <c r="B4696" s="110" t="s">
        <v>17</v>
      </c>
      <c r="C4696" s="300" t="s">
        <v>18</v>
      </c>
      <c r="D4696" s="300"/>
      <c r="E4696" s="300"/>
      <c r="F4696" s="300"/>
      <c r="G4696" s="301"/>
    </row>
    <row r="4697" spans="2:12" x14ac:dyDescent="0.4">
      <c r="B4697" s="114" t="s">
        <v>6</v>
      </c>
      <c r="C4697" s="302" t="s">
        <v>1</v>
      </c>
      <c r="D4697" s="303"/>
      <c r="E4697" s="126"/>
      <c r="F4697" s="120" t="s">
        <v>2</v>
      </c>
      <c r="G4697" s="114" t="s">
        <v>3</v>
      </c>
      <c r="H4697" s="106"/>
      <c r="I4697" s="107" t="s">
        <v>7</v>
      </c>
      <c r="J4697" s="136"/>
      <c r="K4697" s="107" t="s">
        <v>8</v>
      </c>
      <c r="L4697" s="115" t="s">
        <v>194</v>
      </c>
    </row>
    <row r="4698" spans="2:12" x14ac:dyDescent="0.4">
      <c r="B4698" s="74"/>
      <c r="C4698" s="304"/>
      <c r="D4698" s="305"/>
      <c r="E4698" s="127"/>
      <c r="F4698" s="72"/>
      <c r="G4698" s="74"/>
      <c r="I4698" s="84">
        <v>0</v>
      </c>
      <c r="K4698" s="84">
        <f>+F4698*I4698</f>
        <v>0</v>
      </c>
      <c r="L4698" s="118">
        <f>E4698*I4698</f>
        <v>0</v>
      </c>
    </row>
    <row r="4699" spans="2:12" x14ac:dyDescent="0.4">
      <c r="B4699" s="74"/>
      <c r="C4699" s="304"/>
      <c r="D4699" s="305"/>
      <c r="E4699" s="127"/>
      <c r="F4699" s="72"/>
      <c r="G4699" s="74"/>
      <c r="I4699" s="84">
        <v>0</v>
      </c>
      <c r="K4699" s="84">
        <f t="shared" ref="K4699:K4700" si="719">+F4699*I4699</f>
        <v>0</v>
      </c>
      <c r="L4699" s="118">
        <f t="shared" ref="L4699:L4700" si="720">E4699*I4699</f>
        <v>0</v>
      </c>
    </row>
    <row r="4700" spans="2:12" x14ac:dyDescent="0.4">
      <c r="B4700" s="74"/>
      <c r="C4700" s="304"/>
      <c r="D4700" s="305"/>
      <c r="E4700" s="127"/>
      <c r="F4700" s="72"/>
      <c r="G4700" s="74"/>
      <c r="I4700" s="84">
        <v>0</v>
      </c>
      <c r="K4700" s="84">
        <f t="shared" si="719"/>
        <v>0</v>
      </c>
      <c r="L4700" s="118">
        <f t="shared" si="720"/>
        <v>0</v>
      </c>
    </row>
    <row r="4701" spans="2:12" ht="17.399999999999999" thickBot="1" x14ac:dyDescent="0.45">
      <c r="L4701" s="118"/>
    </row>
    <row r="4702" spans="2:12" ht="17.399999999999999" thickBot="1" x14ac:dyDescent="0.45">
      <c r="F4702" s="292" t="s">
        <v>19</v>
      </c>
      <c r="G4702" s="293"/>
      <c r="H4702" s="293"/>
      <c r="I4702" s="294"/>
      <c r="K4702" s="229">
        <f>+SUM(K4698:K4700)</f>
        <v>0</v>
      </c>
      <c r="L4702" s="119">
        <f>+SUM(L4697:L4700)</f>
        <v>0</v>
      </c>
    </row>
    <row r="4703" spans="2:12" ht="15" customHeight="1" x14ac:dyDescent="0.4">
      <c r="F4703" s="128"/>
      <c r="G4703" s="129"/>
      <c r="H4703" s="130"/>
      <c r="I4703" s="108"/>
      <c r="K4703" s="230"/>
    </row>
    <row r="4704" spans="2:12" ht="15" customHeight="1" thickBot="1" x14ac:dyDescent="0.45"/>
    <row r="4705" spans="1:16" ht="17.399999999999999" thickBot="1" x14ac:dyDescent="0.45">
      <c r="F4705" s="292" t="s">
        <v>20</v>
      </c>
      <c r="G4705" s="293"/>
      <c r="H4705" s="293"/>
      <c r="I4705" s="294"/>
      <c r="K4705" s="229">
        <f>(+K4676+K4685+K4694+K4702)</f>
        <v>1845</v>
      </c>
      <c r="L4705" s="119">
        <f>(+L4676+L4685+L4694+L4702)</f>
        <v>3690</v>
      </c>
      <c r="N4705" s="131"/>
      <c r="O4705" s="39"/>
      <c r="P4705" s="40"/>
    </row>
    <row r="4706" spans="1:16" ht="7.5" customHeight="1" thickBot="1" x14ac:dyDescent="0.45">
      <c r="N4706" s="131"/>
      <c r="O4706" s="41"/>
      <c r="P4706" s="40"/>
    </row>
    <row r="4707" spans="1:16" ht="17.399999999999999" thickBot="1" x14ac:dyDescent="0.45">
      <c r="F4707" s="292" t="s">
        <v>21</v>
      </c>
      <c r="G4707" s="293"/>
      <c r="H4707" s="293"/>
      <c r="I4707" s="294"/>
      <c r="K4707" s="229">
        <f>K4705*$N$2</f>
        <v>738</v>
      </c>
      <c r="L4707" s="119">
        <f>L4705*$N$2</f>
        <v>1476</v>
      </c>
    </row>
    <row r="4708" spans="1:16" ht="7.5" customHeight="1" thickBot="1" x14ac:dyDescent="0.45"/>
    <row r="4709" spans="1:16" ht="17.399999999999999" thickBot="1" x14ac:dyDescent="0.45">
      <c r="F4709" s="292" t="s">
        <v>22</v>
      </c>
      <c r="G4709" s="293"/>
      <c r="H4709" s="293"/>
      <c r="I4709" s="294"/>
      <c r="K4709" s="229">
        <f>+K4705+K4707</f>
        <v>2583</v>
      </c>
      <c r="L4709" s="119">
        <f>+L4705+L4707</f>
        <v>5166</v>
      </c>
    </row>
    <row r="4710" spans="1:16" ht="17.399999999999999" thickBot="1" x14ac:dyDescent="0.45">
      <c r="F4710" s="128"/>
      <c r="G4710" s="129"/>
      <c r="H4710" s="130"/>
      <c r="I4710" s="108"/>
      <c r="K4710" s="231"/>
      <c r="L4710" s="132">
        <f>L4709/I4661</f>
        <v>2583</v>
      </c>
      <c r="M4710" s="133">
        <f>(K4709-L4710)*I4661</f>
        <v>0</v>
      </c>
    </row>
    <row r="4711" spans="1:16" x14ac:dyDescent="0.4">
      <c r="F4711" s="128"/>
      <c r="G4711" s="129"/>
      <c r="H4711" s="130"/>
      <c r="I4711" s="108"/>
      <c r="K4711" s="232"/>
      <c r="L4711" s="131"/>
      <c r="M4711" s="134"/>
      <c r="N4711" s="135"/>
    </row>
    <row r="4712" spans="1:16" ht="17.399999999999999" thickBot="1" x14ac:dyDescent="0.45">
      <c r="B4712" s="295"/>
      <c r="C4712" s="295"/>
      <c r="D4712" s="295"/>
    </row>
    <row r="4713" spans="1:16" x14ac:dyDescent="0.4">
      <c r="B4713" s="296" t="s">
        <v>23</v>
      </c>
      <c r="C4713" s="296"/>
      <c r="D4713" s="296"/>
    </row>
    <row r="4714" spans="1:16" x14ac:dyDescent="0.4">
      <c r="B4714" s="157"/>
      <c r="C4714" s="157"/>
      <c r="D4714" s="157"/>
    </row>
    <row r="4715" spans="1:16" x14ac:dyDescent="0.4">
      <c r="B4715" s="157"/>
      <c r="C4715" s="157"/>
      <c r="D4715" s="157"/>
    </row>
    <row r="4716" spans="1:16" x14ac:dyDescent="0.4">
      <c r="B4716" s="105" t="s">
        <v>43</v>
      </c>
      <c r="C4716" s="106"/>
      <c r="D4716" s="311" t="s">
        <v>1</v>
      </c>
      <c r="E4716" s="311"/>
      <c r="F4716" s="311"/>
      <c r="G4716" s="311"/>
      <c r="H4716" s="106"/>
      <c r="I4716" s="107" t="s">
        <v>2</v>
      </c>
      <c r="J4716" s="136"/>
      <c r="K4716" s="107" t="s">
        <v>3</v>
      </c>
    </row>
    <row r="4717" spans="1:16" s="4" customFormat="1" ht="30.75" customHeight="1" x14ac:dyDescent="0.3">
      <c r="A4717" s="31"/>
      <c r="B4717" s="213">
        <f>CATALOGO!B127</f>
        <v>806.06</v>
      </c>
      <c r="C4717" s="71"/>
      <c r="D4717" s="326" t="str">
        <f>CATALOGO!C127</f>
        <v>REMOZAMIENTO DE VENTANA DE METAL + VIDRIOS</v>
      </c>
      <c r="E4717" s="326"/>
      <c r="F4717" s="326"/>
      <c r="G4717" s="326"/>
      <c r="H4717" s="71"/>
      <c r="I4717" s="213">
        <f>CATALOGO!D127</f>
        <v>40</v>
      </c>
      <c r="J4717" s="109"/>
      <c r="K4717" s="227" t="str">
        <f>CATALOGO!E127</f>
        <v>m²</v>
      </c>
      <c r="L4717" s="71"/>
      <c r="M4717" s="71"/>
      <c r="N4717" s="71"/>
      <c r="O4717" s="37"/>
      <c r="P4717" s="37"/>
    </row>
    <row r="4718" spans="1:16" ht="17.399999999999999" thickBot="1" x14ac:dyDescent="0.45"/>
    <row r="4719" spans="1:16" ht="17.399999999999999" thickBot="1" x14ac:dyDescent="0.45">
      <c r="B4719" s="110" t="s">
        <v>4</v>
      </c>
      <c r="C4719" s="300" t="s">
        <v>5</v>
      </c>
      <c r="D4719" s="300"/>
      <c r="E4719" s="300"/>
      <c r="F4719" s="300"/>
      <c r="G4719" s="301"/>
    </row>
    <row r="4720" spans="1:16" x14ac:dyDescent="0.3">
      <c r="B4720" s="111" t="s">
        <v>6</v>
      </c>
      <c r="C4720" s="313" t="s">
        <v>1</v>
      </c>
      <c r="D4720" s="314"/>
      <c r="E4720" s="112" t="s">
        <v>193</v>
      </c>
      <c r="F4720" s="113" t="s">
        <v>2</v>
      </c>
      <c r="G4720" s="114" t="s">
        <v>3</v>
      </c>
      <c r="H4720" s="106"/>
      <c r="I4720" s="107" t="s">
        <v>7</v>
      </c>
      <c r="J4720" s="136"/>
      <c r="K4720" s="228" t="s">
        <v>8</v>
      </c>
      <c r="L4720" s="115" t="s">
        <v>194</v>
      </c>
      <c r="O4720" s="323"/>
      <c r="P4720" s="323"/>
    </row>
    <row r="4721" spans="2:16" ht="17.25" customHeight="1" x14ac:dyDescent="0.3">
      <c r="B4721" s="122"/>
      <c r="C4721" s="317"/>
      <c r="D4721" s="318"/>
      <c r="E4721" s="116"/>
      <c r="F4721" s="83"/>
      <c r="G4721" s="74"/>
      <c r="I4721" s="117">
        <f>IF(C4721=0,0,VLOOKUP(C4721,Tabla1[],3,FALSE))</f>
        <v>0</v>
      </c>
      <c r="K4721" s="84">
        <f>F4721*I4721</f>
        <v>0</v>
      </c>
      <c r="L4721" s="118">
        <f t="shared" ref="L4721:L4730" si="721">E4721*I4721</f>
        <v>0</v>
      </c>
      <c r="O4721" s="44"/>
      <c r="P4721" s="45"/>
    </row>
    <row r="4722" spans="2:16" x14ac:dyDescent="0.4">
      <c r="B4722" s="122"/>
      <c r="C4722" s="317"/>
      <c r="D4722" s="318"/>
      <c r="E4722" s="116"/>
      <c r="F4722" s="83"/>
      <c r="G4722" s="74"/>
      <c r="I4722" s="117">
        <f>IF(C4722=0,0,VLOOKUP(C4722,Tabla1[],3,FALSE))</f>
        <v>0</v>
      </c>
      <c r="K4722" s="84">
        <f t="shared" ref="K4722:K4730" si="722">+F4722*I4722</f>
        <v>0</v>
      </c>
      <c r="L4722" s="118">
        <f t="shared" si="721"/>
        <v>0</v>
      </c>
      <c r="P4722" s="45"/>
    </row>
    <row r="4723" spans="2:16" x14ac:dyDescent="0.4">
      <c r="B4723" s="122"/>
      <c r="C4723" s="317"/>
      <c r="D4723" s="318"/>
      <c r="E4723" s="116"/>
      <c r="F4723" s="83"/>
      <c r="G4723" s="74"/>
      <c r="I4723" s="117">
        <f>IF(C4723=0,0,VLOOKUP(C4723,Tabla1[],3,FALSE))</f>
        <v>0</v>
      </c>
      <c r="K4723" s="84">
        <f t="shared" si="722"/>
        <v>0</v>
      </c>
      <c r="L4723" s="118">
        <f t="shared" si="721"/>
        <v>0</v>
      </c>
      <c r="O4723" s="48"/>
      <c r="P4723" s="49"/>
    </row>
    <row r="4724" spans="2:16" x14ac:dyDescent="0.4">
      <c r="B4724" s="122"/>
      <c r="C4724" s="317"/>
      <c r="D4724" s="318"/>
      <c r="E4724" s="116"/>
      <c r="F4724" s="83"/>
      <c r="G4724" s="74"/>
      <c r="I4724" s="117">
        <f>IF(C4724=0,0,VLOOKUP(C4724,Tabla1[],3,FALSE))</f>
        <v>0</v>
      </c>
      <c r="K4724" s="84">
        <f t="shared" si="722"/>
        <v>0</v>
      </c>
      <c r="L4724" s="118">
        <f t="shared" si="721"/>
        <v>0</v>
      </c>
      <c r="O4724" s="48"/>
      <c r="P4724" s="49"/>
    </row>
    <row r="4725" spans="2:16" x14ac:dyDescent="0.4">
      <c r="B4725" s="122"/>
      <c r="C4725" s="317"/>
      <c r="D4725" s="318"/>
      <c r="E4725" s="116"/>
      <c r="F4725" s="83"/>
      <c r="G4725" s="74"/>
      <c r="I4725" s="117">
        <f>IF(C4725=0,0,VLOOKUP(C4725,Tabla1[],3,FALSE))</f>
        <v>0</v>
      </c>
      <c r="K4725" s="84">
        <f t="shared" si="722"/>
        <v>0</v>
      </c>
      <c r="L4725" s="118">
        <f t="shared" si="721"/>
        <v>0</v>
      </c>
      <c r="O4725" s="48"/>
      <c r="P4725" s="49"/>
    </row>
    <row r="4726" spans="2:16" x14ac:dyDescent="0.4">
      <c r="B4726" s="122"/>
      <c r="C4726" s="318"/>
      <c r="D4726" s="306"/>
      <c r="E4726" s="116"/>
      <c r="F4726" s="83"/>
      <c r="G4726" s="74"/>
      <c r="I4726" s="117">
        <f>IF(C4726=0,0,VLOOKUP(C4726,Tabla1[],3,FALSE))</f>
        <v>0</v>
      </c>
      <c r="K4726" s="84">
        <f t="shared" si="722"/>
        <v>0</v>
      </c>
      <c r="L4726" s="118">
        <f t="shared" si="721"/>
        <v>0</v>
      </c>
      <c r="O4726" s="48"/>
      <c r="P4726" s="49"/>
    </row>
    <row r="4727" spans="2:16" x14ac:dyDescent="0.4">
      <c r="B4727" s="122"/>
      <c r="C4727" s="318"/>
      <c r="D4727" s="306"/>
      <c r="E4727" s="116"/>
      <c r="F4727" s="83"/>
      <c r="G4727" s="74"/>
      <c r="I4727" s="117">
        <f>IF(C4727=0,0,VLOOKUP(C4727,Tabla1[],3,FALSE))</f>
        <v>0</v>
      </c>
      <c r="K4727" s="84">
        <f t="shared" si="722"/>
        <v>0</v>
      </c>
      <c r="L4727" s="118">
        <f t="shared" si="721"/>
        <v>0</v>
      </c>
      <c r="O4727" s="48"/>
      <c r="P4727" s="49"/>
    </row>
    <row r="4728" spans="2:16" x14ac:dyDescent="0.4">
      <c r="B4728" s="122"/>
      <c r="C4728" s="317"/>
      <c r="D4728" s="318"/>
      <c r="E4728" s="116"/>
      <c r="F4728" s="83"/>
      <c r="G4728" s="74"/>
      <c r="I4728" s="117">
        <f>IF(C4728=0,0,VLOOKUP(C4728,Tabla1[],3,FALSE))</f>
        <v>0</v>
      </c>
      <c r="K4728" s="84">
        <f t="shared" si="722"/>
        <v>0</v>
      </c>
      <c r="L4728" s="118">
        <f t="shared" si="721"/>
        <v>0</v>
      </c>
      <c r="O4728" s="48"/>
      <c r="P4728" s="49"/>
    </row>
    <row r="4729" spans="2:16" x14ac:dyDescent="0.4">
      <c r="B4729" s="122"/>
      <c r="C4729" s="317"/>
      <c r="D4729" s="318"/>
      <c r="E4729" s="116"/>
      <c r="F4729" s="83"/>
      <c r="G4729" s="74"/>
      <c r="I4729" s="117">
        <f>IF(C4729=0,0,VLOOKUP(C4729,Tabla1[],3,FALSE))</f>
        <v>0</v>
      </c>
      <c r="K4729" s="84">
        <f t="shared" si="722"/>
        <v>0</v>
      </c>
      <c r="L4729" s="118">
        <f t="shared" si="721"/>
        <v>0</v>
      </c>
      <c r="O4729" s="48"/>
      <c r="P4729" s="49"/>
    </row>
    <row r="4730" spans="2:16" x14ac:dyDescent="0.4">
      <c r="B4730" s="122"/>
      <c r="C4730" s="319"/>
      <c r="D4730" s="318"/>
      <c r="E4730" s="116"/>
      <c r="F4730" s="83"/>
      <c r="G4730" s="74"/>
      <c r="I4730" s="117">
        <f>IF(C4730=0,0,VLOOKUP(C4730,Tabla1[],3,FALSE))</f>
        <v>0</v>
      </c>
      <c r="K4730" s="84">
        <f t="shared" si="722"/>
        <v>0</v>
      </c>
      <c r="L4730" s="118">
        <f t="shared" si="721"/>
        <v>0</v>
      </c>
      <c r="O4730" s="48"/>
      <c r="P4730" s="43"/>
    </row>
    <row r="4731" spans="2:16" ht="17.399999999999999" thickBot="1" x14ac:dyDescent="0.45"/>
    <row r="4732" spans="2:16" ht="17.399999999999999" thickBot="1" x14ac:dyDescent="0.35">
      <c r="F4732" s="292" t="s">
        <v>9</v>
      </c>
      <c r="G4732" s="293"/>
      <c r="H4732" s="293"/>
      <c r="I4732" s="294"/>
      <c r="K4732" s="229">
        <f>+SUM(K4721:K4730)</f>
        <v>0</v>
      </c>
      <c r="L4732" s="119">
        <f>+SUM(L4721:L4730)</f>
        <v>0</v>
      </c>
      <c r="O4732" s="38"/>
      <c r="P4732" s="38"/>
    </row>
    <row r="4733" spans="2:16" ht="17.399999999999999" thickBot="1" x14ac:dyDescent="0.45">
      <c r="O4733" s="42"/>
      <c r="P4733" s="43"/>
    </row>
    <row r="4734" spans="2:16" ht="17.399999999999999" thickBot="1" x14ac:dyDescent="0.45">
      <c r="B4734" s="110" t="s">
        <v>10</v>
      </c>
      <c r="C4734" s="300" t="s">
        <v>11</v>
      </c>
      <c r="D4734" s="300"/>
      <c r="E4734" s="300"/>
      <c r="F4734" s="300"/>
      <c r="G4734" s="301"/>
    </row>
    <row r="4735" spans="2:16" x14ac:dyDescent="0.4">
      <c r="B4735" s="114" t="s">
        <v>6</v>
      </c>
      <c r="C4735" s="302" t="s">
        <v>1</v>
      </c>
      <c r="D4735" s="303"/>
      <c r="E4735" s="112" t="s">
        <v>193</v>
      </c>
      <c r="F4735" s="120" t="s">
        <v>2</v>
      </c>
      <c r="G4735" s="114" t="s">
        <v>3</v>
      </c>
      <c r="H4735" s="106"/>
      <c r="I4735" s="107" t="s">
        <v>7</v>
      </c>
      <c r="J4735" s="136"/>
      <c r="K4735" s="107" t="s">
        <v>8</v>
      </c>
      <c r="L4735" s="115" t="s">
        <v>194</v>
      </c>
    </row>
    <row r="4736" spans="2:16" x14ac:dyDescent="0.4">
      <c r="B4736" s="122"/>
      <c r="C4736" s="306"/>
      <c r="D4736" s="306"/>
      <c r="E4736" s="116"/>
      <c r="F4736" s="83"/>
      <c r="G4736" s="74"/>
      <c r="I4736" s="117">
        <f>IF(C4736=0,0,VLOOKUP(C4736,Tabla3[],3,FALSE))</f>
        <v>0</v>
      </c>
      <c r="K4736" s="84">
        <f>F4736*I4736</f>
        <v>0</v>
      </c>
      <c r="L4736" s="118">
        <f>E4736*I4736</f>
        <v>0</v>
      </c>
    </row>
    <row r="4737" spans="2:12" x14ac:dyDescent="0.4">
      <c r="B4737" s="74"/>
      <c r="C4737" s="309"/>
      <c r="D4737" s="310"/>
      <c r="E4737" s="121"/>
      <c r="F4737" s="72"/>
      <c r="G4737" s="74"/>
      <c r="I4737" s="117">
        <f>IF(C4737=0,0,VLOOKUP(C4737,Tabla3[],3,FALSE))</f>
        <v>0</v>
      </c>
      <c r="K4737" s="84">
        <f t="shared" ref="K4737:K4739" si="723">+F4737*I4737</f>
        <v>0</v>
      </c>
      <c r="L4737" s="118">
        <f t="shared" ref="L4737:L4739" si="724">E4737*I4737</f>
        <v>0</v>
      </c>
    </row>
    <row r="4738" spans="2:12" x14ac:dyDescent="0.4">
      <c r="B4738" s="74"/>
      <c r="C4738" s="309"/>
      <c r="D4738" s="310"/>
      <c r="E4738" s="121"/>
      <c r="F4738" s="72"/>
      <c r="G4738" s="74"/>
      <c r="I4738" s="117">
        <f>IF(C4738=0,0,VLOOKUP(C4738,Tabla3[],3,FALSE))</f>
        <v>0</v>
      </c>
      <c r="K4738" s="84">
        <f t="shared" si="723"/>
        <v>0</v>
      </c>
      <c r="L4738" s="118">
        <f t="shared" si="724"/>
        <v>0</v>
      </c>
    </row>
    <row r="4739" spans="2:12" x14ac:dyDescent="0.4">
      <c r="B4739" s="74"/>
      <c r="C4739" s="304"/>
      <c r="D4739" s="305"/>
      <c r="E4739" s="121"/>
      <c r="F4739" s="72"/>
      <c r="G4739" s="74"/>
      <c r="I4739" s="117">
        <f>IF(C4739=0,0,VLOOKUP(C4739,Tabla3[],3,FALSE))</f>
        <v>0</v>
      </c>
      <c r="K4739" s="84">
        <f t="shared" si="723"/>
        <v>0</v>
      </c>
      <c r="L4739" s="118">
        <f t="shared" si="724"/>
        <v>0</v>
      </c>
    </row>
    <row r="4740" spans="2:12" ht="17.399999999999999" thickBot="1" x14ac:dyDescent="0.45"/>
    <row r="4741" spans="2:12" ht="17.399999999999999" thickBot="1" x14ac:dyDescent="0.45">
      <c r="F4741" s="292" t="s">
        <v>12</v>
      </c>
      <c r="G4741" s="293"/>
      <c r="H4741" s="293"/>
      <c r="I4741" s="294"/>
      <c r="K4741" s="229">
        <f>+SUM(K4736:K4739)</f>
        <v>0</v>
      </c>
      <c r="L4741" s="119">
        <f>+SUM(L4736:L4739)</f>
        <v>0</v>
      </c>
    </row>
    <row r="4742" spans="2:12" ht="17.399999999999999" thickBot="1" x14ac:dyDescent="0.45"/>
    <row r="4743" spans="2:12" ht="17.399999999999999" thickBot="1" x14ac:dyDescent="0.45">
      <c r="B4743" s="110" t="s">
        <v>13</v>
      </c>
      <c r="C4743" s="300" t="s">
        <v>14</v>
      </c>
      <c r="D4743" s="300"/>
      <c r="E4743" s="300"/>
      <c r="F4743" s="300"/>
      <c r="G4743" s="301"/>
    </row>
    <row r="4744" spans="2:12" x14ac:dyDescent="0.4">
      <c r="B4744" s="114" t="s">
        <v>6</v>
      </c>
      <c r="C4744" s="302" t="s">
        <v>1</v>
      </c>
      <c r="D4744" s="303"/>
      <c r="E4744" s="112" t="s">
        <v>193</v>
      </c>
      <c r="F4744" s="120" t="s">
        <v>2</v>
      </c>
      <c r="G4744" s="114" t="s">
        <v>3</v>
      </c>
      <c r="H4744" s="106"/>
      <c r="I4744" s="107" t="s">
        <v>7</v>
      </c>
      <c r="J4744" s="136"/>
      <c r="K4744" s="107" t="s">
        <v>8</v>
      </c>
      <c r="L4744" s="115" t="s">
        <v>194</v>
      </c>
    </row>
    <row r="4745" spans="2:12" x14ac:dyDescent="0.4">
      <c r="B4745" s="122">
        <v>1</v>
      </c>
      <c r="C4745" s="325" t="s">
        <v>602</v>
      </c>
      <c r="D4745" s="325"/>
      <c r="E4745" s="116">
        <f>I4717</f>
        <v>40</v>
      </c>
      <c r="F4745" s="83">
        <f>ROUND(E4745/I4717,2)</f>
        <v>1</v>
      </c>
      <c r="G4745" s="74" t="str">
        <f>IF(C4745=0,0,VLOOKUP(C4745,Tabla2[],2,FALSE))</f>
        <v>m²</v>
      </c>
      <c r="I4745" s="117">
        <f>IF(C4745=0,0,VLOOKUP(C4745,Tabla2[],3,FALSE))</f>
        <v>500</v>
      </c>
      <c r="K4745" s="84">
        <f>+F4745*I4745</f>
        <v>500</v>
      </c>
      <c r="L4745" s="118">
        <f>E4745*I4745</f>
        <v>20000</v>
      </c>
    </row>
    <row r="4746" spans="2:12" x14ac:dyDescent="0.4">
      <c r="B4746" s="122"/>
      <c r="C4746" s="306"/>
      <c r="D4746" s="306"/>
      <c r="E4746" s="116"/>
      <c r="F4746" s="83"/>
      <c r="G4746" s="74"/>
      <c r="I4746" s="117">
        <f>IF(C4746=0,0,VLOOKUP(C4746,Tabla2[],3,FALSE))</f>
        <v>0</v>
      </c>
      <c r="K4746" s="84">
        <f>+F4746*I4746</f>
        <v>0</v>
      </c>
      <c r="L4746" s="118">
        <f>E4746*I4746</f>
        <v>0</v>
      </c>
    </row>
    <row r="4747" spans="2:12" ht="17.399999999999999" thickBot="1" x14ac:dyDescent="0.45">
      <c r="B4747" s="123"/>
      <c r="C4747" s="307"/>
      <c r="D4747" s="308"/>
      <c r="E4747" s="124"/>
      <c r="F4747" s="125"/>
      <c r="G4747" s="74"/>
      <c r="I4747" s="117">
        <f>IF(C4747=0,0,VLOOKUP(C4747,Tabla2[],3,FALSE))</f>
        <v>0</v>
      </c>
      <c r="K4747" s="84">
        <f t="shared" ref="K4747" si="725">+F4747*I4747</f>
        <v>0</v>
      </c>
      <c r="L4747" s="118">
        <f t="shared" ref="L4747:L4748" si="726">E4747*I4747</f>
        <v>0</v>
      </c>
    </row>
    <row r="4748" spans="2:12" ht="17.399999999999999" thickBot="1" x14ac:dyDescent="0.45">
      <c r="B4748" s="297" t="s">
        <v>15</v>
      </c>
      <c r="C4748" s="298"/>
      <c r="D4748" s="298"/>
      <c r="E4748" s="298"/>
      <c r="F4748" s="298"/>
      <c r="G4748" s="299"/>
      <c r="I4748" s="84">
        <v>0</v>
      </c>
      <c r="K4748" s="84">
        <v>0</v>
      </c>
      <c r="L4748" s="118">
        <f t="shared" si="726"/>
        <v>0</v>
      </c>
    </row>
    <row r="4749" spans="2:12" ht="17.399999999999999" thickBot="1" x14ac:dyDescent="0.45"/>
    <row r="4750" spans="2:12" ht="17.399999999999999" thickBot="1" x14ac:dyDescent="0.45">
      <c r="F4750" s="292" t="s">
        <v>16</v>
      </c>
      <c r="G4750" s="293"/>
      <c r="H4750" s="293"/>
      <c r="I4750" s="294"/>
      <c r="K4750" s="229">
        <f>+SUM(K4745:K4748)</f>
        <v>500</v>
      </c>
      <c r="L4750" s="119">
        <f>+SUM(L4745:L4748)</f>
        <v>20000</v>
      </c>
    </row>
    <row r="4751" spans="2:12" ht="17.399999999999999" thickBot="1" x14ac:dyDescent="0.45"/>
    <row r="4752" spans="2:12" ht="17.399999999999999" thickBot="1" x14ac:dyDescent="0.45">
      <c r="B4752" s="110" t="s">
        <v>17</v>
      </c>
      <c r="C4752" s="300" t="s">
        <v>18</v>
      </c>
      <c r="D4752" s="300"/>
      <c r="E4752" s="300"/>
      <c r="F4752" s="300"/>
      <c r="G4752" s="301"/>
    </row>
    <row r="4753" spans="2:16" x14ac:dyDescent="0.4">
      <c r="B4753" s="114" t="s">
        <v>6</v>
      </c>
      <c r="C4753" s="302" t="s">
        <v>1</v>
      </c>
      <c r="D4753" s="303"/>
      <c r="E4753" s="126"/>
      <c r="F4753" s="120" t="s">
        <v>2</v>
      </c>
      <c r="G4753" s="114" t="s">
        <v>3</v>
      </c>
      <c r="H4753" s="106"/>
      <c r="I4753" s="107" t="s">
        <v>7</v>
      </c>
      <c r="J4753" s="136"/>
      <c r="K4753" s="107" t="s">
        <v>8</v>
      </c>
      <c r="L4753" s="115" t="s">
        <v>194</v>
      </c>
    </row>
    <row r="4754" spans="2:16" x14ac:dyDescent="0.4">
      <c r="B4754" s="74"/>
      <c r="C4754" s="304"/>
      <c r="D4754" s="305"/>
      <c r="E4754" s="127"/>
      <c r="F4754" s="72"/>
      <c r="G4754" s="74"/>
      <c r="I4754" s="84">
        <v>0</v>
      </c>
      <c r="K4754" s="84">
        <f>+F4754*I4754</f>
        <v>0</v>
      </c>
      <c r="L4754" s="118">
        <f>E4754*I4754</f>
        <v>0</v>
      </c>
    </row>
    <row r="4755" spans="2:16" x14ac:dyDescent="0.4">
      <c r="B4755" s="74"/>
      <c r="C4755" s="304"/>
      <c r="D4755" s="305"/>
      <c r="E4755" s="127"/>
      <c r="F4755" s="72"/>
      <c r="G4755" s="74"/>
      <c r="I4755" s="84">
        <v>0</v>
      </c>
      <c r="K4755" s="84">
        <f t="shared" ref="K4755:K4756" si="727">+F4755*I4755</f>
        <v>0</v>
      </c>
      <c r="L4755" s="118">
        <f t="shared" ref="L4755:L4756" si="728">E4755*I4755</f>
        <v>0</v>
      </c>
    </row>
    <row r="4756" spans="2:16" x14ac:dyDescent="0.4">
      <c r="B4756" s="74"/>
      <c r="C4756" s="304"/>
      <c r="D4756" s="305"/>
      <c r="E4756" s="127"/>
      <c r="F4756" s="72"/>
      <c r="G4756" s="74"/>
      <c r="I4756" s="84">
        <v>0</v>
      </c>
      <c r="K4756" s="84">
        <f t="shared" si="727"/>
        <v>0</v>
      </c>
      <c r="L4756" s="118">
        <f t="shared" si="728"/>
        <v>0</v>
      </c>
    </row>
    <row r="4757" spans="2:16" ht="17.399999999999999" thickBot="1" x14ac:dyDescent="0.45">
      <c r="L4757" s="118"/>
    </row>
    <row r="4758" spans="2:16" ht="17.399999999999999" thickBot="1" x14ac:dyDescent="0.45">
      <c r="F4758" s="292" t="s">
        <v>19</v>
      </c>
      <c r="G4758" s="293"/>
      <c r="H4758" s="293"/>
      <c r="I4758" s="294"/>
      <c r="K4758" s="229">
        <f>+SUM(K4754:K4756)</f>
        <v>0</v>
      </c>
      <c r="L4758" s="119">
        <f>+SUM(L4753:L4756)</f>
        <v>0</v>
      </c>
    </row>
    <row r="4759" spans="2:16" ht="15" customHeight="1" x14ac:dyDescent="0.4">
      <c r="F4759" s="128"/>
      <c r="G4759" s="129"/>
      <c r="H4759" s="130"/>
      <c r="I4759" s="108"/>
      <c r="K4759" s="230"/>
    </row>
    <row r="4760" spans="2:16" ht="15" customHeight="1" thickBot="1" x14ac:dyDescent="0.45"/>
    <row r="4761" spans="2:16" ht="17.399999999999999" thickBot="1" x14ac:dyDescent="0.45">
      <c r="F4761" s="292" t="s">
        <v>20</v>
      </c>
      <c r="G4761" s="293"/>
      <c r="H4761" s="293"/>
      <c r="I4761" s="294"/>
      <c r="K4761" s="229">
        <f>(+K4732+K4741+K4750+K4758)</f>
        <v>500</v>
      </c>
      <c r="L4761" s="119">
        <f>(+L4732+L4741+L4750+L4758)</f>
        <v>20000</v>
      </c>
      <c r="N4761" s="131"/>
      <c r="O4761" s="39"/>
      <c r="P4761" s="40"/>
    </row>
    <row r="4762" spans="2:16" ht="7.5" customHeight="1" thickBot="1" x14ac:dyDescent="0.45">
      <c r="N4762" s="131"/>
      <c r="O4762" s="41"/>
      <c r="P4762" s="40"/>
    </row>
    <row r="4763" spans="2:16" ht="17.399999999999999" thickBot="1" x14ac:dyDescent="0.45">
      <c r="F4763" s="292" t="s">
        <v>21</v>
      </c>
      <c r="G4763" s="293"/>
      <c r="H4763" s="293"/>
      <c r="I4763" s="294"/>
      <c r="K4763" s="229">
        <f>K4761*$N$2</f>
        <v>200</v>
      </c>
      <c r="L4763" s="119">
        <f>L4761*$N$2</f>
        <v>8000</v>
      </c>
    </row>
    <row r="4764" spans="2:16" ht="7.5" customHeight="1" thickBot="1" x14ac:dyDescent="0.45"/>
    <row r="4765" spans="2:16" ht="17.399999999999999" thickBot="1" x14ac:dyDescent="0.45">
      <c r="F4765" s="292" t="s">
        <v>22</v>
      </c>
      <c r="G4765" s="293"/>
      <c r="H4765" s="293"/>
      <c r="I4765" s="294"/>
      <c r="K4765" s="229">
        <f>+K4761+K4763</f>
        <v>700</v>
      </c>
      <c r="L4765" s="119">
        <f>+L4761+L4763</f>
        <v>28000</v>
      </c>
    </row>
    <row r="4766" spans="2:16" ht="17.399999999999999" thickBot="1" x14ac:dyDescent="0.45">
      <c r="F4766" s="128"/>
      <c r="G4766" s="129"/>
      <c r="H4766" s="130"/>
      <c r="I4766" s="108"/>
      <c r="K4766" s="231"/>
      <c r="L4766" s="132">
        <f>L4765/I4717</f>
        <v>700</v>
      </c>
      <c r="M4766" s="133">
        <f>(K4765-L4766)*I4717</f>
        <v>0</v>
      </c>
    </row>
    <row r="4767" spans="2:16" x14ac:dyDescent="0.4">
      <c r="F4767" s="128"/>
      <c r="G4767" s="129"/>
      <c r="H4767" s="130"/>
      <c r="I4767" s="108"/>
      <c r="K4767" s="232"/>
      <c r="L4767" s="131"/>
      <c r="M4767" s="134"/>
      <c r="N4767" s="135"/>
    </row>
    <row r="4768" spans="2:16" ht="17.399999999999999" thickBot="1" x14ac:dyDescent="0.45">
      <c r="B4768" s="295"/>
      <c r="C4768" s="295"/>
      <c r="D4768" s="295"/>
    </row>
    <row r="4769" spans="1:16" x14ac:dyDescent="0.4">
      <c r="B4769" s="296" t="s">
        <v>23</v>
      </c>
      <c r="C4769" s="296"/>
      <c r="D4769" s="296"/>
    </row>
    <row r="4770" spans="1:16" x14ac:dyDescent="0.4">
      <c r="B4770" s="157"/>
      <c r="C4770" s="157"/>
      <c r="D4770" s="157"/>
    </row>
    <row r="4771" spans="1:16" x14ac:dyDescent="0.4">
      <c r="B4771" s="157"/>
      <c r="C4771" s="157"/>
      <c r="D4771" s="157"/>
    </row>
    <row r="4772" spans="1:16" x14ac:dyDescent="0.4">
      <c r="B4772" s="105" t="s">
        <v>43</v>
      </c>
      <c r="C4772" s="106"/>
      <c r="D4772" s="311" t="s">
        <v>1</v>
      </c>
      <c r="E4772" s="311"/>
      <c r="F4772" s="311"/>
      <c r="G4772" s="311"/>
      <c r="H4772" s="106"/>
      <c r="I4772" s="107" t="s">
        <v>2</v>
      </c>
      <c r="J4772" s="136"/>
      <c r="K4772" s="107" t="s">
        <v>3</v>
      </c>
    </row>
    <row r="4773" spans="1:16" s="4" customFormat="1" ht="30.75" customHeight="1" x14ac:dyDescent="0.3">
      <c r="A4773" s="31"/>
      <c r="B4773" s="213">
        <f>CATALOGO!B128</f>
        <v>806.09</v>
      </c>
      <c r="C4773" s="71"/>
      <c r="D4773" s="326" t="str">
        <f>CATALOGO!C128</f>
        <v>REMOZAMIENTO DE BALCONES</v>
      </c>
      <c r="E4773" s="326"/>
      <c r="F4773" s="326"/>
      <c r="G4773" s="326"/>
      <c r="H4773" s="71"/>
      <c r="I4773" s="213">
        <f>CATALOGO!D128</f>
        <v>40</v>
      </c>
      <c r="J4773" s="109"/>
      <c r="K4773" s="227" t="str">
        <f>CATALOGO!E128</f>
        <v>m²</v>
      </c>
      <c r="L4773" s="71"/>
      <c r="M4773" s="71"/>
      <c r="N4773" s="71"/>
      <c r="O4773" s="37"/>
      <c r="P4773" s="37"/>
    </row>
    <row r="4774" spans="1:16" ht="17.399999999999999" thickBot="1" x14ac:dyDescent="0.45"/>
    <row r="4775" spans="1:16" ht="17.399999999999999" thickBot="1" x14ac:dyDescent="0.45">
      <c r="B4775" s="110" t="s">
        <v>4</v>
      </c>
      <c r="C4775" s="300" t="s">
        <v>5</v>
      </c>
      <c r="D4775" s="300"/>
      <c r="E4775" s="300"/>
      <c r="F4775" s="300"/>
      <c r="G4775" s="301"/>
    </row>
    <row r="4776" spans="1:16" x14ac:dyDescent="0.3">
      <c r="B4776" s="111" t="s">
        <v>6</v>
      </c>
      <c r="C4776" s="313" t="s">
        <v>1</v>
      </c>
      <c r="D4776" s="314"/>
      <c r="E4776" s="112" t="s">
        <v>193</v>
      </c>
      <c r="F4776" s="113" t="s">
        <v>2</v>
      </c>
      <c r="G4776" s="114" t="s">
        <v>3</v>
      </c>
      <c r="H4776" s="106"/>
      <c r="I4776" s="107" t="s">
        <v>7</v>
      </c>
      <c r="J4776" s="136"/>
      <c r="K4776" s="228" t="s">
        <v>8</v>
      </c>
      <c r="L4776" s="115" t="s">
        <v>194</v>
      </c>
      <c r="O4776" s="323"/>
      <c r="P4776" s="323"/>
    </row>
    <row r="4777" spans="1:16" ht="17.25" customHeight="1" x14ac:dyDescent="0.3">
      <c r="B4777" s="122"/>
      <c r="C4777" s="317"/>
      <c r="D4777" s="318"/>
      <c r="E4777" s="116"/>
      <c r="F4777" s="83"/>
      <c r="G4777" s="74"/>
      <c r="I4777" s="117">
        <f>IF(C4777=0,0,VLOOKUP(C4777,Tabla1[],3,FALSE))</f>
        <v>0</v>
      </c>
      <c r="K4777" s="84">
        <f>F4777*I4777</f>
        <v>0</v>
      </c>
      <c r="L4777" s="118">
        <f t="shared" ref="L4777:L4786" si="729">E4777*I4777</f>
        <v>0</v>
      </c>
      <c r="O4777" s="44"/>
      <c r="P4777" s="45"/>
    </row>
    <row r="4778" spans="1:16" x14ac:dyDescent="0.4">
      <c r="B4778" s="122"/>
      <c r="C4778" s="317"/>
      <c r="D4778" s="318"/>
      <c r="E4778" s="116"/>
      <c r="F4778" s="83"/>
      <c r="G4778" s="74"/>
      <c r="I4778" s="117">
        <f>IF(C4778=0,0,VLOOKUP(C4778,Tabla1[],3,FALSE))</f>
        <v>0</v>
      </c>
      <c r="K4778" s="84">
        <f t="shared" ref="K4778:K4786" si="730">+F4778*I4778</f>
        <v>0</v>
      </c>
      <c r="L4778" s="118">
        <f t="shared" si="729"/>
        <v>0</v>
      </c>
      <c r="P4778" s="45"/>
    </row>
    <row r="4779" spans="1:16" x14ac:dyDescent="0.4">
      <c r="B4779" s="122"/>
      <c r="C4779" s="317"/>
      <c r="D4779" s="318"/>
      <c r="E4779" s="116"/>
      <c r="F4779" s="83"/>
      <c r="G4779" s="74"/>
      <c r="I4779" s="117">
        <f>IF(C4779=0,0,VLOOKUP(C4779,Tabla1[],3,FALSE))</f>
        <v>0</v>
      </c>
      <c r="K4779" s="84">
        <f t="shared" si="730"/>
        <v>0</v>
      </c>
      <c r="L4779" s="118">
        <f t="shared" si="729"/>
        <v>0</v>
      </c>
      <c r="O4779" s="48"/>
      <c r="P4779" s="49"/>
    </row>
    <row r="4780" spans="1:16" x14ac:dyDescent="0.4">
      <c r="B4780" s="122"/>
      <c r="C4780" s="317"/>
      <c r="D4780" s="318"/>
      <c r="E4780" s="116"/>
      <c r="F4780" s="83"/>
      <c r="G4780" s="74"/>
      <c r="I4780" s="117">
        <f>IF(C4780=0,0,VLOOKUP(C4780,Tabla1[],3,FALSE))</f>
        <v>0</v>
      </c>
      <c r="K4780" s="84">
        <f t="shared" si="730"/>
        <v>0</v>
      </c>
      <c r="L4780" s="118">
        <f t="shared" si="729"/>
        <v>0</v>
      </c>
      <c r="O4780" s="48"/>
      <c r="P4780" s="49"/>
    </row>
    <row r="4781" spans="1:16" x14ac:dyDescent="0.4">
      <c r="B4781" s="122"/>
      <c r="C4781" s="317"/>
      <c r="D4781" s="318"/>
      <c r="E4781" s="116"/>
      <c r="F4781" s="83"/>
      <c r="G4781" s="74"/>
      <c r="I4781" s="117">
        <f>IF(C4781=0,0,VLOOKUP(C4781,Tabla1[],3,FALSE))</f>
        <v>0</v>
      </c>
      <c r="K4781" s="84">
        <f t="shared" si="730"/>
        <v>0</v>
      </c>
      <c r="L4781" s="118">
        <f t="shared" si="729"/>
        <v>0</v>
      </c>
      <c r="O4781" s="48"/>
      <c r="P4781" s="49"/>
    </row>
    <row r="4782" spans="1:16" x14ac:dyDescent="0.4">
      <c r="B4782" s="122"/>
      <c r="C4782" s="318"/>
      <c r="D4782" s="306"/>
      <c r="E4782" s="116"/>
      <c r="F4782" s="83"/>
      <c r="G4782" s="74"/>
      <c r="I4782" s="117">
        <f>IF(C4782=0,0,VLOOKUP(C4782,Tabla1[],3,FALSE))</f>
        <v>0</v>
      </c>
      <c r="K4782" s="84">
        <f t="shared" si="730"/>
        <v>0</v>
      </c>
      <c r="L4782" s="118">
        <f t="shared" si="729"/>
        <v>0</v>
      </c>
      <c r="O4782" s="48"/>
      <c r="P4782" s="49"/>
    </row>
    <row r="4783" spans="1:16" x14ac:dyDescent="0.4">
      <c r="B4783" s="122"/>
      <c r="C4783" s="318"/>
      <c r="D4783" s="306"/>
      <c r="E4783" s="116"/>
      <c r="F4783" s="83"/>
      <c r="G4783" s="74"/>
      <c r="I4783" s="117">
        <f>IF(C4783=0,0,VLOOKUP(C4783,Tabla1[],3,FALSE))</f>
        <v>0</v>
      </c>
      <c r="K4783" s="84">
        <f t="shared" si="730"/>
        <v>0</v>
      </c>
      <c r="L4783" s="118">
        <f t="shared" si="729"/>
        <v>0</v>
      </c>
      <c r="O4783" s="48"/>
      <c r="P4783" s="49"/>
    </row>
    <row r="4784" spans="1:16" x14ac:dyDescent="0.4">
      <c r="B4784" s="122"/>
      <c r="C4784" s="317"/>
      <c r="D4784" s="318"/>
      <c r="E4784" s="116"/>
      <c r="F4784" s="83"/>
      <c r="G4784" s="74"/>
      <c r="I4784" s="117">
        <f>IF(C4784=0,0,VLOOKUP(C4784,Tabla1[],3,FALSE))</f>
        <v>0</v>
      </c>
      <c r="K4784" s="84">
        <f t="shared" si="730"/>
        <v>0</v>
      </c>
      <c r="L4784" s="118">
        <f t="shared" si="729"/>
        <v>0</v>
      </c>
      <c r="O4784" s="48"/>
      <c r="P4784" s="49"/>
    </row>
    <row r="4785" spans="2:16" x14ac:dyDescent="0.4">
      <c r="B4785" s="122"/>
      <c r="C4785" s="317"/>
      <c r="D4785" s="318"/>
      <c r="E4785" s="116"/>
      <c r="F4785" s="83"/>
      <c r="G4785" s="74"/>
      <c r="I4785" s="117">
        <f>IF(C4785=0,0,VLOOKUP(C4785,Tabla1[],3,FALSE))</f>
        <v>0</v>
      </c>
      <c r="K4785" s="84">
        <f t="shared" si="730"/>
        <v>0</v>
      </c>
      <c r="L4785" s="118">
        <f t="shared" si="729"/>
        <v>0</v>
      </c>
      <c r="O4785" s="48"/>
      <c r="P4785" s="49"/>
    </row>
    <row r="4786" spans="2:16" x14ac:dyDescent="0.4">
      <c r="B4786" s="122"/>
      <c r="C4786" s="319"/>
      <c r="D4786" s="318"/>
      <c r="E4786" s="116"/>
      <c r="F4786" s="83"/>
      <c r="G4786" s="74"/>
      <c r="I4786" s="117">
        <f>IF(C4786=0,0,VLOOKUP(C4786,Tabla1[],3,FALSE))</f>
        <v>0</v>
      </c>
      <c r="K4786" s="84">
        <f t="shared" si="730"/>
        <v>0</v>
      </c>
      <c r="L4786" s="118">
        <f t="shared" si="729"/>
        <v>0</v>
      </c>
      <c r="O4786" s="48"/>
      <c r="P4786" s="43"/>
    </row>
    <row r="4787" spans="2:16" ht="17.399999999999999" thickBot="1" x14ac:dyDescent="0.45"/>
    <row r="4788" spans="2:16" ht="17.399999999999999" thickBot="1" x14ac:dyDescent="0.35">
      <c r="F4788" s="292" t="s">
        <v>9</v>
      </c>
      <c r="G4788" s="293"/>
      <c r="H4788" s="293"/>
      <c r="I4788" s="294"/>
      <c r="K4788" s="229">
        <f>+SUM(K4777:K4786)</f>
        <v>0</v>
      </c>
      <c r="L4788" s="119">
        <f>+SUM(L4777:L4786)</f>
        <v>0</v>
      </c>
      <c r="O4788" s="38"/>
      <c r="P4788" s="38"/>
    </row>
    <row r="4789" spans="2:16" ht="17.399999999999999" thickBot="1" x14ac:dyDescent="0.45">
      <c r="O4789" s="42"/>
      <c r="P4789" s="43"/>
    </row>
    <row r="4790" spans="2:16" ht="17.399999999999999" thickBot="1" x14ac:dyDescent="0.45">
      <c r="B4790" s="110" t="s">
        <v>10</v>
      </c>
      <c r="C4790" s="300" t="s">
        <v>11</v>
      </c>
      <c r="D4790" s="300"/>
      <c r="E4790" s="300"/>
      <c r="F4790" s="300"/>
      <c r="G4790" s="301"/>
    </row>
    <row r="4791" spans="2:16" x14ac:dyDescent="0.4">
      <c r="B4791" s="114" t="s">
        <v>6</v>
      </c>
      <c r="C4791" s="302" t="s">
        <v>1</v>
      </c>
      <c r="D4791" s="303"/>
      <c r="E4791" s="112" t="s">
        <v>193</v>
      </c>
      <c r="F4791" s="120" t="s">
        <v>2</v>
      </c>
      <c r="G4791" s="114" t="s">
        <v>3</v>
      </c>
      <c r="H4791" s="106"/>
      <c r="I4791" s="107" t="s">
        <v>7</v>
      </c>
      <c r="J4791" s="136"/>
      <c r="K4791" s="107" t="s">
        <v>8</v>
      </c>
      <c r="L4791" s="115" t="s">
        <v>194</v>
      </c>
    </row>
    <row r="4792" spans="2:16" x14ac:dyDescent="0.4">
      <c r="B4792" s="122"/>
      <c r="C4792" s="306"/>
      <c r="D4792" s="306"/>
      <c r="E4792" s="116"/>
      <c r="F4792" s="83"/>
      <c r="G4792" s="74"/>
      <c r="I4792" s="117">
        <f>IF(C4792=0,0,VLOOKUP(C4792,Tabla3[],3,FALSE))</f>
        <v>0</v>
      </c>
      <c r="K4792" s="84">
        <f>F4792*I4792</f>
        <v>0</v>
      </c>
      <c r="L4792" s="118">
        <f>E4792*I4792</f>
        <v>0</v>
      </c>
    </row>
    <row r="4793" spans="2:16" x14ac:dyDescent="0.4">
      <c r="B4793" s="74"/>
      <c r="C4793" s="309"/>
      <c r="D4793" s="310"/>
      <c r="E4793" s="121"/>
      <c r="F4793" s="72"/>
      <c r="G4793" s="74"/>
      <c r="I4793" s="117">
        <f>IF(C4793=0,0,VLOOKUP(C4793,Tabla3[],3,FALSE))</f>
        <v>0</v>
      </c>
      <c r="K4793" s="84">
        <f t="shared" ref="K4793:K4795" si="731">+F4793*I4793</f>
        <v>0</v>
      </c>
      <c r="L4793" s="118">
        <f t="shared" ref="L4793:L4795" si="732">E4793*I4793</f>
        <v>0</v>
      </c>
    </row>
    <row r="4794" spans="2:16" x14ac:dyDescent="0.4">
      <c r="B4794" s="74"/>
      <c r="C4794" s="309"/>
      <c r="D4794" s="310"/>
      <c r="E4794" s="121"/>
      <c r="F4794" s="72"/>
      <c r="G4794" s="74"/>
      <c r="I4794" s="117">
        <f>IF(C4794=0,0,VLOOKUP(C4794,Tabla3[],3,FALSE))</f>
        <v>0</v>
      </c>
      <c r="K4794" s="84">
        <f t="shared" si="731"/>
        <v>0</v>
      </c>
      <c r="L4794" s="118">
        <f t="shared" si="732"/>
        <v>0</v>
      </c>
    </row>
    <row r="4795" spans="2:16" x14ac:dyDescent="0.4">
      <c r="B4795" s="74"/>
      <c r="C4795" s="304"/>
      <c r="D4795" s="305"/>
      <c r="E4795" s="121"/>
      <c r="F4795" s="72"/>
      <c r="G4795" s="74"/>
      <c r="I4795" s="117">
        <f>IF(C4795=0,0,VLOOKUP(C4795,Tabla3[],3,FALSE))</f>
        <v>0</v>
      </c>
      <c r="K4795" s="84">
        <f t="shared" si="731"/>
        <v>0</v>
      </c>
      <c r="L4795" s="118">
        <f t="shared" si="732"/>
        <v>0</v>
      </c>
    </row>
    <row r="4796" spans="2:16" ht="17.399999999999999" thickBot="1" x14ac:dyDescent="0.45"/>
    <row r="4797" spans="2:16" ht="17.399999999999999" thickBot="1" x14ac:dyDescent="0.45">
      <c r="F4797" s="292" t="s">
        <v>12</v>
      </c>
      <c r="G4797" s="293"/>
      <c r="H4797" s="293"/>
      <c r="I4797" s="294"/>
      <c r="K4797" s="229">
        <f>+SUM(K4792:K4795)</f>
        <v>0</v>
      </c>
      <c r="L4797" s="119">
        <f>+SUM(L4792:L4795)</f>
        <v>0</v>
      </c>
    </row>
    <row r="4798" spans="2:16" ht="17.399999999999999" thickBot="1" x14ac:dyDescent="0.45"/>
    <row r="4799" spans="2:16" ht="17.399999999999999" thickBot="1" x14ac:dyDescent="0.45">
      <c r="B4799" s="110" t="s">
        <v>13</v>
      </c>
      <c r="C4799" s="300" t="s">
        <v>14</v>
      </c>
      <c r="D4799" s="300"/>
      <c r="E4799" s="300"/>
      <c r="F4799" s="300"/>
      <c r="G4799" s="301"/>
    </row>
    <row r="4800" spans="2:16" x14ac:dyDescent="0.4">
      <c r="B4800" s="114" t="s">
        <v>6</v>
      </c>
      <c r="C4800" s="302" t="s">
        <v>1</v>
      </c>
      <c r="D4800" s="303"/>
      <c r="E4800" s="112" t="s">
        <v>193</v>
      </c>
      <c r="F4800" s="120" t="s">
        <v>2</v>
      </c>
      <c r="G4800" s="114" t="s">
        <v>3</v>
      </c>
      <c r="H4800" s="106"/>
      <c r="I4800" s="107" t="s">
        <v>7</v>
      </c>
      <c r="J4800" s="136"/>
      <c r="K4800" s="107" t="s">
        <v>8</v>
      </c>
      <c r="L4800" s="115" t="s">
        <v>194</v>
      </c>
    </row>
    <row r="4801" spans="2:12" x14ac:dyDescent="0.4">
      <c r="B4801" s="122">
        <v>1</v>
      </c>
      <c r="C4801" s="325" t="s">
        <v>517</v>
      </c>
      <c r="D4801" s="325"/>
      <c r="E4801" s="116">
        <f>I4773</f>
        <v>40</v>
      </c>
      <c r="F4801" s="83">
        <f>ROUND(E4801/I4773,2)</f>
        <v>1</v>
      </c>
      <c r="G4801" s="74" t="str">
        <f>IF(C4801=0,0,VLOOKUP(C4801,Tabla2[],2,FALSE))</f>
        <v>m²</v>
      </c>
      <c r="I4801" s="117">
        <f>IF(C4801=0,0,VLOOKUP(C4801,Tabla2[],3,FALSE))</f>
        <v>185</v>
      </c>
      <c r="K4801" s="84">
        <f>+F4801*I4801</f>
        <v>185</v>
      </c>
      <c r="L4801" s="118">
        <f>E4801*I4801</f>
        <v>7400</v>
      </c>
    </row>
    <row r="4802" spans="2:12" x14ac:dyDescent="0.4">
      <c r="B4802" s="122"/>
      <c r="C4802" s="306"/>
      <c r="D4802" s="306"/>
      <c r="E4802" s="116"/>
      <c r="F4802" s="83"/>
      <c r="G4802" s="74"/>
      <c r="I4802" s="117">
        <f>IF(C4802=0,0,VLOOKUP(C4802,Tabla2[],3,FALSE))</f>
        <v>0</v>
      </c>
      <c r="K4802" s="84">
        <f>+F4802*I4802</f>
        <v>0</v>
      </c>
      <c r="L4802" s="118">
        <f>E4802*I4802</f>
        <v>0</v>
      </c>
    </row>
    <row r="4803" spans="2:12" ht="17.399999999999999" thickBot="1" x14ac:dyDescent="0.45">
      <c r="B4803" s="123"/>
      <c r="C4803" s="307"/>
      <c r="D4803" s="308"/>
      <c r="E4803" s="124"/>
      <c r="F4803" s="125"/>
      <c r="G4803" s="74"/>
      <c r="I4803" s="117">
        <f>IF(C4803=0,0,VLOOKUP(C4803,Tabla2[],3,FALSE))</f>
        <v>0</v>
      </c>
      <c r="K4803" s="84">
        <f t="shared" ref="K4803" si="733">+F4803*I4803</f>
        <v>0</v>
      </c>
      <c r="L4803" s="118">
        <f t="shared" ref="L4803:L4804" si="734">E4803*I4803</f>
        <v>0</v>
      </c>
    </row>
    <row r="4804" spans="2:12" ht="17.399999999999999" thickBot="1" x14ac:dyDescent="0.45">
      <c r="B4804" s="297" t="s">
        <v>15</v>
      </c>
      <c r="C4804" s="298"/>
      <c r="D4804" s="298"/>
      <c r="E4804" s="298"/>
      <c r="F4804" s="298"/>
      <c r="G4804" s="299"/>
      <c r="I4804" s="84">
        <v>0</v>
      </c>
      <c r="K4804" s="84">
        <v>0</v>
      </c>
      <c r="L4804" s="118">
        <f t="shared" si="734"/>
        <v>0</v>
      </c>
    </row>
    <row r="4805" spans="2:12" ht="17.399999999999999" thickBot="1" x14ac:dyDescent="0.45"/>
    <row r="4806" spans="2:12" ht="17.399999999999999" thickBot="1" x14ac:dyDescent="0.45">
      <c r="F4806" s="292" t="s">
        <v>16</v>
      </c>
      <c r="G4806" s="293"/>
      <c r="H4806" s="293"/>
      <c r="I4806" s="294"/>
      <c r="K4806" s="229">
        <f>+SUM(K4801:K4804)</f>
        <v>185</v>
      </c>
      <c r="L4806" s="119">
        <f>+SUM(L4801:L4804)</f>
        <v>7400</v>
      </c>
    </row>
    <row r="4807" spans="2:12" ht="17.399999999999999" thickBot="1" x14ac:dyDescent="0.45"/>
    <row r="4808" spans="2:12" ht="17.399999999999999" thickBot="1" x14ac:dyDescent="0.45">
      <c r="B4808" s="110" t="s">
        <v>17</v>
      </c>
      <c r="C4808" s="300" t="s">
        <v>18</v>
      </c>
      <c r="D4808" s="300"/>
      <c r="E4808" s="300"/>
      <c r="F4808" s="300"/>
      <c r="G4808" s="301"/>
    </row>
    <row r="4809" spans="2:12" x14ac:dyDescent="0.4">
      <c r="B4809" s="114" t="s">
        <v>6</v>
      </c>
      <c r="C4809" s="302" t="s">
        <v>1</v>
      </c>
      <c r="D4809" s="303"/>
      <c r="E4809" s="126"/>
      <c r="F4809" s="120" t="s">
        <v>2</v>
      </c>
      <c r="G4809" s="114" t="s">
        <v>3</v>
      </c>
      <c r="H4809" s="106"/>
      <c r="I4809" s="107" t="s">
        <v>7</v>
      </c>
      <c r="J4809" s="136"/>
      <c r="K4809" s="107" t="s">
        <v>8</v>
      </c>
      <c r="L4809" s="115" t="s">
        <v>194</v>
      </c>
    </row>
    <row r="4810" spans="2:12" x14ac:dyDescent="0.4">
      <c r="B4810" s="74"/>
      <c r="C4810" s="304"/>
      <c r="D4810" s="305"/>
      <c r="E4810" s="127"/>
      <c r="F4810" s="72"/>
      <c r="G4810" s="74"/>
      <c r="I4810" s="84">
        <v>0</v>
      </c>
      <c r="K4810" s="84">
        <f>+F4810*I4810</f>
        <v>0</v>
      </c>
      <c r="L4810" s="118">
        <f>E4810*I4810</f>
        <v>0</v>
      </c>
    </row>
    <row r="4811" spans="2:12" x14ac:dyDescent="0.4">
      <c r="B4811" s="74"/>
      <c r="C4811" s="304"/>
      <c r="D4811" s="305"/>
      <c r="E4811" s="127"/>
      <c r="F4811" s="72"/>
      <c r="G4811" s="74"/>
      <c r="I4811" s="84">
        <v>0</v>
      </c>
      <c r="K4811" s="84">
        <f t="shared" ref="K4811:K4812" si="735">+F4811*I4811</f>
        <v>0</v>
      </c>
      <c r="L4811" s="118">
        <f t="shared" ref="L4811:L4812" si="736">E4811*I4811</f>
        <v>0</v>
      </c>
    </row>
    <row r="4812" spans="2:12" x14ac:dyDescent="0.4">
      <c r="B4812" s="74"/>
      <c r="C4812" s="304"/>
      <c r="D4812" s="305"/>
      <c r="E4812" s="127"/>
      <c r="F4812" s="72"/>
      <c r="G4812" s="74"/>
      <c r="I4812" s="84">
        <v>0</v>
      </c>
      <c r="K4812" s="84">
        <f t="shared" si="735"/>
        <v>0</v>
      </c>
      <c r="L4812" s="118">
        <f t="shared" si="736"/>
        <v>0</v>
      </c>
    </row>
    <row r="4813" spans="2:12" ht="17.399999999999999" thickBot="1" x14ac:dyDescent="0.45">
      <c r="L4813" s="118"/>
    </row>
    <row r="4814" spans="2:12" ht="17.399999999999999" thickBot="1" x14ac:dyDescent="0.45">
      <c r="F4814" s="292" t="s">
        <v>19</v>
      </c>
      <c r="G4814" s="293"/>
      <c r="H4814" s="293"/>
      <c r="I4814" s="294"/>
      <c r="K4814" s="229">
        <f>+SUM(K4810:K4812)</f>
        <v>0</v>
      </c>
      <c r="L4814" s="119">
        <f>+SUM(L4809:L4812)</f>
        <v>0</v>
      </c>
    </row>
    <row r="4815" spans="2:12" ht="15" customHeight="1" x14ac:dyDescent="0.4">
      <c r="F4815" s="128"/>
      <c r="G4815" s="129"/>
      <c r="H4815" s="130"/>
      <c r="I4815" s="108"/>
      <c r="K4815" s="230"/>
    </row>
    <row r="4816" spans="2:12" ht="15" customHeight="1" thickBot="1" x14ac:dyDescent="0.45"/>
    <row r="4817" spans="1:16" ht="17.399999999999999" thickBot="1" x14ac:dyDescent="0.45">
      <c r="F4817" s="292" t="s">
        <v>20</v>
      </c>
      <c r="G4817" s="293"/>
      <c r="H4817" s="293"/>
      <c r="I4817" s="294"/>
      <c r="K4817" s="229">
        <f>(+K4788+K4797+K4806+K4814)</f>
        <v>185</v>
      </c>
      <c r="L4817" s="119">
        <f>(+L4788+L4797+L4806+L4814)</f>
        <v>7400</v>
      </c>
      <c r="N4817" s="131"/>
      <c r="O4817" s="39"/>
      <c r="P4817" s="40"/>
    </row>
    <row r="4818" spans="1:16" ht="7.5" customHeight="1" thickBot="1" x14ac:dyDescent="0.45">
      <c r="N4818" s="131"/>
      <c r="O4818" s="41"/>
      <c r="P4818" s="40"/>
    </row>
    <row r="4819" spans="1:16" ht="17.399999999999999" thickBot="1" x14ac:dyDescent="0.45">
      <c r="F4819" s="292" t="s">
        <v>21</v>
      </c>
      <c r="G4819" s="293"/>
      <c r="H4819" s="293"/>
      <c r="I4819" s="294"/>
      <c r="K4819" s="229">
        <f>K4817*$N$2</f>
        <v>74</v>
      </c>
      <c r="L4819" s="119">
        <f>L4817*$N$2</f>
        <v>2960</v>
      </c>
    </row>
    <row r="4820" spans="1:16" ht="7.5" customHeight="1" thickBot="1" x14ac:dyDescent="0.45"/>
    <row r="4821" spans="1:16" ht="17.399999999999999" thickBot="1" x14ac:dyDescent="0.45">
      <c r="F4821" s="292" t="s">
        <v>22</v>
      </c>
      <c r="G4821" s="293"/>
      <c r="H4821" s="293"/>
      <c r="I4821" s="294"/>
      <c r="K4821" s="229">
        <f>+K4817+K4819</f>
        <v>259</v>
      </c>
      <c r="L4821" s="119">
        <f>+L4817+L4819</f>
        <v>10360</v>
      </c>
    </row>
    <row r="4822" spans="1:16" ht="17.399999999999999" thickBot="1" x14ac:dyDescent="0.45">
      <c r="F4822" s="128"/>
      <c r="G4822" s="129"/>
      <c r="H4822" s="130"/>
      <c r="I4822" s="108"/>
      <c r="K4822" s="231"/>
      <c r="L4822" s="132">
        <f>L4821/I4773</f>
        <v>259</v>
      </c>
      <c r="M4822" s="133">
        <f>(K4821-L4822)*I4773</f>
        <v>0</v>
      </c>
    </row>
    <row r="4823" spans="1:16" x14ac:dyDescent="0.4">
      <c r="F4823" s="128"/>
      <c r="G4823" s="129"/>
      <c r="H4823" s="130"/>
      <c r="I4823" s="108"/>
      <c r="K4823" s="232"/>
      <c r="L4823" s="131"/>
      <c r="M4823" s="134"/>
      <c r="N4823" s="135"/>
    </row>
    <row r="4824" spans="1:16" ht="17.399999999999999" thickBot="1" x14ac:dyDescent="0.45">
      <c r="B4824" s="295"/>
      <c r="C4824" s="295"/>
      <c r="D4824" s="295"/>
    </row>
    <row r="4825" spans="1:16" x14ac:dyDescent="0.4">
      <c r="B4825" s="296" t="s">
        <v>23</v>
      </c>
      <c r="C4825" s="296"/>
      <c r="D4825" s="296"/>
    </row>
    <row r="4826" spans="1:16" x14ac:dyDescent="0.4">
      <c r="B4826" s="157"/>
      <c r="C4826" s="157"/>
      <c r="D4826" s="157"/>
    </row>
    <row r="4828" spans="1:16" x14ac:dyDescent="0.4">
      <c r="B4828" s="105" t="s">
        <v>43</v>
      </c>
      <c r="C4828" s="106"/>
      <c r="D4828" s="311" t="s">
        <v>1</v>
      </c>
      <c r="E4828" s="311"/>
      <c r="F4828" s="311"/>
      <c r="G4828" s="311"/>
      <c r="H4828" s="106"/>
      <c r="I4828" s="107" t="s">
        <v>2</v>
      </c>
      <c r="J4828" s="136"/>
      <c r="K4828" s="107" t="s">
        <v>3</v>
      </c>
    </row>
    <row r="4829" spans="1:16" s="4" customFormat="1" ht="30.75" customHeight="1" x14ac:dyDescent="0.3">
      <c r="A4829" s="31"/>
      <c r="B4829" s="213">
        <f>CATALOGO!B130</f>
        <v>1105.01</v>
      </c>
      <c r="C4829" s="71"/>
      <c r="D4829" s="324" t="str">
        <f>CATALOGO!C130</f>
        <v>TABLERO ELÉCTRICO (04 POLOS)</v>
      </c>
      <c r="E4829" s="324"/>
      <c r="F4829" s="324"/>
      <c r="G4829" s="324"/>
      <c r="H4829" s="71"/>
      <c r="I4829" s="213">
        <f>CATALOGO!D130</f>
        <v>2</v>
      </c>
      <c r="J4829" s="109"/>
      <c r="K4829" s="227" t="str">
        <f>CATALOGO!E130</f>
        <v>Unidad</v>
      </c>
      <c r="L4829" s="71"/>
      <c r="M4829" s="71"/>
      <c r="N4829" s="104"/>
      <c r="O4829" s="37"/>
      <c r="P4829" s="37"/>
    </row>
    <row r="4830" spans="1:16" ht="17.399999999999999" thickBot="1" x14ac:dyDescent="0.45"/>
    <row r="4831" spans="1:16" ht="17.399999999999999" thickBot="1" x14ac:dyDescent="0.45">
      <c r="B4831" s="110" t="s">
        <v>4</v>
      </c>
      <c r="C4831" s="300" t="s">
        <v>5</v>
      </c>
      <c r="D4831" s="300"/>
      <c r="E4831" s="300"/>
      <c r="F4831" s="300"/>
      <c r="G4831" s="301"/>
    </row>
    <row r="4832" spans="1:16" x14ac:dyDescent="0.3">
      <c r="B4832" s="111" t="s">
        <v>6</v>
      </c>
      <c r="C4832" s="313" t="s">
        <v>1</v>
      </c>
      <c r="D4832" s="314"/>
      <c r="E4832" s="112" t="s">
        <v>193</v>
      </c>
      <c r="F4832" s="113" t="s">
        <v>2</v>
      </c>
      <c r="G4832" s="114" t="s">
        <v>3</v>
      </c>
      <c r="H4832" s="106"/>
      <c r="I4832" s="107" t="s">
        <v>7</v>
      </c>
      <c r="J4832" s="136"/>
      <c r="K4832" s="228" t="s">
        <v>8</v>
      </c>
      <c r="L4832" s="115" t="s">
        <v>194</v>
      </c>
      <c r="O4832" s="323"/>
      <c r="P4832" s="323"/>
    </row>
    <row r="4833" spans="2:16" x14ac:dyDescent="0.3">
      <c r="B4833" s="122">
        <v>1</v>
      </c>
      <c r="C4833" s="315" t="s">
        <v>473</v>
      </c>
      <c r="D4833" s="316"/>
      <c r="E4833" s="116">
        <f>I4829</f>
        <v>2</v>
      </c>
      <c r="F4833" s="83">
        <f>ROUND(E4833/I4829,2)</f>
        <v>1</v>
      </c>
      <c r="G4833" s="74" t="str">
        <f>IF(C4833=0,0,VLOOKUP(C4833,Tabla1[],2,FALSE))</f>
        <v>Unidad</v>
      </c>
      <c r="I4833" s="117">
        <f>IF(C4833=0,0,VLOOKUP(C4833,Tabla1[],3,FALSE))</f>
        <v>250</v>
      </c>
      <c r="K4833" s="84">
        <f>F4833*I4833</f>
        <v>250</v>
      </c>
      <c r="L4833" s="118">
        <f t="shared" ref="L4833:L4839" si="737">E4833*I4833</f>
        <v>500</v>
      </c>
      <c r="O4833" s="44"/>
      <c r="P4833" s="45"/>
    </row>
    <row r="4834" spans="2:16" x14ac:dyDescent="0.3">
      <c r="B4834" s="122">
        <v>2</v>
      </c>
      <c r="C4834" s="315" t="s">
        <v>244</v>
      </c>
      <c r="D4834" s="316"/>
      <c r="E4834" s="116">
        <f>E4833*8</f>
        <v>16</v>
      </c>
      <c r="F4834" s="83">
        <f>ROUND(E4834/I4829,2)</f>
        <v>8</v>
      </c>
      <c r="G4834" s="74" t="str">
        <f>IF(C4834=0,0,VLOOKUP(C4834,Tabla1[],2,FALSE))</f>
        <v>Unidad</v>
      </c>
      <c r="I4834" s="117">
        <f>IF(C4834=0,0,VLOOKUP(C4834,Tabla1[],3,FALSE))</f>
        <v>50</v>
      </c>
      <c r="K4834" s="84">
        <f>F4834*I4834</f>
        <v>400</v>
      </c>
      <c r="L4834" s="118">
        <f t="shared" si="737"/>
        <v>800</v>
      </c>
      <c r="O4834" s="44"/>
      <c r="P4834" s="45"/>
    </row>
    <row r="4835" spans="2:16" x14ac:dyDescent="0.3">
      <c r="B4835" s="122">
        <v>3</v>
      </c>
      <c r="C4835" s="319" t="s">
        <v>252</v>
      </c>
      <c r="D4835" s="318"/>
      <c r="E4835" s="116">
        <f>I4829*104</f>
        <v>208</v>
      </c>
      <c r="F4835" s="83">
        <f>ROUND(E4835/I4829,1)</f>
        <v>104</v>
      </c>
      <c r="G4835" s="74" t="str">
        <f>IF(C4835=0,0,VLOOKUP(C4835,Tabla1[],2,FALSE))</f>
        <v>ml</v>
      </c>
      <c r="I4835" s="117">
        <f>IF(C4835=0,0,VLOOKUP(C4835,Tabla1[],3,FALSE))</f>
        <v>10</v>
      </c>
      <c r="K4835" s="84">
        <f t="shared" ref="K4835:K4839" si="738">+F4835*I4835</f>
        <v>1040</v>
      </c>
      <c r="L4835" s="118">
        <f t="shared" si="737"/>
        <v>2080</v>
      </c>
      <c r="O4835" s="44"/>
      <c r="P4835" s="46"/>
    </row>
    <row r="4836" spans="2:16" x14ac:dyDescent="0.3">
      <c r="B4836" s="122">
        <v>4</v>
      </c>
      <c r="C4836" s="319" t="s">
        <v>255</v>
      </c>
      <c r="D4836" s="318"/>
      <c r="E4836" s="116">
        <f>E4837*2</f>
        <v>20</v>
      </c>
      <c r="F4836" s="83">
        <f>ROUND(E4836/I4829,2)</f>
        <v>10</v>
      </c>
      <c r="G4836" s="74" t="str">
        <f>IF(C4836=0,0,VLOOKUP(C4836,Tabla1[],2,FALSE))</f>
        <v>Unidad</v>
      </c>
      <c r="I4836" s="117">
        <f>IF(C4836=0,0,VLOOKUP(C4836,Tabla1[],3,FALSE))</f>
        <v>5</v>
      </c>
      <c r="K4836" s="84">
        <f t="shared" si="738"/>
        <v>50</v>
      </c>
      <c r="L4836" s="118">
        <f t="shared" si="737"/>
        <v>100</v>
      </c>
      <c r="O4836" s="44"/>
      <c r="P4836" s="46"/>
    </row>
    <row r="4837" spans="2:16" x14ac:dyDescent="0.4">
      <c r="B4837" s="122">
        <v>5</v>
      </c>
      <c r="C4837" s="319" t="s">
        <v>254</v>
      </c>
      <c r="D4837" s="318"/>
      <c r="E4837" s="116">
        <f>I4829*5</f>
        <v>10</v>
      </c>
      <c r="F4837" s="83">
        <f>ROUND(E4837/I4829,2)</f>
        <v>5</v>
      </c>
      <c r="G4837" s="74" t="str">
        <f>IF(C4837=0,0,VLOOKUP(C4837,Tabla1[],2,FALSE))</f>
        <v>Unidad</v>
      </c>
      <c r="I4837" s="117">
        <f>IF(C4837=0,0,VLOOKUP(C4837,Tabla1[],3,FALSE))</f>
        <v>20</v>
      </c>
      <c r="K4837" s="84">
        <f t="shared" si="738"/>
        <v>100</v>
      </c>
      <c r="L4837" s="118">
        <f t="shared" si="737"/>
        <v>200</v>
      </c>
      <c r="O4837" s="48"/>
      <c r="P4837" s="49"/>
    </row>
    <row r="4838" spans="2:16" x14ac:dyDescent="0.4">
      <c r="B4838" s="122">
        <v>6</v>
      </c>
      <c r="C4838" s="319" t="s">
        <v>256</v>
      </c>
      <c r="D4838" s="318"/>
      <c r="E4838" s="116">
        <f>I4829</f>
        <v>2</v>
      </c>
      <c r="F4838" s="83">
        <f>ROUND(E4838/I4829,2)</f>
        <v>1</v>
      </c>
      <c r="G4838" s="74" t="str">
        <f>IF(C4838=0,0,VLOOKUP(C4838,Tabla1[],2,FALSE))</f>
        <v>Unidad</v>
      </c>
      <c r="I4838" s="117">
        <f>IF(C4838=0,0,VLOOKUP(C4838,Tabla1[],3,FALSE))</f>
        <v>10</v>
      </c>
      <c r="K4838" s="84">
        <f t="shared" si="738"/>
        <v>10</v>
      </c>
      <c r="L4838" s="118">
        <f t="shared" si="737"/>
        <v>20</v>
      </c>
      <c r="O4838" s="48"/>
      <c r="P4838" s="49"/>
    </row>
    <row r="4839" spans="2:16" x14ac:dyDescent="0.4">
      <c r="B4839" s="122">
        <v>7</v>
      </c>
      <c r="C4839" s="319" t="s">
        <v>257</v>
      </c>
      <c r="D4839" s="318"/>
      <c r="E4839" s="116">
        <f>I4829</f>
        <v>2</v>
      </c>
      <c r="F4839" s="83">
        <f>ROUND(E4839/I4829,2)</f>
        <v>1</v>
      </c>
      <c r="G4839" s="74" t="str">
        <f>IF(C4839=0,0,VLOOKUP(C4839,Tabla1[],2,FALSE))</f>
        <v>Unidad</v>
      </c>
      <c r="I4839" s="117">
        <f>IF(C4839=0,0,VLOOKUP(C4839,Tabla1[],3,FALSE))</f>
        <v>60</v>
      </c>
      <c r="K4839" s="84">
        <f t="shared" si="738"/>
        <v>60</v>
      </c>
      <c r="L4839" s="118">
        <f t="shared" si="737"/>
        <v>120</v>
      </c>
      <c r="O4839" s="48"/>
      <c r="P4839" s="49"/>
    </row>
    <row r="4840" spans="2:16" ht="17.399999999999999" thickBot="1" x14ac:dyDescent="0.45"/>
    <row r="4841" spans="2:16" ht="17.399999999999999" thickBot="1" x14ac:dyDescent="0.35">
      <c r="F4841" s="292" t="s">
        <v>9</v>
      </c>
      <c r="G4841" s="293"/>
      <c r="H4841" s="293"/>
      <c r="I4841" s="294"/>
      <c r="K4841" s="229">
        <f>+SUM(K4833:K4839)</f>
        <v>1910</v>
      </c>
      <c r="L4841" s="119">
        <f>+SUM(L4833:L4839)</f>
        <v>3820</v>
      </c>
      <c r="O4841" s="38"/>
      <c r="P4841" s="38"/>
    </row>
    <row r="4842" spans="2:16" ht="17.399999999999999" thickBot="1" x14ac:dyDescent="0.45">
      <c r="O4842" s="42"/>
      <c r="P4842" s="43"/>
    </row>
    <row r="4843" spans="2:16" ht="17.399999999999999" thickBot="1" x14ac:dyDescent="0.45">
      <c r="B4843" s="110" t="s">
        <v>10</v>
      </c>
      <c r="C4843" s="300" t="s">
        <v>11</v>
      </c>
      <c r="D4843" s="300"/>
      <c r="E4843" s="300"/>
      <c r="F4843" s="300"/>
      <c r="G4843" s="301"/>
    </row>
    <row r="4844" spans="2:16" x14ac:dyDescent="0.4">
      <c r="B4844" s="114" t="s">
        <v>6</v>
      </c>
      <c r="C4844" s="302" t="s">
        <v>1</v>
      </c>
      <c r="D4844" s="303"/>
      <c r="E4844" s="112" t="s">
        <v>193</v>
      </c>
      <c r="F4844" s="120" t="s">
        <v>2</v>
      </c>
      <c r="G4844" s="114" t="s">
        <v>3</v>
      </c>
      <c r="H4844" s="106"/>
      <c r="I4844" s="107" t="s">
        <v>7</v>
      </c>
      <c r="J4844" s="136"/>
      <c r="K4844" s="107" t="s">
        <v>8</v>
      </c>
      <c r="L4844" s="115" t="s">
        <v>194</v>
      </c>
    </row>
    <row r="4845" spans="2:16" x14ac:dyDescent="0.4">
      <c r="B4845" s="122"/>
      <c r="C4845" s="306"/>
      <c r="D4845" s="306"/>
      <c r="E4845" s="116"/>
      <c r="F4845" s="83"/>
      <c r="G4845" s="74"/>
      <c r="I4845" s="117">
        <f>IF(C4845=0,0,VLOOKUP(C4845,Tabla3[],3,FALSE))</f>
        <v>0</v>
      </c>
      <c r="K4845" s="84">
        <f>F4845*I4845</f>
        <v>0</v>
      </c>
      <c r="L4845" s="118">
        <f>E4845*I4845</f>
        <v>0</v>
      </c>
    </row>
    <row r="4846" spans="2:16" x14ac:dyDescent="0.4">
      <c r="B4846" s="74"/>
      <c r="C4846" s="309"/>
      <c r="D4846" s="310"/>
      <c r="E4846" s="121"/>
      <c r="F4846" s="72"/>
      <c r="G4846" s="74"/>
      <c r="I4846" s="117">
        <f>IF(C4846=0,0,VLOOKUP(C4846,Tabla3[],3,FALSE))</f>
        <v>0</v>
      </c>
      <c r="K4846" s="84">
        <f t="shared" ref="K4846:K4848" si="739">+F4846*I4846</f>
        <v>0</v>
      </c>
      <c r="L4846" s="118">
        <f t="shared" ref="L4846:L4848" si="740">E4846*I4846</f>
        <v>0</v>
      </c>
    </row>
    <row r="4847" spans="2:16" x14ac:dyDescent="0.4">
      <c r="B4847" s="74"/>
      <c r="C4847" s="309"/>
      <c r="D4847" s="310"/>
      <c r="E4847" s="121"/>
      <c r="F4847" s="72"/>
      <c r="G4847" s="74"/>
      <c r="I4847" s="117">
        <f>IF(C4847=0,0,VLOOKUP(C4847,Tabla3[],3,FALSE))</f>
        <v>0</v>
      </c>
      <c r="K4847" s="84">
        <f t="shared" si="739"/>
        <v>0</v>
      </c>
      <c r="L4847" s="118">
        <f t="shared" si="740"/>
        <v>0</v>
      </c>
    </row>
    <row r="4848" spans="2:16" x14ac:dyDescent="0.4">
      <c r="B4848" s="74"/>
      <c r="C4848" s="304"/>
      <c r="D4848" s="305"/>
      <c r="E4848" s="121"/>
      <c r="F4848" s="72"/>
      <c r="G4848" s="74"/>
      <c r="I4848" s="117">
        <f>IF(C4848=0,0,VLOOKUP(C4848,Tabla3[],3,FALSE))</f>
        <v>0</v>
      </c>
      <c r="K4848" s="84">
        <f t="shared" si="739"/>
        <v>0</v>
      </c>
      <c r="L4848" s="118">
        <f t="shared" si="740"/>
        <v>0</v>
      </c>
    </row>
    <row r="4849" spans="2:12" ht="17.399999999999999" thickBot="1" x14ac:dyDescent="0.45"/>
    <row r="4850" spans="2:12" ht="17.399999999999999" thickBot="1" x14ac:dyDescent="0.45">
      <c r="F4850" s="292" t="s">
        <v>12</v>
      </c>
      <c r="G4850" s="293"/>
      <c r="H4850" s="293"/>
      <c r="I4850" s="294"/>
      <c r="K4850" s="229">
        <f>+SUM(K4845:K4848)</f>
        <v>0</v>
      </c>
      <c r="L4850" s="119">
        <f>+SUM(L4845:L4848)</f>
        <v>0</v>
      </c>
    </row>
    <row r="4851" spans="2:12" ht="17.399999999999999" thickBot="1" x14ac:dyDescent="0.45"/>
    <row r="4852" spans="2:12" ht="17.399999999999999" thickBot="1" x14ac:dyDescent="0.45">
      <c r="B4852" s="110" t="s">
        <v>13</v>
      </c>
      <c r="C4852" s="300" t="s">
        <v>14</v>
      </c>
      <c r="D4852" s="300"/>
      <c r="E4852" s="300"/>
      <c r="F4852" s="300"/>
      <c r="G4852" s="301"/>
    </row>
    <row r="4853" spans="2:12" x14ac:dyDescent="0.4">
      <c r="B4853" s="114" t="s">
        <v>6</v>
      </c>
      <c r="C4853" s="302" t="s">
        <v>1</v>
      </c>
      <c r="D4853" s="303"/>
      <c r="E4853" s="112" t="s">
        <v>193</v>
      </c>
      <c r="F4853" s="120" t="s">
        <v>2</v>
      </c>
      <c r="G4853" s="114" t="s">
        <v>3</v>
      </c>
      <c r="H4853" s="106"/>
      <c r="I4853" s="107" t="s">
        <v>7</v>
      </c>
      <c r="J4853" s="136"/>
      <c r="K4853" s="107" t="s">
        <v>8</v>
      </c>
      <c r="L4853" s="115" t="s">
        <v>194</v>
      </c>
    </row>
    <row r="4854" spans="2:12" x14ac:dyDescent="0.4">
      <c r="B4854" s="122">
        <v>1</v>
      </c>
      <c r="C4854" s="306" t="s">
        <v>253</v>
      </c>
      <c r="D4854" s="306"/>
      <c r="E4854" s="116">
        <f>I4829</f>
        <v>2</v>
      </c>
      <c r="F4854" s="83">
        <f>ROUND(E4854/I4829,2)</f>
        <v>1</v>
      </c>
      <c r="G4854" s="74" t="str">
        <f>IF(C4854=0,0,VLOOKUP(C4854,Tabla2[],2,FALSE))</f>
        <v>Unidad</v>
      </c>
      <c r="I4854" s="117">
        <f>IF(C4854=0,0,VLOOKUP(C4854,Tabla2[],3,FALSE))</f>
        <v>250</v>
      </c>
      <c r="K4854" s="84">
        <f>+F4854*I4854</f>
        <v>250</v>
      </c>
      <c r="L4854" s="118">
        <f>E4854*I4854</f>
        <v>500</v>
      </c>
    </row>
    <row r="4855" spans="2:12" x14ac:dyDescent="0.4">
      <c r="B4855" s="122"/>
      <c r="C4855" s="306"/>
      <c r="D4855" s="306"/>
      <c r="E4855" s="116"/>
      <c r="F4855" s="83"/>
      <c r="G4855" s="74"/>
      <c r="I4855" s="117">
        <f>IF(C4855=0,0,VLOOKUP(C4855,Tabla2[],3,FALSE))</f>
        <v>0</v>
      </c>
      <c r="K4855" s="84">
        <f>+F4855*I4855</f>
        <v>0</v>
      </c>
      <c r="L4855" s="118">
        <f>E4855*I4855</f>
        <v>0</v>
      </c>
    </row>
    <row r="4856" spans="2:12" ht="17.399999999999999" thickBot="1" x14ac:dyDescent="0.45">
      <c r="B4856" s="123"/>
      <c r="C4856" s="307"/>
      <c r="D4856" s="308"/>
      <c r="E4856" s="124"/>
      <c r="F4856" s="125"/>
      <c r="G4856" s="74"/>
      <c r="I4856" s="117">
        <f>IF(C4856=0,0,VLOOKUP(C4856,Tabla2[],3,FALSE))</f>
        <v>0</v>
      </c>
      <c r="K4856" s="84">
        <f t="shared" ref="K4856" si="741">+F4856*I4856</f>
        <v>0</v>
      </c>
      <c r="L4856" s="118">
        <f t="shared" ref="L4856:L4857" si="742">E4856*I4856</f>
        <v>0</v>
      </c>
    </row>
    <row r="4857" spans="2:12" ht="17.399999999999999" thickBot="1" x14ac:dyDescent="0.45">
      <c r="B4857" s="297" t="s">
        <v>15</v>
      </c>
      <c r="C4857" s="298"/>
      <c r="D4857" s="298"/>
      <c r="E4857" s="298"/>
      <c r="F4857" s="298"/>
      <c r="G4857" s="299"/>
      <c r="I4857" s="84">
        <v>0</v>
      </c>
      <c r="K4857" s="84">
        <v>0</v>
      </c>
      <c r="L4857" s="118">
        <f t="shared" si="742"/>
        <v>0</v>
      </c>
    </row>
    <row r="4858" spans="2:12" ht="17.399999999999999" thickBot="1" x14ac:dyDescent="0.45"/>
    <row r="4859" spans="2:12" ht="17.399999999999999" thickBot="1" x14ac:dyDescent="0.45">
      <c r="F4859" s="292" t="s">
        <v>16</v>
      </c>
      <c r="G4859" s="293"/>
      <c r="H4859" s="293"/>
      <c r="I4859" s="294"/>
      <c r="K4859" s="229">
        <f>+SUM(K4854:K4857)</f>
        <v>250</v>
      </c>
      <c r="L4859" s="119">
        <f>+SUM(L4854:L4857)</f>
        <v>500</v>
      </c>
    </row>
    <row r="4860" spans="2:12" ht="17.399999999999999" thickBot="1" x14ac:dyDescent="0.45"/>
    <row r="4861" spans="2:12" ht="17.399999999999999" thickBot="1" x14ac:dyDescent="0.45">
      <c r="B4861" s="110" t="s">
        <v>17</v>
      </c>
      <c r="C4861" s="300" t="s">
        <v>18</v>
      </c>
      <c r="D4861" s="300"/>
      <c r="E4861" s="300"/>
      <c r="F4861" s="300"/>
      <c r="G4861" s="301"/>
    </row>
    <row r="4862" spans="2:12" x14ac:dyDescent="0.4">
      <c r="B4862" s="114" t="s">
        <v>6</v>
      </c>
      <c r="C4862" s="302" t="s">
        <v>1</v>
      </c>
      <c r="D4862" s="303"/>
      <c r="E4862" s="126"/>
      <c r="F4862" s="120" t="s">
        <v>2</v>
      </c>
      <c r="G4862" s="114" t="s">
        <v>3</v>
      </c>
      <c r="H4862" s="106"/>
      <c r="I4862" s="107" t="s">
        <v>7</v>
      </c>
      <c r="J4862" s="136"/>
      <c r="K4862" s="107" t="s">
        <v>8</v>
      </c>
      <c r="L4862" s="115" t="s">
        <v>194</v>
      </c>
    </row>
    <row r="4863" spans="2:12" x14ac:dyDescent="0.4">
      <c r="B4863" s="74"/>
      <c r="C4863" s="304"/>
      <c r="D4863" s="305"/>
      <c r="E4863" s="127"/>
      <c r="F4863" s="72"/>
      <c r="G4863" s="74"/>
      <c r="I4863" s="84">
        <v>0</v>
      </c>
      <c r="K4863" s="84">
        <f>+F4863*I4863</f>
        <v>0</v>
      </c>
      <c r="L4863" s="118">
        <f>E4863*I4863</f>
        <v>0</v>
      </c>
    </row>
    <row r="4864" spans="2:12" x14ac:dyDescent="0.4">
      <c r="B4864" s="74"/>
      <c r="C4864" s="304"/>
      <c r="D4864" s="305"/>
      <c r="E4864" s="127"/>
      <c r="F4864" s="72"/>
      <c r="G4864" s="74"/>
      <c r="I4864" s="84">
        <v>0</v>
      </c>
      <c r="K4864" s="84">
        <f t="shared" ref="K4864:K4865" si="743">+F4864*I4864</f>
        <v>0</v>
      </c>
      <c r="L4864" s="118">
        <f t="shared" ref="L4864:L4865" si="744">E4864*I4864</f>
        <v>0</v>
      </c>
    </row>
    <row r="4865" spans="2:16" x14ac:dyDescent="0.4">
      <c r="B4865" s="74"/>
      <c r="C4865" s="304"/>
      <c r="D4865" s="305"/>
      <c r="E4865" s="127"/>
      <c r="F4865" s="72"/>
      <c r="G4865" s="74"/>
      <c r="I4865" s="84">
        <v>0</v>
      </c>
      <c r="K4865" s="84">
        <f t="shared" si="743"/>
        <v>0</v>
      </c>
      <c r="L4865" s="118">
        <f t="shared" si="744"/>
        <v>0</v>
      </c>
    </row>
    <row r="4866" spans="2:16" ht="17.399999999999999" thickBot="1" x14ac:dyDescent="0.45">
      <c r="L4866" s="118"/>
    </row>
    <row r="4867" spans="2:16" ht="17.399999999999999" thickBot="1" x14ac:dyDescent="0.45">
      <c r="F4867" s="292" t="s">
        <v>19</v>
      </c>
      <c r="G4867" s="293"/>
      <c r="H4867" s="293"/>
      <c r="I4867" s="294"/>
      <c r="K4867" s="229">
        <f>+SUM(K4863:K4865)</f>
        <v>0</v>
      </c>
      <c r="L4867" s="119">
        <f>+SUM(L4862:L4865)</f>
        <v>0</v>
      </c>
    </row>
    <row r="4868" spans="2:16" ht="15" customHeight="1" x14ac:dyDescent="0.4">
      <c r="F4868" s="128"/>
      <c r="G4868" s="129"/>
      <c r="H4868" s="130"/>
      <c r="I4868" s="108"/>
      <c r="K4868" s="230"/>
    </row>
    <row r="4869" spans="2:16" ht="15" customHeight="1" thickBot="1" x14ac:dyDescent="0.45"/>
    <row r="4870" spans="2:16" ht="17.399999999999999" thickBot="1" x14ac:dyDescent="0.45">
      <c r="F4870" s="292" t="s">
        <v>20</v>
      </c>
      <c r="G4870" s="293"/>
      <c r="H4870" s="293"/>
      <c r="I4870" s="294"/>
      <c r="K4870" s="229">
        <f>(+K4841+K4850+K4859+K4867)</f>
        <v>2160</v>
      </c>
      <c r="L4870" s="119">
        <f>(+L4841+L4850+L4859+L4867)</f>
        <v>4320</v>
      </c>
      <c r="N4870" s="131"/>
      <c r="O4870" s="39"/>
      <c r="P4870" s="40"/>
    </row>
    <row r="4871" spans="2:16" ht="7.5" customHeight="1" thickBot="1" x14ac:dyDescent="0.45">
      <c r="N4871" s="131"/>
      <c r="O4871" s="41"/>
      <c r="P4871" s="40"/>
    </row>
    <row r="4872" spans="2:16" ht="17.399999999999999" thickBot="1" x14ac:dyDescent="0.45">
      <c r="F4872" s="292" t="s">
        <v>21</v>
      </c>
      <c r="G4872" s="293"/>
      <c r="H4872" s="293"/>
      <c r="I4872" s="294"/>
      <c r="K4872" s="229">
        <f>K4870*$N$2</f>
        <v>864</v>
      </c>
      <c r="L4872" s="119">
        <f>L4870*$N$2</f>
        <v>1728</v>
      </c>
    </row>
    <row r="4873" spans="2:16" ht="7.5" customHeight="1" thickBot="1" x14ac:dyDescent="0.45"/>
    <row r="4874" spans="2:16" ht="17.399999999999999" thickBot="1" x14ac:dyDescent="0.45">
      <c r="F4874" s="292" t="s">
        <v>22</v>
      </c>
      <c r="G4874" s="293"/>
      <c r="H4874" s="293"/>
      <c r="I4874" s="294"/>
      <c r="K4874" s="229">
        <f>+K4870+K4872</f>
        <v>3024</v>
      </c>
      <c r="L4874" s="119">
        <f>+L4870+L4872</f>
        <v>6048</v>
      </c>
    </row>
    <row r="4875" spans="2:16" ht="17.399999999999999" thickBot="1" x14ac:dyDescent="0.45">
      <c r="F4875" s="128"/>
      <c r="G4875" s="129"/>
      <c r="H4875" s="130"/>
      <c r="I4875" s="108"/>
      <c r="K4875" s="231"/>
      <c r="L4875" s="132">
        <f>L4874/I4829</f>
        <v>3024</v>
      </c>
      <c r="M4875" s="133">
        <f>(K4874-L4875)*I4829</f>
        <v>0</v>
      </c>
    </row>
    <row r="4876" spans="2:16" x14ac:dyDescent="0.4">
      <c r="F4876" s="128"/>
      <c r="G4876" s="129"/>
      <c r="H4876" s="130"/>
      <c r="I4876" s="108"/>
      <c r="K4876" s="232"/>
      <c r="L4876" s="131"/>
      <c r="M4876" s="134"/>
      <c r="N4876" s="135"/>
    </row>
    <row r="4877" spans="2:16" ht="17.399999999999999" thickBot="1" x14ac:dyDescent="0.45">
      <c r="B4877" s="295"/>
      <c r="C4877" s="295"/>
      <c r="D4877" s="295"/>
    </row>
    <row r="4878" spans="2:16" x14ac:dyDescent="0.4">
      <c r="B4878" s="296" t="s">
        <v>23</v>
      </c>
      <c r="C4878" s="296"/>
      <c r="D4878" s="296"/>
    </row>
    <row r="4879" spans="2:16" x14ac:dyDescent="0.4">
      <c r="B4879" s="157"/>
      <c r="C4879" s="157"/>
      <c r="D4879" s="157"/>
    </row>
    <row r="4881" spans="1:16" x14ac:dyDescent="0.4">
      <c r="B4881" s="105" t="s">
        <v>43</v>
      </c>
      <c r="C4881" s="106"/>
      <c r="D4881" s="311" t="s">
        <v>1</v>
      </c>
      <c r="E4881" s="311"/>
      <c r="F4881" s="311"/>
      <c r="G4881" s="311"/>
      <c r="H4881" s="106"/>
      <c r="I4881" s="107" t="s">
        <v>2</v>
      </c>
      <c r="J4881" s="136"/>
      <c r="K4881" s="107" t="s">
        <v>3</v>
      </c>
    </row>
    <row r="4882" spans="1:16" s="4" customFormat="1" ht="30.75" customHeight="1" x14ac:dyDescent="0.3">
      <c r="A4882" s="31"/>
      <c r="B4882" s="213">
        <f>CATALOGO!B131</f>
        <v>1109.03</v>
      </c>
      <c r="C4882" s="71"/>
      <c r="D4882" s="326" t="str">
        <f>CATALOGO!C131</f>
        <v>LÁMPARA LED TIPO LISTON 2 TUBOS (18 WATS)</v>
      </c>
      <c r="E4882" s="326"/>
      <c r="F4882" s="326"/>
      <c r="G4882" s="326"/>
      <c r="H4882" s="71"/>
      <c r="I4882" s="213">
        <f>CATALOGO!D131</f>
        <v>14</v>
      </c>
      <c r="J4882" s="109"/>
      <c r="K4882" s="227" t="str">
        <f>CATALOGO!E131</f>
        <v>Unidad</v>
      </c>
      <c r="L4882" s="71"/>
      <c r="M4882" s="71"/>
      <c r="N4882" s="71"/>
      <c r="O4882" s="37"/>
      <c r="P4882" s="37"/>
    </row>
    <row r="4883" spans="1:16" ht="17.399999999999999" thickBot="1" x14ac:dyDescent="0.45"/>
    <row r="4884" spans="1:16" ht="17.399999999999999" thickBot="1" x14ac:dyDescent="0.45">
      <c r="B4884" s="110" t="s">
        <v>4</v>
      </c>
      <c r="C4884" s="300" t="s">
        <v>5</v>
      </c>
      <c r="D4884" s="300"/>
      <c r="E4884" s="300"/>
      <c r="F4884" s="300"/>
      <c r="G4884" s="301"/>
    </row>
    <row r="4885" spans="1:16" x14ac:dyDescent="0.3">
      <c r="B4885" s="111" t="s">
        <v>6</v>
      </c>
      <c r="C4885" s="313" t="s">
        <v>1</v>
      </c>
      <c r="D4885" s="314"/>
      <c r="E4885" s="112" t="s">
        <v>193</v>
      </c>
      <c r="F4885" s="113" t="s">
        <v>2</v>
      </c>
      <c r="G4885" s="114" t="s">
        <v>3</v>
      </c>
      <c r="H4885" s="106"/>
      <c r="I4885" s="107" t="s">
        <v>7</v>
      </c>
      <c r="J4885" s="136"/>
      <c r="K4885" s="228" t="s">
        <v>8</v>
      </c>
      <c r="L4885" s="115" t="s">
        <v>194</v>
      </c>
      <c r="O4885" s="323"/>
      <c r="P4885" s="323"/>
    </row>
    <row r="4886" spans="1:16" ht="17.25" customHeight="1" x14ac:dyDescent="0.3">
      <c r="B4886" s="122">
        <v>1</v>
      </c>
      <c r="C4886" s="315" t="s">
        <v>258</v>
      </c>
      <c r="D4886" s="316"/>
      <c r="E4886" s="116">
        <f>I4882</f>
        <v>14</v>
      </c>
      <c r="F4886" s="83">
        <f>ROUND(E4886/I4882,2)</f>
        <v>1</v>
      </c>
      <c r="G4886" s="74" t="str">
        <f>IF(C4886=0,0,VLOOKUP(C4886,Tabla1[],2,FALSE))</f>
        <v>Unidad</v>
      </c>
      <c r="I4886" s="117">
        <f>IF(C4886=0,0,VLOOKUP(C4886,Tabla1[],3,FALSE))</f>
        <v>75</v>
      </c>
      <c r="K4886" s="84">
        <f>F4886*I4886</f>
        <v>75</v>
      </c>
      <c r="L4886" s="118">
        <f t="shared" ref="L4886:L4891" si="745">E4886*I4886</f>
        <v>1050</v>
      </c>
      <c r="O4886" s="44"/>
      <c r="P4886" s="45"/>
    </row>
    <row r="4887" spans="1:16" ht="17.25" customHeight="1" x14ac:dyDescent="0.3">
      <c r="B4887" s="122">
        <v>2</v>
      </c>
      <c r="C4887" s="315" t="s">
        <v>259</v>
      </c>
      <c r="D4887" s="316"/>
      <c r="E4887" s="116">
        <f>E4886*2</f>
        <v>28</v>
      </c>
      <c r="F4887" s="83">
        <f>ROUND(E4887/I4882,2)</f>
        <v>2</v>
      </c>
      <c r="G4887" s="74" t="str">
        <f>IF(C4887=0,0,VLOOKUP(C4887,Tabla1[],2,FALSE))</f>
        <v>Unidad</v>
      </c>
      <c r="I4887" s="117">
        <f>IF(C4887=0,0,VLOOKUP(C4887,Tabla1[],3,FALSE))</f>
        <v>40</v>
      </c>
      <c r="K4887" s="84">
        <f>F4887*I4887</f>
        <v>80</v>
      </c>
      <c r="L4887" s="118">
        <f t="shared" si="745"/>
        <v>1120</v>
      </c>
      <c r="O4887" s="44"/>
      <c r="P4887" s="45"/>
    </row>
    <row r="4888" spans="1:16" x14ac:dyDescent="0.3">
      <c r="B4888" s="122">
        <v>3</v>
      </c>
      <c r="C4888" s="319" t="s">
        <v>250</v>
      </c>
      <c r="D4888" s="318"/>
      <c r="E4888" s="116">
        <f>I4882*45</f>
        <v>630</v>
      </c>
      <c r="F4888" s="83">
        <f>ROUND(E4888/I4882,1)</f>
        <v>45</v>
      </c>
      <c r="G4888" s="74" t="str">
        <f>IF(C4888=0,0,VLOOKUP(C4888,Tabla1[],2,FALSE))</f>
        <v>ml</v>
      </c>
      <c r="I4888" s="117">
        <f>IF(C4888=0,0,VLOOKUP(C4888,Tabla1[],3,FALSE))</f>
        <v>5</v>
      </c>
      <c r="K4888" s="84">
        <f t="shared" ref="K4888:K4891" si="746">+F4888*I4888</f>
        <v>225</v>
      </c>
      <c r="L4888" s="118">
        <f t="shared" si="745"/>
        <v>3150</v>
      </c>
      <c r="O4888" s="44"/>
      <c r="P4888" s="46"/>
    </row>
    <row r="4889" spans="1:16" x14ac:dyDescent="0.3">
      <c r="B4889" s="122">
        <v>4</v>
      </c>
      <c r="C4889" s="319" t="s">
        <v>255</v>
      </c>
      <c r="D4889" s="318"/>
      <c r="E4889" s="116">
        <f>I4882</f>
        <v>14</v>
      </c>
      <c r="F4889" s="83">
        <f>ROUND(E4889/I4882,1)</f>
        <v>1</v>
      </c>
      <c r="G4889" s="74" t="str">
        <f>IF(C4889=0,0,VLOOKUP(C4889,Tabla1[],2,FALSE))</f>
        <v>Unidad</v>
      </c>
      <c r="I4889" s="117">
        <f>IF(C4889=0,0,VLOOKUP(C4889,Tabla1[],3,FALSE))</f>
        <v>5</v>
      </c>
      <c r="K4889" s="84">
        <f t="shared" si="746"/>
        <v>5</v>
      </c>
      <c r="L4889" s="118">
        <f t="shared" si="745"/>
        <v>70</v>
      </c>
      <c r="O4889" s="44"/>
      <c r="P4889" s="46"/>
    </row>
    <row r="4890" spans="1:16" x14ac:dyDescent="0.4">
      <c r="B4890" s="122">
        <v>5</v>
      </c>
      <c r="C4890" s="319" t="s">
        <v>254</v>
      </c>
      <c r="D4890" s="318"/>
      <c r="E4890" s="116">
        <f>I4882*2.5</f>
        <v>35</v>
      </c>
      <c r="F4890" s="83">
        <f>ROUND(E4890/I4882,2)</f>
        <v>2.5</v>
      </c>
      <c r="G4890" s="74" t="str">
        <f>IF(C4890=0,0,VLOOKUP(C4890,Tabla1[],2,FALSE))</f>
        <v>Unidad</v>
      </c>
      <c r="I4890" s="117">
        <f>IF(C4890=0,0,VLOOKUP(C4890,Tabla1[],3,FALSE))</f>
        <v>20</v>
      </c>
      <c r="K4890" s="84">
        <f t="shared" si="746"/>
        <v>50</v>
      </c>
      <c r="L4890" s="118">
        <f t="shared" si="745"/>
        <v>700</v>
      </c>
      <c r="O4890" s="48"/>
      <c r="P4890" s="49"/>
    </row>
    <row r="4891" spans="1:16" x14ac:dyDescent="0.4">
      <c r="B4891" s="122">
        <v>6</v>
      </c>
      <c r="C4891" s="319" t="s">
        <v>260</v>
      </c>
      <c r="D4891" s="318"/>
      <c r="E4891" s="116">
        <f>I4882*6</f>
        <v>84</v>
      </c>
      <c r="F4891" s="83">
        <f>ROUND(E4891/I4882,2)</f>
        <v>6</v>
      </c>
      <c r="G4891" s="74" t="str">
        <f>IF(C4891=0,0,VLOOKUP(C4891,Tabla1[],2,FALSE))</f>
        <v>Unidad</v>
      </c>
      <c r="I4891" s="117">
        <f>IF(C4891=0,0,VLOOKUP(C4891,Tabla1[],3,FALSE))</f>
        <v>5</v>
      </c>
      <c r="K4891" s="84">
        <f t="shared" si="746"/>
        <v>30</v>
      </c>
      <c r="L4891" s="118">
        <f t="shared" si="745"/>
        <v>420</v>
      </c>
      <c r="O4891" s="48"/>
      <c r="P4891" s="49"/>
    </row>
    <row r="4892" spans="1:16" ht="17.399999999999999" thickBot="1" x14ac:dyDescent="0.45"/>
    <row r="4893" spans="1:16" ht="17.399999999999999" thickBot="1" x14ac:dyDescent="0.35">
      <c r="F4893" s="292" t="s">
        <v>9</v>
      </c>
      <c r="G4893" s="293"/>
      <c r="H4893" s="293"/>
      <c r="I4893" s="294"/>
      <c r="K4893" s="229">
        <f>+SUM(K4886:K4891)</f>
        <v>465</v>
      </c>
      <c r="L4893" s="119">
        <f>+SUM(L4886:L4891)</f>
        <v>6510</v>
      </c>
      <c r="O4893" s="38"/>
      <c r="P4893" s="38"/>
    </row>
    <row r="4894" spans="1:16" ht="17.399999999999999" thickBot="1" x14ac:dyDescent="0.45">
      <c r="O4894" s="42"/>
      <c r="P4894" s="43"/>
    </row>
    <row r="4895" spans="1:16" ht="17.399999999999999" thickBot="1" x14ac:dyDescent="0.45">
      <c r="B4895" s="110" t="s">
        <v>10</v>
      </c>
      <c r="C4895" s="300" t="s">
        <v>11</v>
      </c>
      <c r="D4895" s="300"/>
      <c r="E4895" s="300"/>
      <c r="F4895" s="300"/>
      <c r="G4895" s="301"/>
    </row>
    <row r="4896" spans="1:16" x14ac:dyDescent="0.4">
      <c r="B4896" s="114" t="s">
        <v>6</v>
      </c>
      <c r="C4896" s="302" t="s">
        <v>1</v>
      </c>
      <c r="D4896" s="303"/>
      <c r="E4896" s="112" t="s">
        <v>193</v>
      </c>
      <c r="F4896" s="120" t="s">
        <v>2</v>
      </c>
      <c r="G4896" s="114" t="s">
        <v>3</v>
      </c>
      <c r="H4896" s="106"/>
      <c r="I4896" s="107" t="s">
        <v>7</v>
      </c>
      <c r="J4896" s="136"/>
      <c r="K4896" s="107" t="s">
        <v>8</v>
      </c>
      <c r="L4896" s="115" t="s">
        <v>194</v>
      </c>
    </row>
    <row r="4897" spans="2:12" x14ac:dyDescent="0.4">
      <c r="B4897" s="122"/>
      <c r="C4897" s="306"/>
      <c r="D4897" s="306"/>
      <c r="E4897" s="116"/>
      <c r="F4897" s="83"/>
      <c r="G4897" s="74"/>
      <c r="I4897" s="117">
        <f>IF(C4897=0,0,VLOOKUP(C4897,Tabla3[],3,FALSE))</f>
        <v>0</v>
      </c>
      <c r="K4897" s="84">
        <f>F4897*I4897</f>
        <v>0</v>
      </c>
      <c r="L4897" s="118">
        <f>E4897*I4897</f>
        <v>0</v>
      </c>
    </row>
    <row r="4898" spans="2:12" x14ac:dyDescent="0.4">
      <c r="B4898" s="74"/>
      <c r="C4898" s="309"/>
      <c r="D4898" s="310"/>
      <c r="E4898" s="121"/>
      <c r="F4898" s="72"/>
      <c r="G4898" s="74"/>
      <c r="I4898" s="117">
        <f>IF(C4898=0,0,VLOOKUP(C4898,Tabla3[],3,FALSE))</f>
        <v>0</v>
      </c>
      <c r="K4898" s="84">
        <f t="shared" ref="K4898:K4900" si="747">+F4898*I4898</f>
        <v>0</v>
      </c>
      <c r="L4898" s="118">
        <f t="shared" ref="L4898:L4900" si="748">E4898*I4898</f>
        <v>0</v>
      </c>
    </row>
    <row r="4899" spans="2:12" x14ac:dyDescent="0.4">
      <c r="B4899" s="74"/>
      <c r="C4899" s="309"/>
      <c r="D4899" s="310"/>
      <c r="E4899" s="121"/>
      <c r="F4899" s="72"/>
      <c r="G4899" s="74"/>
      <c r="I4899" s="117">
        <f>IF(C4899=0,0,VLOOKUP(C4899,Tabla3[],3,FALSE))</f>
        <v>0</v>
      </c>
      <c r="K4899" s="84">
        <f t="shared" si="747"/>
        <v>0</v>
      </c>
      <c r="L4899" s="118">
        <f t="shared" si="748"/>
        <v>0</v>
      </c>
    </row>
    <row r="4900" spans="2:12" x14ac:dyDescent="0.4">
      <c r="B4900" s="74"/>
      <c r="C4900" s="304"/>
      <c r="D4900" s="305"/>
      <c r="E4900" s="121"/>
      <c r="F4900" s="72"/>
      <c r="G4900" s="74"/>
      <c r="I4900" s="117">
        <f>IF(C4900=0,0,VLOOKUP(C4900,Tabla3[],3,FALSE))</f>
        <v>0</v>
      </c>
      <c r="K4900" s="84">
        <f t="shared" si="747"/>
        <v>0</v>
      </c>
      <c r="L4900" s="118">
        <f t="shared" si="748"/>
        <v>0</v>
      </c>
    </row>
    <row r="4901" spans="2:12" ht="17.399999999999999" thickBot="1" x14ac:dyDescent="0.45"/>
    <row r="4902" spans="2:12" ht="17.399999999999999" thickBot="1" x14ac:dyDescent="0.45">
      <c r="F4902" s="292" t="s">
        <v>12</v>
      </c>
      <c r="G4902" s="293"/>
      <c r="H4902" s="293"/>
      <c r="I4902" s="294"/>
      <c r="K4902" s="229">
        <f>+SUM(K4897:K4900)</f>
        <v>0</v>
      </c>
      <c r="L4902" s="119">
        <f>+SUM(L4897:L4900)</f>
        <v>0</v>
      </c>
    </row>
    <row r="4903" spans="2:12" ht="17.399999999999999" thickBot="1" x14ac:dyDescent="0.45"/>
    <row r="4904" spans="2:12" ht="17.399999999999999" thickBot="1" x14ac:dyDescent="0.45">
      <c r="B4904" s="110" t="s">
        <v>13</v>
      </c>
      <c r="C4904" s="300" t="s">
        <v>14</v>
      </c>
      <c r="D4904" s="300"/>
      <c r="E4904" s="300"/>
      <c r="F4904" s="300"/>
      <c r="G4904" s="301"/>
    </row>
    <row r="4905" spans="2:12" x14ac:dyDescent="0.4">
      <c r="B4905" s="114" t="s">
        <v>6</v>
      </c>
      <c r="C4905" s="302" t="s">
        <v>1</v>
      </c>
      <c r="D4905" s="303"/>
      <c r="E4905" s="112" t="s">
        <v>193</v>
      </c>
      <c r="F4905" s="120" t="s">
        <v>2</v>
      </c>
      <c r="G4905" s="114" t="s">
        <v>3</v>
      </c>
      <c r="H4905" s="106"/>
      <c r="I4905" s="107" t="s">
        <v>7</v>
      </c>
      <c r="J4905" s="136"/>
      <c r="K4905" s="107" t="s">
        <v>8</v>
      </c>
      <c r="L4905" s="115" t="s">
        <v>194</v>
      </c>
    </row>
    <row r="4906" spans="2:12" x14ac:dyDescent="0.4">
      <c r="B4906" s="122">
        <v>1</v>
      </c>
      <c r="C4906" s="306" t="s">
        <v>86</v>
      </c>
      <c r="D4906" s="306"/>
      <c r="E4906" s="116">
        <f>I4882</f>
        <v>14</v>
      </c>
      <c r="F4906" s="83">
        <f>ROUND(E4906/I4882,2)</f>
        <v>1</v>
      </c>
      <c r="G4906" s="74" t="str">
        <f>IF(C4906=0,0,VLOOKUP(C4906,Tabla2[],2,FALSE))</f>
        <v>Unidad</v>
      </c>
      <c r="I4906" s="117">
        <f>IF(C4906=0,0,VLOOKUP(C4906,Tabla2[],3,FALSE))</f>
        <v>120</v>
      </c>
      <c r="K4906" s="84">
        <f>+F4906*I4906</f>
        <v>120</v>
      </c>
      <c r="L4906" s="118">
        <f>E4906*I4906</f>
        <v>1680</v>
      </c>
    </row>
    <row r="4907" spans="2:12" x14ac:dyDescent="0.4">
      <c r="B4907" s="122"/>
      <c r="C4907" s="306"/>
      <c r="D4907" s="306"/>
      <c r="E4907" s="116"/>
      <c r="F4907" s="83"/>
      <c r="G4907" s="74"/>
      <c r="I4907" s="117">
        <f>IF(C4907=0,0,VLOOKUP(C4907,Tabla2[],3,FALSE))</f>
        <v>0</v>
      </c>
      <c r="K4907" s="84">
        <f>+F4907*I4907</f>
        <v>0</v>
      </c>
      <c r="L4907" s="118">
        <f>E4907*I4907</f>
        <v>0</v>
      </c>
    </row>
    <row r="4908" spans="2:12" ht="17.399999999999999" thickBot="1" x14ac:dyDescent="0.45">
      <c r="B4908" s="123"/>
      <c r="C4908" s="307"/>
      <c r="D4908" s="308"/>
      <c r="E4908" s="124"/>
      <c r="F4908" s="125"/>
      <c r="G4908" s="74"/>
      <c r="I4908" s="117">
        <f>IF(C4908=0,0,VLOOKUP(C4908,Tabla2[],3,FALSE))</f>
        <v>0</v>
      </c>
      <c r="K4908" s="84">
        <f t="shared" ref="K4908" si="749">+F4908*I4908</f>
        <v>0</v>
      </c>
      <c r="L4908" s="118">
        <f t="shared" ref="L4908:L4909" si="750">E4908*I4908</f>
        <v>0</v>
      </c>
    </row>
    <row r="4909" spans="2:12" ht="17.399999999999999" thickBot="1" x14ac:dyDescent="0.45">
      <c r="B4909" s="297" t="s">
        <v>15</v>
      </c>
      <c r="C4909" s="298"/>
      <c r="D4909" s="298"/>
      <c r="E4909" s="298"/>
      <c r="F4909" s="298"/>
      <c r="G4909" s="299"/>
      <c r="I4909" s="84">
        <v>0</v>
      </c>
      <c r="K4909" s="84">
        <v>0</v>
      </c>
      <c r="L4909" s="118">
        <f t="shared" si="750"/>
        <v>0</v>
      </c>
    </row>
    <row r="4910" spans="2:12" ht="17.399999999999999" thickBot="1" x14ac:dyDescent="0.45"/>
    <row r="4911" spans="2:12" ht="17.399999999999999" thickBot="1" x14ac:dyDescent="0.45">
      <c r="F4911" s="292" t="s">
        <v>16</v>
      </c>
      <c r="G4911" s="293"/>
      <c r="H4911" s="293"/>
      <c r="I4911" s="294"/>
      <c r="K4911" s="229">
        <f>+SUM(K4906:K4909)</f>
        <v>120</v>
      </c>
      <c r="L4911" s="119">
        <f>+SUM(L4906:L4909)</f>
        <v>1680</v>
      </c>
    </row>
    <row r="4912" spans="2:12" ht="17.399999999999999" thickBot="1" x14ac:dyDescent="0.45"/>
    <row r="4913" spans="2:16" ht="17.399999999999999" thickBot="1" x14ac:dyDescent="0.45">
      <c r="B4913" s="110" t="s">
        <v>17</v>
      </c>
      <c r="C4913" s="300" t="s">
        <v>18</v>
      </c>
      <c r="D4913" s="300"/>
      <c r="E4913" s="300"/>
      <c r="F4913" s="300"/>
      <c r="G4913" s="301"/>
    </row>
    <row r="4914" spans="2:16" x14ac:dyDescent="0.4">
      <c r="B4914" s="114" t="s">
        <v>6</v>
      </c>
      <c r="C4914" s="302" t="s">
        <v>1</v>
      </c>
      <c r="D4914" s="303"/>
      <c r="E4914" s="126"/>
      <c r="F4914" s="120" t="s">
        <v>2</v>
      </c>
      <c r="G4914" s="114" t="s">
        <v>3</v>
      </c>
      <c r="H4914" s="106"/>
      <c r="I4914" s="107" t="s">
        <v>7</v>
      </c>
      <c r="J4914" s="136"/>
      <c r="K4914" s="107" t="s">
        <v>8</v>
      </c>
      <c r="L4914" s="115" t="s">
        <v>194</v>
      </c>
    </row>
    <row r="4915" spans="2:16" x14ac:dyDescent="0.4">
      <c r="B4915" s="74"/>
      <c r="C4915" s="304"/>
      <c r="D4915" s="305"/>
      <c r="E4915" s="127"/>
      <c r="F4915" s="72"/>
      <c r="G4915" s="74"/>
      <c r="I4915" s="84">
        <v>0</v>
      </c>
      <c r="K4915" s="84">
        <f>+F4915*I4915</f>
        <v>0</v>
      </c>
      <c r="L4915" s="118">
        <f>E4915*I4915</f>
        <v>0</v>
      </c>
    </row>
    <row r="4916" spans="2:16" x14ac:dyDescent="0.4">
      <c r="B4916" s="74"/>
      <c r="C4916" s="304"/>
      <c r="D4916" s="305"/>
      <c r="E4916" s="127"/>
      <c r="F4916" s="72"/>
      <c r="G4916" s="74"/>
      <c r="I4916" s="84">
        <v>0</v>
      </c>
      <c r="K4916" s="84">
        <f t="shared" ref="K4916:K4917" si="751">+F4916*I4916</f>
        <v>0</v>
      </c>
      <c r="L4916" s="118">
        <f t="shared" ref="L4916:L4917" si="752">E4916*I4916</f>
        <v>0</v>
      </c>
    </row>
    <row r="4917" spans="2:16" x14ac:dyDescent="0.4">
      <c r="B4917" s="74"/>
      <c r="C4917" s="304"/>
      <c r="D4917" s="305"/>
      <c r="E4917" s="127"/>
      <c r="F4917" s="72"/>
      <c r="G4917" s="74"/>
      <c r="I4917" s="84">
        <v>0</v>
      </c>
      <c r="K4917" s="84">
        <f t="shared" si="751"/>
        <v>0</v>
      </c>
      <c r="L4917" s="118">
        <f t="shared" si="752"/>
        <v>0</v>
      </c>
    </row>
    <row r="4918" spans="2:16" ht="17.399999999999999" thickBot="1" x14ac:dyDescent="0.45">
      <c r="L4918" s="118"/>
    </row>
    <row r="4919" spans="2:16" ht="17.399999999999999" thickBot="1" x14ac:dyDescent="0.45">
      <c r="F4919" s="292" t="s">
        <v>19</v>
      </c>
      <c r="G4919" s="293"/>
      <c r="H4919" s="293"/>
      <c r="I4919" s="294"/>
      <c r="K4919" s="229">
        <f>+SUM(K4915:K4917)</f>
        <v>0</v>
      </c>
      <c r="L4919" s="119">
        <f>+SUM(L4914:L4917)</f>
        <v>0</v>
      </c>
    </row>
    <row r="4920" spans="2:16" ht="15" customHeight="1" x14ac:dyDescent="0.4">
      <c r="F4920" s="128"/>
      <c r="G4920" s="129"/>
      <c r="H4920" s="130"/>
      <c r="I4920" s="108"/>
      <c r="K4920" s="230"/>
    </row>
    <row r="4921" spans="2:16" ht="15" customHeight="1" thickBot="1" x14ac:dyDescent="0.45"/>
    <row r="4922" spans="2:16" ht="17.399999999999999" thickBot="1" x14ac:dyDescent="0.45">
      <c r="F4922" s="292" t="s">
        <v>20</v>
      </c>
      <c r="G4922" s="293"/>
      <c r="H4922" s="293"/>
      <c r="I4922" s="294"/>
      <c r="K4922" s="229">
        <f>(+K4893+K4902+K4911+K4919)</f>
        <v>585</v>
      </c>
      <c r="L4922" s="119">
        <f>(+L4893+L4902+L4911+L4919)</f>
        <v>8190</v>
      </c>
      <c r="N4922" s="131"/>
      <c r="O4922" s="39"/>
      <c r="P4922" s="40"/>
    </row>
    <row r="4923" spans="2:16" ht="7.5" customHeight="1" thickBot="1" x14ac:dyDescent="0.45">
      <c r="N4923" s="131"/>
      <c r="O4923" s="41"/>
      <c r="P4923" s="40"/>
    </row>
    <row r="4924" spans="2:16" ht="17.399999999999999" thickBot="1" x14ac:dyDescent="0.45">
      <c r="F4924" s="292" t="s">
        <v>21</v>
      </c>
      <c r="G4924" s="293"/>
      <c r="H4924" s="293"/>
      <c r="I4924" s="294"/>
      <c r="K4924" s="229">
        <f>K4922*$N$2</f>
        <v>234</v>
      </c>
      <c r="L4924" s="119">
        <f>L4922*$N$2</f>
        <v>3276</v>
      </c>
    </row>
    <row r="4925" spans="2:16" ht="7.5" customHeight="1" thickBot="1" x14ac:dyDescent="0.45"/>
    <row r="4926" spans="2:16" ht="17.399999999999999" thickBot="1" x14ac:dyDescent="0.45">
      <c r="F4926" s="292" t="s">
        <v>22</v>
      </c>
      <c r="G4926" s="293"/>
      <c r="H4926" s="293"/>
      <c r="I4926" s="294"/>
      <c r="K4926" s="229">
        <f>+K4922+K4924</f>
        <v>819</v>
      </c>
      <c r="L4926" s="119">
        <f>+L4922+L4924</f>
        <v>11466</v>
      </c>
    </row>
    <row r="4927" spans="2:16" ht="17.399999999999999" thickBot="1" x14ac:dyDescent="0.45">
      <c r="F4927" s="128"/>
      <c r="G4927" s="129"/>
      <c r="H4927" s="130"/>
      <c r="I4927" s="108"/>
      <c r="K4927" s="231"/>
      <c r="L4927" s="132">
        <f>L4926/I4882</f>
        <v>819</v>
      </c>
      <c r="M4927" s="133">
        <f>(K4926-L4927)*I4882</f>
        <v>0</v>
      </c>
    </row>
    <row r="4928" spans="2:16" x14ac:dyDescent="0.4">
      <c r="F4928" s="128"/>
      <c r="G4928" s="129"/>
      <c r="H4928" s="130"/>
      <c r="I4928" s="108"/>
      <c r="K4928" s="232"/>
      <c r="L4928" s="131"/>
      <c r="M4928" s="134"/>
      <c r="N4928" s="135"/>
    </row>
    <row r="4929" spans="1:16" ht="17.399999999999999" thickBot="1" x14ac:dyDescent="0.45">
      <c r="B4929" s="295"/>
      <c r="C4929" s="295"/>
      <c r="D4929" s="295"/>
    </row>
    <row r="4930" spans="1:16" x14ac:dyDescent="0.4">
      <c r="B4930" s="296" t="s">
        <v>23</v>
      </c>
      <c r="C4930" s="296"/>
      <c r="D4930" s="296"/>
    </row>
    <row r="4931" spans="1:16" x14ac:dyDescent="0.4">
      <c r="B4931" s="157"/>
      <c r="C4931" s="157"/>
      <c r="D4931" s="157"/>
    </row>
    <row r="4933" spans="1:16" x14ac:dyDescent="0.4">
      <c r="B4933" s="105" t="s">
        <v>43</v>
      </c>
      <c r="C4933" s="106"/>
      <c r="D4933" s="311" t="s">
        <v>1</v>
      </c>
      <c r="E4933" s="311"/>
      <c r="F4933" s="311"/>
      <c r="G4933" s="311"/>
      <c r="H4933" s="106"/>
      <c r="I4933" s="107" t="s">
        <v>2</v>
      </c>
      <c r="J4933" s="136"/>
      <c r="K4933" s="107" t="s">
        <v>3</v>
      </c>
    </row>
    <row r="4934" spans="1:16" s="4" customFormat="1" ht="30.75" customHeight="1" x14ac:dyDescent="0.3">
      <c r="A4934" s="31"/>
      <c r="B4934" s="213">
        <f>CATALOGO!B132</f>
        <v>1112.01</v>
      </c>
      <c r="C4934" s="71"/>
      <c r="D4934" s="324" t="str">
        <f>CATALOGO!C132</f>
        <v>TOMACORRIENTE DOBLE 120V</v>
      </c>
      <c r="E4934" s="324"/>
      <c r="F4934" s="324"/>
      <c r="G4934" s="324"/>
      <c r="H4934" s="71"/>
      <c r="I4934" s="213">
        <f>CATALOGO!D132</f>
        <v>2</v>
      </c>
      <c r="J4934" s="109"/>
      <c r="K4934" s="227" t="str">
        <f>CATALOGO!E132</f>
        <v>Unidad</v>
      </c>
      <c r="L4934" s="71"/>
      <c r="M4934" s="71"/>
      <c r="N4934" s="104"/>
      <c r="O4934" s="37"/>
      <c r="P4934" s="37"/>
    </row>
    <row r="4935" spans="1:16" ht="17.399999999999999" thickBot="1" x14ac:dyDescent="0.45"/>
    <row r="4936" spans="1:16" ht="17.399999999999999" thickBot="1" x14ac:dyDescent="0.45">
      <c r="B4936" s="110" t="s">
        <v>4</v>
      </c>
      <c r="C4936" s="300" t="s">
        <v>5</v>
      </c>
      <c r="D4936" s="300"/>
      <c r="E4936" s="300"/>
      <c r="F4936" s="300"/>
      <c r="G4936" s="301"/>
    </row>
    <row r="4937" spans="1:16" x14ac:dyDescent="0.3">
      <c r="B4937" s="111" t="s">
        <v>6</v>
      </c>
      <c r="C4937" s="313" t="s">
        <v>1</v>
      </c>
      <c r="D4937" s="314"/>
      <c r="E4937" s="112" t="s">
        <v>193</v>
      </c>
      <c r="F4937" s="113" t="s">
        <v>2</v>
      </c>
      <c r="G4937" s="114" t="s">
        <v>3</v>
      </c>
      <c r="H4937" s="106"/>
      <c r="I4937" s="107" t="s">
        <v>7</v>
      </c>
      <c r="J4937" s="136"/>
      <c r="K4937" s="228" t="s">
        <v>8</v>
      </c>
      <c r="L4937" s="115" t="s">
        <v>194</v>
      </c>
      <c r="O4937" s="323"/>
      <c r="P4937" s="323"/>
    </row>
    <row r="4938" spans="1:16" x14ac:dyDescent="0.3">
      <c r="B4938" s="122">
        <v>1</v>
      </c>
      <c r="C4938" s="315" t="s">
        <v>266</v>
      </c>
      <c r="D4938" s="316"/>
      <c r="E4938" s="116">
        <f>I4934</f>
        <v>2</v>
      </c>
      <c r="F4938" s="83">
        <f>ROUND(E4938/I4934,2)</f>
        <v>1</v>
      </c>
      <c r="G4938" s="74" t="str">
        <f>IF(C4938=0,0,VLOOKUP(C4938,Tabla1[],2,FALSE))</f>
        <v>Unidad</v>
      </c>
      <c r="I4938" s="117">
        <f>IF(C4938=0,0,VLOOKUP(C4938,Tabla1[],3,FALSE))</f>
        <v>40</v>
      </c>
      <c r="K4938" s="84">
        <f>F4938*I4938</f>
        <v>40</v>
      </c>
      <c r="L4938" s="118">
        <f t="shared" ref="L4938:L4941" si="753">E4938*I4938</f>
        <v>80</v>
      </c>
      <c r="O4938" s="44"/>
      <c r="P4938" s="45"/>
    </row>
    <row r="4939" spans="1:16" x14ac:dyDescent="0.3">
      <c r="B4939" s="122">
        <v>2</v>
      </c>
      <c r="C4939" s="315" t="s">
        <v>87</v>
      </c>
      <c r="D4939" s="316"/>
      <c r="E4939" s="116">
        <f>I4934</f>
        <v>2</v>
      </c>
      <c r="F4939" s="83">
        <f>ROUND(E4939/I4934,2)</f>
        <v>1</v>
      </c>
      <c r="G4939" s="74" t="str">
        <f>IF(C4939=0,0,VLOOKUP(C4939,Tabla1[],2,FALSE))</f>
        <v>Unidad</v>
      </c>
      <c r="I4939" s="117">
        <f>IF(C4939=0,0,VLOOKUP(C4939,Tabla1[],3,FALSE))</f>
        <v>10</v>
      </c>
      <c r="K4939" s="84">
        <f>F4939*I4939</f>
        <v>10</v>
      </c>
      <c r="L4939" s="118">
        <f t="shared" si="753"/>
        <v>20</v>
      </c>
      <c r="O4939" s="44"/>
      <c r="P4939" s="45"/>
    </row>
    <row r="4940" spans="1:16" x14ac:dyDescent="0.3">
      <c r="B4940" s="122">
        <v>3</v>
      </c>
      <c r="C4940" s="317" t="s">
        <v>270</v>
      </c>
      <c r="D4940" s="318"/>
      <c r="E4940" s="116">
        <f>I4934</f>
        <v>2</v>
      </c>
      <c r="F4940" s="83">
        <f>ROUND(E4940/I4934,1)</f>
        <v>1</v>
      </c>
      <c r="G4940" s="74" t="str">
        <f>IF(C4940=0,0,VLOOKUP(C4940,Tabla1[],2,FALSE))</f>
        <v>Unidad</v>
      </c>
      <c r="I4940" s="117">
        <f>IF(C4940=0,0,VLOOKUP(C4940,Tabla1[],3,FALSE))</f>
        <v>40</v>
      </c>
      <c r="K4940" s="84">
        <f t="shared" ref="K4940:K4941" si="754">+F4940*I4940</f>
        <v>40</v>
      </c>
      <c r="L4940" s="118">
        <f t="shared" si="753"/>
        <v>80</v>
      </c>
      <c r="O4940" s="44"/>
      <c r="P4940" s="46"/>
    </row>
    <row r="4941" spans="1:16" x14ac:dyDescent="0.4">
      <c r="B4941" s="122"/>
      <c r="C4941" s="317"/>
      <c r="D4941" s="318"/>
      <c r="E4941" s="116"/>
      <c r="F4941" s="83"/>
      <c r="G4941" s="74"/>
      <c r="I4941" s="117">
        <f>IF(C4941=0,0,VLOOKUP(C4941,Tabla1[],3,FALSE))</f>
        <v>0</v>
      </c>
      <c r="K4941" s="84">
        <f t="shared" si="754"/>
        <v>0</v>
      </c>
      <c r="L4941" s="118">
        <f t="shared" si="753"/>
        <v>0</v>
      </c>
      <c r="P4941" s="45"/>
    </row>
    <row r="4942" spans="1:16" ht="17.399999999999999" thickBot="1" x14ac:dyDescent="0.45"/>
    <row r="4943" spans="1:16" ht="17.399999999999999" thickBot="1" x14ac:dyDescent="0.35">
      <c r="F4943" s="292" t="s">
        <v>9</v>
      </c>
      <c r="G4943" s="293"/>
      <c r="H4943" s="293"/>
      <c r="I4943" s="294"/>
      <c r="K4943" s="229">
        <f>+SUM(K4938:K4941)</f>
        <v>90</v>
      </c>
      <c r="L4943" s="119">
        <f>+SUM(L4938:L4941)</f>
        <v>180</v>
      </c>
      <c r="O4943" s="38"/>
      <c r="P4943" s="38"/>
    </row>
    <row r="4944" spans="1:16" ht="17.399999999999999" thickBot="1" x14ac:dyDescent="0.45">
      <c r="O4944" s="42"/>
      <c r="P4944" s="43"/>
    </row>
    <row r="4945" spans="2:12" ht="17.399999999999999" thickBot="1" x14ac:dyDescent="0.45">
      <c r="B4945" s="110" t="s">
        <v>10</v>
      </c>
      <c r="C4945" s="300" t="s">
        <v>11</v>
      </c>
      <c r="D4945" s="300"/>
      <c r="E4945" s="300"/>
      <c r="F4945" s="300"/>
      <c r="G4945" s="301"/>
    </row>
    <row r="4946" spans="2:12" x14ac:dyDescent="0.4">
      <c r="B4946" s="114" t="s">
        <v>6</v>
      </c>
      <c r="C4946" s="302" t="s">
        <v>1</v>
      </c>
      <c r="D4946" s="303"/>
      <c r="E4946" s="112" t="s">
        <v>193</v>
      </c>
      <c r="F4946" s="120" t="s">
        <v>2</v>
      </c>
      <c r="G4946" s="114" t="s">
        <v>3</v>
      </c>
      <c r="H4946" s="106"/>
      <c r="I4946" s="107" t="s">
        <v>7</v>
      </c>
      <c r="J4946" s="136"/>
      <c r="K4946" s="107" t="s">
        <v>8</v>
      </c>
      <c r="L4946" s="115" t="s">
        <v>194</v>
      </c>
    </row>
    <row r="4947" spans="2:12" x14ac:dyDescent="0.4">
      <c r="B4947" s="122"/>
      <c r="C4947" s="306"/>
      <c r="D4947" s="306"/>
      <c r="E4947" s="116"/>
      <c r="F4947" s="83"/>
      <c r="G4947" s="74"/>
      <c r="I4947" s="117">
        <f>IF(C4947=0,0,VLOOKUP(C4947,Tabla3[],3,FALSE))</f>
        <v>0</v>
      </c>
      <c r="K4947" s="84">
        <f>F4947*I4947</f>
        <v>0</v>
      </c>
      <c r="L4947" s="118">
        <f>E4947*I4947</f>
        <v>0</v>
      </c>
    </row>
    <row r="4948" spans="2:12" x14ac:dyDescent="0.4">
      <c r="B4948" s="74"/>
      <c r="C4948" s="309"/>
      <c r="D4948" s="310"/>
      <c r="E4948" s="121"/>
      <c r="F4948" s="72"/>
      <c r="G4948" s="74"/>
      <c r="I4948" s="117">
        <f>IF(C4948=0,0,VLOOKUP(C4948,Tabla3[],3,FALSE))</f>
        <v>0</v>
      </c>
      <c r="K4948" s="84">
        <f t="shared" ref="K4948:K4950" si="755">+F4948*I4948</f>
        <v>0</v>
      </c>
      <c r="L4948" s="118">
        <f t="shared" ref="L4948:L4950" si="756">E4948*I4948</f>
        <v>0</v>
      </c>
    </row>
    <row r="4949" spans="2:12" x14ac:dyDescent="0.4">
      <c r="B4949" s="74"/>
      <c r="C4949" s="309"/>
      <c r="D4949" s="310"/>
      <c r="E4949" s="121"/>
      <c r="F4949" s="72"/>
      <c r="G4949" s="74"/>
      <c r="I4949" s="117">
        <f>IF(C4949=0,0,VLOOKUP(C4949,Tabla3[],3,FALSE))</f>
        <v>0</v>
      </c>
      <c r="K4949" s="84">
        <f t="shared" si="755"/>
        <v>0</v>
      </c>
      <c r="L4949" s="118">
        <f t="shared" si="756"/>
        <v>0</v>
      </c>
    </row>
    <row r="4950" spans="2:12" x14ac:dyDescent="0.4">
      <c r="B4950" s="74"/>
      <c r="C4950" s="304"/>
      <c r="D4950" s="305"/>
      <c r="E4950" s="121"/>
      <c r="F4950" s="72"/>
      <c r="G4950" s="74"/>
      <c r="I4950" s="117">
        <f>IF(C4950=0,0,VLOOKUP(C4950,Tabla3[],3,FALSE))</f>
        <v>0</v>
      </c>
      <c r="K4950" s="84">
        <f t="shared" si="755"/>
        <v>0</v>
      </c>
      <c r="L4950" s="118">
        <f t="shared" si="756"/>
        <v>0</v>
      </c>
    </row>
    <row r="4951" spans="2:12" ht="17.399999999999999" thickBot="1" x14ac:dyDescent="0.45"/>
    <row r="4952" spans="2:12" ht="17.399999999999999" thickBot="1" x14ac:dyDescent="0.45">
      <c r="F4952" s="292" t="s">
        <v>12</v>
      </c>
      <c r="G4952" s="293"/>
      <c r="H4952" s="293"/>
      <c r="I4952" s="294"/>
      <c r="K4952" s="229">
        <f>+SUM(K4947:K4950)</f>
        <v>0</v>
      </c>
      <c r="L4952" s="119">
        <f>+SUM(L4947:L4950)</f>
        <v>0</v>
      </c>
    </row>
    <row r="4953" spans="2:12" ht="17.399999999999999" thickBot="1" x14ac:dyDescent="0.45"/>
    <row r="4954" spans="2:12" ht="17.399999999999999" thickBot="1" x14ac:dyDescent="0.45">
      <c r="B4954" s="110" t="s">
        <v>13</v>
      </c>
      <c r="C4954" s="300" t="s">
        <v>14</v>
      </c>
      <c r="D4954" s="300"/>
      <c r="E4954" s="300"/>
      <c r="F4954" s="300"/>
      <c r="G4954" s="301"/>
    </row>
    <row r="4955" spans="2:12" x14ac:dyDescent="0.4">
      <c r="B4955" s="114" t="s">
        <v>6</v>
      </c>
      <c r="C4955" s="302" t="s">
        <v>1</v>
      </c>
      <c r="D4955" s="303"/>
      <c r="E4955" s="112" t="s">
        <v>193</v>
      </c>
      <c r="F4955" s="120" t="s">
        <v>2</v>
      </c>
      <c r="G4955" s="114" t="s">
        <v>3</v>
      </c>
      <c r="H4955" s="106"/>
      <c r="I4955" s="107" t="s">
        <v>7</v>
      </c>
      <c r="J4955" s="136"/>
      <c r="K4955" s="107" t="s">
        <v>8</v>
      </c>
      <c r="L4955" s="115" t="s">
        <v>194</v>
      </c>
    </row>
    <row r="4956" spans="2:12" x14ac:dyDescent="0.4">
      <c r="B4956" s="122">
        <v>1</v>
      </c>
      <c r="C4956" s="306" t="s">
        <v>603</v>
      </c>
      <c r="D4956" s="306"/>
      <c r="E4956" s="116">
        <f>I4934</f>
        <v>2</v>
      </c>
      <c r="F4956" s="83">
        <f>ROUND(E4956/I4934,2)</f>
        <v>1</v>
      </c>
      <c r="G4956" s="74" t="str">
        <f>IF(C4956=0,0,VLOOKUP(C4956,Tabla2[],2,FALSE))</f>
        <v>Unidad</v>
      </c>
      <c r="I4956" s="117">
        <f>IF(C4956=0,0,VLOOKUP(C4956,Tabla2[],3,FALSE))</f>
        <v>105</v>
      </c>
      <c r="K4956" s="84">
        <f>+F4956*I4956</f>
        <v>105</v>
      </c>
      <c r="L4956" s="118">
        <f>E4956*I4956</f>
        <v>210</v>
      </c>
    </row>
    <row r="4957" spans="2:12" x14ac:dyDescent="0.4">
      <c r="B4957" s="122"/>
      <c r="C4957" s="306"/>
      <c r="D4957" s="306"/>
      <c r="E4957" s="116"/>
      <c r="F4957" s="83"/>
      <c r="G4957" s="74"/>
      <c r="I4957" s="117">
        <f>IF(C4957=0,0,VLOOKUP(C4957,Tabla2[],3,FALSE))</f>
        <v>0</v>
      </c>
      <c r="K4957" s="84">
        <f>+F4957*I4957</f>
        <v>0</v>
      </c>
      <c r="L4957" s="118">
        <f>E4957*I4957</f>
        <v>0</v>
      </c>
    </row>
    <row r="4958" spans="2:12" ht="17.399999999999999" thickBot="1" x14ac:dyDescent="0.45">
      <c r="B4958" s="123"/>
      <c r="C4958" s="307"/>
      <c r="D4958" s="308"/>
      <c r="E4958" s="124"/>
      <c r="F4958" s="125"/>
      <c r="G4958" s="74"/>
      <c r="I4958" s="117">
        <f>IF(C4958=0,0,VLOOKUP(C4958,Tabla2[],3,FALSE))</f>
        <v>0</v>
      </c>
      <c r="K4958" s="84">
        <f t="shared" ref="K4958" si="757">+F4958*I4958</f>
        <v>0</v>
      </c>
      <c r="L4958" s="118">
        <f t="shared" ref="L4958:L4959" si="758">E4958*I4958</f>
        <v>0</v>
      </c>
    </row>
    <row r="4959" spans="2:12" ht="17.399999999999999" thickBot="1" x14ac:dyDescent="0.45">
      <c r="B4959" s="297" t="s">
        <v>15</v>
      </c>
      <c r="C4959" s="298"/>
      <c r="D4959" s="298"/>
      <c r="E4959" s="298"/>
      <c r="F4959" s="298"/>
      <c r="G4959" s="299"/>
      <c r="I4959" s="84">
        <v>0</v>
      </c>
      <c r="K4959" s="84">
        <v>0</v>
      </c>
      <c r="L4959" s="118">
        <f t="shared" si="758"/>
        <v>0</v>
      </c>
    </row>
    <row r="4960" spans="2:12" ht="17.399999999999999" thickBot="1" x14ac:dyDescent="0.45"/>
    <row r="4961" spans="2:16" ht="17.399999999999999" thickBot="1" x14ac:dyDescent="0.45">
      <c r="F4961" s="292" t="s">
        <v>16</v>
      </c>
      <c r="G4961" s="293"/>
      <c r="H4961" s="293"/>
      <c r="I4961" s="294"/>
      <c r="K4961" s="229">
        <f>+SUM(K4956:K4959)</f>
        <v>105</v>
      </c>
      <c r="L4961" s="119">
        <f>+SUM(L4956:L4959)</f>
        <v>210</v>
      </c>
    </row>
    <row r="4962" spans="2:16" ht="17.399999999999999" thickBot="1" x14ac:dyDescent="0.45"/>
    <row r="4963" spans="2:16" ht="17.399999999999999" thickBot="1" x14ac:dyDescent="0.45">
      <c r="B4963" s="110" t="s">
        <v>17</v>
      </c>
      <c r="C4963" s="300" t="s">
        <v>18</v>
      </c>
      <c r="D4963" s="300"/>
      <c r="E4963" s="300"/>
      <c r="F4963" s="300"/>
      <c r="G4963" s="301"/>
    </row>
    <row r="4964" spans="2:16" x14ac:dyDescent="0.4">
      <c r="B4964" s="114" t="s">
        <v>6</v>
      </c>
      <c r="C4964" s="302" t="s">
        <v>1</v>
      </c>
      <c r="D4964" s="303"/>
      <c r="E4964" s="126"/>
      <c r="F4964" s="120" t="s">
        <v>2</v>
      </c>
      <c r="G4964" s="114" t="s">
        <v>3</v>
      </c>
      <c r="H4964" s="106"/>
      <c r="I4964" s="107" t="s">
        <v>7</v>
      </c>
      <c r="J4964" s="136"/>
      <c r="K4964" s="107" t="s">
        <v>8</v>
      </c>
      <c r="L4964" s="115" t="s">
        <v>194</v>
      </c>
    </row>
    <row r="4965" spans="2:16" x14ac:dyDescent="0.4">
      <c r="B4965" s="74"/>
      <c r="C4965" s="304"/>
      <c r="D4965" s="305"/>
      <c r="E4965" s="127"/>
      <c r="F4965" s="72"/>
      <c r="G4965" s="74"/>
      <c r="I4965" s="84">
        <v>0</v>
      </c>
      <c r="K4965" s="84">
        <f>+F4965*I4965</f>
        <v>0</v>
      </c>
      <c r="L4965" s="118">
        <f>E4965*I4965</f>
        <v>0</v>
      </c>
    </row>
    <row r="4966" spans="2:16" x14ac:dyDescent="0.4">
      <c r="B4966" s="74"/>
      <c r="C4966" s="304"/>
      <c r="D4966" s="305"/>
      <c r="E4966" s="127"/>
      <c r="F4966" s="72"/>
      <c r="G4966" s="74"/>
      <c r="I4966" s="84">
        <v>0</v>
      </c>
      <c r="K4966" s="84">
        <f t="shared" ref="K4966:K4967" si="759">+F4966*I4966</f>
        <v>0</v>
      </c>
      <c r="L4966" s="118">
        <f t="shared" ref="L4966:L4967" si="760">E4966*I4966</f>
        <v>0</v>
      </c>
    </row>
    <row r="4967" spans="2:16" x14ac:dyDescent="0.4">
      <c r="B4967" s="74"/>
      <c r="C4967" s="304"/>
      <c r="D4967" s="305"/>
      <c r="E4967" s="127"/>
      <c r="F4967" s="72"/>
      <c r="G4967" s="74"/>
      <c r="I4967" s="84">
        <v>0</v>
      </c>
      <c r="K4967" s="84">
        <f t="shared" si="759"/>
        <v>0</v>
      </c>
      <c r="L4967" s="118">
        <f t="shared" si="760"/>
        <v>0</v>
      </c>
    </row>
    <row r="4968" spans="2:16" ht="17.399999999999999" thickBot="1" x14ac:dyDescent="0.45">
      <c r="L4968" s="118"/>
    </row>
    <row r="4969" spans="2:16" ht="17.399999999999999" thickBot="1" x14ac:dyDescent="0.45">
      <c r="F4969" s="292" t="s">
        <v>19</v>
      </c>
      <c r="G4969" s="293"/>
      <c r="H4969" s="293"/>
      <c r="I4969" s="294"/>
      <c r="K4969" s="229">
        <f>+SUM(K4965:K4967)</f>
        <v>0</v>
      </c>
      <c r="L4969" s="119">
        <f>+SUM(L4964:L4967)</f>
        <v>0</v>
      </c>
    </row>
    <row r="4970" spans="2:16" ht="15" customHeight="1" x14ac:dyDescent="0.4">
      <c r="F4970" s="128"/>
      <c r="G4970" s="129"/>
      <c r="H4970" s="130"/>
      <c r="I4970" s="108"/>
      <c r="K4970" s="230"/>
    </row>
    <row r="4971" spans="2:16" ht="15" customHeight="1" thickBot="1" x14ac:dyDescent="0.45"/>
    <row r="4972" spans="2:16" ht="17.399999999999999" thickBot="1" x14ac:dyDescent="0.45">
      <c r="F4972" s="292" t="s">
        <v>20</v>
      </c>
      <c r="G4972" s="293"/>
      <c r="H4972" s="293"/>
      <c r="I4972" s="294"/>
      <c r="K4972" s="229">
        <f>(+K4943+K4952+K4961+K4969)</f>
        <v>195</v>
      </c>
      <c r="L4972" s="119">
        <f>(+L4943+L4952+L4961+L4969)</f>
        <v>390</v>
      </c>
      <c r="N4972" s="131"/>
      <c r="O4972" s="39"/>
      <c r="P4972" s="40"/>
    </row>
    <row r="4973" spans="2:16" ht="7.5" customHeight="1" thickBot="1" x14ac:dyDescent="0.45">
      <c r="N4973" s="131"/>
      <c r="O4973" s="41"/>
      <c r="P4973" s="40"/>
    </row>
    <row r="4974" spans="2:16" ht="17.399999999999999" thickBot="1" x14ac:dyDescent="0.45">
      <c r="F4974" s="292" t="s">
        <v>21</v>
      </c>
      <c r="G4974" s="293"/>
      <c r="H4974" s="293"/>
      <c r="I4974" s="294"/>
      <c r="K4974" s="229">
        <f>K4972*$N$2</f>
        <v>78</v>
      </c>
      <c r="L4974" s="119">
        <f>L4972*$N$2</f>
        <v>156</v>
      </c>
    </row>
    <row r="4975" spans="2:16" ht="7.5" customHeight="1" thickBot="1" x14ac:dyDescent="0.45"/>
    <row r="4976" spans="2:16" ht="17.399999999999999" thickBot="1" x14ac:dyDescent="0.45">
      <c r="F4976" s="292" t="s">
        <v>22</v>
      </c>
      <c r="G4976" s="293"/>
      <c r="H4976" s="293"/>
      <c r="I4976" s="294"/>
      <c r="K4976" s="229">
        <f>+K4972+K4974</f>
        <v>273</v>
      </c>
      <c r="L4976" s="119">
        <f>+L4972+L4974</f>
        <v>546</v>
      </c>
    </row>
    <row r="4977" spans="1:16" ht="17.399999999999999" thickBot="1" x14ac:dyDescent="0.45">
      <c r="F4977" s="128"/>
      <c r="G4977" s="129"/>
      <c r="H4977" s="130"/>
      <c r="I4977" s="108"/>
      <c r="K4977" s="231"/>
      <c r="L4977" s="132">
        <f>L4976/I4934</f>
        <v>273</v>
      </c>
      <c r="M4977" s="133">
        <f>(K4976-L4977)*I4934</f>
        <v>0</v>
      </c>
    </row>
    <row r="4978" spans="1:16" x14ac:dyDescent="0.4">
      <c r="F4978" s="128"/>
      <c r="G4978" s="129"/>
      <c r="H4978" s="130"/>
      <c r="I4978" s="108"/>
      <c r="K4978" s="232"/>
      <c r="L4978" s="131"/>
      <c r="M4978" s="134"/>
      <c r="N4978" s="135"/>
    </row>
    <row r="4979" spans="1:16" ht="17.399999999999999" thickBot="1" x14ac:dyDescent="0.45">
      <c r="B4979" s="295"/>
      <c r="C4979" s="295"/>
      <c r="D4979" s="295"/>
    </row>
    <row r="4980" spans="1:16" x14ac:dyDescent="0.4">
      <c r="B4980" s="296" t="s">
        <v>23</v>
      </c>
      <c r="C4980" s="296"/>
      <c r="D4980" s="296"/>
    </row>
    <row r="4981" spans="1:16" x14ac:dyDescent="0.4">
      <c r="B4981" s="157"/>
      <c r="C4981" s="157"/>
      <c r="D4981" s="157"/>
    </row>
    <row r="4983" spans="1:16" x14ac:dyDescent="0.4">
      <c r="B4983" s="105" t="s">
        <v>43</v>
      </c>
      <c r="C4983" s="106"/>
      <c r="D4983" s="311" t="s">
        <v>1</v>
      </c>
      <c r="E4983" s="311"/>
      <c r="F4983" s="311"/>
      <c r="G4983" s="311"/>
      <c r="H4983" s="106"/>
      <c r="I4983" s="107" t="s">
        <v>2</v>
      </c>
      <c r="J4983" s="136"/>
      <c r="K4983" s="107" t="s">
        <v>3</v>
      </c>
    </row>
    <row r="4984" spans="1:16" s="58" customFormat="1" ht="30.75" customHeight="1" x14ac:dyDescent="0.3">
      <c r="A4984" s="56"/>
      <c r="B4984" s="213">
        <f>CATALOGO!B135</f>
        <v>111.03</v>
      </c>
      <c r="C4984" s="137"/>
      <c r="D4984" s="322" t="str">
        <f>CATALOGO!C135</f>
        <v>DEMOLICIÓN DE PISO CERÁMICO/PORCELANATO</v>
      </c>
      <c r="E4984" s="322"/>
      <c r="F4984" s="322"/>
      <c r="G4984" s="322"/>
      <c r="H4984" s="137"/>
      <c r="I4984" s="213">
        <f>CATALOGO!D135</f>
        <v>136</v>
      </c>
      <c r="J4984" s="109"/>
      <c r="K4984" s="227" t="str">
        <f>CATALOGO!E135</f>
        <v>m²</v>
      </c>
      <c r="L4984" s="137"/>
      <c r="M4984" s="137"/>
      <c r="N4984" s="137"/>
      <c r="O4984" s="57"/>
      <c r="P4984" s="57"/>
    </row>
    <row r="4985" spans="1:16" ht="17.399999999999999" thickBot="1" x14ac:dyDescent="0.45"/>
    <row r="4986" spans="1:16" ht="17.399999999999999" thickBot="1" x14ac:dyDescent="0.45">
      <c r="B4986" s="110" t="s">
        <v>4</v>
      </c>
      <c r="C4986" s="300" t="s">
        <v>5</v>
      </c>
      <c r="D4986" s="300"/>
      <c r="E4986" s="300"/>
      <c r="F4986" s="300"/>
      <c r="G4986" s="301"/>
    </row>
    <row r="4987" spans="1:16" x14ac:dyDescent="0.4">
      <c r="B4987" s="111" t="s">
        <v>6</v>
      </c>
      <c r="C4987" s="313" t="s">
        <v>1</v>
      </c>
      <c r="D4987" s="314"/>
      <c r="E4987" s="112" t="s">
        <v>193</v>
      </c>
      <c r="F4987" s="113" t="s">
        <v>2</v>
      </c>
      <c r="G4987" s="114" t="s">
        <v>3</v>
      </c>
      <c r="H4987" s="106"/>
      <c r="I4987" s="107" t="s">
        <v>7</v>
      </c>
      <c r="J4987" s="136"/>
      <c r="K4987" s="228" t="s">
        <v>8</v>
      </c>
      <c r="L4987" s="115" t="s">
        <v>194</v>
      </c>
    </row>
    <row r="4988" spans="1:16" x14ac:dyDescent="0.4">
      <c r="B4988" s="74"/>
      <c r="C4988" s="306"/>
      <c r="D4988" s="306"/>
      <c r="E4988" s="116"/>
      <c r="F4988" s="83"/>
      <c r="G4988" s="74"/>
      <c r="I4988" s="117">
        <f>IF(C4988=0,0,VLOOKUP(C4988,Tabla1[],3,FALSE))</f>
        <v>0</v>
      </c>
      <c r="K4988" s="84">
        <f>+F4988*I4988</f>
        <v>0</v>
      </c>
      <c r="L4988" s="118">
        <f>E4988*I4988</f>
        <v>0</v>
      </c>
    </row>
    <row r="4989" spans="1:16" x14ac:dyDescent="0.4">
      <c r="B4989" s="74"/>
      <c r="C4989" s="306"/>
      <c r="D4989" s="306"/>
      <c r="E4989" s="116"/>
      <c r="F4989" s="83"/>
      <c r="G4989" s="74"/>
      <c r="I4989" s="117">
        <f>IF(C4989=0,0,VLOOKUP(C4989,Tabla1[],3,FALSE))</f>
        <v>0</v>
      </c>
      <c r="K4989" s="84">
        <f t="shared" ref="K4989:K4997" si="761">+F4989*I4989</f>
        <v>0</v>
      </c>
      <c r="L4989" s="118">
        <f t="shared" ref="L4989:L4997" si="762">E4989*I4989</f>
        <v>0</v>
      </c>
    </row>
    <row r="4990" spans="1:16" x14ac:dyDescent="0.4">
      <c r="B4990" s="74"/>
      <c r="C4990" s="306"/>
      <c r="D4990" s="306"/>
      <c r="E4990" s="116"/>
      <c r="F4990" s="83"/>
      <c r="G4990" s="74"/>
      <c r="I4990" s="117">
        <f>IF(C4990=0,0,VLOOKUP(C4990,Tabla1[],3,FALSE))</f>
        <v>0</v>
      </c>
      <c r="K4990" s="84">
        <f t="shared" si="761"/>
        <v>0</v>
      </c>
      <c r="L4990" s="118">
        <f t="shared" si="762"/>
        <v>0</v>
      </c>
    </row>
    <row r="4991" spans="1:16" x14ac:dyDescent="0.4">
      <c r="B4991" s="74"/>
      <c r="C4991" s="306"/>
      <c r="D4991" s="306"/>
      <c r="E4991" s="116"/>
      <c r="F4991" s="83"/>
      <c r="G4991" s="74"/>
      <c r="I4991" s="117">
        <f>IF(C4991=0,0,VLOOKUP(C4991,Tabla1[],3,FALSE))</f>
        <v>0</v>
      </c>
      <c r="K4991" s="84">
        <f t="shared" si="761"/>
        <v>0</v>
      </c>
      <c r="L4991" s="118">
        <f t="shared" si="762"/>
        <v>0</v>
      </c>
    </row>
    <row r="4992" spans="1:16" x14ac:dyDescent="0.4">
      <c r="B4992" s="74"/>
      <c r="C4992" s="321"/>
      <c r="D4992" s="321"/>
      <c r="E4992" s="116"/>
      <c r="F4992" s="83"/>
      <c r="G4992" s="74"/>
      <c r="I4992" s="117">
        <f>IF(C4992=0,0,VLOOKUP(C4992,Tabla1[],3,FALSE))</f>
        <v>0</v>
      </c>
      <c r="K4992" s="84">
        <f t="shared" si="761"/>
        <v>0</v>
      </c>
      <c r="L4992" s="118">
        <f t="shared" si="762"/>
        <v>0</v>
      </c>
    </row>
    <row r="4993" spans="2:12" x14ac:dyDescent="0.4">
      <c r="B4993" s="74"/>
      <c r="C4993" s="321"/>
      <c r="D4993" s="321"/>
      <c r="E4993" s="116"/>
      <c r="F4993" s="72"/>
      <c r="G4993" s="74"/>
      <c r="I4993" s="117">
        <f>IF(C4993=0,0,VLOOKUP(C4993,Tabla1[],3,FALSE))</f>
        <v>0</v>
      </c>
      <c r="K4993" s="84">
        <f t="shared" si="761"/>
        <v>0</v>
      </c>
      <c r="L4993" s="118">
        <f t="shared" si="762"/>
        <v>0</v>
      </c>
    </row>
    <row r="4994" spans="2:12" x14ac:dyDescent="0.4">
      <c r="B4994" s="74"/>
      <c r="C4994" s="321"/>
      <c r="D4994" s="321"/>
      <c r="E4994" s="116"/>
      <c r="F4994" s="72"/>
      <c r="G4994" s="74"/>
      <c r="I4994" s="117">
        <f>IF(C4994=0,0,VLOOKUP(C4994,Tabla1[],3,FALSE))</f>
        <v>0</v>
      </c>
      <c r="K4994" s="84">
        <f t="shared" si="761"/>
        <v>0</v>
      </c>
      <c r="L4994" s="118">
        <f t="shared" si="762"/>
        <v>0</v>
      </c>
    </row>
    <row r="4995" spans="2:12" x14ac:dyDescent="0.4">
      <c r="B4995" s="74"/>
      <c r="C4995" s="321"/>
      <c r="D4995" s="321"/>
      <c r="E4995" s="116"/>
      <c r="F4995" s="72"/>
      <c r="G4995" s="74"/>
      <c r="I4995" s="117">
        <f>IF(C4995=0,0,VLOOKUP(C4995,Tabla1[],3,FALSE))</f>
        <v>0</v>
      </c>
      <c r="K4995" s="84">
        <f t="shared" si="761"/>
        <v>0</v>
      </c>
      <c r="L4995" s="118">
        <f t="shared" si="762"/>
        <v>0</v>
      </c>
    </row>
    <row r="4996" spans="2:12" x14ac:dyDescent="0.4">
      <c r="B4996" s="74"/>
      <c r="C4996" s="321"/>
      <c r="D4996" s="321"/>
      <c r="E4996" s="116"/>
      <c r="F4996" s="72"/>
      <c r="G4996" s="74"/>
      <c r="I4996" s="117">
        <f>IF(C4996=0,0,VLOOKUP(C4996,Tabla1[],3,FALSE))</f>
        <v>0</v>
      </c>
      <c r="K4996" s="84">
        <f t="shared" si="761"/>
        <v>0</v>
      </c>
      <c r="L4996" s="118">
        <f t="shared" si="762"/>
        <v>0</v>
      </c>
    </row>
    <row r="4997" spans="2:12" x14ac:dyDescent="0.4">
      <c r="B4997" s="74"/>
      <c r="C4997" s="321"/>
      <c r="D4997" s="321"/>
      <c r="E4997" s="116"/>
      <c r="F4997" s="72"/>
      <c r="G4997" s="74"/>
      <c r="I4997" s="117">
        <f>IF(C4997=0,0,VLOOKUP(C4997,Tabla1[],3,FALSE))</f>
        <v>0</v>
      </c>
      <c r="K4997" s="84">
        <f t="shared" si="761"/>
        <v>0</v>
      </c>
      <c r="L4997" s="118">
        <f t="shared" si="762"/>
        <v>0</v>
      </c>
    </row>
    <row r="4998" spans="2:12" ht="17.399999999999999" thickBot="1" x14ac:dyDescent="0.45"/>
    <row r="4999" spans="2:12" ht="17.399999999999999" thickBot="1" x14ac:dyDescent="0.45">
      <c r="F4999" s="292" t="s">
        <v>9</v>
      </c>
      <c r="G4999" s="293"/>
      <c r="H4999" s="293"/>
      <c r="I4999" s="294"/>
      <c r="K4999" s="229">
        <f>+SUM(K4988:K4997)</f>
        <v>0</v>
      </c>
      <c r="L4999" s="119">
        <f>+SUM(L4988:L4997)</f>
        <v>0</v>
      </c>
    </row>
    <row r="5000" spans="2:12" ht="17.399999999999999" thickBot="1" x14ac:dyDescent="0.45"/>
    <row r="5001" spans="2:12" ht="17.399999999999999" thickBot="1" x14ac:dyDescent="0.45">
      <c r="B5001" s="110" t="s">
        <v>10</v>
      </c>
      <c r="C5001" s="300" t="s">
        <v>11</v>
      </c>
      <c r="D5001" s="300"/>
      <c r="E5001" s="300"/>
      <c r="F5001" s="300"/>
      <c r="G5001" s="301"/>
    </row>
    <row r="5002" spans="2:12" x14ac:dyDescent="0.4">
      <c r="B5002" s="114" t="s">
        <v>6</v>
      </c>
      <c r="C5002" s="302" t="s">
        <v>1</v>
      </c>
      <c r="D5002" s="303"/>
      <c r="E5002" s="112" t="s">
        <v>193</v>
      </c>
      <c r="F5002" s="120" t="s">
        <v>2</v>
      </c>
      <c r="G5002" s="114" t="s">
        <v>3</v>
      </c>
      <c r="H5002" s="106"/>
      <c r="I5002" s="107" t="s">
        <v>7</v>
      </c>
      <c r="J5002" s="136"/>
      <c r="K5002" s="107" t="s">
        <v>8</v>
      </c>
      <c r="L5002" s="115" t="s">
        <v>194</v>
      </c>
    </row>
    <row r="5003" spans="2:12" x14ac:dyDescent="0.4">
      <c r="B5003" s="122"/>
      <c r="C5003" s="306"/>
      <c r="D5003" s="306"/>
      <c r="E5003" s="116"/>
      <c r="F5003" s="83"/>
      <c r="G5003" s="74"/>
      <c r="I5003" s="117"/>
      <c r="K5003" s="84"/>
      <c r="L5003" s="118">
        <f>E5003*I5003</f>
        <v>0</v>
      </c>
    </row>
    <row r="5004" spans="2:12" x14ac:dyDescent="0.4">
      <c r="B5004" s="74"/>
      <c r="C5004" s="206"/>
      <c r="D5004" s="207"/>
      <c r="E5004" s="121"/>
      <c r="F5004" s="72"/>
      <c r="G5004" s="74"/>
      <c r="I5004" s="117">
        <f>IF(C5004=0,0,VLOOKUP(C5004,Tabla3[],3,FALSE))</f>
        <v>0</v>
      </c>
      <c r="K5004" s="84">
        <f t="shared" ref="K5004:K5006" si="763">+F5004*I5004</f>
        <v>0</v>
      </c>
      <c r="L5004" s="118">
        <f t="shared" ref="L5004:L5006" si="764">E5004*I5004</f>
        <v>0</v>
      </c>
    </row>
    <row r="5005" spans="2:12" x14ac:dyDescent="0.4">
      <c r="B5005" s="74"/>
      <c r="C5005" s="206"/>
      <c r="D5005" s="207"/>
      <c r="E5005" s="121"/>
      <c r="F5005" s="72"/>
      <c r="G5005" s="74"/>
      <c r="I5005" s="117">
        <f>IF(C5005=0,0,VLOOKUP(C5005,Tabla3[],3,FALSE))</f>
        <v>0</v>
      </c>
      <c r="K5005" s="84">
        <f t="shared" si="763"/>
        <v>0</v>
      </c>
      <c r="L5005" s="118">
        <f t="shared" si="764"/>
        <v>0</v>
      </c>
    </row>
    <row r="5006" spans="2:12" x14ac:dyDescent="0.4">
      <c r="B5006" s="74"/>
      <c r="C5006" s="304"/>
      <c r="D5006" s="305"/>
      <c r="E5006" s="121"/>
      <c r="F5006" s="72"/>
      <c r="G5006" s="74"/>
      <c r="I5006" s="117">
        <f>IF(C5006=0,0,VLOOKUP(C5006,Tabla3[],3,FALSE))</f>
        <v>0</v>
      </c>
      <c r="K5006" s="84">
        <f t="shared" si="763"/>
        <v>0</v>
      </c>
      <c r="L5006" s="118">
        <f t="shared" si="764"/>
        <v>0</v>
      </c>
    </row>
    <row r="5007" spans="2:12" ht="17.399999999999999" thickBot="1" x14ac:dyDescent="0.45"/>
    <row r="5008" spans="2:12" ht="17.399999999999999" thickBot="1" x14ac:dyDescent="0.45">
      <c r="F5008" s="292" t="s">
        <v>12</v>
      </c>
      <c r="G5008" s="293"/>
      <c r="H5008" s="293"/>
      <c r="I5008" s="294"/>
      <c r="K5008" s="229">
        <f>+SUM(K5003:K5006)</f>
        <v>0</v>
      </c>
      <c r="L5008" s="119">
        <f>+SUM(L5003:L5006)</f>
        <v>0</v>
      </c>
    </row>
    <row r="5009" spans="2:12" ht="17.399999999999999" thickBot="1" x14ac:dyDescent="0.45"/>
    <row r="5010" spans="2:12" ht="17.399999999999999" thickBot="1" x14ac:dyDescent="0.45">
      <c r="B5010" s="110" t="s">
        <v>13</v>
      </c>
      <c r="C5010" s="300" t="s">
        <v>14</v>
      </c>
      <c r="D5010" s="300"/>
      <c r="E5010" s="300"/>
      <c r="F5010" s="300"/>
      <c r="G5010" s="301"/>
    </row>
    <row r="5011" spans="2:12" x14ac:dyDescent="0.4">
      <c r="B5011" s="114" t="s">
        <v>6</v>
      </c>
      <c r="C5011" s="302" t="s">
        <v>1</v>
      </c>
      <c r="D5011" s="303"/>
      <c r="E5011" s="112" t="s">
        <v>193</v>
      </c>
      <c r="F5011" s="120" t="s">
        <v>2</v>
      </c>
      <c r="G5011" s="114" t="s">
        <v>3</v>
      </c>
      <c r="H5011" s="106"/>
      <c r="I5011" s="107" t="s">
        <v>7</v>
      </c>
      <c r="J5011" s="136"/>
      <c r="K5011" s="107" t="s">
        <v>8</v>
      </c>
      <c r="L5011" s="115" t="s">
        <v>194</v>
      </c>
    </row>
    <row r="5012" spans="2:12" x14ac:dyDescent="0.4">
      <c r="B5012" s="122">
        <v>1</v>
      </c>
      <c r="C5012" s="306" t="s">
        <v>195</v>
      </c>
      <c r="D5012" s="306"/>
      <c r="E5012" s="116">
        <f>I4984</f>
        <v>136</v>
      </c>
      <c r="F5012" s="83">
        <f>ROUND(E5012/I4984,2)</f>
        <v>1</v>
      </c>
      <c r="G5012" s="74" t="str">
        <f>IF(C5012=0,0,VLOOKUP(C5012,Tabla2[],2,FALSE))</f>
        <v>m²</v>
      </c>
      <c r="I5012" s="117">
        <f>IF(C5012=0,0,VLOOKUP(C5012,Tabla2[],3,FALSE))</f>
        <v>90</v>
      </c>
      <c r="K5012" s="84">
        <f>+F5012*I5012</f>
        <v>90</v>
      </c>
      <c r="L5012" s="118">
        <f>E5012*I5012</f>
        <v>12240</v>
      </c>
    </row>
    <row r="5013" spans="2:12" x14ac:dyDescent="0.4">
      <c r="B5013" s="122"/>
      <c r="C5013" s="306"/>
      <c r="D5013" s="306"/>
      <c r="E5013" s="116"/>
      <c r="F5013" s="83"/>
      <c r="G5013" s="74"/>
      <c r="I5013" s="117">
        <f>IF(C5013=0,0,VLOOKUP(C5013,Tabla2[],3,FALSE))</f>
        <v>0</v>
      </c>
      <c r="K5013" s="84">
        <f>+F5013*I5013</f>
        <v>0</v>
      </c>
      <c r="L5013" s="118">
        <f>E5013*I5013</f>
        <v>0</v>
      </c>
    </row>
    <row r="5014" spans="2:12" ht="17.399999999999999" thickBot="1" x14ac:dyDescent="0.45">
      <c r="B5014" s="123"/>
      <c r="C5014" s="307"/>
      <c r="D5014" s="308"/>
      <c r="E5014" s="124"/>
      <c r="F5014" s="125"/>
      <c r="G5014" s="74"/>
      <c r="I5014" s="117">
        <f>IF(C5014=0,0,VLOOKUP(C5014,Tabla2[],3,FALSE))</f>
        <v>0</v>
      </c>
      <c r="K5014" s="84">
        <f t="shared" ref="K5014" si="765">+F5014*I5014</f>
        <v>0</v>
      </c>
      <c r="L5014" s="118">
        <f t="shared" ref="L5014:L5015" si="766">E5014*I5014</f>
        <v>0</v>
      </c>
    </row>
    <row r="5015" spans="2:12" ht="17.399999999999999" thickBot="1" x14ac:dyDescent="0.45">
      <c r="B5015" s="297" t="s">
        <v>15</v>
      </c>
      <c r="C5015" s="298"/>
      <c r="D5015" s="298"/>
      <c r="E5015" s="298"/>
      <c r="F5015" s="298"/>
      <c r="G5015" s="299"/>
      <c r="I5015" s="84">
        <v>0</v>
      </c>
      <c r="K5015" s="84">
        <v>0</v>
      </c>
      <c r="L5015" s="118">
        <f t="shared" si="766"/>
        <v>0</v>
      </c>
    </row>
    <row r="5016" spans="2:12" ht="17.399999999999999" thickBot="1" x14ac:dyDescent="0.45"/>
    <row r="5017" spans="2:12" ht="17.399999999999999" thickBot="1" x14ac:dyDescent="0.45">
      <c r="F5017" s="292" t="s">
        <v>16</v>
      </c>
      <c r="G5017" s="293"/>
      <c r="H5017" s="293"/>
      <c r="I5017" s="294"/>
      <c r="K5017" s="229">
        <f>+SUM(K5012:K5015)</f>
        <v>90</v>
      </c>
      <c r="L5017" s="119">
        <f>+SUM(L5012:L5015)</f>
        <v>12240</v>
      </c>
    </row>
    <row r="5018" spans="2:12" ht="17.399999999999999" thickBot="1" x14ac:dyDescent="0.45"/>
    <row r="5019" spans="2:12" ht="17.399999999999999" thickBot="1" x14ac:dyDescent="0.45">
      <c r="B5019" s="110" t="s">
        <v>17</v>
      </c>
      <c r="C5019" s="300" t="s">
        <v>18</v>
      </c>
      <c r="D5019" s="300"/>
      <c r="E5019" s="300"/>
      <c r="F5019" s="300"/>
      <c r="G5019" s="301"/>
    </row>
    <row r="5020" spans="2:12" x14ac:dyDescent="0.4">
      <c r="B5020" s="114" t="s">
        <v>6</v>
      </c>
      <c r="C5020" s="302" t="s">
        <v>1</v>
      </c>
      <c r="D5020" s="303"/>
      <c r="E5020" s="126"/>
      <c r="F5020" s="120" t="s">
        <v>2</v>
      </c>
      <c r="G5020" s="114" t="s">
        <v>3</v>
      </c>
      <c r="H5020" s="106"/>
      <c r="I5020" s="107" t="s">
        <v>7</v>
      </c>
      <c r="J5020" s="136"/>
      <c r="K5020" s="107" t="s">
        <v>8</v>
      </c>
      <c r="L5020" s="115" t="s">
        <v>194</v>
      </c>
    </row>
    <row r="5021" spans="2:12" x14ac:dyDescent="0.4">
      <c r="B5021" s="74"/>
      <c r="C5021" s="304"/>
      <c r="D5021" s="305"/>
      <c r="E5021" s="127"/>
      <c r="F5021" s="72"/>
      <c r="G5021" s="74"/>
      <c r="I5021" s="84">
        <v>0</v>
      </c>
      <c r="K5021" s="84">
        <f>+F5021*I5021</f>
        <v>0</v>
      </c>
      <c r="L5021" s="118">
        <f>E5021*I5021</f>
        <v>0</v>
      </c>
    </row>
    <row r="5022" spans="2:12" x14ac:dyDescent="0.4">
      <c r="B5022" s="74"/>
      <c r="C5022" s="304"/>
      <c r="D5022" s="305"/>
      <c r="E5022" s="127"/>
      <c r="F5022" s="72"/>
      <c r="G5022" s="74"/>
      <c r="I5022" s="84">
        <v>0</v>
      </c>
      <c r="K5022" s="84">
        <f t="shared" ref="K5022:K5023" si="767">+F5022*I5022</f>
        <v>0</v>
      </c>
      <c r="L5022" s="118">
        <f t="shared" ref="L5022:L5023" si="768">E5022*I5022</f>
        <v>0</v>
      </c>
    </row>
    <row r="5023" spans="2:12" x14ac:dyDescent="0.4">
      <c r="B5023" s="74"/>
      <c r="C5023" s="304"/>
      <c r="D5023" s="305"/>
      <c r="E5023" s="127"/>
      <c r="F5023" s="72"/>
      <c r="G5023" s="74"/>
      <c r="I5023" s="84">
        <v>0</v>
      </c>
      <c r="K5023" s="84">
        <f t="shared" si="767"/>
        <v>0</v>
      </c>
      <c r="L5023" s="118">
        <f t="shared" si="768"/>
        <v>0</v>
      </c>
    </row>
    <row r="5024" spans="2:12" ht="17.399999999999999" thickBot="1" x14ac:dyDescent="0.45">
      <c r="L5024" s="118"/>
    </row>
    <row r="5025" spans="1:16" ht="17.399999999999999" thickBot="1" x14ac:dyDescent="0.45">
      <c r="F5025" s="292" t="s">
        <v>19</v>
      </c>
      <c r="G5025" s="293"/>
      <c r="H5025" s="293"/>
      <c r="I5025" s="294"/>
      <c r="K5025" s="229">
        <f>+SUM(K5021:K5023)</f>
        <v>0</v>
      </c>
      <c r="L5025" s="119">
        <f>+SUM(L5020:L5023)</f>
        <v>0</v>
      </c>
    </row>
    <row r="5026" spans="1:16" ht="15" customHeight="1" x14ac:dyDescent="0.4">
      <c r="F5026" s="128"/>
      <c r="G5026" s="129"/>
      <c r="H5026" s="130"/>
      <c r="I5026" s="108"/>
      <c r="K5026" s="230"/>
    </row>
    <row r="5027" spans="1:16" ht="15" customHeight="1" thickBot="1" x14ac:dyDescent="0.45"/>
    <row r="5028" spans="1:16" ht="17.399999999999999" thickBot="1" x14ac:dyDescent="0.45">
      <c r="F5028" s="292" t="s">
        <v>20</v>
      </c>
      <c r="G5028" s="293"/>
      <c r="H5028" s="293"/>
      <c r="I5028" s="294"/>
      <c r="K5028" s="229">
        <f>(+K4999+K5008+K5017+K5025)</f>
        <v>90</v>
      </c>
      <c r="L5028" s="119">
        <f>(+L4999+L5008+L5017+L5025)</f>
        <v>12240</v>
      </c>
      <c r="N5028" s="131"/>
      <c r="O5028" s="39"/>
      <c r="P5028" s="40"/>
    </row>
    <row r="5029" spans="1:16" ht="7.5" customHeight="1" thickBot="1" x14ac:dyDescent="0.45">
      <c r="N5029" s="131"/>
      <c r="O5029" s="41"/>
      <c r="P5029" s="40"/>
    </row>
    <row r="5030" spans="1:16" ht="17.399999999999999" thickBot="1" x14ac:dyDescent="0.45">
      <c r="F5030" s="292" t="s">
        <v>21</v>
      </c>
      <c r="G5030" s="293"/>
      <c r="H5030" s="293"/>
      <c r="I5030" s="294"/>
      <c r="K5030" s="229">
        <f>K5028*$N$2</f>
        <v>36</v>
      </c>
      <c r="L5030" s="119">
        <f>L5028*$N$2</f>
        <v>4896</v>
      </c>
    </row>
    <row r="5031" spans="1:16" ht="7.5" customHeight="1" thickBot="1" x14ac:dyDescent="0.45"/>
    <row r="5032" spans="1:16" ht="17.399999999999999" thickBot="1" x14ac:dyDescent="0.45">
      <c r="F5032" s="292" t="s">
        <v>22</v>
      </c>
      <c r="G5032" s="293"/>
      <c r="H5032" s="293"/>
      <c r="I5032" s="294"/>
      <c r="K5032" s="229">
        <f>+K5028+K5030</f>
        <v>126</v>
      </c>
      <c r="L5032" s="119">
        <f>+L5028+L5030</f>
        <v>17136</v>
      </c>
    </row>
    <row r="5033" spans="1:16" ht="17.399999999999999" thickBot="1" x14ac:dyDescent="0.45">
      <c r="F5033" s="128"/>
      <c r="G5033" s="129"/>
      <c r="H5033" s="130"/>
      <c r="I5033" s="108"/>
      <c r="K5033" s="231"/>
      <c r="L5033" s="132">
        <f>L5032/I4984</f>
        <v>126</v>
      </c>
      <c r="M5033" s="133">
        <f>(K5032-L5033)*I4984</f>
        <v>0</v>
      </c>
    </row>
    <row r="5034" spans="1:16" x14ac:dyDescent="0.4">
      <c r="F5034" s="128"/>
      <c r="G5034" s="129"/>
      <c r="H5034" s="130"/>
      <c r="I5034" s="108"/>
      <c r="K5034" s="232"/>
      <c r="L5034" s="131"/>
      <c r="M5034" s="134"/>
      <c r="N5034" s="135"/>
    </row>
    <row r="5035" spans="1:16" ht="17.399999999999999" thickBot="1" x14ac:dyDescent="0.45">
      <c r="B5035" s="295"/>
      <c r="C5035" s="295"/>
      <c r="D5035" s="295"/>
    </row>
    <row r="5036" spans="1:16" x14ac:dyDescent="0.4">
      <c r="B5036" s="296" t="s">
        <v>23</v>
      </c>
      <c r="C5036" s="296"/>
      <c r="D5036" s="296"/>
    </row>
    <row r="5037" spans="1:16" x14ac:dyDescent="0.4">
      <c r="B5037" s="157"/>
      <c r="C5037" s="157"/>
      <c r="D5037" s="157"/>
    </row>
    <row r="5039" spans="1:16" x14ac:dyDescent="0.4">
      <c r="B5039" s="105" t="s">
        <v>43</v>
      </c>
      <c r="C5039" s="106"/>
      <c r="D5039" s="311" t="s">
        <v>1</v>
      </c>
      <c r="E5039" s="311"/>
      <c r="F5039" s="311"/>
      <c r="G5039" s="311"/>
      <c r="H5039" s="106"/>
      <c r="I5039" s="107" t="s">
        <v>2</v>
      </c>
      <c r="J5039" s="136"/>
      <c r="K5039" s="107" t="s">
        <v>3</v>
      </c>
    </row>
    <row r="5040" spans="1:16" s="58" customFormat="1" ht="30.75" customHeight="1" x14ac:dyDescent="0.3">
      <c r="A5040" s="56"/>
      <c r="B5040" s="213">
        <f>CATALOGO!B136</f>
        <v>114.03</v>
      </c>
      <c r="C5040" s="137"/>
      <c r="D5040" s="322" t="str">
        <f>CATALOGO!C136</f>
        <v>DESMONTAJE DE CUBIERTA DE TECHO</v>
      </c>
      <c r="E5040" s="322"/>
      <c r="F5040" s="322"/>
      <c r="G5040" s="322"/>
      <c r="H5040" s="137"/>
      <c r="I5040" s="213">
        <f>CATALOGO!D136</f>
        <v>156</v>
      </c>
      <c r="J5040" s="109"/>
      <c r="K5040" s="227" t="str">
        <f>CATALOGO!E136</f>
        <v>m²</v>
      </c>
      <c r="L5040" s="137"/>
      <c r="M5040" s="137"/>
      <c r="N5040" s="137"/>
      <c r="O5040" s="57"/>
      <c r="P5040" s="57"/>
    </row>
    <row r="5041" spans="2:12" ht="17.399999999999999" thickBot="1" x14ac:dyDescent="0.45"/>
    <row r="5042" spans="2:12" ht="17.399999999999999" thickBot="1" x14ac:dyDescent="0.45">
      <c r="B5042" s="110" t="s">
        <v>4</v>
      </c>
      <c r="C5042" s="300" t="s">
        <v>5</v>
      </c>
      <c r="D5042" s="300"/>
      <c r="E5042" s="300"/>
      <c r="F5042" s="300"/>
      <c r="G5042" s="301"/>
    </row>
    <row r="5043" spans="2:12" x14ac:dyDescent="0.4">
      <c r="B5043" s="111" t="s">
        <v>6</v>
      </c>
      <c r="C5043" s="313" t="s">
        <v>1</v>
      </c>
      <c r="D5043" s="314"/>
      <c r="E5043" s="112" t="s">
        <v>193</v>
      </c>
      <c r="F5043" s="113" t="s">
        <v>2</v>
      </c>
      <c r="G5043" s="114" t="s">
        <v>3</v>
      </c>
      <c r="H5043" s="106"/>
      <c r="I5043" s="107" t="s">
        <v>7</v>
      </c>
      <c r="J5043" s="136"/>
      <c r="K5043" s="228" t="s">
        <v>8</v>
      </c>
      <c r="L5043" s="115" t="s">
        <v>194</v>
      </c>
    </row>
    <row r="5044" spans="2:12" x14ac:dyDescent="0.4">
      <c r="B5044" s="74"/>
      <c r="C5044" s="306"/>
      <c r="D5044" s="306"/>
      <c r="E5044" s="116"/>
      <c r="F5044" s="83"/>
      <c r="G5044" s="74"/>
      <c r="I5044" s="117">
        <f>IF(C5044=0,0,VLOOKUP(C5044,Tabla1[],3,FALSE))</f>
        <v>0</v>
      </c>
      <c r="K5044" s="84">
        <f>+F5044*I5044</f>
        <v>0</v>
      </c>
      <c r="L5044" s="118">
        <f>E5044*I5044</f>
        <v>0</v>
      </c>
    </row>
    <row r="5045" spans="2:12" x14ac:dyDescent="0.4">
      <c r="B5045" s="74"/>
      <c r="C5045" s="306"/>
      <c r="D5045" s="306"/>
      <c r="E5045" s="116"/>
      <c r="F5045" s="83"/>
      <c r="G5045" s="74"/>
      <c r="I5045" s="117">
        <f>IF(C5045=0,0,VLOOKUP(C5045,Tabla1[],3,FALSE))</f>
        <v>0</v>
      </c>
      <c r="K5045" s="84">
        <f t="shared" ref="K5045:K5053" si="769">+F5045*I5045</f>
        <v>0</v>
      </c>
      <c r="L5045" s="118">
        <f t="shared" ref="L5045:L5053" si="770">E5045*I5045</f>
        <v>0</v>
      </c>
    </row>
    <row r="5046" spans="2:12" x14ac:dyDescent="0.4">
      <c r="B5046" s="74"/>
      <c r="C5046" s="306"/>
      <c r="D5046" s="306"/>
      <c r="E5046" s="116"/>
      <c r="F5046" s="83"/>
      <c r="G5046" s="74"/>
      <c r="I5046" s="117">
        <f>IF(C5046=0,0,VLOOKUP(C5046,Tabla1[],3,FALSE))</f>
        <v>0</v>
      </c>
      <c r="K5046" s="84">
        <f t="shared" si="769"/>
        <v>0</v>
      </c>
      <c r="L5046" s="118">
        <f t="shared" si="770"/>
        <v>0</v>
      </c>
    </row>
    <row r="5047" spans="2:12" x14ac:dyDescent="0.4">
      <c r="B5047" s="74"/>
      <c r="C5047" s="306"/>
      <c r="D5047" s="306"/>
      <c r="E5047" s="116"/>
      <c r="F5047" s="83"/>
      <c r="G5047" s="74"/>
      <c r="I5047" s="117">
        <f>IF(C5047=0,0,VLOOKUP(C5047,Tabla1[],3,FALSE))</f>
        <v>0</v>
      </c>
      <c r="K5047" s="84">
        <f t="shared" si="769"/>
        <v>0</v>
      </c>
      <c r="L5047" s="118">
        <f t="shared" si="770"/>
        <v>0</v>
      </c>
    </row>
    <row r="5048" spans="2:12" x14ac:dyDescent="0.4">
      <c r="B5048" s="74"/>
      <c r="C5048" s="321"/>
      <c r="D5048" s="321"/>
      <c r="E5048" s="116"/>
      <c r="F5048" s="83"/>
      <c r="G5048" s="74"/>
      <c r="I5048" s="117">
        <f>IF(C5048=0,0,VLOOKUP(C5048,Tabla1[],3,FALSE))</f>
        <v>0</v>
      </c>
      <c r="K5048" s="84">
        <f t="shared" si="769"/>
        <v>0</v>
      </c>
      <c r="L5048" s="118">
        <f t="shared" si="770"/>
        <v>0</v>
      </c>
    </row>
    <row r="5049" spans="2:12" x14ac:dyDescent="0.4">
      <c r="B5049" s="74"/>
      <c r="C5049" s="321"/>
      <c r="D5049" s="321"/>
      <c r="E5049" s="116"/>
      <c r="F5049" s="72"/>
      <c r="G5049" s="74"/>
      <c r="I5049" s="117">
        <f>IF(C5049=0,0,VLOOKUP(C5049,Tabla1[],3,FALSE))</f>
        <v>0</v>
      </c>
      <c r="K5049" s="84">
        <f t="shared" si="769"/>
        <v>0</v>
      </c>
      <c r="L5049" s="118">
        <f t="shared" si="770"/>
        <v>0</v>
      </c>
    </row>
    <row r="5050" spans="2:12" x14ac:dyDescent="0.4">
      <c r="B5050" s="74"/>
      <c r="C5050" s="321"/>
      <c r="D5050" s="321"/>
      <c r="E5050" s="116"/>
      <c r="F5050" s="72"/>
      <c r="G5050" s="74"/>
      <c r="I5050" s="117">
        <f>IF(C5050=0,0,VLOOKUP(C5050,Tabla1[],3,FALSE))</f>
        <v>0</v>
      </c>
      <c r="K5050" s="84">
        <f t="shared" si="769"/>
        <v>0</v>
      </c>
      <c r="L5050" s="118">
        <f t="shared" si="770"/>
        <v>0</v>
      </c>
    </row>
    <row r="5051" spans="2:12" x14ac:dyDescent="0.4">
      <c r="B5051" s="74"/>
      <c r="C5051" s="321"/>
      <c r="D5051" s="321"/>
      <c r="E5051" s="116"/>
      <c r="F5051" s="72"/>
      <c r="G5051" s="74"/>
      <c r="I5051" s="117">
        <f>IF(C5051=0,0,VLOOKUP(C5051,Tabla1[],3,FALSE))</f>
        <v>0</v>
      </c>
      <c r="K5051" s="84">
        <f t="shared" si="769"/>
        <v>0</v>
      </c>
      <c r="L5051" s="118">
        <f t="shared" si="770"/>
        <v>0</v>
      </c>
    </row>
    <row r="5052" spans="2:12" x14ac:dyDescent="0.4">
      <c r="B5052" s="74"/>
      <c r="C5052" s="321"/>
      <c r="D5052" s="321"/>
      <c r="E5052" s="116"/>
      <c r="F5052" s="72"/>
      <c r="G5052" s="74"/>
      <c r="I5052" s="117">
        <f>IF(C5052=0,0,VLOOKUP(C5052,Tabla1[],3,FALSE))</f>
        <v>0</v>
      </c>
      <c r="K5052" s="84">
        <f t="shared" si="769"/>
        <v>0</v>
      </c>
      <c r="L5052" s="118">
        <f t="shared" si="770"/>
        <v>0</v>
      </c>
    </row>
    <row r="5053" spans="2:12" x14ac:dyDescent="0.4">
      <c r="B5053" s="74"/>
      <c r="C5053" s="321"/>
      <c r="D5053" s="321"/>
      <c r="E5053" s="116"/>
      <c r="F5053" s="72"/>
      <c r="G5053" s="74"/>
      <c r="I5053" s="117">
        <f>IF(C5053=0,0,VLOOKUP(C5053,Tabla1[],3,FALSE))</f>
        <v>0</v>
      </c>
      <c r="K5053" s="84">
        <f t="shared" si="769"/>
        <v>0</v>
      </c>
      <c r="L5053" s="118">
        <f t="shared" si="770"/>
        <v>0</v>
      </c>
    </row>
    <row r="5054" spans="2:12" ht="17.399999999999999" thickBot="1" x14ac:dyDescent="0.45"/>
    <row r="5055" spans="2:12" ht="17.399999999999999" thickBot="1" x14ac:dyDescent="0.45">
      <c r="F5055" s="292" t="s">
        <v>9</v>
      </c>
      <c r="G5055" s="293"/>
      <c r="H5055" s="293"/>
      <c r="I5055" s="294"/>
      <c r="K5055" s="229">
        <f>+SUM(K5044:K5053)</f>
        <v>0</v>
      </c>
      <c r="L5055" s="119">
        <f>+SUM(L5044:L5053)</f>
        <v>0</v>
      </c>
    </row>
    <row r="5056" spans="2:12" ht="17.399999999999999" thickBot="1" x14ac:dyDescent="0.45"/>
    <row r="5057" spans="2:12" ht="17.399999999999999" thickBot="1" x14ac:dyDescent="0.45">
      <c r="B5057" s="110" t="s">
        <v>10</v>
      </c>
      <c r="C5057" s="300" t="s">
        <v>11</v>
      </c>
      <c r="D5057" s="300"/>
      <c r="E5057" s="300"/>
      <c r="F5057" s="300"/>
      <c r="G5057" s="301"/>
    </row>
    <row r="5058" spans="2:12" x14ac:dyDescent="0.4">
      <c r="B5058" s="114" t="s">
        <v>6</v>
      </c>
      <c r="C5058" s="302" t="s">
        <v>1</v>
      </c>
      <c r="D5058" s="303"/>
      <c r="E5058" s="112" t="s">
        <v>193</v>
      </c>
      <c r="F5058" s="120" t="s">
        <v>2</v>
      </c>
      <c r="G5058" s="114" t="s">
        <v>3</v>
      </c>
      <c r="H5058" s="106"/>
      <c r="I5058" s="107" t="s">
        <v>7</v>
      </c>
      <c r="J5058" s="136"/>
      <c r="K5058" s="107" t="s">
        <v>8</v>
      </c>
      <c r="L5058" s="115" t="s">
        <v>194</v>
      </c>
    </row>
    <row r="5059" spans="2:12" x14ac:dyDescent="0.4">
      <c r="B5059" s="122"/>
      <c r="C5059" s="306"/>
      <c r="D5059" s="306"/>
      <c r="E5059" s="116"/>
      <c r="F5059" s="83"/>
      <c r="G5059" s="74"/>
      <c r="I5059" s="117"/>
      <c r="K5059" s="84"/>
      <c r="L5059" s="118">
        <f>E5059*I5059</f>
        <v>0</v>
      </c>
    </row>
    <row r="5060" spans="2:12" x14ac:dyDescent="0.4">
      <c r="B5060" s="74"/>
      <c r="C5060" s="206"/>
      <c r="D5060" s="207"/>
      <c r="E5060" s="121"/>
      <c r="F5060" s="72"/>
      <c r="G5060" s="74"/>
      <c r="I5060" s="117">
        <f>IF(C5060=0,0,VLOOKUP(C5060,Tabla3[],3,FALSE))</f>
        <v>0</v>
      </c>
      <c r="K5060" s="84">
        <f t="shared" ref="K5060:K5062" si="771">+F5060*I5060</f>
        <v>0</v>
      </c>
      <c r="L5060" s="118">
        <f t="shared" ref="L5060:L5062" si="772">E5060*I5060</f>
        <v>0</v>
      </c>
    </row>
    <row r="5061" spans="2:12" x14ac:dyDescent="0.4">
      <c r="B5061" s="74"/>
      <c r="C5061" s="206"/>
      <c r="D5061" s="207"/>
      <c r="E5061" s="121"/>
      <c r="F5061" s="72"/>
      <c r="G5061" s="74"/>
      <c r="I5061" s="117">
        <f>IF(C5061=0,0,VLOOKUP(C5061,Tabla3[],3,FALSE))</f>
        <v>0</v>
      </c>
      <c r="K5061" s="84">
        <f t="shared" si="771"/>
        <v>0</v>
      </c>
      <c r="L5061" s="118">
        <f t="shared" si="772"/>
        <v>0</v>
      </c>
    </row>
    <row r="5062" spans="2:12" x14ac:dyDescent="0.4">
      <c r="B5062" s="74"/>
      <c r="C5062" s="304"/>
      <c r="D5062" s="305"/>
      <c r="E5062" s="121"/>
      <c r="F5062" s="72"/>
      <c r="G5062" s="74"/>
      <c r="I5062" s="117">
        <f>IF(C5062=0,0,VLOOKUP(C5062,Tabla3[],3,FALSE))</f>
        <v>0</v>
      </c>
      <c r="K5062" s="84">
        <f t="shared" si="771"/>
        <v>0</v>
      </c>
      <c r="L5062" s="118">
        <f t="shared" si="772"/>
        <v>0</v>
      </c>
    </row>
    <row r="5063" spans="2:12" ht="17.399999999999999" thickBot="1" x14ac:dyDescent="0.45"/>
    <row r="5064" spans="2:12" ht="17.399999999999999" thickBot="1" x14ac:dyDescent="0.45">
      <c r="F5064" s="292" t="s">
        <v>12</v>
      </c>
      <c r="G5064" s="293"/>
      <c r="H5064" s="293"/>
      <c r="I5064" s="294"/>
      <c r="K5064" s="229">
        <f>+SUM(K5059:K5062)</f>
        <v>0</v>
      </c>
      <c r="L5064" s="119">
        <f>+SUM(L5059:L5062)</f>
        <v>0</v>
      </c>
    </row>
    <row r="5065" spans="2:12" ht="17.399999999999999" thickBot="1" x14ac:dyDescent="0.45"/>
    <row r="5066" spans="2:12" ht="17.399999999999999" thickBot="1" x14ac:dyDescent="0.45">
      <c r="B5066" s="110" t="s">
        <v>13</v>
      </c>
      <c r="C5066" s="300" t="s">
        <v>14</v>
      </c>
      <c r="D5066" s="300"/>
      <c r="E5066" s="300"/>
      <c r="F5066" s="300"/>
      <c r="G5066" s="301"/>
    </row>
    <row r="5067" spans="2:12" x14ac:dyDescent="0.4">
      <c r="B5067" s="114" t="s">
        <v>6</v>
      </c>
      <c r="C5067" s="302" t="s">
        <v>1</v>
      </c>
      <c r="D5067" s="303"/>
      <c r="E5067" s="112" t="s">
        <v>193</v>
      </c>
      <c r="F5067" s="120" t="s">
        <v>2</v>
      </c>
      <c r="G5067" s="114" t="s">
        <v>3</v>
      </c>
      <c r="H5067" s="106"/>
      <c r="I5067" s="107" t="s">
        <v>7</v>
      </c>
      <c r="J5067" s="136"/>
      <c r="K5067" s="107" t="s">
        <v>8</v>
      </c>
      <c r="L5067" s="115" t="s">
        <v>194</v>
      </c>
    </row>
    <row r="5068" spans="2:12" x14ac:dyDescent="0.4">
      <c r="B5068" s="122">
        <v>1</v>
      </c>
      <c r="C5068" s="306" t="s">
        <v>277</v>
      </c>
      <c r="D5068" s="306"/>
      <c r="E5068" s="116">
        <f>I5040</f>
        <v>156</v>
      </c>
      <c r="F5068" s="83">
        <f>ROUND(E5068/I5040,2)</f>
        <v>1</v>
      </c>
      <c r="G5068" s="74" t="str">
        <f>IF(C5068=0,0,VLOOKUP(C5068,Tabla2[],2,FALSE))</f>
        <v>m²</v>
      </c>
      <c r="I5068" s="117">
        <f>IF(C5068=0,0,VLOOKUP(C5068,Tabla2[],3,FALSE))</f>
        <v>60</v>
      </c>
      <c r="K5068" s="84">
        <f>+F5068*I5068</f>
        <v>60</v>
      </c>
      <c r="L5068" s="118">
        <f>E5068*I5068</f>
        <v>9360</v>
      </c>
    </row>
    <row r="5069" spans="2:12" x14ac:dyDescent="0.4">
      <c r="B5069" s="122"/>
      <c r="C5069" s="306"/>
      <c r="D5069" s="306"/>
      <c r="E5069" s="116"/>
      <c r="F5069" s="83"/>
      <c r="G5069" s="74"/>
      <c r="I5069" s="117">
        <f>IF(C5069=0,0,VLOOKUP(C5069,Tabla2[],3,FALSE))</f>
        <v>0</v>
      </c>
      <c r="K5069" s="84">
        <f>+F5069*I5069</f>
        <v>0</v>
      </c>
      <c r="L5069" s="118">
        <f>E5069*I5069</f>
        <v>0</v>
      </c>
    </row>
    <row r="5070" spans="2:12" ht="17.399999999999999" thickBot="1" x14ac:dyDescent="0.45">
      <c r="B5070" s="123"/>
      <c r="C5070" s="307"/>
      <c r="D5070" s="308"/>
      <c r="E5070" s="124"/>
      <c r="F5070" s="125"/>
      <c r="G5070" s="74"/>
      <c r="I5070" s="117">
        <f>IF(C5070=0,0,VLOOKUP(C5070,Tabla2[],3,FALSE))</f>
        <v>0</v>
      </c>
      <c r="K5070" s="84">
        <f t="shared" ref="K5070" si="773">+F5070*I5070</f>
        <v>0</v>
      </c>
      <c r="L5070" s="118">
        <f t="shared" ref="L5070:L5071" si="774">E5070*I5070</f>
        <v>0</v>
      </c>
    </row>
    <row r="5071" spans="2:12" ht="17.399999999999999" thickBot="1" x14ac:dyDescent="0.45">
      <c r="B5071" s="297" t="s">
        <v>15</v>
      </c>
      <c r="C5071" s="298"/>
      <c r="D5071" s="298"/>
      <c r="E5071" s="298"/>
      <c r="F5071" s="298"/>
      <c r="G5071" s="299"/>
      <c r="I5071" s="84">
        <v>0</v>
      </c>
      <c r="K5071" s="84">
        <v>0</v>
      </c>
      <c r="L5071" s="118">
        <f t="shared" si="774"/>
        <v>0</v>
      </c>
    </row>
    <row r="5072" spans="2:12" ht="17.399999999999999" thickBot="1" x14ac:dyDescent="0.45"/>
    <row r="5073" spans="2:16" ht="17.399999999999999" thickBot="1" x14ac:dyDescent="0.45">
      <c r="F5073" s="292" t="s">
        <v>16</v>
      </c>
      <c r="G5073" s="293"/>
      <c r="H5073" s="293"/>
      <c r="I5073" s="294"/>
      <c r="K5073" s="229">
        <f>+SUM(K5068:K5071)</f>
        <v>60</v>
      </c>
      <c r="L5073" s="119">
        <f>+SUM(L5068:L5071)</f>
        <v>9360</v>
      </c>
    </row>
    <row r="5074" spans="2:16" ht="17.399999999999999" thickBot="1" x14ac:dyDescent="0.45"/>
    <row r="5075" spans="2:16" ht="17.399999999999999" thickBot="1" x14ac:dyDescent="0.45">
      <c r="B5075" s="110" t="s">
        <v>17</v>
      </c>
      <c r="C5075" s="300" t="s">
        <v>18</v>
      </c>
      <c r="D5075" s="300"/>
      <c r="E5075" s="300"/>
      <c r="F5075" s="300"/>
      <c r="G5075" s="301"/>
    </row>
    <row r="5076" spans="2:16" x14ac:dyDescent="0.4">
      <c r="B5076" s="114" t="s">
        <v>6</v>
      </c>
      <c r="C5076" s="302" t="s">
        <v>1</v>
      </c>
      <c r="D5076" s="303"/>
      <c r="E5076" s="126"/>
      <c r="F5076" s="120" t="s">
        <v>2</v>
      </c>
      <c r="G5076" s="114" t="s">
        <v>3</v>
      </c>
      <c r="H5076" s="106"/>
      <c r="I5076" s="107" t="s">
        <v>7</v>
      </c>
      <c r="J5076" s="136"/>
      <c r="K5076" s="107" t="s">
        <v>8</v>
      </c>
      <c r="L5076" s="115" t="s">
        <v>194</v>
      </c>
    </row>
    <row r="5077" spans="2:16" x14ac:dyDescent="0.4">
      <c r="B5077" s="74"/>
      <c r="C5077" s="304"/>
      <c r="D5077" s="305"/>
      <c r="E5077" s="127"/>
      <c r="F5077" s="72"/>
      <c r="G5077" s="74"/>
      <c r="I5077" s="84">
        <v>0</v>
      </c>
      <c r="K5077" s="84">
        <f>+F5077*I5077</f>
        <v>0</v>
      </c>
      <c r="L5077" s="118">
        <f>E5077*I5077</f>
        <v>0</v>
      </c>
    </row>
    <row r="5078" spans="2:16" x14ac:dyDescent="0.4">
      <c r="B5078" s="74"/>
      <c r="C5078" s="304"/>
      <c r="D5078" s="305"/>
      <c r="E5078" s="127"/>
      <c r="F5078" s="72"/>
      <c r="G5078" s="74"/>
      <c r="I5078" s="84">
        <v>0</v>
      </c>
      <c r="K5078" s="84">
        <f t="shared" ref="K5078:K5079" si="775">+F5078*I5078</f>
        <v>0</v>
      </c>
      <c r="L5078" s="118">
        <f t="shared" ref="L5078:L5079" si="776">E5078*I5078</f>
        <v>0</v>
      </c>
    </row>
    <row r="5079" spans="2:16" x14ac:dyDescent="0.4">
      <c r="B5079" s="74"/>
      <c r="C5079" s="304"/>
      <c r="D5079" s="305"/>
      <c r="E5079" s="127"/>
      <c r="F5079" s="72"/>
      <c r="G5079" s="74"/>
      <c r="I5079" s="84">
        <v>0</v>
      </c>
      <c r="K5079" s="84">
        <f t="shared" si="775"/>
        <v>0</v>
      </c>
      <c r="L5079" s="118">
        <f t="shared" si="776"/>
        <v>0</v>
      </c>
    </row>
    <row r="5080" spans="2:16" ht="17.399999999999999" thickBot="1" x14ac:dyDescent="0.45">
      <c r="L5080" s="118"/>
    </row>
    <row r="5081" spans="2:16" ht="17.399999999999999" thickBot="1" x14ac:dyDescent="0.45">
      <c r="F5081" s="292" t="s">
        <v>19</v>
      </c>
      <c r="G5081" s="293"/>
      <c r="H5081" s="293"/>
      <c r="I5081" s="294"/>
      <c r="K5081" s="229">
        <f>+SUM(K5077:K5079)</f>
        <v>0</v>
      </c>
      <c r="L5081" s="119">
        <f>+SUM(L5076:L5079)</f>
        <v>0</v>
      </c>
    </row>
    <row r="5082" spans="2:16" ht="15" customHeight="1" x14ac:dyDescent="0.4">
      <c r="F5082" s="128"/>
      <c r="G5082" s="129"/>
      <c r="H5082" s="130"/>
      <c r="I5082" s="108"/>
      <c r="K5082" s="230"/>
    </row>
    <row r="5083" spans="2:16" ht="15" customHeight="1" thickBot="1" x14ac:dyDescent="0.45"/>
    <row r="5084" spans="2:16" ht="17.399999999999999" thickBot="1" x14ac:dyDescent="0.45">
      <c r="F5084" s="292" t="s">
        <v>20</v>
      </c>
      <c r="G5084" s="293"/>
      <c r="H5084" s="293"/>
      <c r="I5084" s="294"/>
      <c r="K5084" s="229">
        <f>(+K5055+K5064+K5073+K5081)</f>
        <v>60</v>
      </c>
      <c r="L5084" s="119">
        <f>(+L5055+L5064+L5073+L5081)</f>
        <v>9360</v>
      </c>
      <c r="N5084" s="131"/>
      <c r="O5084" s="39"/>
      <c r="P5084" s="40"/>
    </row>
    <row r="5085" spans="2:16" ht="7.5" customHeight="1" thickBot="1" x14ac:dyDescent="0.45">
      <c r="N5085" s="131"/>
      <c r="O5085" s="41"/>
      <c r="P5085" s="40"/>
    </row>
    <row r="5086" spans="2:16" ht="17.399999999999999" thickBot="1" x14ac:dyDescent="0.45">
      <c r="F5086" s="292" t="s">
        <v>21</v>
      </c>
      <c r="G5086" s="293"/>
      <c r="H5086" s="293"/>
      <c r="I5086" s="294"/>
      <c r="K5086" s="229">
        <f>K5084*$N$2</f>
        <v>24</v>
      </c>
      <c r="L5086" s="119">
        <f>L5084*$N$2</f>
        <v>3744</v>
      </c>
    </row>
    <row r="5087" spans="2:16" ht="7.5" customHeight="1" thickBot="1" x14ac:dyDescent="0.45"/>
    <row r="5088" spans="2:16" ht="17.399999999999999" thickBot="1" x14ac:dyDescent="0.45">
      <c r="F5088" s="292" t="s">
        <v>22</v>
      </c>
      <c r="G5088" s="293"/>
      <c r="H5088" s="293"/>
      <c r="I5088" s="294"/>
      <c r="K5088" s="229">
        <f>+K5084+K5086</f>
        <v>84</v>
      </c>
      <c r="L5088" s="119">
        <f>+L5084+L5086</f>
        <v>13104</v>
      </c>
    </row>
    <row r="5089" spans="1:16" ht="17.399999999999999" thickBot="1" x14ac:dyDescent="0.45">
      <c r="F5089" s="128"/>
      <c r="G5089" s="129"/>
      <c r="H5089" s="130"/>
      <c r="I5089" s="108"/>
      <c r="K5089" s="231"/>
      <c r="L5089" s="132">
        <f>L5088/I5040</f>
        <v>84</v>
      </c>
      <c r="M5089" s="133">
        <f>(K5088-L5089)*I5040</f>
        <v>0</v>
      </c>
    </row>
    <row r="5090" spans="1:16" x14ac:dyDescent="0.4">
      <c r="F5090" s="128"/>
      <c r="G5090" s="129"/>
      <c r="H5090" s="130"/>
      <c r="I5090" s="108"/>
      <c r="K5090" s="232"/>
      <c r="L5090" s="131"/>
      <c r="M5090" s="134"/>
      <c r="N5090" s="135"/>
    </row>
    <row r="5091" spans="1:16" ht="17.399999999999999" thickBot="1" x14ac:dyDescent="0.45">
      <c r="B5091" s="295"/>
      <c r="C5091" s="295"/>
      <c r="D5091" s="295"/>
    </row>
    <row r="5092" spans="1:16" x14ac:dyDescent="0.4">
      <c r="B5092" s="296" t="s">
        <v>23</v>
      </c>
      <c r="C5092" s="296"/>
      <c r="D5092" s="296"/>
    </row>
    <row r="5093" spans="1:16" x14ac:dyDescent="0.4">
      <c r="B5093" s="157"/>
      <c r="C5093" s="157"/>
      <c r="D5093" s="157"/>
    </row>
    <row r="5094" spans="1:16" x14ac:dyDescent="0.4">
      <c r="B5094" s="157"/>
      <c r="C5094" s="157"/>
      <c r="D5094" s="157"/>
    </row>
    <row r="5095" spans="1:16" x14ac:dyDescent="0.4">
      <c r="B5095" s="105" t="s">
        <v>43</v>
      </c>
      <c r="C5095" s="106"/>
      <c r="D5095" s="311" t="s">
        <v>1</v>
      </c>
      <c r="E5095" s="311"/>
      <c r="F5095" s="311"/>
      <c r="G5095" s="311"/>
      <c r="H5095" s="106"/>
      <c r="I5095" s="107" t="s">
        <v>2</v>
      </c>
      <c r="J5095" s="136"/>
      <c r="K5095" s="107" t="s">
        <v>3</v>
      </c>
    </row>
    <row r="5096" spans="1:16" s="4" customFormat="1" ht="30.75" customHeight="1" x14ac:dyDescent="0.3">
      <c r="A5096" s="31"/>
      <c r="B5096" s="213">
        <f>CATALOGO!B137</f>
        <v>118.01</v>
      </c>
      <c r="C5096" s="137"/>
      <c r="D5096" s="322" t="str">
        <f>CATALOGO!C137</f>
        <v>DESMONTAJE DE ACCESORIOS ELÉCTRICOS</v>
      </c>
      <c r="E5096" s="322"/>
      <c r="F5096" s="322"/>
      <c r="G5096" s="322"/>
      <c r="H5096" s="137"/>
      <c r="I5096" s="213">
        <f>CATALOGO!D137</f>
        <v>14</v>
      </c>
      <c r="J5096" s="109"/>
      <c r="K5096" s="227" t="str">
        <f>CATALOGO!E137</f>
        <v>Unidad</v>
      </c>
      <c r="L5096" s="71"/>
      <c r="M5096" s="71"/>
      <c r="N5096" s="104"/>
      <c r="O5096" s="37"/>
      <c r="P5096" s="37"/>
    </row>
    <row r="5097" spans="1:16" ht="17.399999999999999" thickBot="1" x14ac:dyDescent="0.45"/>
    <row r="5098" spans="1:16" ht="17.399999999999999" thickBot="1" x14ac:dyDescent="0.45">
      <c r="B5098" s="110" t="s">
        <v>4</v>
      </c>
      <c r="C5098" s="300" t="s">
        <v>5</v>
      </c>
      <c r="D5098" s="300"/>
      <c r="E5098" s="300"/>
      <c r="F5098" s="300"/>
      <c r="G5098" s="301"/>
    </row>
    <row r="5099" spans="1:16" x14ac:dyDescent="0.4">
      <c r="B5099" s="111" t="s">
        <v>6</v>
      </c>
      <c r="C5099" s="313" t="s">
        <v>1</v>
      </c>
      <c r="D5099" s="314"/>
      <c r="E5099" s="112" t="s">
        <v>193</v>
      </c>
      <c r="F5099" s="113" t="s">
        <v>2</v>
      </c>
      <c r="G5099" s="114" t="s">
        <v>3</v>
      </c>
      <c r="H5099" s="106"/>
      <c r="I5099" s="107" t="s">
        <v>7</v>
      </c>
      <c r="J5099" s="136"/>
      <c r="K5099" s="228" t="s">
        <v>8</v>
      </c>
      <c r="L5099" s="115" t="s">
        <v>194</v>
      </c>
    </row>
    <row r="5100" spans="1:16" x14ac:dyDescent="0.4">
      <c r="B5100" s="74"/>
      <c r="C5100" s="306"/>
      <c r="D5100" s="306"/>
      <c r="E5100" s="116"/>
      <c r="F5100" s="83"/>
      <c r="G5100" s="74"/>
      <c r="I5100" s="117">
        <f>IF(C5100=0,0,VLOOKUP(C5100,Tabla1[],3,FALSE))</f>
        <v>0</v>
      </c>
      <c r="K5100" s="84">
        <f>+F5100*I5100</f>
        <v>0</v>
      </c>
      <c r="L5100" s="118">
        <f>E5100*I5100</f>
        <v>0</v>
      </c>
    </row>
    <row r="5101" spans="1:16" x14ac:dyDescent="0.4">
      <c r="B5101" s="74"/>
      <c r="C5101" s="306"/>
      <c r="D5101" s="306"/>
      <c r="E5101" s="116"/>
      <c r="F5101" s="83"/>
      <c r="G5101" s="74"/>
      <c r="I5101" s="117">
        <f>IF(C5101=0,0,VLOOKUP(C5101,Tabla1[],3,FALSE))</f>
        <v>0</v>
      </c>
      <c r="K5101" s="84">
        <f t="shared" ref="K5101:K5109" si="777">+F5101*I5101</f>
        <v>0</v>
      </c>
      <c r="L5101" s="118">
        <f t="shared" ref="L5101:L5109" si="778">E5101*I5101</f>
        <v>0</v>
      </c>
    </row>
    <row r="5102" spans="1:16" x14ac:dyDescent="0.4">
      <c r="B5102" s="74"/>
      <c r="C5102" s="306"/>
      <c r="D5102" s="306"/>
      <c r="E5102" s="116"/>
      <c r="F5102" s="83"/>
      <c r="G5102" s="74"/>
      <c r="I5102" s="117">
        <f>IF(C5102=0,0,VLOOKUP(C5102,Tabla1[],3,FALSE))</f>
        <v>0</v>
      </c>
      <c r="K5102" s="84">
        <f t="shared" si="777"/>
        <v>0</v>
      </c>
      <c r="L5102" s="118">
        <f t="shared" si="778"/>
        <v>0</v>
      </c>
    </row>
    <row r="5103" spans="1:16" x14ac:dyDescent="0.4">
      <c r="B5103" s="74"/>
      <c r="C5103" s="306"/>
      <c r="D5103" s="306"/>
      <c r="E5103" s="116"/>
      <c r="F5103" s="83"/>
      <c r="G5103" s="74"/>
      <c r="I5103" s="117">
        <f>IF(C5103=0,0,VLOOKUP(C5103,Tabla1[],3,FALSE))</f>
        <v>0</v>
      </c>
      <c r="K5103" s="84">
        <f t="shared" si="777"/>
        <v>0</v>
      </c>
      <c r="L5103" s="118">
        <f t="shared" si="778"/>
        <v>0</v>
      </c>
    </row>
    <row r="5104" spans="1:16" x14ac:dyDescent="0.4">
      <c r="B5104" s="74"/>
      <c r="C5104" s="321"/>
      <c r="D5104" s="321"/>
      <c r="E5104" s="116"/>
      <c r="F5104" s="83"/>
      <c r="G5104" s="74"/>
      <c r="I5104" s="117">
        <f>IF(C5104=0,0,VLOOKUP(C5104,Tabla1[],3,FALSE))</f>
        <v>0</v>
      </c>
      <c r="K5104" s="84">
        <f t="shared" si="777"/>
        <v>0</v>
      </c>
      <c r="L5104" s="118">
        <f t="shared" si="778"/>
        <v>0</v>
      </c>
    </row>
    <row r="5105" spans="2:12" x14ac:dyDescent="0.4">
      <c r="B5105" s="74"/>
      <c r="C5105" s="321"/>
      <c r="D5105" s="321"/>
      <c r="E5105" s="116"/>
      <c r="F5105" s="72"/>
      <c r="G5105" s="74"/>
      <c r="I5105" s="117">
        <f>IF(C5105=0,0,VLOOKUP(C5105,Tabla1[],3,FALSE))</f>
        <v>0</v>
      </c>
      <c r="K5105" s="84">
        <f t="shared" si="777"/>
        <v>0</v>
      </c>
      <c r="L5105" s="118">
        <f t="shared" si="778"/>
        <v>0</v>
      </c>
    </row>
    <row r="5106" spans="2:12" x14ac:dyDescent="0.4">
      <c r="B5106" s="74"/>
      <c r="C5106" s="321"/>
      <c r="D5106" s="321"/>
      <c r="E5106" s="116"/>
      <c r="F5106" s="72"/>
      <c r="G5106" s="74"/>
      <c r="I5106" s="117">
        <f>IF(C5106=0,0,VLOOKUP(C5106,Tabla1[],3,FALSE))</f>
        <v>0</v>
      </c>
      <c r="K5106" s="84">
        <f t="shared" si="777"/>
        <v>0</v>
      </c>
      <c r="L5106" s="118">
        <f t="shared" si="778"/>
        <v>0</v>
      </c>
    </row>
    <row r="5107" spans="2:12" x14ac:dyDescent="0.4">
      <c r="B5107" s="74"/>
      <c r="C5107" s="321"/>
      <c r="D5107" s="321"/>
      <c r="E5107" s="116"/>
      <c r="F5107" s="72"/>
      <c r="G5107" s="74"/>
      <c r="I5107" s="117">
        <f>IF(C5107=0,0,VLOOKUP(C5107,Tabla1[],3,FALSE))</f>
        <v>0</v>
      </c>
      <c r="K5107" s="84">
        <f t="shared" si="777"/>
        <v>0</v>
      </c>
      <c r="L5107" s="118">
        <f t="shared" si="778"/>
        <v>0</v>
      </c>
    </row>
    <row r="5108" spans="2:12" x14ac:dyDescent="0.4">
      <c r="B5108" s="74"/>
      <c r="C5108" s="321"/>
      <c r="D5108" s="321"/>
      <c r="E5108" s="116"/>
      <c r="F5108" s="72"/>
      <c r="G5108" s="74"/>
      <c r="I5108" s="117">
        <f>IF(C5108=0,0,VLOOKUP(C5108,Tabla1[],3,FALSE))</f>
        <v>0</v>
      </c>
      <c r="K5108" s="84">
        <f t="shared" si="777"/>
        <v>0</v>
      </c>
      <c r="L5108" s="118">
        <f t="shared" si="778"/>
        <v>0</v>
      </c>
    </row>
    <row r="5109" spans="2:12" x14ac:dyDescent="0.4">
      <c r="B5109" s="74"/>
      <c r="C5109" s="321"/>
      <c r="D5109" s="321"/>
      <c r="E5109" s="116"/>
      <c r="F5109" s="72"/>
      <c r="G5109" s="74"/>
      <c r="I5109" s="117">
        <f>IF(C5109=0,0,VLOOKUP(C5109,Tabla1[],3,FALSE))</f>
        <v>0</v>
      </c>
      <c r="K5109" s="84">
        <f t="shared" si="777"/>
        <v>0</v>
      </c>
      <c r="L5109" s="118">
        <f t="shared" si="778"/>
        <v>0</v>
      </c>
    </row>
    <row r="5110" spans="2:12" ht="17.399999999999999" thickBot="1" x14ac:dyDescent="0.45"/>
    <row r="5111" spans="2:12" ht="17.399999999999999" thickBot="1" x14ac:dyDescent="0.45">
      <c r="F5111" s="292" t="s">
        <v>9</v>
      </c>
      <c r="G5111" s="293"/>
      <c r="H5111" s="293"/>
      <c r="I5111" s="294"/>
      <c r="K5111" s="229">
        <f>+SUM(K5100:K5109)</f>
        <v>0</v>
      </c>
      <c r="L5111" s="119">
        <f>+SUM(L5100:L5109)</f>
        <v>0</v>
      </c>
    </row>
    <row r="5112" spans="2:12" ht="17.399999999999999" thickBot="1" x14ac:dyDescent="0.45"/>
    <row r="5113" spans="2:12" ht="17.399999999999999" thickBot="1" x14ac:dyDescent="0.45">
      <c r="B5113" s="110" t="s">
        <v>10</v>
      </c>
      <c r="C5113" s="300" t="s">
        <v>11</v>
      </c>
      <c r="D5113" s="300"/>
      <c r="E5113" s="300"/>
      <c r="F5113" s="300"/>
      <c r="G5113" s="301"/>
    </row>
    <row r="5114" spans="2:12" x14ac:dyDescent="0.4">
      <c r="B5114" s="114" t="s">
        <v>6</v>
      </c>
      <c r="C5114" s="302" t="s">
        <v>1</v>
      </c>
      <c r="D5114" s="303"/>
      <c r="E5114" s="112" t="s">
        <v>193</v>
      </c>
      <c r="F5114" s="120" t="s">
        <v>2</v>
      </c>
      <c r="G5114" s="114" t="s">
        <v>3</v>
      </c>
      <c r="H5114" s="106"/>
      <c r="I5114" s="107" t="s">
        <v>7</v>
      </c>
      <c r="J5114" s="136"/>
      <c r="K5114" s="107" t="s">
        <v>8</v>
      </c>
      <c r="L5114" s="115" t="s">
        <v>194</v>
      </c>
    </row>
    <row r="5115" spans="2:12" x14ac:dyDescent="0.4">
      <c r="B5115" s="122"/>
      <c r="C5115" s="306"/>
      <c r="D5115" s="306"/>
      <c r="E5115" s="116"/>
      <c r="F5115" s="83"/>
      <c r="G5115" s="74"/>
      <c r="I5115" s="117">
        <f>IF(C5115=0,0,VLOOKUP(C5115,Tabla3[],3,FALSE))</f>
        <v>0</v>
      </c>
      <c r="K5115" s="84">
        <f t="shared" ref="K5115:K5118" si="779">+F5115*I5115</f>
        <v>0</v>
      </c>
      <c r="L5115" s="118">
        <f>E5115*I5115</f>
        <v>0</v>
      </c>
    </row>
    <row r="5116" spans="2:12" x14ac:dyDescent="0.4">
      <c r="B5116" s="74"/>
      <c r="C5116" s="206"/>
      <c r="D5116" s="207"/>
      <c r="E5116" s="121"/>
      <c r="F5116" s="72"/>
      <c r="G5116" s="74"/>
      <c r="I5116" s="117">
        <f>IF(C5116=0,0,VLOOKUP(C5116,Tabla3[],3,FALSE))</f>
        <v>0</v>
      </c>
      <c r="K5116" s="84">
        <f t="shared" si="779"/>
        <v>0</v>
      </c>
      <c r="L5116" s="118">
        <f t="shared" ref="L5116:L5118" si="780">E5116*I5116</f>
        <v>0</v>
      </c>
    </row>
    <row r="5117" spans="2:12" x14ac:dyDescent="0.4">
      <c r="B5117" s="74"/>
      <c r="C5117" s="206"/>
      <c r="D5117" s="207"/>
      <c r="E5117" s="121"/>
      <c r="F5117" s="72"/>
      <c r="G5117" s="74"/>
      <c r="I5117" s="117">
        <f>IF(C5117=0,0,VLOOKUP(C5117,Tabla3[],3,FALSE))</f>
        <v>0</v>
      </c>
      <c r="K5117" s="84">
        <f t="shared" si="779"/>
        <v>0</v>
      </c>
      <c r="L5117" s="118">
        <f t="shared" si="780"/>
        <v>0</v>
      </c>
    </row>
    <row r="5118" spans="2:12" x14ac:dyDescent="0.4">
      <c r="B5118" s="74"/>
      <c r="C5118" s="304"/>
      <c r="D5118" s="305"/>
      <c r="E5118" s="121"/>
      <c r="F5118" s="72"/>
      <c r="G5118" s="74"/>
      <c r="I5118" s="117">
        <f>IF(C5118=0,0,VLOOKUP(C5118,Tabla3[],3,FALSE))</f>
        <v>0</v>
      </c>
      <c r="K5118" s="84">
        <f t="shared" si="779"/>
        <v>0</v>
      </c>
      <c r="L5118" s="118">
        <f t="shared" si="780"/>
        <v>0</v>
      </c>
    </row>
    <row r="5119" spans="2:12" ht="17.399999999999999" thickBot="1" x14ac:dyDescent="0.45"/>
    <row r="5120" spans="2:12" ht="17.399999999999999" thickBot="1" x14ac:dyDescent="0.45">
      <c r="F5120" s="292" t="s">
        <v>12</v>
      </c>
      <c r="G5120" s="293"/>
      <c r="H5120" s="293"/>
      <c r="I5120" s="294"/>
      <c r="K5120" s="229">
        <f>+SUM(K5115:K5118)</f>
        <v>0</v>
      </c>
      <c r="L5120" s="119">
        <f>+SUM(L5115:L5118)</f>
        <v>0</v>
      </c>
    </row>
    <row r="5121" spans="2:12" ht="17.399999999999999" thickBot="1" x14ac:dyDescent="0.45"/>
    <row r="5122" spans="2:12" ht="17.399999999999999" thickBot="1" x14ac:dyDescent="0.45">
      <c r="B5122" s="110" t="s">
        <v>13</v>
      </c>
      <c r="C5122" s="300" t="s">
        <v>14</v>
      </c>
      <c r="D5122" s="300"/>
      <c r="E5122" s="300"/>
      <c r="F5122" s="300"/>
      <c r="G5122" s="301"/>
    </row>
    <row r="5123" spans="2:12" x14ac:dyDescent="0.4">
      <c r="B5123" s="114" t="s">
        <v>6</v>
      </c>
      <c r="C5123" s="302" t="s">
        <v>1</v>
      </c>
      <c r="D5123" s="303"/>
      <c r="E5123" s="112" t="s">
        <v>193</v>
      </c>
      <c r="F5123" s="120" t="s">
        <v>2</v>
      </c>
      <c r="G5123" s="114" t="s">
        <v>3</v>
      </c>
      <c r="H5123" s="106"/>
      <c r="I5123" s="107" t="s">
        <v>7</v>
      </c>
      <c r="J5123" s="136"/>
      <c r="K5123" s="107" t="s">
        <v>8</v>
      </c>
      <c r="L5123" s="115" t="s">
        <v>194</v>
      </c>
    </row>
    <row r="5124" spans="2:12" x14ac:dyDescent="0.4">
      <c r="B5124" s="122">
        <v>1</v>
      </c>
      <c r="C5124" s="306" t="s">
        <v>464</v>
      </c>
      <c r="D5124" s="306"/>
      <c r="E5124" s="116">
        <f>I5096</f>
        <v>14</v>
      </c>
      <c r="F5124" s="83">
        <f>ROUND(E5124/I5096,2)</f>
        <v>1</v>
      </c>
      <c r="G5124" s="74" t="str">
        <f>IF(C5124=0,0,VLOOKUP(C5124,Tabla2[],2,FALSE))</f>
        <v>Unidad</v>
      </c>
      <c r="I5124" s="117">
        <f>IF(C5124=0,0,VLOOKUP(C5124,Tabla2[],3,FALSE))</f>
        <v>60</v>
      </c>
      <c r="K5124" s="84">
        <f>+F5124*I5124</f>
        <v>60</v>
      </c>
      <c r="L5124" s="118">
        <f>E5124*I5124</f>
        <v>840</v>
      </c>
    </row>
    <row r="5125" spans="2:12" x14ac:dyDescent="0.4">
      <c r="B5125" s="122"/>
      <c r="C5125" s="306"/>
      <c r="D5125" s="306"/>
      <c r="E5125" s="116"/>
      <c r="F5125" s="83"/>
      <c r="G5125" s="74"/>
      <c r="I5125" s="117">
        <f>IF(C5125=0,0,VLOOKUP(C5125,Tabla2[],3,FALSE))</f>
        <v>0</v>
      </c>
      <c r="K5125" s="84">
        <f>+F5125*I5125</f>
        <v>0</v>
      </c>
      <c r="L5125" s="118">
        <f>E5125*I5125</f>
        <v>0</v>
      </c>
    </row>
    <row r="5126" spans="2:12" ht="17.399999999999999" thickBot="1" x14ac:dyDescent="0.45">
      <c r="B5126" s="123"/>
      <c r="C5126" s="307"/>
      <c r="D5126" s="308"/>
      <c r="E5126" s="124"/>
      <c r="F5126" s="125"/>
      <c r="G5126" s="74"/>
      <c r="I5126" s="117">
        <f>IF(C5126=0,0,VLOOKUP(C5126,Tabla2[],3,FALSE))</f>
        <v>0</v>
      </c>
      <c r="K5126" s="84">
        <f t="shared" ref="K5126" si="781">+F5126*I5126</f>
        <v>0</v>
      </c>
      <c r="L5126" s="118">
        <f t="shared" ref="L5126:L5127" si="782">E5126*I5126</f>
        <v>0</v>
      </c>
    </row>
    <row r="5127" spans="2:12" ht="17.399999999999999" thickBot="1" x14ac:dyDescent="0.45">
      <c r="B5127" s="297" t="s">
        <v>15</v>
      </c>
      <c r="C5127" s="298"/>
      <c r="D5127" s="298"/>
      <c r="E5127" s="298"/>
      <c r="F5127" s="298"/>
      <c r="G5127" s="299"/>
      <c r="I5127" s="84">
        <v>0</v>
      </c>
      <c r="K5127" s="84">
        <v>0</v>
      </c>
      <c r="L5127" s="118">
        <f t="shared" si="782"/>
        <v>0</v>
      </c>
    </row>
    <row r="5128" spans="2:12" ht="17.399999999999999" thickBot="1" x14ac:dyDescent="0.45"/>
    <row r="5129" spans="2:12" ht="17.399999999999999" thickBot="1" x14ac:dyDescent="0.45">
      <c r="F5129" s="292" t="s">
        <v>16</v>
      </c>
      <c r="G5129" s="293"/>
      <c r="H5129" s="293"/>
      <c r="I5129" s="294"/>
      <c r="K5129" s="229">
        <f>+SUM(K5124:K5127)</f>
        <v>60</v>
      </c>
      <c r="L5129" s="119">
        <f>+SUM(L5124:L5127)</f>
        <v>840</v>
      </c>
    </row>
    <row r="5130" spans="2:12" ht="17.399999999999999" thickBot="1" x14ac:dyDescent="0.45"/>
    <row r="5131" spans="2:12" ht="17.399999999999999" thickBot="1" x14ac:dyDescent="0.45">
      <c r="B5131" s="110" t="s">
        <v>17</v>
      </c>
      <c r="C5131" s="300" t="s">
        <v>18</v>
      </c>
      <c r="D5131" s="300"/>
      <c r="E5131" s="300"/>
      <c r="F5131" s="300"/>
      <c r="G5131" s="301"/>
    </row>
    <row r="5132" spans="2:12" x14ac:dyDescent="0.4">
      <c r="B5132" s="114" t="s">
        <v>6</v>
      </c>
      <c r="C5132" s="302" t="s">
        <v>1</v>
      </c>
      <c r="D5132" s="303"/>
      <c r="E5132" s="126"/>
      <c r="F5132" s="120" t="s">
        <v>2</v>
      </c>
      <c r="G5132" s="114" t="s">
        <v>3</v>
      </c>
      <c r="H5132" s="106"/>
      <c r="I5132" s="107" t="s">
        <v>7</v>
      </c>
      <c r="J5132" s="136"/>
      <c r="K5132" s="107" t="s">
        <v>8</v>
      </c>
      <c r="L5132" s="115" t="s">
        <v>194</v>
      </c>
    </row>
    <row r="5133" spans="2:12" x14ac:dyDescent="0.4">
      <c r="B5133" s="74"/>
      <c r="C5133" s="304"/>
      <c r="D5133" s="305"/>
      <c r="E5133" s="127"/>
      <c r="F5133" s="72"/>
      <c r="G5133" s="74"/>
      <c r="I5133" s="84">
        <v>0</v>
      </c>
      <c r="K5133" s="84">
        <f>+F5133*I5133</f>
        <v>0</v>
      </c>
      <c r="L5133" s="118">
        <f>E5133*I5133</f>
        <v>0</v>
      </c>
    </row>
    <row r="5134" spans="2:12" x14ac:dyDescent="0.4">
      <c r="B5134" s="74"/>
      <c r="C5134" s="304"/>
      <c r="D5134" s="305"/>
      <c r="E5134" s="127"/>
      <c r="F5134" s="72"/>
      <c r="G5134" s="74"/>
      <c r="I5134" s="84">
        <v>0</v>
      </c>
      <c r="K5134" s="84">
        <f t="shared" ref="K5134:K5135" si="783">+F5134*I5134</f>
        <v>0</v>
      </c>
      <c r="L5134" s="118">
        <f t="shared" ref="L5134:L5135" si="784">E5134*I5134</f>
        <v>0</v>
      </c>
    </row>
    <row r="5135" spans="2:12" x14ac:dyDescent="0.4">
      <c r="B5135" s="74"/>
      <c r="C5135" s="304"/>
      <c r="D5135" s="305"/>
      <c r="E5135" s="127"/>
      <c r="F5135" s="72"/>
      <c r="G5135" s="74"/>
      <c r="I5135" s="84">
        <v>0</v>
      </c>
      <c r="K5135" s="84">
        <f t="shared" si="783"/>
        <v>0</v>
      </c>
      <c r="L5135" s="118">
        <f t="shared" si="784"/>
        <v>0</v>
      </c>
    </row>
    <row r="5136" spans="2:12" ht="17.399999999999999" thickBot="1" x14ac:dyDescent="0.45">
      <c r="L5136" s="118"/>
    </row>
    <row r="5137" spans="1:16" ht="17.399999999999999" thickBot="1" x14ac:dyDescent="0.45">
      <c r="F5137" s="292" t="s">
        <v>19</v>
      </c>
      <c r="G5137" s="293"/>
      <c r="H5137" s="293"/>
      <c r="I5137" s="294"/>
      <c r="K5137" s="229">
        <f>+SUM(K5133:K5135)</f>
        <v>0</v>
      </c>
      <c r="L5137" s="119">
        <f>+SUM(L5132:L5135)</f>
        <v>0</v>
      </c>
    </row>
    <row r="5138" spans="1:16" ht="15" customHeight="1" x14ac:dyDescent="0.4">
      <c r="F5138" s="128"/>
      <c r="G5138" s="129"/>
      <c r="H5138" s="130"/>
      <c r="I5138" s="108"/>
      <c r="K5138" s="230"/>
    </row>
    <row r="5139" spans="1:16" ht="15" customHeight="1" thickBot="1" x14ac:dyDescent="0.45"/>
    <row r="5140" spans="1:16" ht="17.399999999999999" thickBot="1" x14ac:dyDescent="0.45">
      <c r="F5140" s="292" t="s">
        <v>20</v>
      </c>
      <c r="G5140" s="293"/>
      <c r="H5140" s="293"/>
      <c r="I5140" s="294"/>
      <c r="K5140" s="229">
        <f>(+K5111+K5120+K5129+K5137)</f>
        <v>60</v>
      </c>
      <c r="L5140" s="119">
        <f>(+L5111+L5120+L5129+L5137)</f>
        <v>840</v>
      </c>
      <c r="N5140" s="131"/>
      <c r="O5140" s="39"/>
      <c r="P5140" s="40"/>
    </row>
    <row r="5141" spans="1:16" ht="7.5" customHeight="1" thickBot="1" x14ac:dyDescent="0.45">
      <c r="N5141" s="131"/>
      <c r="O5141" s="41"/>
      <c r="P5141" s="40"/>
    </row>
    <row r="5142" spans="1:16" ht="17.399999999999999" thickBot="1" x14ac:dyDescent="0.45">
      <c r="F5142" s="292" t="s">
        <v>21</v>
      </c>
      <c r="G5142" s="293"/>
      <c r="H5142" s="293"/>
      <c r="I5142" s="294"/>
      <c r="K5142" s="229">
        <f>K5140*$N$2</f>
        <v>24</v>
      </c>
      <c r="L5142" s="119">
        <f>L5140*$N$2</f>
        <v>336</v>
      </c>
    </row>
    <row r="5143" spans="1:16" ht="7.5" customHeight="1" thickBot="1" x14ac:dyDescent="0.45"/>
    <row r="5144" spans="1:16" ht="17.399999999999999" thickBot="1" x14ac:dyDescent="0.45">
      <c r="F5144" s="292" t="s">
        <v>22</v>
      </c>
      <c r="G5144" s="293"/>
      <c r="H5144" s="293"/>
      <c r="I5144" s="294"/>
      <c r="K5144" s="229">
        <f>+K5140+K5142</f>
        <v>84</v>
      </c>
      <c r="L5144" s="119">
        <f>+L5140+L5142</f>
        <v>1176</v>
      </c>
    </row>
    <row r="5145" spans="1:16" ht="17.399999999999999" thickBot="1" x14ac:dyDescent="0.45">
      <c r="F5145" s="128"/>
      <c r="G5145" s="129"/>
      <c r="H5145" s="130"/>
      <c r="I5145" s="108"/>
      <c r="K5145" s="231"/>
      <c r="L5145" s="132">
        <f>L5144/I5096</f>
        <v>84</v>
      </c>
      <c r="M5145" s="133">
        <f>(K5144-L5145)*I5096</f>
        <v>0</v>
      </c>
    </row>
    <row r="5146" spans="1:16" x14ac:dyDescent="0.4">
      <c r="F5146" s="128"/>
      <c r="G5146" s="129"/>
      <c r="H5146" s="130"/>
      <c r="I5146" s="108"/>
      <c r="K5146" s="232"/>
      <c r="L5146" s="131"/>
      <c r="M5146" s="134"/>
      <c r="N5146" s="135"/>
    </row>
    <row r="5147" spans="1:16" ht="17.399999999999999" thickBot="1" x14ac:dyDescent="0.45">
      <c r="B5147" s="295"/>
      <c r="C5147" s="295"/>
      <c r="D5147" s="295"/>
    </row>
    <row r="5148" spans="1:16" x14ac:dyDescent="0.4">
      <c r="B5148" s="296" t="s">
        <v>23</v>
      </c>
      <c r="C5148" s="296"/>
      <c r="D5148" s="296"/>
    </row>
    <row r="5149" spans="1:16" x14ac:dyDescent="0.4">
      <c r="B5149" s="157"/>
      <c r="C5149" s="157"/>
      <c r="D5149" s="157"/>
    </row>
    <row r="5151" spans="1:16" x14ac:dyDescent="0.4">
      <c r="B5151" s="105" t="s">
        <v>43</v>
      </c>
      <c r="C5151" s="106"/>
      <c r="D5151" s="311" t="s">
        <v>1</v>
      </c>
      <c r="E5151" s="311"/>
      <c r="F5151" s="311"/>
      <c r="G5151" s="311"/>
      <c r="H5151" s="106"/>
      <c r="I5151" s="107" t="s">
        <v>2</v>
      </c>
      <c r="J5151" s="136"/>
      <c r="K5151" s="107" t="s">
        <v>3</v>
      </c>
    </row>
    <row r="5152" spans="1:16" s="4" customFormat="1" ht="30.75" customHeight="1" x14ac:dyDescent="0.3">
      <c r="A5152" s="31"/>
      <c r="B5152" s="213">
        <f>CATALOGO!B140</f>
        <v>105.02</v>
      </c>
      <c r="C5152" s="71"/>
      <c r="D5152" s="324" t="str">
        <f>CATALOGO!C140</f>
        <v>DESMONTAJE DE PUERTA DE METAL (UNA HOJA)</v>
      </c>
      <c r="E5152" s="324"/>
      <c r="F5152" s="324"/>
      <c r="G5152" s="324"/>
      <c r="H5152" s="71"/>
      <c r="I5152" s="213">
        <f>CATALOGO!D140</f>
        <v>3</v>
      </c>
      <c r="J5152" s="109"/>
      <c r="K5152" s="227" t="str">
        <f>CATALOGO!E140</f>
        <v>Unidad</v>
      </c>
      <c r="L5152" s="71"/>
      <c r="M5152" s="71"/>
      <c r="N5152" s="104"/>
      <c r="O5152" s="37"/>
      <c r="P5152" s="37"/>
    </row>
    <row r="5153" spans="2:16" ht="17.399999999999999" thickBot="1" x14ac:dyDescent="0.45"/>
    <row r="5154" spans="2:16" ht="17.399999999999999" thickBot="1" x14ac:dyDescent="0.45">
      <c r="B5154" s="110" t="s">
        <v>4</v>
      </c>
      <c r="C5154" s="300" t="s">
        <v>5</v>
      </c>
      <c r="D5154" s="300"/>
      <c r="E5154" s="300"/>
      <c r="F5154" s="300"/>
      <c r="G5154" s="301"/>
    </row>
    <row r="5155" spans="2:16" x14ac:dyDescent="0.3">
      <c r="B5155" s="111" t="s">
        <v>6</v>
      </c>
      <c r="C5155" s="313" t="s">
        <v>1</v>
      </c>
      <c r="D5155" s="314"/>
      <c r="E5155" s="112" t="s">
        <v>193</v>
      </c>
      <c r="F5155" s="113" t="s">
        <v>2</v>
      </c>
      <c r="G5155" s="114" t="s">
        <v>3</v>
      </c>
      <c r="H5155" s="106"/>
      <c r="I5155" s="107" t="s">
        <v>7</v>
      </c>
      <c r="J5155" s="136"/>
      <c r="K5155" s="228" t="s">
        <v>8</v>
      </c>
      <c r="L5155" s="115" t="s">
        <v>194</v>
      </c>
      <c r="O5155" s="323"/>
      <c r="P5155" s="323"/>
    </row>
    <row r="5156" spans="2:16" ht="16.5" customHeight="1" x14ac:dyDescent="0.3">
      <c r="B5156" s="122"/>
      <c r="C5156" s="315"/>
      <c r="D5156" s="316"/>
      <c r="E5156" s="116"/>
      <c r="F5156" s="83"/>
      <c r="G5156" s="74"/>
      <c r="I5156" s="117">
        <f>IF(C5156=0,0,VLOOKUP(C5156,Tabla1[],3,FALSE))</f>
        <v>0</v>
      </c>
      <c r="K5156" s="84">
        <f>F5156*I5156</f>
        <v>0</v>
      </c>
      <c r="L5156" s="118">
        <f t="shared" ref="L5156:L5165" si="785">E5156*I5156</f>
        <v>0</v>
      </c>
      <c r="O5156" s="44"/>
      <c r="P5156" s="45"/>
    </row>
    <row r="5157" spans="2:16" x14ac:dyDescent="0.3">
      <c r="B5157" s="122"/>
      <c r="C5157" s="315"/>
      <c r="D5157" s="316"/>
      <c r="E5157" s="116"/>
      <c r="F5157" s="83"/>
      <c r="G5157" s="74"/>
      <c r="I5157" s="117">
        <f>IF(C5157=0,0,VLOOKUP(C5157,Tabla1[],3,FALSE))</f>
        <v>0</v>
      </c>
      <c r="K5157" s="84">
        <f t="shared" ref="K5157:K5158" si="786">+F5157*I5157</f>
        <v>0</v>
      </c>
      <c r="L5157" s="118">
        <f t="shared" si="785"/>
        <v>0</v>
      </c>
      <c r="O5157" s="44"/>
      <c r="P5157" s="47"/>
    </row>
    <row r="5158" spans="2:16" x14ac:dyDescent="0.4">
      <c r="B5158" s="122"/>
      <c r="C5158" s="315"/>
      <c r="D5158" s="316"/>
      <c r="E5158" s="116"/>
      <c r="F5158" s="83"/>
      <c r="G5158" s="74"/>
      <c r="I5158" s="117">
        <f>IF(C5158=0,0,VLOOKUP(C5158,Tabla1[],3,FALSE))</f>
        <v>0</v>
      </c>
      <c r="K5158" s="84">
        <f t="shared" si="786"/>
        <v>0</v>
      </c>
      <c r="L5158" s="118">
        <f t="shared" si="785"/>
        <v>0</v>
      </c>
      <c r="O5158" s="48"/>
      <c r="P5158" s="49"/>
    </row>
    <row r="5159" spans="2:16" ht="16.5" customHeight="1" x14ac:dyDescent="0.3">
      <c r="B5159" s="122"/>
      <c r="C5159" s="315"/>
      <c r="D5159" s="316"/>
      <c r="E5159" s="116"/>
      <c r="F5159" s="83"/>
      <c r="G5159" s="74"/>
      <c r="I5159" s="117">
        <f>IF(C5159=0,0,VLOOKUP(C5159,Tabla1[],3,FALSE))</f>
        <v>0</v>
      </c>
      <c r="K5159" s="84">
        <f>F5159*I5159</f>
        <v>0</v>
      </c>
      <c r="L5159" s="118">
        <f t="shared" si="785"/>
        <v>0</v>
      </c>
      <c r="O5159" s="44"/>
      <c r="P5159" s="45"/>
    </row>
    <row r="5160" spans="2:16" ht="16.5" customHeight="1" x14ac:dyDescent="0.3">
      <c r="B5160" s="122"/>
      <c r="C5160" s="315"/>
      <c r="D5160" s="316"/>
      <c r="E5160" s="116"/>
      <c r="F5160" s="83"/>
      <c r="G5160" s="74"/>
      <c r="I5160" s="117">
        <f>IF(C5160=0,0,VLOOKUP(C5160,Tabla1[],3,FALSE))</f>
        <v>0</v>
      </c>
      <c r="K5160" s="84">
        <f t="shared" ref="K5160:K5165" si="787">+F5160*I5160</f>
        <v>0</v>
      </c>
      <c r="L5160" s="118">
        <f t="shared" si="785"/>
        <v>0</v>
      </c>
      <c r="O5160" s="44"/>
      <c r="P5160" s="46"/>
    </row>
    <row r="5161" spans="2:16" x14ac:dyDescent="0.3">
      <c r="B5161" s="122"/>
      <c r="C5161" s="315"/>
      <c r="D5161" s="316"/>
      <c r="E5161" s="116"/>
      <c r="F5161" s="83"/>
      <c r="G5161" s="74"/>
      <c r="I5161" s="117">
        <f>IF(C5161=0,0,VLOOKUP(C5161,Tabla1[],3,FALSE))</f>
        <v>0</v>
      </c>
      <c r="K5161" s="84">
        <f t="shared" si="787"/>
        <v>0</v>
      </c>
      <c r="L5161" s="118">
        <f t="shared" si="785"/>
        <v>0</v>
      </c>
      <c r="O5161" s="44"/>
      <c r="P5161" s="46"/>
    </row>
    <row r="5162" spans="2:16" x14ac:dyDescent="0.4">
      <c r="B5162" s="122"/>
      <c r="C5162" s="315"/>
      <c r="D5162" s="316"/>
      <c r="E5162" s="116"/>
      <c r="F5162" s="83"/>
      <c r="G5162" s="74"/>
      <c r="I5162" s="117">
        <f>IF(C5162=0,0,VLOOKUP(C5162,Tabla1[],3,FALSE))</f>
        <v>0</v>
      </c>
      <c r="K5162" s="84">
        <f t="shared" si="787"/>
        <v>0</v>
      </c>
      <c r="L5162" s="118">
        <f t="shared" si="785"/>
        <v>0</v>
      </c>
      <c r="O5162" s="48"/>
      <c r="P5162" s="49"/>
    </row>
    <row r="5163" spans="2:16" x14ac:dyDescent="0.4">
      <c r="B5163" s="122"/>
      <c r="C5163" s="319"/>
      <c r="D5163" s="318"/>
      <c r="E5163" s="116"/>
      <c r="F5163" s="83"/>
      <c r="G5163" s="74"/>
      <c r="I5163" s="117">
        <f>IF(C5163=0,0,VLOOKUP(C5163,Tabla1[],3,FALSE))</f>
        <v>0</v>
      </c>
      <c r="K5163" s="84">
        <f t="shared" si="787"/>
        <v>0</v>
      </c>
      <c r="L5163" s="118">
        <f t="shared" si="785"/>
        <v>0</v>
      </c>
      <c r="O5163" s="48"/>
      <c r="P5163" s="49"/>
    </row>
    <row r="5164" spans="2:16" x14ac:dyDescent="0.4">
      <c r="B5164" s="122"/>
      <c r="C5164" s="319"/>
      <c r="D5164" s="318"/>
      <c r="E5164" s="116"/>
      <c r="F5164" s="83"/>
      <c r="G5164" s="74"/>
      <c r="I5164" s="117">
        <f>IF(C5164=0,0,VLOOKUP(C5164,Tabla1[],3,FALSE))</f>
        <v>0</v>
      </c>
      <c r="K5164" s="84">
        <f t="shared" si="787"/>
        <v>0</v>
      </c>
      <c r="L5164" s="118">
        <f t="shared" si="785"/>
        <v>0</v>
      </c>
      <c r="O5164" s="48"/>
      <c r="P5164" s="49"/>
    </row>
    <row r="5165" spans="2:16" x14ac:dyDescent="0.4">
      <c r="B5165" s="122"/>
      <c r="C5165" s="319"/>
      <c r="D5165" s="318"/>
      <c r="E5165" s="116"/>
      <c r="F5165" s="83"/>
      <c r="G5165" s="74"/>
      <c r="I5165" s="117">
        <f>IF(C5165=0,0,VLOOKUP(C5165,Tabla1[],3,FALSE))</f>
        <v>0</v>
      </c>
      <c r="K5165" s="84">
        <f t="shared" si="787"/>
        <v>0</v>
      </c>
      <c r="L5165" s="118">
        <f t="shared" si="785"/>
        <v>0</v>
      </c>
      <c r="O5165" s="48"/>
      <c r="P5165" s="49"/>
    </row>
    <row r="5166" spans="2:16" ht="17.399999999999999" thickBot="1" x14ac:dyDescent="0.45"/>
    <row r="5167" spans="2:16" ht="17.399999999999999" thickBot="1" x14ac:dyDescent="0.35">
      <c r="F5167" s="292" t="s">
        <v>9</v>
      </c>
      <c r="G5167" s="293"/>
      <c r="H5167" s="293"/>
      <c r="I5167" s="294"/>
      <c r="K5167" s="229">
        <f>+SUM(K5156:K5165)</f>
        <v>0</v>
      </c>
      <c r="L5167" s="119">
        <f>+SUM(L5156:L5165)</f>
        <v>0</v>
      </c>
      <c r="O5167" s="38"/>
      <c r="P5167" s="38"/>
    </row>
    <row r="5168" spans="2:16" ht="17.399999999999999" thickBot="1" x14ac:dyDescent="0.45">
      <c r="O5168" s="42"/>
      <c r="P5168" s="43"/>
    </row>
    <row r="5169" spans="2:12" ht="17.399999999999999" thickBot="1" x14ac:dyDescent="0.45">
      <c r="B5169" s="110" t="s">
        <v>10</v>
      </c>
      <c r="C5169" s="300" t="s">
        <v>11</v>
      </c>
      <c r="D5169" s="300"/>
      <c r="E5169" s="300"/>
      <c r="F5169" s="300"/>
      <c r="G5169" s="301"/>
    </row>
    <row r="5170" spans="2:12" x14ac:dyDescent="0.4">
      <c r="B5170" s="114" t="s">
        <v>6</v>
      </c>
      <c r="C5170" s="302" t="s">
        <v>1</v>
      </c>
      <c r="D5170" s="303"/>
      <c r="E5170" s="112" t="s">
        <v>193</v>
      </c>
      <c r="F5170" s="120" t="s">
        <v>2</v>
      </c>
      <c r="G5170" s="114" t="s">
        <v>3</v>
      </c>
      <c r="H5170" s="106"/>
      <c r="I5170" s="107" t="s">
        <v>7</v>
      </c>
      <c r="J5170" s="136"/>
      <c r="K5170" s="107" t="s">
        <v>8</v>
      </c>
      <c r="L5170" s="115" t="s">
        <v>194</v>
      </c>
    </row>
    <row r="5171" spans="2:12" x14ac:dyDescent="0.4">
      <c r="B5171" s="122"/>
      <c r="C5171" s="306"/>
      <c r="D5171" s="306"/>
      <c r="E5171" s="116"/>
      <c r="F5171" s="83"/>
      <c r="G5171" s="74"/>
      <c r="I5171" s="117">
        <f>IF(C5171=0,0,VLOOKUP(C5171,Tabla1[],3,FALSE))</f>
        <v>0</v>
      </c>
      <c r="K5171" s="84">
        <f>F5171*I5171</f>
        <v>0</v>
      </c>
      <c r="L5171" s="118">
        <f>E5171*I5171</f>
        <v>0</v>
      </c>
    </row>
    <row r="5172" spans="2:12" x14ac:dyDescent="0.4">
      <c r="B5172" s="74"/>
      <c r="C5172" s="309"/>
      <c r="D5172" s="310"/>
      <c r="E5172" s="121"/>
      <c r="F5172" s="72"/>
      <c r="G5172" s="74"/>
      <c r="I5172" s="117">
        <f>IF(C5172=0,0,VLOOKUP(C5172,Tabla1[],3,FALSE))</f>
        <v>0</v>
      </c>
      <c r="K5172" s="84">
        <f t="shared" ref="K5172:K5174" si="788">+F5172*I5172</f>
        <v>0</v>
      </c>
      <c r="L5172" s="118">
        <f t="shared" ref="L5172:L5174" si="789">E5172*I5172</f>
        <v>0</v>
      </c>
    </row>
    <row r="5173" spans="2:12" x14ac:dyDescent="0.4">
      <c r="B5173" s="74"/>
      <c r="C5173" s="309"/>
      <c r="D5173" s="310"/>
      <c r="E5173" s="121"/>
      <c r="F5173" s="72"/>
      <c r="G5173" s="74"/>
      <c r="I5173" s="117">
        <f>IF(C5173=0,0,VLOOKUP(C5173,Tabla1[],3,FALSE))</f>
        <v>0</v>
      </c>
      <c r="K5173" s="84">
        <f t="shared" si="788"/>
        <v>0</v>
      </c>
      <c r="L5173" s="118">
        <f t="shared" si="789"/>
        <v>0</v>
      </c>
    </row>
    <row r="5174" spans="2:12" x14ac:dyDescent="0.4">
      <c r="B5174" s="74"/>
      <c r="C5174" s="304"/>
      <c r="D5174" s="305"/>
      <c r="E5174" s="121"/>
      <c r="F5174" s="72"/>
      <c r="G5174" s="74"/>
      <c r="I5174" s="117">
        <f>IF(C5174=0,0,VLOOKUP(C5174,Tabla1[],3,FALSE))</f>
        <v>0</v>
      </c>
      <c r="K5174" s="84">
        <f t="shared" si="788"/>
        <v>0</v>
      </c>
      <c r="L5174" s="118">
        <f t="shared" si="789"/>
        <v>0</v>
      </c>
    </row>
    <row r="5175" spans="2:12" ht="17.399999999999999" thickBot="1" x14ac:dyDescent="0.45"/>
    <row r="5176" spans="2:12" ht="17.399999999999999" thickBot="1" x14ac:dyDescent="0.45">
      <c r="F5176" s="292" t="s">
        <v>12</v>
      </c>
      <c r="G5176" s="293"/>
      <c r="H5176" s="293"/>
      <c r="I5176" s="294"/>
      <c r="K5176" s="229">
        <f>+SUM(K5171:K5174)</f>
        <v>0</v>
      </c>
      <c r="L5176" s="119">
        <f>+SUM(L5171:L5174)</f>
        <v>0</v>
      </c>
    </row>
    <row r="5177" spans="2:12" ht="17.399999999999999" thickBot="1" x14ac:dyDescent="0.45"/>
    <row r="5178" spans="2:12" ht="17.399999999999999" thickBot="1" x14ac:dyDescent="0.45">
      <c r="B5178" s="110" t="s">
        <v>13</v>
      </c>
      <c r="C5178" s="300" t="s">
        <v>14</v>
      </c>
      <c r="D5178" s="300"/>
      <c r="E5178" s="300"/>
      <c r="F5178" s="300"/>
      <c r="G5178" s="301"/>
    </row>
    <row r="5179" spans="2:12" x14ac:dyDescent="0.4">
      <c r="B5179" s="114" t="s">
        <v>6</v>
      </c>
      <c r="C5179" s="302" t="s">
        <v>1</v>
      </c>
      <c r="D5179" s="303"/>
      <c r="E5179" s="112" t="s">
        <v>193</v>
      </c>
      <c r="F5179" s="120" t="s">
        <v>2</v>
      </c>
      <c r="G5179" s="114" t="s">
        <v>3</v>
      </c>
      <c r="H5179" s="106"/>
      <c r="I5179" s="107" t="s">
        <v>7</v>
      </c>
      <c r="J5179" s="136"/>
      <c r="K5179" s="107" t="s">
        <v>8</v>
      </c>
      <c r="L5179" s="115" t="s">
        <v>194</v>
      </c>
    </row>
    <row r="5180" spans="2:12" x14ac:dyDescent="0.4">
      <c r="B5180" s="122">
        <v>1</v>
      </c>
      <c r="C5180" s="306" t="s">
        <v>394</v>
      </c>
      <c r="D5180" s="306"/>
      <c r="E5180" s="116">
        <f>I5152</f>
        <v>3</v>
      </c>
      <c r="F5180" s="83">
        <f>ROUND(E5180/I5152,2)</f>
        <v>1</v>
      </c>
      <c r="G5180" s="74" t="str">
        <f>IF(C5180=0,0,VLOOKUP(C5180,Tabla2[],2,FALSE))</f>
        <v>Unidad</v>
      </c>
      <c r="I5180" s="117">
        <f>IF(C5180=0,0,VLOOKUP(C5180,Tabla2[],3,FALSE))</f>
        <v>220</v>
      </c>
      <c r="K5180" s="84">
        <f>+F5180*I5180</f>
        <v>220</v>
      </c>
      <c r="L5180" s="118">
        <f>E5180*I5180</f>
        <v>660</v>
      </c>
    </row>
    <row r="5181" spans="2:12" x14ac:dyDescent="0.4">
      <c r="B5181" s="122"/>
      <c r="C5181" s="306"/>
      <c r="D5181" s="306"/>
      <c r="E5181" s="116"/>
      <c r="F5181" s="83"/>
      <c r="G5181" s="74"/>
      <c r="I5181" s="117">
        <f>IF(C5181=0,0,VLOOKUP(C5181,Tabla2[],3,FALSE))</f>
        <v>0</v>
      </c>
      <c r="K5181" s="84">
        <f>+F5181*I5181</f>
        <v>0</v>
      </c>
      <c r="L5181" s="118">
        <f>E5181*I5181</f>
        <v>0</v>
      </c>
    </row>
    <row r="5182" spans="2:12" ht="17.399999999999999" thickBot="1" x14ac:dyDescent="0.45">
      <c r="B5182" s="123"/>
      <c r="C5182" s="307"/>
      <c r="D5182" s="308"/>
      <c r="E5182" s="124"/>
      <c r="F5182" s="125"/>
      <c r="G5182" s="74"/>
      <c r="I5182" s="117">
        <f>IF(C5182=0,0,VLOOKUP(C5182,Tabla2[],3,FALSE))</f>
        <v>0</v>
      </c>
      <c r="K5182" s="84">
        <f t="shared" ref="K5182" si="790">+F5182*I5182</f>
        <v>0</v>
      </c>
      <c r="L5182" s="118">
        <f t="shared" ref="L5182:L5183" si="791">E5182*I5182</f>
        <v>0</v>
      </c>
    </row>
    <row r="5183" spans="2:12" ht="17.399999999999999" thickBot="1" x14ac:dyDescent="0.45">
      <c r="B5183" s="297" t="s">
        <v>15</v>
      </c>
      <c r="C5183" s="298"/>
      <c r="D5183" s="298"/>
      <c r="E5183" s="298"/>
      <c r="F5183" s="298"/>
      <c r="G5183" s="299"/>
      <c r="I5183" s="117">
        <f>IF(C5183=0,0,VLOOKUP(C5183,Tabla2[],3,FALSE))</f>
        <v>0</v>
      </c>
      <c r="K5183" s="84">
        <v>0</v>
      </c>
      <c r="L5183" s="118">
        <f t="shared" si="791"/>
        <v>0</v>
      </c>
    </row>
    <row r="5184" spans="2:12" ht="17.399999999999999" thickBot="1" x14ac:dyDescent="0.45"/>
    <row r="5185" spans="2:16" ht="17.399999999999999" thickBot="1" x14ac:dyDescent="0.45">
      <c r="F5185" s="292" t="s">
        <v>16</v>
      </c>
      <c r="G5185" s="293"/>
      <c r="H5185" s="293"/>
      <c r="I5185" s="294"/>
      <c r="K5185" s="229">
        <f>+SUM(K5180:K5183)</f>
        <v>220</v>
      </c>
      <c r="L5185" s="119">
        <f>+SUM(L5180:L5183)</f>
        <v>660</v>
      </c>
    </row>
    <row r="5186" spans="2:16" ht="17.399999999999999" thickBot="1" x14ac:dyDescent="0.45"/>
    <row r="5187" spans="2:16" ht="17.399999999999999" thickBot="1" x14ac:dyDescent="0.45">
      <c r="B5187" s="110" t="s">
        <v>17</v>
      </c>
      <c r="C5187" s="300" t="s">
        <v>18</v>
      </c>
      <c r="D5187" s="300"/>
      <c r="E5187" s="300"/>
      <c r="F5187" s="300"/>
      <c r="G5187" s="301"/>
    </row>
    <row r="5188" spans="2:16" x14ac:dyDescent="0.4">
      <c r="B5188" s="114" t="s">
        <v>6</v>
      </c>
      <c r="C5188" s="302" t="s">
        <v>1</v>
      </c>
      <c r="D5188" s="303"/>
      <c r="E5188" s="126"/>
      <c r="F5188" s="120" t="s">
        <v>2</v>
      </c>
      <c r="G5188" s="114" t="s">
        <v>3</v>
      </c>
      <c r="H5188" s="106"/>
      <c r="I5188" s="107" t="s">
        <v>7</v>
      </c>
      <c r="J5188" s="136"/>
      <c r="K5188" s="107" t="s">
        <v>8</v>
      </c>
      <c r="L5188" s="115" t="s">
        <v>194</v>
      </c>
    </row>
    <row r="5189" spans="2:16" x14ac:dyDescent="0.4">
      <c r="B5189" s="74"/>
      <c r="C5189" s="304"/>
      <c r="D5189" s="305"/>
      <c r="E5189" s="127"/>
      <c r="F5189" s="72"/>
      <c r="G5189" s="74"/>
      <c r="I5189" s="84">
        <v>0</v>
      </c>
      <c r="K5189" s="84">
        <f>+F5189*I5189</f>
        <v>0</v>
      </c>
      <c r="L5189" s="118">
        <f>E5189*I5189</f>
        <v>0</v>
      </c>
    </row>
    <row r="5190" spans="2:16" x14ac:dyDescent="0.4">
      <c r="B5190" s="74"/>
      <c r="C5190" s="304"/>
      <c r="D5190" s="305"/>
      <c r="E5190" s="127"/>
      <c r="F5190" s="72"/>
      <c r="G5190" s="74"/>
      <c r="I5190" s="84">
        <v>0</v>
      </c>
      <c r="K5190" s="84">
        <f t="shared" ref="K5190:K5191" si="792">+F5190*I5190</f>
        <v>0</v>
      </c>
      <c r="L5190" s="118">
        <f t="shared" ref="L5190:L5191" si="793">E5190*I5190</f>
        <v>0</v>
      </c>
    </row>
    <row r="5191" spans="2:16" x14ac:dyDescent="0.4">
      <c r="B5191" s="74"/>
      <c r="C5191" s="304"/>
      <c r="D5191" s="305"/>
      <c r="E5191" s="127"/>
      <c r="F5191" s="72"/>
      <c r="G5191" s="74"/>
      <c r="I5191" s="84">
        <v>0</v>
      </c>
      <c r="K5191" s="84">
        <f t="shared" si="792"/>
        <v>0</v>
      </c>
      <c r="L5191" s="118">
        <f t="shared" si="793"/>
        <v>0</v>
      </c>
    </row>
    <row r="5192" spans="2:16" ht="17.399999999999999" thickBot="1" x14ac:dyDescent="0.45">
      <c r="L5192" s="118"/>
    </row>
    <row r="5193" spans="2:16" ht="17.399999999999999" thickBot="1" x14ac:dyDescent="0.45">
      <c r="F5193" s="292" t="s">
        <v>19</v>
      </c>
      <c r="G5193" s="293"/>
      <c r="H5193" s="293"/>
      <c r="I5193" s="294"/>
      <c r="K5193" s="229">
        <f>+SUM(K5189:K5191)</f>
        <v>0</v>
      </c>
      <c r="L5193" s="119">
        <f>+SUM(L5188:L5191)</f>
        <v>0</v>
      </c>
    </row>
    <row r="5194" spans="2:16" ht="15" customHeight="1" x14ac:dyDescent="0.4">
      <c r="F5194" s="128"/>
      <c r="G5194" s="129"/>
      <c r="H5194" s="130"/>
      <c r="I5194" s="108"/>
      <c r="K5194" s="230"/>
    </row>
    <row r="5195" spans="2:16" ht="15" customHeight="1" thickBot="1" x14ac:dyDescent="0.45"/>
    <row r="5196" spans="2:16" ht="17.399999999999999" thickBot="1" x14ac:dyDescent="0.45">
      <c r="F5196" s="292" t="s">
        <v>20</v>
      </c>
      <c r="G5196" s="293"/>
      <c r="H5196" s="293"/>
      <c r="I5196" s="294"/>
      <c r="K5196" s="229">
        <f>(+K5167+K5176+K5185+K5193)</f>
        <v>220</v>
      </c>
      <c r="L5196" s="119">
        <f>(+L5167+L5176+L5185+L5193)</f>
        <v>660</v>
      </c>
      <c r="N5196" s="131"/>
      <c r="O5196" s="39"/>
      <c r="P5196" s="40"/>
    </row>
    <row r="5197" spans="2:16" ht="7.5" customHeight="1" thickBot="1" x14ac:dyDescent="0.45">
      <c r="N5197" s="131"/>
      <c r="O5197" s="41"/>
      <c r="P5197" s="40"/>
    </row>
    <row r="5198" spans="2:16" ht="17.399999999999999" thickBot="1" x14ac:dyDescent="0.45">
      <c r="F5198" s="292" t="s">
        <v>21</v>
      </c>
      <c r="G5198" s="293"/>
      <c r="H5198" s="293"/>
      <c r="I5198" s="294"/>
      <c r="K5198" s="229">
        <f>K5196*$N$2</f>
        <v>88</v>
      </c>
      <c r="L5198" s="119">
        <f>L5196*$N$2</f>
        <v>264</v>
      </c>
    </row>
    <row r="5199" spans="2:16" ht="7.5" customHeight="1" thickBot="1" x14ac:dyDescent="0.45"/>
    <row r="5200" spans="2:16" ht="17.399999999999999" thickBot="1" x14ac:dyDescent="0.45">
      <c r="F5200" s="292" t="s">
        <v>22</v>
      </c>
      <c r="G5200" s="293"/>
      <c r="H5200" s="293"/>
      <c r="I5200" s="294"/>
      <c r="K5200" s="229">
        <f>+K5196+K5198</f>
        <v>308</v>
      </c>
      <c r="L5200" s="119">
        <f>+L5196+L5198</f>
        <v>924</v>
      </c>
    </row>
    <row r="5201" spans="1:16" ht="17.399999999999999" thickBot="1" x14ac:dyDescent="0.45">
      <c r="F5201" s="128"/>
      <c r="G5201" s="129"/>
      <c r="H5201" s="130"/>
      <c r="I5201" s="108"/>
      <c r="K5201" s="231"/>
      <c r="L5201" s="132">
        <f>L5200/I5152</f>
        <v>308</v>
      </c>
      <c r="M5201" s="133">
        <f>(K5200-L5201)*I5152</f>
        <v>0</v>
      </c>
    </row>
    <row r="5202" spans="1:16" x14ac:dyDescent="0.4">
      <c r="F5202" s="128"/>
      <c r="G5202" s="129"/>
      <c r="H5202" s="130"/>
      <c r="I5202" s="108"/>
      <c r="K5202" s="232"/>
      <c r="L5202" s="131"/>
      <c r="M5202" s="134"/>
      <c r="N5202" s="135"/>
    </row>
    <row r="5203" spans="1:16" ht="17.399999999999999" thickBot="1" x14ac:dyDescent="0.45">
      <c r="B5203" s="295"/>
      <c r="C5203" s="295"/>
      <c r="D5203" s="295"/>
    </row>
    <row r="5204" spans="1:16" x14ac:dyDescent="0.4">
      <c r="B5204" s="296" t="s">
        <v>23</v>
      </c>
      <c r="C5204" s="296"/>
      <c r="D5204" s="296"/>
    </row>
    <row r="5207" spans="1:16" x14ac:dyDescent="0.4">
      <c r="B5207" s="105" t="s">
        <v>43</v>
      </c>
      <c r="C5207" s="106"/>
      <c r="D5207" s="311" t="s">
        <v>1</v>
      </c>
      <c r="E5207" s="311"/>
      <c r="F5207" s="311"/>
      <c r="G5207" s="311"/>
      <c r="H5207" s="106"/>
      <c r="I5207" s="107" t="s">
        <v>2</v>
      </c>
      <c r="J5207" s="136"/>
      <c r="K5207" s="107" t="s">
        <v>3</v>
      </c>
    </row>
    <row r="5208" spans="1:16" s="4" customFormat="1" ht="30.75" customHeight="1" x14ac:dyDescent="0.3">
      <c r="A5208" s="31"/>
      <c r="B5208" s="213">
        <f>CATALOGO!B142</f>
        <v>605.08000000000004</v>
      </c>
      <c r="C5208" s="71"/>
      <c r="D5208" s="324" t="str">
        <f>CATALOGO!C142</f>
        <v>PISO CERÁMICO ANTIDESLIZANTE</v>
      </c>
      <c r="E5208" s="324"/>
      <c r="F5208" s="324"/>
      <c r="G5208" s="324"/>
      <c r="H5208" s="71"/>
      <c r="I5208" s="213">
        <f>CATALOGO!D142</f>
        <v>6</v>
      </c>
      <c r="J5208" s="109"/>
      <c r="K5208" s="227" t="str">
        <f>CATALOGO!E142</f>
        <v>m²</v>
      </c>
      <c r="L5208" s="71"/>
      <c r="M5208" s="71"/>
      <c r="N5208" s="104"/>
      <c r="O5208" s="37"/>
      <c r="P5208" s="37"/>
    </row>
    <row r="5209" spans="1:16" ht="17.399999999999999" thickBot="1" x14ac:dyDescent="0.45"/>
    <row r="5210" spans="1:16" ht="17.399999999999999" thickBot="1" x14ac:dyDescent="0.45">
      <c r="B5210" s="110" t="s">
        <v>4</v>
      </c>
      <c r="C5210" s="300" t="s">
        <v>5</v>
      </c>
      <c r="D5210" s="300"/>
      <c r="E5210" s="300"/>
      <c r="F5210" s="300"/>
      <c r="G5210" s="301"/>
    </row>
    <row r="5211" spans="1:16" x14ac:dyDescent="0.3">
      <c r="B5211" s="111" t="s">
        <v>6</v>
      </c>
      <c r="C5211" s="313" t="s">
        <v>1</v>
      </c>
      <c r="D5211" s="314"/>
      <c r="E5211" s="112" t="s">
        <v>193</v>
      </c>
      <c r="F5211" s="113" t="s">
        <v>2</v>
      </c>
      <c r="G5211" s="114" t="s">
        <v>3</v>
      </c>
      <c r="H5211" s="106"/>
      <c r="I5211" s="107" t="s">
        <v>7</v>
      </c>
      <c r="J5211" s="136"/>
      <c r="K5211" s="228" t="s">
        <v>8</v>
      </c>
      <c r="L5211" s="115" t="s">
        <v>194</v>
      </c>
      <c r="O5211" s="323"/>
      <c r="P5211" s="323"/>
    </row>
    <row r="5212" spans="1:16" ht="16.5" customHeight="1" x14ac:dyDescent="0.3">
      <c r="B5212" s="122">
        <v>1</v>
      </c>
      <c r="C5212" s="317" t="s">
        <v>214</v>
      </c>
      <c r="D5212" s="318"/>
      <c r="E5212" s="116">
        <f>I5208*0.7</f>
        <v>4.1999999999999993</v>
      </c>
      <c r="F5212" s="83">
        <f>ROUND(E5212/I5208,2)</f>
        <v>0.7</v>
      </c>
      <c r="G5212" s="74" t="str">
        <f>IF(C5212=0,0,VLOOKUP(C5212,Tabla1[],2,FALSE))</f>
        <v>Saco</v>
      </c>
      <c r="I5212" s="117">
        <f>IF(C5212=0,0,VLOOKUP(C5212,Tabla1[],3,FALSE))</f>
        <v>80</v>
      </c>
      <c r="K5212" s="84">
        <f>F5212*I5212</f>
        <v>56</v>
      </c>
      <c r="L5212" s="118">
        <f t="shared" ref="L5212:L5216" si="794">E5212*I5212</f>
        <v>335.99999999999994</v>
      </c>
      <c r="O5212" s="44"/>
      <c r="P5212" s="45"/>
    </row>
    <row r="5213" spans="1:16" x14ac:dyDescent="0.3">
      <c r="B5213" s="122">
        <v>2</v>
      </c>
      <c r="C5213" s="319" t="s">
        <v>73</v>
      </c>
      <c r="D5213" s="318"/>
      <c r="E5213" s="116">
        <f>I5208*0.02</f>
        <v>0.12</v>
      </c>
      <c r="F5213" s="83">
        <f>ROUND(E5213/I5208,2)</f>
        <v>0.02</v>
      </c>
      <c r="G5213" s="74" t="str">
        <f>IF(C5213=0,0,VLOOKUP(C5213,Tabla1[],2,FALSE))</f>
        <v>m³</v>
      </c>
      <c r="I5213" s="117">
        <f>IF(C5213=0,0,VLOOKUP(C5213,Tabla1[],3,FALSE))</f>
        <v>250</v>
      </c>
      <c r="K5213" s="84">
        <f t="shared" ref="K5213:K5216" si="795">+F5213*I5213</f>
        <v>5</v>
      </c>
      <c r="L5213" s="118">
        <f t="shared" si="794"/>
        <v>30</v>
      </c>
      <c r="O5213" s="44"/>
      <c r="P5213" s="47"/>
    </row>
    <row r="5214" spans="1:16" x14ac:dyDescent="0.4">
      <c r="B5214" s="122">
        <v>3</v>
      </c>
      <c r="C5214" s="319" t="s">
        <v>215</v>
      </c>
      <c r="D5214" s="318"/>
      <c r="E5214" s="116">
        <f>I5208*0.03</f>
        <v>0.18</v>
      </c>
      <c r="F5214" s="83">
        <f>ROUND(E5214/I5208,2)</f>
        <v>0.03</v>
      </c>
      <c r="G5214" s="74" t="str">
        <f>IF(C5214=0,0,VLOOKUP(C5214,Tabla1[],2,FALSE))</f>
        <v>Bolsa</v>
      </c>
      <c r="I5214" s="117">
        <f>IF(C5214=0,0,VLOOKUP(C5214,Tabla1[],3,FALSE))</f>
        <v>50</v>
      </c>
      <c r="K5214" s="84">
        <f t="shared" si="795"/>
        <v>1.5</v>
      </c>
      <c r="L5214" s="118">
        <f t="shared" si="794"/>
        <v>9</v>
      </c>
      <c r="O5214" s="48"/>
      <c r="P5214" s="49"/>
    </row>
    <row r="5215" spans="1:16" ht="16.5" customHeight="1" x14ac:dyDescent="0.3">
      <c r="B5215" s="122">
        <v>4</v>
      </c>
      <c r="C5215" s="315" t="s">
        <v>601</v>
      </c>
      <c r="D5215" s="316"/>
      <c r="E5215" s="116">
        <f>I5208*0.7</f>
        <v>4.1999999999999993</v>
      </c>
      <c r="F5215" s="83">
        <f>ROUND(E5215/I5208,2)</f>
        <v>0.7</v>
      </c>
      <c r="G5215" s="74" t="str">
        <f>IF(C5215=0,0,VLOOKUP(C5215,Tabla1[],2,FALSE))</f>
        <v>m²</v>
      </c>
      <c r="I5215" s="117">
        <f>IF(C5215=0,0,VLOOKUP(C5215,Tabla1[],3,FALSE))</f>
        <v>125</v>
      </c>
      <c r="K5215" s="84">
        <f t="shared" si="795"/>
        <v>87.5</v>
      </c>
      <c r="L5215" s="118">
        <f t="shared" si="794"/>
        <v>524.99999999999989</v>
      </c>
      <c r="O5215" s="44"/>
      <c r="P5215" s="45"/>
    </row>
    <row r="5216" spans="1:16" x14ac:dyDescent="0.4">
      <c r="B5216" s="122"/>
      <c r="C5216" s="319"/>
      <c r="D5216" s="318"/>
      <c r="E5216" s="116"/>
      <c r="F5216" s="83"/>
      <c r="G5216" s="74"/>
      <c r="I5216" s="117">
        <f>IF(C5216=0,0,VLOOKUP(C5216,Tabla1[],3,FALSE))</f>
        <v>0</v>
      </c>
      <c r="K5216" s="84">
        <f t="shared" si="795"/>
        <v>0</v>
      </c>
      <c r="L5216" s="118">
        <f t="shared" si="794"/>
        <v>0</v>
      </c>
      <c r="O5216" s="48"/>
      <c r="P5216" s="49"/>
    </row>
    <row r="5217" spans="2:16" ht="17.399999999999999" thickBot="1" x14ac:dyDescent="0.45"/>
    <row r="5218" spans="2:16" ht="17.399999999999999" thickBot="1" x14ac:dyDescent="0.35">
      <c r="F5218" s="292" t="s">
        <v>9</v>
      </c>
      <c r="G5218" s="293"/>
      <c r="H5218" s="293"/>
      <c r="I5218" s="294"/>
      <c r="K5218" s="229">
        <f>+SUM(K5212:K5216)</f>
        <v>150</v>
      </c>
      <c r="L5218" s="119">
        <f>+SUM(L5212:L5216)</f>
        <v>899.99999999999977</v>
      </c>
      <c r="O5218" s="38"/>
      <c r="P5218" s="38"/>
    </row>
    <row r="5219" spans="2:16" ht="17.399999999999999" thickBot="1" x14ac:dyDescent="0.45">
      <c r="O5219" s="42"/>
      <c r="P5219" s="43"/>
    </row>
    <row r="5220" spans="2:16" ht="17.399999999999999" thickBot="1" x14ac:dyDescent="0.45">
      <c r="B5220" s="110" t="s">
        <v>10</v>
      </c>
      <c r="C5220" s="300" t="s">
        <v>11</v>
      </c>
      <c r="D5220" s="300"/>
      <c r="E5220" s="300"/>
      <c r="F5220" s="300"/>
      <c r="G5220" s="301"/>
    </row>
    <row r="5221" spans="2:16" x14ac:dyDescent="0.4">
      <c r="B5221" s="114" t="s">
        <v>6</v>
      </c>
      <c r="C5221" s="302" t="s">
        <v>1</v>
      </c>
      <c r="D5221" s="303"/>
      <c r="E5221" s="112" t="s">
        <v>193</v>
      </c>
      <c r="F5221" s="120" t="s">
        <v>2</v>
      </c>
      <c r="G5221" s="114" t="s">
        <v>3</v>
      </c>
      <c r="H5221" s="106"/>
      <c r="I5221" s="107" t="s">
        <v>7</v>
      </c>
      <c r="J5221" s="136"/>
      <c r="K5221" s="107" t="s">
        <v>8</v>
      </c>
      <c r="L5221" s="115" t="s">
        <v>194</v>
      </c>
    </row>
    <row r="5222" spans="2:16" x14ac:dyDescent="0.4">
      <c r="B5222" s="122"/>
      <c r="C5222" s="306"/>
      <c r="D5222" s="306"/>
      <c r="E5222" s="116"/>
      <c r="F5222" s="83"/>
      <c r="G5222" s="74"/>
      <c r="I5222" s="117">
        <f>IF(C5222=0,0,VLOOKUP(C5222,Tabla3[],3,FALSE))</f>
        <v>0</v>
      </c>
      <c r="K5222" s="84">
        <f>F5222*I5222</f>
        <v>0</v>
      </c>
      <c r="L5222" s="118">
        <f>E5222*I5222</f>
        <v>0</v>
      </c>
    </row>
    <row r="5223" spans="2:16" x14ac:dyDescent="0.4">
      <c r="B5223" s="74"/>
      <c r="C5223" s="309"/>
      <c r="D5223" s="310"/>
      <c r="E5223" s="121"/>
      <c r="F5223" s="72"/>
      <c r="G5223" s="74"/>
      <c r="I5223" s="117">
        <f>IF(C5223=0,0,VLOOKUP(C5223,Tabla3[],3,FALSE))</f>
        <v>0</v>
      </c>
      <c r="K5223" s="84">
        <f t="shared" ref="K5223:K5225" si="796">+F5223*I5223</f>
        <v>0</v>
      </c>
      <c r="L5223" s="118">
        <f t="shared" ref="L5223:L5225" si="797">E5223*I5223</f>
        <v>0</v>
      </c>
    </row>
    <row r="5224" spans="2:16" x14ac:dyDescent="0.4">
      <c r="B5224" s="74"/>
      <c r="C5224" s="309"/>
      <c r="D5224" s="310"/>
      <c r="E5224" s="121"/>
      <c r="F5224" s="72"/>
      <c r="G5224" s="74"/>
      <c r="I5224" s="117">
        <f>IF(C5224=0,0,VLOOKUP(C5224,Tabla3[],3,FALSE))</f>
        <v>0</v>
      </c>
      <c r="K5224" s="84">
        <f t="shared" si="796"/>
        <v>0</v>
      </c>
      <c r="L5224" s="118">
        <f t="shared" si="797"/>
        <v>0</v>
      </c>
    </row>
    <row r="5225" spans="2:16" x14ac:dyDescent="0.4">
      <c r="B5225" s="74"/>
      <c r="C5225" s="304"/>
      <c r="D5225" s="305"/>
      <c r="E5225" s="121"/>
      <c r="F5225" s="72"/>
      <c r="G5225" s="74"/>
      <c r="I5225" s="117">
        <f>IF(C5225=0,0,VLOOKUP(C5225,Tabla3[],3,FALSE))</f>
        <v>0</v>
      </c>
      <c r="K5225" s="84">
        <f t="shared" si="796"/>
        <v>0</v>
      </c>
      <c r="L5225" s="118">
        <f t="shared" si="797"/>
        <v>0</v>
      </c>
    </row>
    <row r="5226" spans="2:16" ht="17.399999999999999" thickBot="1" x14ac:dyDescent="0.45"/>
    <row r="5227" spans="2:16" ht="17.399999999999999" thickBot="1" x14ac:dyDescent="0.45">
      <c r="F5227" s="292" t="s">
        <v>12</v>
      </c>
      <c r="G5227" s="293"/>
      <c r="H5227" s="293"/>
      <c r="I5227" s="294"/>
      <c r="K5227" s="229">
        <f>+SUM(K5222:K5225)</f>
        <v>0</v>
      </c>
      <c r="L5227" s="119">
        <f>+SUM(L5222:L5225)</f>
        <v>0</v>
      </c>
    </row>
    <row r="5228" spans="2:16" ht="17.399999999999999" thickBot="1" x14ac:dyDescent="0.45"/>
    <row r="5229" spans="2:16" ht="17.399999999999999" thickBot="1" x14ac:dyDescent="0.45">
      <c r="B5229" s="110" t="s">
        <v>13</v>
      </c>
      <c r="C5229" s="300" t="s">
        <v>14</v>
      </c>
      <c r="D5229" s="300"/>
      <c r="E5229" s="300"/>
      <c r="F5229" s="300"/>
      <c r="G5229" s="301"/>
    </row>
    <row r="5230" spans="2:16" x14ac:dyDescent="0.4">
      <c r="B5230" s="114" t="s">
        <v>6</v>
      </c>
      <c r="C5230" s="302" t="s">
        <v>1</v>
      </c>
      <c r="D5230" s="303"/>
      <c r="E5230" s="112" t="s">
        <v>193</v>
      </c>
      <c r="F5230" s="120" t="s">
        <v>2</v>
      </c>
      <c r="G5230" s="114" t="s">
        <v>3</v>
      </c>
      <c r="H5230" s="106"/>
      <c r="I5230" s="107" t="s">
        <v>7</v>
      </c>
      <c r="J5230" s="136"/>
      <c r="K5230" s="107" t="s">
        <v>8</v>
      </c>
      <c r="L5230" s="115" t="s">
        <v>194</v>
      </c>
    </row>
    <row r="5231" spans="2:16" x14ac:dyDescent="0.4">
      <c r="B5231" s="122">
        <v>1</v>
      </c>
      <c r="C5231" s="306" t="s">
        <v>216</v>
      </c>
      <c r="D5231" s="306"/>
      <c r="E5231" s="116">
        <f>I5208</f>
        <v>6</v>
      </c>
      <c r="F5231" s="83">
        <f>ROUND(E5231/I5208,2)</f>
        <v>1</v>
      </c>
      <c r="G5231" s="74" t="str">
        <f>IF(C5231=0,0,VLOOKUP(C5231,Tabla2[],2,FALSE))</f>
        <v>m²</v>
      </c>
      <c r="I5231" s="117">
        <f>IF(C5231=0,0,VLOOKUP(C5231,Tabla2[],3,FALSE))</f>
        <v>100</v>
      </c>
      <c r="K5231" s="84">
        <f>+F5231*I5231</f>
        <v>100</v>
      </c>
      <c r="L5231" s="118">
        <f>E5231*I5231</f>
        <v>600</v>
      </c>
    </row>
    <row r="5232" spans="2:16" x14ac:dyDescent="0.4">
      <c r="B5232" s="122"/>
      <c r="C5232" s="306"/>
      <c r="D5232" s="306"/>
      <c r="E5232" s="116"/>
      <c r="F5232" s="83"/>
      <c r="G5232" s="74"/>
      <c r="I5232" s="117">
        <f>IF(C5232=0,0,VLOOKUP(C5232,Tabla2[],3,FALSE))</f>
        <v>0</v>
      </c>
      <c r="K5232" s="84">
        <f>+F5232*I5232</f>
        <v>0</v>
      </c>
      <c r="L5232" s="118">
        <f>E5232*I5232</f>
        <v>0</v>
      </c>
    </row>
    <row r="5233" spans="2:16" ht="17.399999999999999" thickBot="1" x14ac:dyDescent="0.45">
      <c r="B5233" s="123"/>
      <c r="C5233" s="307"/>
      <c r="D5233" s="308"/>
      <c r="E5233" s="124"/>
      <c r="F5233" s="125"/>
      <c r="G5233" s="74"/>
      <c r="I5233" s="117">
        <f>IF(C5233=0,0,VLOOKUP(C5233,Tabla2[],3,FALSE))</f>
        <v>0</v>
      </c>
      <c r="K5233" s="84">
        <f t="shared" ref="K5233" si="798">+F5233*I5233</f>
        <v>0</v>
      </c>
      <c r="L5233" s="118">
        <f t="shared" ref="L5233:L5234" si="799">E5233*I5233</f>
        <v>0</v>
      </c>
    </row>
    <row r="5234" spans="2:16" ht="17.399999999999999" thickBot="1" x14ac:dyDescent="0.45">
      <c r="B5234" s="297" t="s">
        <v>15</v>
      </c>
      <c r="C5234" s="298"/>
      <c r="D5234" s="298"/>
      <c r="E5234" s="298"/>
      <c r="F5234" s="298"/>
      <c r="G5234" s="299"/>
      <c r="I5234" s="117">
        <f>IF(C5234=0,0,VLOOKUP(C5234,Tabla2[],3,FALSE))</f>
        <v>0</v>
      </c>
      <c r="K5234" s="84">
        <v>0</v>
      </c>
      <c r="L5234" s="118">
        <f t="shared" si="799"/>
        <v>0</v>
      </c>
    </row>
    <row r="5235" spans="2:16" ht="17.399999999999999" thickBot="1" x14ac:dyDescent="0.45"/>
    <row r="5236" spans="2:16" ht="17.399999999999999" thickBot="1" x14ac:dyDescent="0.45">
      <c r="F5236" s="292" t="s">
        <v>16</v>
      </c>
      <c r="G5236" s="293"/>
      <c r="H5236" s="293"/>
      <c r="I5236" s="294"/>
      <c r="K5236" s="229">
        <f>+SUM(K5231:K5234)</f>
        <v>100</v>
      </c>
      <c r="L5236" s="119">
        <f>+SUM(L5231:L5234)</f>
        <v>600</v>
      </c>
    </row>
    <row r="5237" spans="2:16" ht="17.399999999999999" thickBot="1" x14ac:dyDescent="0.45"/>
    <row r="5238" spans="2:16" ht="17.399999999999999" thickBot="1" x14ac:dyDescent="0.45">
      <c r="B5238" s="110" t="s">
        <v>17</v>
      </c>
      <c r="C5238" s="300" t="s">
        <v>18</v>
      </c>
      <c r="D5238" s="300"/>
      <c r="E5238" s="300"/>
      <c r="F5238" s="300"/>
      <c r="G5238" s="301"/>
    </row>
    <row r="5239" spans="2:16" x14ac:dyDescent="0.4">
      <c r="B5239" s="114" t="s">
        <v>6</v>
      </c>
      <c r="C5239" s="302" t="s">
        <v>1</v>
      </c>
      <c r="D5239" s="303"/>
      <c r="E5239" s="126"/>
      <c r="F5239" s="120" t="s">
        <v>2</v>
      </c>
      <c r="G5239" s="114" t="s">
        <v>3</v>
      </c>
      <c r="H5239" s="106"/>
      <c r="I5239" s="107" t="s">
        <v>7</v>
      </c>
      <c r="J5239" s="136"/>
      <c r="K5239" s="107" t="s">
        <v>8</v>
      </c>
      <c r="L5239" s="115" t="s">
        <v>194</v>
      </c>
    </row>
    <row r="5240" spans="2:16" x14ac:dyDescent="0.4">
      <c r="B5240" s="74"/>
      <c r="C5240" s="304"/>
      <c r="D5240" s="305"/>
      <c r="E5240" s="127"/>
      <c r="F5240" s="72"/>
      <c r="G5240" s="74"/>
      <c r="I5240" s="84">
        <v>0</v>
      </c>
      <c r="K5240" s="84">
        <f>+F5240*I5240</f>
        <v>0</v>
      </c>
      <c r="L5240" s="118">
        <f>E5240*I5240</f>
        <v>0</v>
      </c>
    </row>
    <row r="5241" spans="2:16" x14ac:dyDescent="0.4">
      <c r="B5241" s="74"/>
      <c r="C5241" s="304"/>
      <c r="D5241" s="305"/>
      <c r="E5241" s="127"/>
      <c r="F5241" s="72"/>
      <c r="G5241" s="74"/>
      <c r="I5241" s="84">
        <v>0</v>
      </c>
      <c r="K5241" s="84">
        <f t="shared" ref="K5241:K5242" si="800">+F5241*I5241</f>
        <v>0</v>
      </c>
      <c r="L5241" s="118">
        <f t="shared" ref="L5241:L5242" si="801">E5241*I5241</f>
        <v>0</v>
      </c>
    </row>
    <row r="5242" spans="2:16" x14ac:dyDescent="0.4">
      <c r="B5242" s="74"/>
      <c r="C5242" s="304"/>
      <c r="D5242" s="305"/>
      <c r="E5242" s="127"/>
      <c r="F5242" s="72"/>
      <c r="G5242" s="74"/>
      <c r="I5242" s="84">
        <v>0</v>
      </c>
      <c r="K5242" s="84">
        <f t="shared" si="800"/>
        <v>0</v>
      </c>
      <c r="L5242" s="118">
        <f t="shared" si="801"/>
        <v>0</v>
      </c>
    </row>
    <row r="5243" spans="2:16" ht="17.399999999999999" thickBot="1" x14ac:dyDescent="0.45">
      <c r="L5243" s="118"/>
    </row>
    <row r="5244" spans="2:16" ht="17.399999999999999" thickBot="1" x14ac:dyDescent="0.45">
      <c r="F5244" s="292" t="s">
        <v>19</v>
      </c>
      <c r="G5244" s="293"/>
      <c r="H5244" s="293"/>
      <c r="I5244" s="294"/>
      <c r="K5244" s="229">
        <f>+SUM(K5240:K5242)</f>
        <v>0</v>
      </c>
      <c r="L5244" s="119">
        <f>+SUM(L5239:L5242)</f>
        <v>0</v>
      </c>
    </row>
    <row r="5245" spans="2:16" ht="15" customHeight="1" x14ac:dyDescent="0.4">
      <c r="F5245" s="128"/>
      <c r="G5245" s="129"/>
      <c r="H5245" s="130"/>
      <c r="I5245" s="108"/>
      <c r="K5245" s="230"/>
    </row>
    <row r="5246" spans="2:16" ht="15" customHeight="1" thickBot="1" x14ac:dyDescent="0.45"/>
    <row r="5247" spans="2:16" ht="17.399999999999999" thickBot="1" x14ac:dyDescent="0.45">
      <c r="F5247" s="292" t="s">
        <v>20</v>
      </c>
      <c r="G5247" s="293"/>
      <c r="H5247" s="293"/>
      <c r="I5247" s="294"/>
      <c r="K5247" s="229">
        <f>(+K5218+K5227+K5236+K5244)</f>
        <v>250</v>
      </c>
      <c r="L5247" s="119">
        <f>(+L5218+L5227+L5236+L5244)</f>
        <v>1499.9999999999998</v>
      </c>
      <c r="N5247" s="131"/>
      <c r="O5247" s="39"/>
      <c r="P5247" s="40"/>
    </row>
    <row r="5248" spans="2:16" ht="7.5" customHeight="1" thickBot="1" x14ac:dyDescent="0.45">
      <c r="N5248" s="131"/>
      <c r="O5248" s="41"/>
      <c r="P5248" s="40"/>
    </row>
    <row r="5249" spans="1:16" ht="17.399999999999999" thickBot="1" x14ac:dyDescent="0.45">
      <c r="F5249" s="292" t="s">
        <v>21</v>
      </c>
      <c r="G5249" s="293"/>
      <c r="H5249" s="293"/>
      <c r="I5249" s="294"/>
      <c r="K5249" s="229">
        <f>K5247*$N$2</f>
        <v>100</v>
      </c>
      <c r="L5249" s="119">
        <f>L5247*$N$2</f>
        <v>599.99999999999989</v>
      </c>
    </row>
    <row r="5250" spans="1:16" ht="7.5" customHeight="1" thickBot="1" x14ac:dyDescent="0.45"/>
    <row r="5251" spans="1:16" ht="17.399999999999999" thickBot="1" x14ac:dyDescent="0.45">
      <c r="F5251" s="292" t="s">
        <v>22</v>
      </c>
      <c r="G5251" s="293"/>
      <c r="H5251" s="293"/>
      <c r="I5251" s="294"/>
      <c r="K5251" s="229">
        <f>+K5247+K5249</f>
        <v>350</v>
      </c>
      <c r="L5251" s="119">
        <f>+L5247+L5249</f>
        <v>2099.9999999999995</v>
      </c>
    </row>
    <row r="5252" spans="1:16" ht="17.399999999999999" thickBot="1" x14ac:dyDescent="0.45">
      <c r="F5252" s="128"/>
      <c r="G5252" s="129"/>
      <c r="H5252" s="130"/>
      <c r="I5252" s="108"/>
      <c r="K5252" s="231"/>
      <c r="L5252" s="132">
        <f>L5251/I5208</f>
        <v>349.99999999999994</v>
      </c>
      <c r="M5252" s="133">
        <f>(K5251-L5252)*I5208</f>
        <v>3.4106051316484809E-13</v>
      </c>
    </row>
    <row r="5253" spans="1:16" x14ac:dyDescent="0.4">
      <c r="F5253" s="128"/>
      <c r="G5253" s="129"/>
      <c r="H5253" s="130"/>
      <c r="I5253" s="108"/>
      <c r="K5253" s="232"/>
      <c r="L5253" s="131"/>
      <c r="M5253" s="134"/>
      <c r="N5253" s="135"/>
    </row>
    <row r="5254" spans="1:16" ht="17.399999999999999" thickBot="1" x14ac:dyDescent="0.45">
      <c r="B5254" s="295"/>
      <c r="C5254" s="295"/>
      <c r="D5254" s="295"/>
    </row>
    <row r="5255" spans="1:16" x14ac:dyDescent="0.4">
      <c r="B5255" s="296" t="s">
        <v>23</v>
      </c>
      <c r="C5255" s="296"/>
      <c r="D5255" s="296"/>
    </row>
    <row r="5256" spans="1:16" x14ac:dyDescent="0.4">
      <c r="B5256" s="157"/>
      <c r="C5256" s="157"/>
      <c r="D5256" s="157"/>
    </row>
    <row r="5257" spans="1:16" x14ac:dyDescent="0.4">
      <c r="B5257" s="157"/>
      <c r="C5257" s="157"/>
      <c r="D5257" s="157"/>
    </row>
    <row r="5258" spans="1:16" x14ac:dyDescent="0.4">
      <c r="B5258" s="105" t="s">
        <v>43</v>
      </c>
      <c r="C5258" s="106"/>
      <c r="D5258" s="311" t="s">
        <v>1</v>
      </c>
      <c r="E5258" s="311"/>
      <c r="F5258" s="311"/>
      <c r="G5258" s="311"/>
      <c r="H5258" s="106"/>
      <c r="I5258" s="107" t="s">
        <v>2</v>
      </c>
      <c r="J5258" s="136"/>
      <c r="K5258" s="107" t="s">
        <v>3</v>
      </c>
    </row>
    <row r="5259" spans="1:16" s="4" customFormat="1" ht="30.75" customHeight="1" x14ac:dyDescent="0.3">
      <c r="A5259" s="31"/>
      <c r="B5259" s="213">
        <f>CATALOGO!B143</f>
        <v>609.01</v>
      </c>
      <c r="C5259" s="71"/>
      <c r="D5259" s="312" t="str">
        <f>CATALOGO!C143</f>
        <v xml:space="preserve">AZULEJO  </v>
      </c>
      <c r="E5259" s="312"/>
      <c r="F5259" s="312"/>
      <c r="G5259" s="312"/>
      <c r="H5259" s="71"/>
      <c r="I5259" s="213">
        <f>CATALOGO!D143</f>
        <v>17</v>
      </c>
      <c r="J5259" s="109"/>
      <c r="K5259" s="227" t="str">
        <f>CATALOGO!E143</f>
        <v>m²</v>
      </c>
      <c r="L5259" s="71"/>
      <c r="M5259" s="71"/>
      <c r="N5259" s="104"/>
      <c r="O5259" s="37"/>
      <c r="P5259" s="37"/>
    </row>
    <row r="5260" spans="1:16" ht="17.399999999999999" thickBot="1" x14ac:dyDescent="0.45"/>
    <row r="5261" spans="1:16" ht="17.399999999999999" thickBot="1" x14ac:dyDescent="0.45">
      <c r="B5261" s="110" t="s">
        <v>4</v>
      </c>
      <c r="C5261" s="300" t="s">
        <v>5</v>
      </c>
      <c r="D5261" s="300"/>
      <c r="E5261" s="300"/>
      <c r="F5261" s="300"/>
      <c r="G5261" s="301"/>
    </row>
    <row r="5262" spans="1:16" x14ac:dyDescent="0.3">
      <c r="B5262" s="111" t="s">
        <v>6</v>
      </c>
      <c r="C5262" s="313" t="s">
        <v>1</v>
      </c>
      <c r="D5262" s="314"/>
      <c r="E5262" s="112" t="s">
        <v>193</v>
      </c>
      <c r="F5262" s="113" t="s">
        <v>2</v>
      </c>
      <c r="G5262" s="114" t="s">
        <v>3</v>
      </c>
      <c r="H5262" s="106"/>
      <c r="I5262" s="107" t="s">
        <v>7</v>
      </c>
      <c r="J5262" s="136"/>
      <c r="K5262" s="228" t="s">
        <v>8</v>
      </c>
      <c r="L5262" s="115" t="s">
        <v>194</v>
      </c>
      <c r="O5262" s="323"/>
      <c r="P5262" s="323"/>
    </row>
    <row r="5263" spans="1:16" x14ac:dyDescent="0.3">
      <c r="B5263" s="122">
        <v>1</v>
      </c>
      <c r="C5263" s="315" t="s">
        <v>470</v>
      </c>
      <c r="D5263" s="316"/>
      <c r="E5263" s="116">
        <f>I5259</f>
        <v>17</v>
      </c>
      <c r="F5263" s="83">
        <f>ROUND(E5263/I5259,3)</f>
        <v>1</v>
      </c>
      <c r="G5263" s="74" t="str">
        <f>IF(C5263=0,0,VLOOKUP(C5263,Tabla1[],2,FALSE))</f>
        <v>m²</v>
      </c>
      <c r="I5263" s="117">
        <f>IF(C5263=0,0,VLOOKUP(C5263,Tabla1[],3,FALSE))</f>
        <v>120</v>
      </c>
      <c r="K5263" s="84">
        <f>F5263*I5263</f>
        <v>120</v>
      </c>
      <c r="L5263" s="118">
        <f t="shared" ref="L5263:L5269" si="802">E5263*I5263</f>
        <v>2040</v>
      </c>
      <c r="O5263" s="44"/>
      <c r="P5263" s="45"/>
    </row>
    <row r="5264" spans="1:16" x14ac:dyDescent="0.4">
      <c r="B5264" s="122">
        <v>2</v>
      </c>
      <c r="C5264" s="317" t="s">
        <v>96</v>
      </c>
      <c r="D5264" s="318"/>
      <c r="E5264" s="116">
        <f>I5259*0.05</f>
        <v>0.85000000000000009</v>
      </c>
      <c r="F5264" s="83">
        <f>ROUND(E5264/I5259,2)</f>
        <v>0.05</v>
      </c>
      <c r="G5264" s="74" t="str">
        <f>IF(C5264=0,0,VLOOKUP(C5264,Tabla1[],2,FALSE))</f>
        <v>Libra</v>
      </c>
      <c r="I5264" s="117">
        <f>IF(C5264=0,0,VLOOKUP(C5264,Tabla1[],3,FALSE))</f>
        <v>20</v>
      </c>
      <c r="K5264" s="84">
        <f t="shared" ref="K5264:K5269" si="803">+F5264*I5264</f>
        <v>1</v>
      </c>
      <c r="L5264" s="118">
        <f t="shared" si="802"/>
        <v>17</v>
      </c>
      <c r="P5264" s="45"/>
    </row>
    <row r="5265" spans="2:16" x14ac:dyDescent="0.3">
      <c r="B5265" s="122">
        <v>3</v>
      </c>
      <c r="C5265" s="319" t="s">
        <v>285</v>
      </c>
      <c r="D5265" s="318"/>
      <c r="E5265" s="116">
        <f>I5259*0.02</f>
        <v>0.34</v>
      </c>
      <c r="F5265" s="83">
        <f>ROUND(E5265/I5259,2)</f>
        <v>0.02</v>
      </c>
      <c r="G5265" s="74" t="str">
        <f>IF(C5265=0,0,VLOOKUP(C5265,Tabla1[],2,FALSE))</f>
        <v>Bolsa</v>
      </c>
      <c r="I5265" s="117">
        <f>IF(C5265=0,0,VLOOKUP(C5265,Tabla1[],3,FALSE))</f>
        <v>50</v>
      </c>
      <c r="K5265" s="84">
        <f t="shared" si="803"/>
        <v>1</v>
      </c>
      <c r="L5265" s="118">
        <f t="shared" si="802"/>
        <v>17</v>
      </c>
      <c r="O5265" s="44"/>
      <c r="P5265" s="46"/>
    </row>
    <row r="5266" spans="2:16" x14ac:dyDescent="0.3">
      <c r="B5266" s="122"/>
      <c r="C5266" s="319"/>
      <c r="D5266" s="318"/>
      <c r="E5266" s="116"/>
      <c r="F5266" s="83"/>
      <c r="G5266" s="74"/>
      <c r="I5266" s="117">
        <f>IF(C5266=0,0,VLOOKUP(C5266,Tabla1[],3,FALSE))</f>
        <v>0</v>
      </c>
      <c r="K5266" s="84">
        <f t="shared" si="803"/>
        <v>0</v>
      </c>
      <c r="L5266" s="118">
        <f t="shared" si="802"/>
        <v>0</v>
      </c>
      <c r="O5266" s="44"/>
      <c r="P5266" s="47"/>
    </row>
    <row r="5267" spans="2:16" x14ac:dyDescent="0.4">
      <c r="B5267" s="122"/>
      <c r="C5267" s="319"/>
      <c r="D5267" s="318"/>
      <c r="E5267" s="116"/>
      <c r="F5267" s="83"/>
      <c r="G5267" s="74"/>
      <c r="I5267" s="117">
        <f>IF(C5267=0,0,VLOOKUP(C5267,Tabla1[],3,FALSE))</f>
        <v>0</v>
      </c>
      <c r="K5267" s="84">
        <f t="shared" si="803"/>
        <v>0</v>
      </c>
      <c r="L5267" s="118">
        <f t="shared" si="802"/>
        <v>0</v>
      </c>
      <c r="O5267" s="48"/>
      <c r="P5267" s="49"/>
    </row>
    <row r="5268" spans="2:16" x14ac:dyDescent="0.4">
      <c r="B5268" s="122"/>
      <c r="C5268" s="319"/>
      <c r="D5268" s="318"/>
      <c r="E5268" s="116"/>
      <c r="F5268" s="83"/>
      <c r="G5268" s="74"/>
      <c r="I5268" s="117">
        <f>IF(C5268=0,0,VLOOKUP(C5268,Tabla1[],3,FALSE))</f>
        <v>0</v>
      </c>
      <c r="K5268" s="84">
        <f t="shared" si="803"/>
        <v>0</v>
      </c>
      <c r="L5268" s="118">
        <f t="shared" si="802"/>
        <v>0</v>
      </c>
      <c r="O5268" s="48"/>
      <c r="P5268" s="43"/>
    </row>
    <row r="5269" spans="2:16" x14ac:dyDescent="0.4">
      <c r="B5269" s="122"/>
      <c r="C5269" s="319"/>
      <c r="D5269" s="318"/>
      <c r="E5269" s="116"/>
      <c r="F5269" s="83"/>
      <c r="G5269" s="74"/>
      <c r="I5269" s="117">
        <f>IF(C5269=0,0,VLOOKUP(C5269,Tabla1[],3,FALSE))</f>
        <v>0</v>
      </c>
      <c r="K5269" s="84">
        <f t="shared" si="803"/>
        <v>0</v>
      </c>
      <c r="L5269" s="118">
        <f t="shared" si="802"/>
        <v>0</v>
      </c>
      <c r="O5269" s="48"/>
      <c r="P5269" s="49"/>
    </row>
    <row r="5270" spans="2:16" ht="17.399999999999999" thickBot="1" x14ac:dyDescent="0.45"/>
    <row r="5271" spans="2:16" ht="17.399999999999999" thickBot="1" x14ac:dyDescent="0.35">
      <c r="F5271" s="292" t="s">
        <v>9</v>
      </c>
      <c r="G5271" s="293"/>
      <c r="H5271" s="293"/>
      <c r="I5271" s="294"/>
      <c r="K5271" s="229">
        <f>+SUM(K5263:K5269)</f>
        <v>122</v>
      </c>
      <c r="L5271" s="119">
        <f>+SUM(L5263:L5269)</f>
        <v>2074</v>
      </c>
      <c r="O5271" s="38"/>
      <c r="P5271" s="38"/>
    </row>
    <row r="5272" spans="2:16" ht="17.399999999999999" thickBot="1" x14ac:dyDescent="0.45">
      <c r="O5272" s="42"/>
      <c r="P5272" s="43"/>
    </row>
    <row r="5273" spans="2:16" ht="17.399999999999999" thickBot="1" x14ac:dyDescent="0.45">
      <c r="B5273" s="110" t="s">
        <v>10</v>
      </c>
      <c r="C5273" s="300" t="s">
        <v>11</v>
      </c>
      <c r="D5273" s="300"/>
      <c r="E5273" s="300"/>
      <c r="F5273" s="300"/>
      <c r="G5273" s="301"/>
    </row>
    <row r="5274" spans="2:16" x14ac:dyDescent="0.4">
      <c r="B5274" s="114" t="s">
        <v>6</v>
      </c>
      <c r="C5274" s="302" t="s">
        <v>1</v>
      </c>
      <c r="D5274" s="303"/>
      <c r="E5274" s="112" t="s">
        <v>193</v>
      </c>
      <c r="F5274" s="120" t="s">
        <v>2</v>
      </c>
      <c r="G5274" s="114" t="s">
        <v>3</v>
      </c>
      <c r="H5274" s="106"/>
      <c r="I5274" s="107" t="s">
        <v>7</v>
      </c>
      <c r="J5274" s="136"/>
      <c r="K5274" s="107" t="s">
        <v>8</v>
      </c>
      <c r="L5274" s="115" t="s">
        <v>194</v>
      </c>
    </row>
    <row r="5275" spans="2:16" x14ac:dyDescent="0.4">
      <c r="B5275" s="122"/>
      <c r="C5275" s="306"/>
      <c r="D5275" s="306"/>
      <c r="E5275" s="116"/>
      <c r="F5275" s="83"/>
      <c r="G5275" s="74"/>
      <c r="I5275" s="117">
        <f>IF(C5275=0,0,VLOOKUP(C5275,Tabla3[],3,FALSE))</f>
        <v>0</v>
      </c>
      <c r="K5275" s="84">
        <f>F5275*I5275</f>
        <v>0</v>
      </c>
      <c r="L5275" s="118">
        <f>E5275*I5275</f>
        <v>0</v>
      </c>
    </row>
    <row r="5276" spans="2:16" x14ac:dyDescent="0.4">
      <c r="B5276" s="74"/>
      <c r="C5276" s="309"/>
      <c r="D5276" s="310"/>
      <c r="E5276" s="121"/>
      <c r="F5276" s="72"/>
      <c r="G5276" s="74"/>
      <c r="I5276" s="117">
        <f>IF(C5276=0,0,VLOOKUP(C5276,Tabla3[],3,FALSE))</f>
        <v>0</v>
      </c>
      <c r="K5276" s="84">
        <f t="shared" ref="K5276:K5278" si="804">+F5276*I5276</f>
        <v>0</v>
      </c>
      <c r="L5276" s="118">
        <f t="shared" ref="L5276:L5278" si="805">E5276*I5276</f>
        <v>0</v>
      </c>
    </row>
    <row r="5277" spans="2:16" x14ac:dyDescent="0.4">
      <c r="B5277" s="74"/>
      <c r="C5277" s="309"/>
      <c r="D5277" s="310"/>
      <c r="E5277" s="121"/>
      <c r="F5277" s="72"/>
      <c r="G5277" s="74"/>
      <c r="I5277" s="117">
        <f>IF(C5277=0,0,VLOOKUP(C5277,Tabla3[],3,FALSE))</f>
        <v>0</v>
      </c>
      <c r="K5277" s="84">
        <f t="shared" si="804"/>
        <v>0</v>
      </c>
      <c r="L5277" s="118">
        <f t="shared" si="805"/>
        <v>0</v>
      </c>
    </row>
    <row r="5278" spans="2:16" x14ac:dyDescent="0.4">
      <c r="B5278" s="74"/>
      <c r="C5278" s="304"/>
      <c r="D5278" s="305"/>
      <c r="E5278" s="121"/>
      <c r="F5278" s="72"/>
      <c r="G5278" s="74"/>
      <c r="I5278" s="117">
        <f>IF(C5278=0,0,VLOOKUP(C5278,Tabla3[],3,FALSE))</f>
        <v>0</v>
      </c>
      <c r="K5278" s="84">
        <f t="shared" si="804"/>
        <v>0</v>
      </c>
      <c r="L5278" s="118">
        <f t="shared" si="805"/>
        <v>0</v>
      </c>
    </row>
    <row r="5279" spans="2:16" ht="17.399999999999999" thickBot="1" x14ac:dyDescent="0.45"/>
    <row r="5280" spans="2:16" ht="17.399999999999999" thickBot="1" x14ac:dyDescent="0.45">
      <c r="F5280" s="292" t="s">
        <v>12</v>
      </c>
      <c r="G5280" s="293"/>
      <c r="H5280" s="293"/>
      <c r="I5280" s="294"/>
      <c r="K5280" s="229">
        <f>+SUM(K5275:K5278)</f>
        <v>0</v>
      </c>
      <c r="L5280" s="119">
        <f>+SUM(L5275:L5278)</f>
        <v>0</v>
      </c>
    </row>
    <row r="5281" spans="2:12" ht="17.399999999999999" thickBot="1" x14ac:dyDescent="0.45"/>
    <row r="5282" spans="2:12" ht="17.399999999999999" thickBot="1" x14ac:dyDescent="0.45">
      <c r="B5282" s="110" t="s">
        <v>13</v>
      </c>
      <c r="C5282" s="300" t="s">
        <v>14</v>
      </c>
      <c r="D5282" s="300"/>
      <c r="E5282" s="300"/>
      <c r="F5282" s="300"/>
      <c r="G5282" s="301"/>
    </row>
    <row r="5283" spans="2:12" x14ac:dyDescent="0.4">
      <c r="B5283" s="114" t="s">
        <v>6</v>
      </c>
      <c r="C5283" s="302" t="s">
        <v>1</v>
      </c>
      <c r="D5283" s="303"/>
      <c r="E5283" s="112" t="s">
        <v>193</v>
      </c>
      <c r="F5283" s="120" t="s">
        <v>2</v>
      </c>
      <c r="G5283" s="114" t="s">
        <v>3</v>
      </c>
      <c r="H5283" s="106"/>
      <c r="I5283" s="107" t="s">
        <v>7</v>
      </c>
      <c r="J5283" s="136"/>
      <c r="K5283" s="107" t="s">
        <v>8</v>
      </c>
      <c r="L5283" s="115" t="s">
        <v>194</v>
      </c>
    </row>
    <row r="5284" spans="2:12" x14ac:dyDescent="0.4">
      <c r="B5284" s="122">
        <v>1</v>
      </c>
      <c r="C5284" s="306" t="s">
        <v>469</v>
      </c>
      <c r="D5284" s="306"/>
      <c r="E5284" s="116">
        <f>I5259</f>
        <v>17</v>
      </c>
      <c r="F5284" s="83">
        <f>ROUND(E5284/I5259,2)</f>
        <v>1</v>
      </c>
      <c r="G5284" s="74" t="str">
        <f>IF(C5284=0,0,VLOOKUP(C5284,Tabla2[],2,FALSE))</f>
        <v>m²</v>
      </c>
      <c r="I5284" s="117">
        <f>IF(C5284=0,0,VLOOKUP(C5284,Tabla2[],3,FALSE))</f>
        <v>48</v>
      </c>
      <c r="K5284" s="84">
        <f>+F5284*I5284</f>
        <v>48</v>
      </c>
      <c r="L5284" s="118">
        <f>E5284*I5284</f>
        <v>816</v>
      </c>
    </row>
    <row r="5285" spans="2:12" x14ac:dyDescent="0.4">
      <c r="B5285" s="122"/>
      <c r="C5285" s="306"/>
      <c r="D5285" s="306"/>
      <c r="E5285" s="116"/>
      <c r="F5285" s="83"/>
      <c r="G5285" s="74"/>
      <c r="I5285" s="117">
        <f>IF(C5285=0,0,VLOOKUP(C5285,Tabla2[],3,FALSE))</f>
        <v>0</v>
      </c>
      <c r="K5285" s="84">
        <f>+F5285*I5285</f>
        <v>0</v>
      </c>
      <c r="L5285" s="118">
        <f>E5285*I5285</f>
        <v>0</v>
      </c>
    </row>
    <row r="5286" spans="2:12" ht="17.399999999999999" thickBot="1" x14ac:dyDescent="0.45">
      <c r="B5286" s="123"/>
      <c r="C5286" s="307"/>
      <c r="D5286" s="308"/>
      <c r="E5286" s="124"/>
      <c r="F5286" s="125"/>
      <c r="G5286" s="74"/>
      <c r="I5286" s="117">
        <f>IF(C5286=0,0,VLOOKUP(C5286,Tabla2[],3,FALSE))</f>
        <v>0</v>
      </c>
      <c r="K5286" s="84">
        <f t="shared" ref="K5286" si="806">+F5286*I5286</f>
        <v>0</v>
      </c>
      <c r="L5286" s="118">
        <f t="shared" ref="L5286:L5287" si="807">E5286*I5286</f>
        <v>0</v>
      </c>
    </row>
    <row r="5287" spans="2:12" ht="17.399999999999999" thickBot="1" x14ac:dyDescent="0.45">
      <c r="B5287" s="297" t="s">
        <v>15</v>
      </c>
      <c r="C5287" s="298"/>
      <c r="D5287" s="298"/>
      <c r="E5287" s="298"/>
      <c r="F5287" s="298"/>
      <c r="G5287" s="299"/>
      <c r="I5287" s="84">
        <v>0</v>
      </c>
      <c r="K5287" s="84">
        <v>0</v>
      </c>
      <c r="L5287" s="118">
        <f t="shared" si="807"/>
        <v>0</v>
      </c>
    </row>
    <row r="5288" spans="2:12" ht="17.399999999999999" thickBot="1" x14ac:dyDescent="0.45"/>
    <row r="5289" spans="2:12" ht="17.399999999999999" thickBot="1" x14ac:dyDescent="0.45">
      <c r="F5289" s="292" t="s">
        <v>16</v>
      </c>
      <c r="G5289" s="293"/>
      <c r="H5289" s="293"/>
      <c r="I5289" s="294"/>
      <c r="K5289" s="229">
        <f>+SUM(K5284:K5287)</f>
        <v>48</v>
      </c>
      <c r="L5289" s="119">
        <f>+SUM(L5284:L5287)</f>
        <v>816</v>
      </c>
    </row>
    <row r="5290" spans="2:12" ht="17.399999999999999" thickBot="1" x14ac:dyDescent="0.45"/>
    <row r="5291" spans="2:12" ht="17.399999999999999" thickBot="1" x14ac:dyDescent="0.45">
      <c r="B5291" s="110" t="s">
        <v>17</v>
      </c>
      <c r="C5291" s="300" t="s">
        <v>18</v>
      </c>
      <c r="D5291" s="300"/>
      <c r="E5291" s="300"/>
      <c r="F5291" s="300"/>
      <c r="G5291" s="301"/>
    </row>
    <row r="5292" spans="2:12" x14ac:dyDescent="0.4">
      <c r="B5292" s="114" t="s">
        <v>6</v>
      </c>
      <c r="C5292" s="302" t="s">
        <v>1</v>
      </c>
      <c r="D5292" s="303"/>
      <c r="E5292" s="126"/>
      <c r="F5292" s="120" t="s">
        <v>2</v>
      </c>
      <c r="G5292" s="114" t="s">
        <v>3</v>
      </c>
      <c r="H5292" s="106"/>
      <c r="I5292" s="107" t="s">
        <v>7</v>
      </c>
      <c r="J5292" s="136"/>
      <c r="K5292" s="107" t="s">
        <v>8</v>
      </c>
      <c r="L5292" s="115" t="s">
        <v>194</v>
      </c>
    </row>
    <row r="5293" spans="2:12" x14ac:dyDescent="0.4">
      <c r="B5293" s="74"/>
      <c r="C5293" s="304"/>
      <c r="D5293" s="305"/>
      <c r="E5293" s="127"/>
      <c r="F5293" s="72"/>
      <c r="G5293" s="74"/>
      <c r="I5293" s="84">
        <v>0</v>
      </c>
      <c r="K5293" s="84">
        <f>+F5293*I5293</f>
        <v>0</v>
      </c>
      <c r="L5293" s="118">
        <f>E5293*I5293</f>
        <v>0</v>
      </c>
    </row>
    <row r="5294" spans="2:12" x14ac:dyDescent="0.4">
      <c r="B5294" s="74"/>
      <c r="C5294" s="304"/>
      <c r="D5294" s="305"/>
      <c r="E5294" s="127"/>
      <c r="F5294" s="72"/>
      <c r="G5294" s="74"/>
      <c r="I5294" s="84">
        <v>0</v>
      </c>
      <c r="K5294" s="84">
        <f t="shared" ref="K5294:K5295" si="808">+F5294*I5294</f>
        <v>0</v>
      </c>
      <c r="L5294" s="118">
        <f t="shared" ref="L5294:L5295" si="809">E5294*I5294</f>
        <v>0</v>
      </c>
    </row>
    <row r="5295" spans="2:12" x14ac:dyDescent="0.4">
      <c r="B5295" s="74"/>
      <c r="C5295" s="304"/>
      <c r="D5295" s="305"/>
      <c r="E5295" s="127"/>
      <c r="F5295" s="72"/>
      <c r="G5295" s="74"/>
      <c r="I5295" s="84">
        <v>0</v>
      </c>
      <c r="K5295" s="84">
        <f t="shared" si="808"/>
        <v>0</v>
      </c>
      <c r="L5295" s="118">
        <f t="shared" si="809"/>
        <v>0</v>
      </c>
    </row>
    <row r="5296" spans="2:12" ht="17.399999999999999" thickBot="1" x14ac:dyDescent="0.45">
      <c r="L5296" s="118"/>
    </row>
    <row r="5297" spans="1:16" ht="17.399999999999999" thickBot="1" x14ac:dyDescent="0.45">
      <c r="F5297" s="292" t="s">
        <v>19</v>
      </c>
      <c r="G5297" s="293"/>
      <c r="H5297" s="293"/>
      <c r="I5297" s="294"/>
      <c r="K5297" s="229">
        <f>+SUM(K5293:K5295)</f>
        <v>0</v>
      </c>
      <c r="L5297" s="119">
        <f>+SUM(L5292:L5295)</f>
        <v>0</v>
      </c>
    </row>
    <row r="5298" spans="1:16" ht="15" customHeight="1" x14ac:dyDescent="0.4">
      <c r="F5298" s="128"/>
      <c r="G5298" s="129"/>
      <c r="H5298" s="130"/>
      <c r="I5298" s="108"/>
      <c r="K5298" s="230"/>
    </row>
    <row r="5299" spans="1:16" ht="15" customHeight="1" thickBot="1" x14ac:dyDescent="0.45"/>
    <row r="5300" spans="1:16" ht="17.399999999999999" thickBot="1" x14ac:dyDescent="0.45">
      <c r="F5300" s="292" t="s">
        <v>20</v>
      </c>
      <c r="G5300" s="293"/>
      <c r="H5300" s="293"/>
      <c r="I5300" s="294"/>
      <c r="K5300" s="229">
        <f>(+K5271+K5280+K5289+K5297)</f>
        <v>170</v>
      </c>
      <c r="L5300" s="119">
        <f>(+L5271+L5280+L5289+L5297)</f>
        <v>2890</v>
      </c>
      <c r="N5300" s="131"/>
      <c r="O5300" s="39"/>
      <c r="P5300" s="40"/>
    </row>
    <row r="5301" spans="1:16" ht="7.5" customHeight="1" thickBot="1" x14ac:dyDescent="0.45">
      <c r="N5301" s="131"/>
      <c r="O5301" s="41"/>
      <c r="P5301" s="40"/>
    </row>
    <row r="5302" spans="1:16" ht="17.399999999999999" thickBot="1" x14ac:dyDescent="0.45">
      <c r="F5302" s="292" t="s">
        <v>21</v>
      </c>
      <c r="G5302" s="293"/>
      <c r="H5302" s="293"/>
      <c r="I5302" s="294"/>
      <c r="K5302" s="229">
        <f>K5300*$N$2</f>
        <v>68</v>
      </c>
      <c r="L5302" s="119">
        <f>L5300*$N$2</f>
        <v>1156</v>
      </c>
    </row>
    <row r="5303" spans="1:16" ht="7.5" customHeight="1" thickBot="1" x14ac:dyDescent="0.45"/>
    <row r="5304" spans="1:16" ht="17.399999999999999" thickBot="1" x14ac:dyDescent="0.45">
      <c r="F5304" s="292" t="s">
        <v>22</v>
      </c>
      <c r="G5304" s="293"/>
      <c r="H5304" s="293"/>
      <c r="I5304" s="294"/>
      <c r="K5304" s="229">
        <f>+K5300+K5302</f>
        <v>238</v>
      </c>
      <c r="L5304" s="119">
        <f>+L5300+L5302</f>
        <v>4046</v>
      </c>
    </row>
    <row r="5305" spans="1:16" ht="17.399999999999999" thickBot="1" x14ac:dyDescent="0.45">
      <c r="F5305" s="128"/>
      <c r="G5305" s="129"/>
      <c r="H5305" s="130"/>
      <c r="I5305" s="108"/>
      <c r="K5305" s="231"/>
      <c r="L5305" s="132">
        <f>L5304/I5259</f>
        <v>238</v>
      </c>
      <c r="M5305" s="133">
        <f>(K5304-L5305)*I5259</f>
        <v>0</v>
      </c>
    </row>
    <row r="5306" spans="1:16" x14ac:dyDescent="0.4">
      <c r="F5306" s="128"/>
      <c r="G5306" s="129"/>
      <c r="H5306" s="130"/>
      <c r="I5306" s="108"/>
      <c r="K5306" s="232"/>
      <c r="L5306" s="131"/>
      <c r="M5306" s="134"/>
      <c r="N5306" s="135"/>
    </row>
    <row r="5307" spans="1:16" ht="17.399999999999999" thickBot="1" x14ac:dyDescent="0.45">
      <c r="B5307" s="295"/>
      <c r="C5307" s="295"/>
      <c r="D5307" s="295"/>
    </row>
    <row r="5308" spans="1:16" x14ac:dyDescent="0.4">
      <c r="B5308" s="296" t="s">
        <v>23</v>
      </c>
      <c r="C5308" s="296"/>
      <c r="D5308" s="296"/>
    </row>
    <row r="5309" spans="1:16" x14ac:dyDescent="0.4">
      <c r="B5309" s="157"/>
      <c r="C5309" s="157"/>
      <c r="D5309" s="157"/>
    </row>
    <row r="5310" spans="1:16" x14ac:dyDescent="0.4">
      <c r="B5310" s="157"/>
      <c r="C5310" s="157"/>
      <c r="D5310" s="157"/>
    </row>
    <row r="5311" spans="1:16" x14ac:dyDescent="0.4">
      <c r="B5311" s="105" t="s">
        <v>43</v>
      </c>
      <c r="C5311" s="106"/>
      <c r="D5311" s="311" t="s">
        <v>1</v>
      </c>
      <c r="E5311" s="311"/>
      <c r="F5311" s="311"/>
      <c r="G5311" s="311"/>
      <c r="H5311" s="106"/>
      <c r="I5311" s="107" t="s">
        <v>2</v>
      </c>
      <c r="J5311" s="136"/>
      <c r="K5311" s="107" t="s">
        <v>3</v>
      </c>
    </row>
    <row r="5312" spans="1:16" s="4" customFormat="1" ht="30.75" customHeight="1" x14ac:dyDescent="0.3">
      <c r="A5312" s="31"/>
      <c r="B5312" s="213">
        <f>CATALOGO!B145</f>
        <v>701.02</v>
      </c>
      <c r="C5312" s="71"/>
      <c r="D5312" s="326" t="str">
        <f>CATALOGO!C145</f>
        <v>PUERTA METAL + CHAPA (1 hoja)</v>
      </c>
      <c r="E5312" s="326"/>
      <c r="F5312" s="326"/>
      <c r="G5312" s="326"/>
      <c r="H5312" s="71"/>
      <c r="I5312" s="213">
        <f>CATALOGO!D145</f>
        <v>3</v>
      </c>
      <c r="J5312" s="109"/>
      <c r="K5312" s="227" t="str">
        <f>CATALOGO!E145</f>
        <v>Unidad</v>
      </c>
      <c r="L5312" s="71"/>
      <c r="M5312" s="71"/>
      <c r="N5312" s="71"/>
      <c r="O5312" s="37"/>
      <c r="P5312" s="37"/>
    </row>
    <row r="5313" spans="2:16" ht="17.399999999999999" thickBot="1" x14ac:dyDescent="0.45"/>
    <row r="5314" spans="2:16" ht="17.399999999999999" thickBot="1" x14ac:dyDescent="0.45">
      <c r="B5314" s="110" t="s">
        <v>4</v>
      </c>
      <c r="C5314" s="300" t="s">
        <v>5</v>
      </c>
      <c r="D5314" s="300"/>
      <c r="E5314" s="300"/>
      <c r="F5314" s="300"/>
      <c r="G5314" s="301"/>
    </row>
    <row r="5315" spans="2:16" x14ac:dyDescent="0.3">
      <c r="B5315" s="111" t="s">
        <v>6</v>
      </c>
      <c r="C5315" s="313" t="s">
        <v>1</v>
      </c>
      <c r="D5315" s="314"/>
      <c r="E5315" s="112" t="s">
        <v>193</v>
      </c>
      <c r="F5315" s="113" t="s">
        <v>2</v>
      </c>
      <c r="G5315" s="114" t="s">
        <v>3</v>
      </c>
      <c r="H5315" s="106"/>
      <c r="I5315" s="107" t="s">
        <v>7</v>
      </c>
      <c r="J5315" s="136"/>
      <c r="K5315" s="228" t="s">
        <v>8</v>
      </c>
      <c r="L5315" s="115" t="s">
        <v>194</v>
      </c>
      <c r="O5315" s="323"/>
      <c r="P5315" s="323"/>
    </row>
    <row r="5316" spans="2:16" ht="17.25" customHeight="1" x14ac:dyDescent="0.3">
      <c r="B5316" s="122"/>
      <c r="C5316" s="317"/>
      <c r="D5316" s="318"/>
      <c r="E5316" s="116"/>
      <c r="F5316" s="83"/>
      <c r="G5316" s="74"/>
      <c r="I5316" s="117">
        <f>IF(C5316=0,0,VLOOKUP(C5316,Tabla1[],3,FALSE))</f>
        <v>0</v>
      </c>
      <c r="K5316" s="84">
        <f>F5316*I5316</f>
        <v>0</v>
      </c>
      <c r="L5316" s="118">
        <f t="shared" ref="L5316:L5325" si="810">E5316*I5316</f>
        <v>0</v>
      </c>
      <c r="O5316" s="44"/>
      <c r="P5316" s="45"/>
    </row>
    <row r="5317" spans="2:16" x14ac:dyDescent="0.4">
      <c r="B5317" s="122"/>
      <c r="C5317" s="317"/>
      <c r="D5317" s="318"/>
      <c r="E5317" s="116"/>
      <c r="F5317" s="83"/>
      <c r="G5317" s="74"/>
      <c r="I5317" s="117">
        <f>IF(C5317=0,0,VLOOKUP(C5317,Tabla1[],3,FALSE))</f>
        <v>0</v>
      </c>
      <c r="K5317" s="84">
        <f t="shared" ref="K5317:K5325" si="811">+F5317*I5317</f>
        <v>0</v>
      </c>
      <c r="L5317" s="118">
        <f t="shared" si="810"/>
        <v>0</v>
      </c>
      <c r="P5317" s="45"/>
    </row>
    <row r="5318" spans="2:16" x14ac:dyDescent="0.4">
      <c r="B5318" s="122"/>
      <c r="C5318" s="317"/>
      <c r="D5318" s="318"/>
      <c r="E5318" s="116"/>
      <c r="F5318" s="83"/>
      <c r="G5318" s="74"/>
      <c r="I5318" s="117">
        <f>IF(C5318=0,0,VLOOKUP(C5318,Tabla1[],3,FALSE))</f>
        <v>0</v>
      </c>
      <c r="K5318" s="84">
        <f t="shared" si="811"/>
        <v>0</v>
      </c>
      <c r="L5318" s="118">
        <f t="shared" si="810"/>
        <v>0</v>
      </c>
      <c r="O5318" s="48"/>
      <c r="P5318" s="49"/>
    </row>
    <row r="5319" spans="2:16" x14ac:dyDescent="0.4">
      <c r="B5319" s="122"/>
      <c r="C5319" s="317"/>
      <c r="D5319" s="318"/>
      <c r="E5319" s="116"/>
      <c r="F5319" s="83"/>
      <c r="G5319" s="74"/>
      <c r="I5319" s="117">
        <f>IF(C5319=0,0,VLOOKUP(C5319,Tabla1[],3,FALSE))</f>
        <v>0</v>
      </c>
      <c r="K5319" s="84">
        <f t="shared" si="811"/>
        <v>0</v>
      </c>
      <c r="L5319" s="118">
        <f t="shared" si="810"/>
        <v>0</v>
      </c>
      <c r="O5319" s="48"/>
      <c r="P5319" s="49"/>
    </row>
    <row r="5320" spans="2:16" x14ac:dyDescent="0.4">
      <c r="B5320" s="122"/>
      <c r="C5320" s="317"/>
      <c r="D5320" s="318"/>
      <c r="E5320" s="116"/>
      <c r="F5320" s="83"/>
      <c r="G5320" s="74"/>
      <c r="I5320" s="117">
        <f>IF(C5320=0,0,VLOOKUP(C5320,Tabla1[],3,FALSE))</f>
        <v>0</v>
      </c>
      <c r="K5320" s="84">
        <f t="shared" si="811"/>
        <v>0</v>
      </c>
      <c r="L5320" s="118">
        <f t="shared" si="810"/>
        <v>0</v>
      </c>
      <c r="O5320" s="48"/>
      <c r="P5320" s="49"/>
    </row>
    <row r="5321" spans="2:16" x14ac:dyDescent="0.4">
      <c r="B5321" s="122"/>
      <c r="C5321" s="318"/>
      <c r="D5321" s="306"/>
      <c r="E5321" s="116"/>
      <c r="F5321" s="83"/>
      <c r="G5321" s="74"/>
      <c r="I5321" s="117">
        <f>IF(C5321=0,0,VLOOKUP(C5321,Tabla1[],3,FALSE))</f>
        <v>0</v>
      </c>
      <c r="K5321" s="84">
        <f t="shared" si="811"/>
        <v>0</v>
      </c>
      <c r="L5321" s="118">
        <f t="shared" si="810"/>
        <v>0</v>
      </c>
      <c r="O5321" s="48"/>
      <c r="P5321" s="49"/>
    </row>
    <row r="5322" spans="2:16" x14ac:dyDescent="0.4">
      <c r="B5322" s="122"/>
      <c r="C5322" s="318"/>
      <c r="D5322" s="306"/>
      <c r="E5322" s="116"/>
      <c r="F5322" s="83"/>
      <c r="G5322" s="74"/>
      <c r="I5322" s="117">
        <f>IF(C5322=0,0,VLOOKUP(C5322,Tabla1[],3,FALSE))</f>
        <v>0</v>
      </c>
      <c r="K5322" s="84">
        <f t="shared" si="811"/>
        <v>0</v>
      </c>
      <c r="L5322" s="118">
        <f t="shared" si="810"/>
        <v>0</v>
      </c>
      <c r="O5322" s="48"/>
      <c r="P5322" s="49"/>
    </row>
    <row r="5323" spans="2:16" x14ac:dyDescent="0.4">
      <c r="B5323" s="122"/>
      <c r="C5323" s="317"/>
      <c r="D5323" s="318"/>
      <c r="E5323" s="116"/>
      <c r="F5323" s="83"/>
      <c r="G5323" s="74"/>
      <c r="I5323" s="117">
        <f>IF(C5323=0,0,VLOOKUP(C5323,Tabla1[],3,FALSE))</f>
        <v>0</v>
      </c>
      <c r="K5323" s="84">
        <f t="shared" si="811"/>
        <v>0</v>
      </c>
      <c r="L5323" s="118">
        <f t="shared" si="810"/>
        <v>0</v>
      </c>
      <c r="O5323" s="48"/>
      <c r="P5323" s="49"/>
    </row>
    <row r="5324" spans="2:16" x14ac:dyDescent="0.4">
      <c r="B5324" s="122"/>
      <c r="C5324" s="317"/>
      <c r="D5324" s="318"/>
      <c r="E5324" s="116"/>
      <c r="F5324" s="83"/>
      <c r="G5324" s="74"/>
      <c r="I5324" s="117">
        <f>IF(C5324=0,0,VLOOKUP(C5324,Tabla1[],3,FALSE))</f>
        <v>0</v>
      </c>
      <c r="K5324" s="84">
        <f t="shared" si="811"/>
        <v>0</v>
      </c>
      <c r="L5324" s="118">
        <f t="shared" si="810"/>
        <v>0</v>
      </c>
      <c r="O5324" s="48"/>
      <c r="P5324" s="49"/>
    </row>
    <row r="5325" spans="2:16" x14ac:dyDescent="0.4">
      <c r="B5325" s="122"/>
      <c r="C5325" s="319"/>
      <c r="D5325" s="318"/>
      <c r="E5325" s="116"/>
      <c r="F5325" s="83"/>
      <c r="G5325" s="74"/>
      <c r="I5325" s="117">
        <f>IF(C5325=0,0,VLOOKUP(C5325,Tabla1[],3,FALSE))</f>
        <v>0</v>
      </c>
      <c r="K5325" s="84">
        <f t="shared" si="811"/>
        <v>0</v>
      </c>
      <c r="L5325" s="118">
        <f t="shared" si="810"/>
        <v>0</v>
      </c>
      <c r="O5325" s="48"/>
      <c r="P5325" s="43"/>
    </row>
    <row r="5326" spans="2:16" ht="17.399999999999999" thickBot="1" x14ac:dyDescent="0.45"/>
    <row r="5327" spans="2:16" ht="17.399999999999999" thickBot="1" x14ac:dyDescent="0.35">
      <c r="F5327" s="292" t="s">
        <v>9</v>
      </c>
      <c r="G5327" s="293"/>
      <c r="H5327" s="293"/>
      <c r="I5327" s="294"/>
      <c r="K5327" s="229">
        <f>+SUM(K5316:K5325)</f>
        <v>0</v>
      </c>
      <c r="L5327" s="119">
        <f>+SUM(L5316:L5325)</f>
        <v>0</v>
      </c>
      <c r="O5327" s="38"/>
      <c r="P5327" s="38"/>
    </row>
    <row r="5328" spans="2:16" ht="17.399999999999999" thickBot="1" x14ac:dyDescent="0.45">
      <c r="O5328" s="42"/>
      <c r="P5328" s="43"/>
    </row>
    <row r="5329" spans="2:12" ht="17.399999999999999" thickBot="1" x14ac:dyDescent="0.45">
      <c r="B5329" s="110" t="s">
        <v>10</v>
      </c>
      <c r="C5329" s="300" t="s">
        <v>11</v>
      </c>
      <c r="D5329" s="300"/>
      <c r="E5329" s="300"/>
      <c r="F5329" s="300"/>
      <c r="G5329" s="301"/>
    </row>
    <row r="5330" spans="2:12" x14ac:dyDescent="0.4">
      <c r="B5330" s="114" t="s">
        <v>6</v>
      </c>
      <c r="C5330" s="302" t="s">
        <v>1</v>
      </c>
      <c r="D5330" s="303"/>
      <c r="E5330" s="112" t="s">
        <v>193</v>
      </c>
      <c r="F5330" s="120" t="s">
        <v>2</v>
      </c>
      <c r="G5330" s="114" t="s">
        <v>3</v>
      </c>
      <c r="H5330" s="106"/>
      <c r="I5330" s="107" t="s">
        <v>7</v>
      </c>
      <c r="J5330" s="136"/>
      <c r="K5330" s="107" t="s">
        <v>8</v>
      </c>
      <c r="L5330" s="115" t="s">
        <v>194</v>
      </c>
    </row>
    <row r="5331" spans="2:12" x14ac:dyDescent="0.4">
      <c r="B5331" s="122"/>
      <c r="C5331" s="306"/>
      <c r="D5331" s="306"/>
      <c r="E5331" s="116"/>
      <c r="F5331" s="83"/>
      <c r="G5331" s="74"/>
      <c r="I5331" s="117">
        <f>IF(C5331=0,0,VLOOKUP(C5331,Tabla3[],3,FALSE))</f>
        <v>0</v>
      </c>
      <c r="K5331" s="84">
        <f>F5331*I5331</f>
        <v>0</v>
      </c>
      <c r="L5331" s="118">
        <f>E5331*I5331</f>
        <v>0</v>
      </c>
    </row>
    <row r="5332" spans="2:12" x14ac:dyDescent="0.4">
      <c r="B5332" s="74"/>
      <c r="C5332" s="309"/>
      <c r="D5332" s="310"/>
      <c r="E5332" s="121"/>
      <c r="F5332" s="72"/>
      <c r="G5332" s="74"/>
      <c r="I5332" s="117">
        <f>IF(C5332=0,0,VLOOKUP(C5332,Tabla3[],3,FALSE))</f>
        <v>0</v>
      </c>
      <c r="K5332" s="84">
        <f t="shared" ref="K5332:K5334" si="812">+F5332*I5332</f>
        <v>0</v>
      </c>
      <c r="L5332" s="118">
        <f t="shared" ref="L5332:L5334" si="813">E5332*I5332</f>
        <v>0</v>
      </c>
    </row>
    <row r="5333" spans="2:12" x14ac:dyDescent="0.4">
      <c r="B5333" s="74"/>
      <c r="C5333" s="309"/>
      <c r="D5333" s="310"/>
      <c r="E5333" s="121"/>
      <c r="F5333" s="72"/>
      <c r="G5333" s="74"/>
      <c r="I5333" s="117">
        <f>IF(C5333=0,0,VLOOKUP(C5333,Tabla3[],3,FALSE))</f>
        <v>0</v>
      </c>
      <c r="K5333" s="84">
        <f t="shared" si="812"/>
        <v>0</v>
      </c>
      <c r="L5333" s="118">
        <f t="shared" si="813"/>
        <v>0</v>
      </c>
    </row>
    <row r="5334" spans="2:12" x14ac:dyDescent="0.4">
      <c r="B5334" s="74"/>
      <c r="C5334" s="304"/>
      <c r="D5334" s="305"/>
      <c r="E5334" s="121"/>
      <c r="F5334" s="72"/>
      <c r="G5334" s="74"/>
      <c r="I5334" s="117">
        <f>IF(C5334=0,0,VLOOKUP(C5334,Tabla3[],3,FALSE))</f>
        <v>0</v>
      </c>
      <c r="K5334" s="84">
        <f t="shared" si="812"/>
        <v>0</v>
      </c>
      <c r="L5334" s="118">
        <f t="shared" si="813"/>
        <v>0</v>
      </c>
    </row>
    <row r="5335" spans="2:12" ht="17.399999999999999" thickBot="1" x14ac:dyDescent="0.45"/>
    <row r="5336" spans="2:12" ht="17.399999999999999" thickBot="1" x14ac:dyDescent="0.45">
      <c r="F5336" s="292" t="s">
        <v>12</v>
      </c>
      <c r="G5336" s="293"/>
      <c r="H5336" s="293"/>
      <c r="I5336" s="294"/>
      <c r="K5336" s="229">
        <f>+SUM(K5331:K5334)</f>
        <v>0</v>
      </c>
      <c r="L5336" s="119">
        <f>+SUM(L5331:L5334)</f>
        <v>0</v>
      </c>
    </row>
    <row r="5337" spans="2:12" ht="17.399999999999999" thickBot="1" x14ac:dyDescent="0.45"/>
    <row r="5338" spans="2:12" ht="17.399999999999999" thickBot="1" x14ac:dyDescent="0.45">
      <c r="B5338" s="110" t="s">
        <v>13</v>
      </c>
      <c r="C5338" s="300" t="s">
        <v>14</v>
      </c>
      <c r="D5338" s="300"/>
      <c r="E5338" s="300"/>
      <c r="F5338" s="300"/>
      <c r="G5338" s="301"/>
    </row>
    <row r="5339" spans="2:12" x14ac:dyDescent="0.4">
      <c r="B5339" s="114" t="s">
        <v>6</v>
      </c>
      <c r="C5339" s="302" t="s">
        <v>1</v>
      </c>
      <c r="D5339" s="303"/>
      <c r="E5339" s="112" t="s">
        <v>193</v>
      </c>
      <c r="F5339" s="120" t="s">
        <v>2</v>
      </c>
      <c r="G5339" s="114" t="s">
        <v>3</v>
      </c>
      <c r="H5339" s="106"/>
      <c r="I5339" s="107" t="s">
        <v>7</v>
      </c>
      <c r="J5339" s="136"/>
      <c r="K5339" s="107" t="s">
        <v>8</v>
      </c>
      <c r="L5339" s="115" t="s">
        <v>194</v>
      </c>
    </row>
    <row r="5340" spans="2:12" x14ac:dyDescent="0.4">
      <c r="B5340" s="122">
        <v>1</v>
      </c>
      <c r="C5340" s="325" t="s">
        <v>224</v>
      </c>
      <c r="D5340" s="325"/>
      <c r="E5340" s="116">
        <f>I5312</f>
        <v>3</v>
      </c>
      <c r="F5340" s="83">
        <f>ROUND(E5340/I5312,2)</f>
        <v>1</v>
      </c>
      <c r="G5340" s="74" t="str">
        <f>IF(C5340=0,0,VLOOKUP(C5340,Tabla2[],2,FALSE))</f>
        <v>Unidad</v>
      </c>
      <c r="I5340" s="117">
        <f>IF(C5340=0,0,VLOOKUP(C5340,Tabla2[],3,FALSE))</f>
        <v>1845</v>
      </c>
      <c r="K5340" s="84">
        <f>+F5340*I5340</f>
        <v>1845</v>
      </c>
      <c r="L5340" s="118">
        <f>E5340*I5340</f>
        <v>5535</v>
      </c>
    </row>
    <row r="5341" spans="2:12" x14ac:dyDescent="0.4">
      <c r="B5341" s="122"/>
      <c r="C5341" s="306"/>
      <c r="D5341" s="306"/>
      <c r="E5341" s="116"/>
      <c r="F5341" s="83"/>
      <c r="G5341" s="74"/>
      <c r="I5341" s="117">
        <f>IF(C5341=0,0,VLOOKUP(C5341,Tabla2[],3,FALSE))</f>
        <v>0</v>
      </c>
      <c r="K5341" s="84">
        <f>+F5341*I5341</f>
        <v>0</v>
      </c>
      <c r="L5341" s="118">
        <f>E5341*I5341</f>
        <v>0</v>
      </c>
    </row>
    <row r="5342" spans="2:12" ht="17.399999999999999" thickBot="1" x14ac:dyDescent="0.45">
      <c r="B5342" s="123"/>
      <c r="C5342" s="307"/>
      <c r="D5342" s="308"/>
      <c r="E5342" s="124"/>
      <c r="F5342" s="125"/>
      <c r="G5342" s="74"/>
      <c r="I5342" s="117">
        <f>IF(C5342=0,0,VLOOKUP(C5342,Tabla2[],3,FALSE))</f>
        <v>0</v>
      </c>
      <c r="K5342" s="84">
        <f t="shared" ref="K5342" si="814">+F5342*I5342</f>
        <v>0</v>
      </c>
      <c r="L5342" s="118">
        <f t="shared" ref="L5342:L5343" si="815">E5342*I5342</f>
        <v>0</v>
      </c>
    </row>
    <row r="5343" spans="2:12" ht="17.399999999999999" thickBot="1" x14ac:dyDescent="0.45">
      <c r="B5343" s="297" t="s">
        <v>15</v>
      </c>
      <c r="C5343" s="298"/>
      <c r="D5343" s="298"/>
      <c r="E5343" s="298"/>
      <c r="F5343" s="298"/>
      <c r="G5343" s="299"/>
      <c r="I5343" s="84">
        <v>0</v>
      </c>
      <c r="K5343" s="84">
        <v>0</v>
      </c>
      <c r="L5343" s="118">
        <f t="shared" si="815"/>
        <v>0</v>
      </c>
    </row>
    <row r="5344" spans="2:12" ht="17.399999999999999" thickBot="1" x14ac:dyDescent="0.45"/>
    <row r="5345" spans="2:16" ht="17.399999999999999" thickBot="1" x14ac:dyDescent="0.45">
      <c r="F5345" s="292" t="s">
        <v>16</v>
      </c>
      <c r="G5345" s="293"/>
      <c r="H5345" s="293"/>
      <c r="I5345" s="294"/>
      <c r="K5345" s="229">
        <f>+SUM(K5340:K5343)</f>
        <v>1845</v>
      </c>
      <c r="L5345" s="119">
        <f>+SUM(L5340:L5343)</f>
        <v>5535</v>
      </c>
    </row>
    <row r="5346" spans="2:16" ht="17.399999999999999" thickBot="1" x14ac:dyDescent="0.45"/>
    <row r="5347" spans="2:16" ht="17.399999999999999" thickBot="1" x14ac:dyDescent="0.45">
      <c r="B5347" s="110" t="s">
        <v>17</v>
      </c>
      <c r="C5347" s="300" t="s">
        <v>18</v>
      </c>
      <c r="D5347" s="300"/>
      <c r="E5347" s="300"/>
      <c r="F5347" s="300"/>
      <c r="G5347" s="301"/>
    </row>
    <row r="5348" spans="2:16" x14ac:dyDescent="0.4">
      <c r="B5348" s="114" t="s">
        <v>6</v>
      </c>
      <c r="C5348" s="302" t="s">
        <v>1</v>
      </c>
      <c r="D5348" s="303"/>
      <c r="E5348" s="126"/>
      <c r="F5348" s="120" t="s">
        <v>2</v>
      </c>
      <c r="G5348" s="114" t="s">
        <v>3</v>
      </c>
      <c r="H5348" s="106"/>
      <c r="I5348" s="107" t="s">
        <v>7</v>
      </c>
      <c r="J5348" s="136"/>
      <c r="K5348" s="107" t="s">
        <v>8</v>
      </c>
      <c r="L5348" s="115" t="s">
        <v>194</v>
      </c>
    </row>
    <row r="5349" spans="2:16" x14ac:dyDescent="0.4">
      <c r="B5349" s="74"/>
      <c r="C5349" s="304"/>
      <c r="D5349" s="305"/>
      <c r="E5349" s="127"/>
      <c r="F5349" s="72"/>
      <c r="G5349" s="74"/>
      <c r="I5349" s="84">
        <v>0</v>
      </c>
      <c r="K5349" s="84">
        <f>+F5349*I5349</f>
        <v>0</v>
      </c>
      <c r="L5349" s="118">
        <f>E5349*I5349</f>
        <v>0</v>
      </c>
    </row>
    <row r="5350" spans="2:16" x14ac:dyDescent="0.4">
      <c r="B5350" s="74"/>
      <c r="C5350" s="304"/>
      <c r="D5350" s="305"/>
      <c r="E5350" s="127"/>
      <c r="F5350" s="72"/>
      <c r="G5350" s="74"/>
      <c r="I5350" s="84">
        <v>0</v>
      </c>
      <c r="K5350" s="84">
        <f t="shared" ref="K5350:K5351" si="816">+F5350*I5350</f>
        <v>0</v>
      </c>
      <c r="L5350" s="118">
        <f t="shared" ref="L5350:L5351" si="817">E5350*I5350</f>
        <v>0</v>
      </c>
    </row>
    <row r="5351" spans="2:16" x14ac:dyDescent="0.4">
      <c r="B5351" s="74"/>
      <c r="C5351" s="304"/>
      <c r="D5351" s="305"/>
      <c r="E5351" s="127"/>
      <c r="F5351" s="72"/>
      <c r="G5351" s="74"/>
      <c r="I5351" s="84">
        <v>0</v>
      </c>
      <c r="K5351" s="84">
        <f t="shared" si="816"/>
        <v>0</v>
      </c>
      <c r="L5351" s="118">
        <f t="shared" si="817"/>
        <v>0</v>
      </c>
    </row>
    <row r="5352" spans="2:16" ht="17.399999999999999" thickBot="1" x14ac:dyDescent="0.45">
      <c r="L5352" s="118"/>
    </row>
    <row r="5353" spans="2:16" ht="17.399999999999999" thickBot="1" x14ac:dyDescent="0.45">
      <c r="F5353" s="292" t="s">
        <v>19</v>
      </c>
      <c r="G5353" s="293"/>
      <c r="H5353" s="293"/>
      <c r="I5353" s="294"/>
      <c r="K5353" s="229">
        <f>+SUM(K5349:K5351)</f>
        <v>0</v>
      </c>
      <c r="L5353" s="119">
        <f>+SUM(L5348:L5351)</f>
        <v>0</v>
      </c>
    </row>
    <row r="5354" spans="2:16" ht="15" customHeight="1" x14ac:dyDescent="0.4">
      <c r="F5354" s="128"/>
      <c r="G5354" s="129"/>
      <c r="H5354" s="130"/>
      <c r="I5354" s="108"/>
      <c r="K5354" s="230"/>
    </row>
    <row r="5355" spans="2:16" ht="15" customHeight="1" thickBot="1" x14ac:dyDescent="0.45"/>
    <row r="5356" spans="2:16" ht="17.399999999999999" thickBot="1" x14ac:dyDescent="0.45">
      <c r="F5356" s="292" t="s">
        <v>20</v>
      </c>
      <c r="G5356" s="293"/>
      <c r="H5356" s="293"/>
      <c r="I5356" s="294"/>
      <c r="K5356" s="229">
        <f>(+K5327+K5336+K5345+K5353)</f>
        <v>1845</v>
      </c>
      <c r="L5356" s="119">
        <f>(+L5327+L5336+L5345+L5353)</f>
        <v>5535</v>
      </c>
      <c r="N5356" s="131"/>
      <c r="O5356" s="39"/>
      <c r="P5356" s="40"/>
    </row>
    <row r="5357" spans="2:16" ht="7.5" customHeight="1" thickBot="1" x14ac:dyDescent="0.45">
      <c r="N5357" s="131"/>
      <c r="O5357" s="41"/>
      <c r="P5357" s="40"/>
    </row>
    <row r="5358" spans="2:16" ht="17.399999999999999" thickBot="1" x14ac:dyDescent="0.45">
      <c r="F5358" s="292" t="s">
        <v>21</v>
      </c>
      <c r="G5358" s="293"/>
      <c r="H5358" s="293"/>
      <c r="I5358" s="294"/>
      <c r="K5358" s="229">
        <f>K5356*$N$2</f>
        <v>738</v>
      </c>
      <c r="L5358" s="119">
        <f>L5356*$N$2</f>
        <v>2214</v>
      </c>
    </row>
    <row r="5359" spans="2:16" ht="7.5" customHeight="1" thickBot="1" x14ac:dyDescent="0.45"/>
    <row r="5360" spans="2:16" ht="17.399999999999999" thickBot="1" x14ac:dyDescent="0.45">
      <c r="F5360" s="292" t="s">
        <v>22</v>
      </c>
      <c r="G5360" s="293"/>
      <c r="H5360" s="293"/>
      <c r="I5360" s="294"/>
      <c r="K5360" s="229">
        <f>+K5356+K5358</f>
        <v>2583</v>
      </c>
      <c r="L5360" s="119">
        <f>+L5356+L5358</f>
        <v>7749</v>
      </c>
    </row>
    <row r="5361" spans="1:16" ht="17.399999999999999" thickBot="1" x14ac:dyDescent="0.45">
      <c r="F5361" s="128"/>
      <c r="G5361" s="129"/>
      <c r="H5361" s="130"/>
      <c r="I5361" s="108"/>
      <c r="K5361" s="231"/>
      <c r="L5361" s="132">
        <f>L5360/I5312</f>
        <v>2583</v>
      </c>
      <c r="M5361" s="133">
        <f>(K5360-L5361)*I5312</f>
        <v>0</v>
      </c>
    </row>
    <row r="5362" spans="1:16" x14ac:dyDescent="0.4">
      <c r="F5362" s="128"/>
      <c r="G5362" s="129"/>
      <c r="H5362" s="130"/>
      <c r="I5362" s="108"/>
      <c r="K5362" s="232"/>
      <c r="L5362" s="131"/>
      <c r="M5362" s="134"/>
      <c r="N5362" s="135"/>
    </row>
    <row r="5363" spans="1:16" ht="17.399999999999999" thickBot="1" x14ac:dyDescent="0.45">
      <c r="B5363" s="295"/>
      <c r="C5363" s="295"/>
      <c r="D5363" s="295"/>
    </row>
    <row r="5364" spans="1:16" x14ac:dyDescent="0.4">
      <c r="B5364" s="296" t="s">
        <v>23</v>
      </c>
      <c r="C5364" s="296"/>
      <c r="D5364" s="296"/>
    </row>
    <row r="5365" spans="1:16" x14ac:dyDescent="0.4">
      <c r="B5365" s="157"/>
      <c r="C5365" s="157"/>
      <c r="D5365" s="157"/>
    </row>
    <row r="5366" spans="1:16" x14ac:dyDescent="0.4">
      <c r="B5366" s="157"/>
      <c r="C5366" s="157"/>
      <c r="D5366" s="157"/>
    </row>
    <row r="5367" spans="1:16" x14ac:dyDescent="0.4">
      <c r="B5367" s="105" t="s">
        <v>43</v>
      </c>
      <c r="C5367" s="106"/>
      <c r="D5367" s="311" t="s">
        <v>1</v>
      </c>
      <c r="E5367" s="311"/>
      <c r="F5367" s="311"/>
      <c r="G5367" s="311"/>
      <c r="H5367" s="106"/>
      <c r="I5367" s="107" t="s">
        <v>2</v>
      </c>
      <c r="J5367" s="136"/>
      <c r="K5367" s="107" t="s">
        <v>3</v>
      </c>
    </row>
    <row r="5368" spans="1:16" s="4" customFormat="1" ht="30.75" customHeight="1" x14ac:dyDescent="0.3">
      <c r="A5368" s="31"/>
      <c r="B5368" s="213">
        <f>CATALOGO!B147</f>
        <v>1001.01</v>
      </c>
      <c r="C5368" s="71"/>
      <c r="D5368" s="324" t="str">
        <f>CATALOGO!C147</f>
        <v>INODORO</v>
      </c>
      <c r="E5368" s="324"/>
      <c r="F5368" s="324"/>
      <c r="G5368" s="324"/>
      <c r="H5368" s="71"/>
      <c r="I5368" s="213">
        <f>CATALOGO!D147</f>
        <v>3</v>
      </c>
      <c r="J5368" s="109"/>
      <c r="K5368" s="227" t="str">
        <f>CATALOGO!E147</f>
        <v>Unidad</v>
      </c>
      <c r="L5368" s="71"/>
      <c r="M5368" s="71"/>
      <c r="N5368" s="104"/>
      <c r="O5368" s="37"/>
      <c r="P5368" s="37"/>
    </row>
    <row r="5369" spans="1:16" ht="17.399999999999999" thickBot="1" x14ac:dyDescent="0.45"/>
    <row r="5370" spans="1:16" ht="17.399999999999999" thickBot="1" x14ac:dyDescent="0.45">
      <c r="B5370" s="110" t="s">
        <v>4</v>
      </c>
      <c r="C5370" s="300" t="s">
        <v>5</v>
      </c>
      <c r="D5370" s="300"/>
      <c r="E5370" s="300"/>
      <c r="F5370" s="300"/>
      <c r="G5370" s="301"/>
    </row>
    <row r="5371" spans="1:16" x14ac:dyDescent="0.3">
      <c r="B5371" s="111" t="s">
        <v>6</v>
      </c>
      <c r="C5371" s="313" t="s">
        <v>1</v>
      </c>
      <c r="D5371" s="314"/>
      <c r="E5371" s="112" t="s">
        <v>193</v>
      </c>
      <c r="F5371" s="113" t="s">
        <v>2</v>
      </c>
      <c r="G5371" s="114" t="s">
        <v>3</v>
      </c>
      <c r="H5371" s="106"/>
      <c r="I5371" s="107" t="s">
        <v>7</v>
      </c>
      <c r="J5371" s="136"/>
      <c r="K5371" s="228" t="s">
        <v>8</v>
      </c>
      <c r="L5371" s="115" t="s">
        <v>194</v>
      </c>
      <c r="O5371" s="323"/>
      <c r="P5371" s="323"/>
    </row>
    <row r="5372" spans="1:16" ht="17.25" customHeight="1" x14ac:dyDescent="0.3">
      <c r="B5372" s="122">
        <v>1</v>
      </c>
      <c r="C5372" s="315" t="s">
        <v>317</v>
      </c>
      <c r="D5372" s="316"/>
      <c r="E5372" s="116">
        <f>I5368</f>
        <v>3</v>
      </c>
      <c r="F5372" s="83">
        <f>ROUND(E5372/I5368,2)</f>
        <v>1</v>
      </c>
      <c r="G5372" s="74" t="str">
        <f>IF(C5372=0,0,VLOOKUP(C5372,Tabla1[],2,FALSE))</f>
        <v>Unidad</v>
      </c>
      <c r="I5372" s="117">
        <f>IF(C5372=0,0,VLOOKUP(C5372,Tabla1[],3,FALSE))</f>
        <v>1265</v>
      </c>
      <c r="K5372" s="84">
        <f>F5372*I5372</f>
        <v>1265</v>
      </c>
      <c r="L5372" s="118">
        <f t="shared" ref="L5372:L5381" si="818">E5372*I5372</f>
        <v>3795</v>
      </c>
      <c r="O5372" s="44"/>
      <c r="P5372" s="45"/>
    </row>
    <row r="5373" spans="1:16" ht="16.5" customHeight="1" x14ac:dyDescent="0.4">
      <c r="B5373" s="122">
        <v>2</v>
      </c>
      <c r="C5373" s="315" t="s">
        <v>115</v>
      </c>
      <c r="D5373" s="316"/>
      <c r="E5373" s="116">
        <f>I5368</f>
        <v>3</v>
      </c>
      <c r="F5373" s="83">
        <f>ROUND(E5373/I5368,2)</f>
        <v>1</v>
      </c>
      <c r="G5373" s="74" t="str">
        <f>IF(C5373=0,0,VLOOKUP(C5373,Tabla1[],2,FALSE))</f>
        <v>Unidad</v>
      </c>
      <c r="I5373" s="117">
        <f>IF(C5373=0,0,VLOOKUP(C5373,Tabla1[],3,FALSE))</f>
        <v>150</v>
      </c>
      <c r="K5373" s="84">
        <f t="shared" ref="K5373:K5381" si="819">+F5373*I5373</f>
        <v>150</v>
      </c>
      <c r="L5373" s="118">
        <f t="shared" si="818"/>
        <v>450</v>
      </c>
      <c r="P5373" s="45"/>
    </row>
    <row r="5374" spans="1:16" x14ac:dyDescent="0.4">
      <c r="B5374" s="122"/>
      <c r="C5374" s="317"/>
      <c r="D5374" s="318"/>
      <c r="E5374" s="116"/>
      <c r="F5374" s="83"/>
      <c r="G5374" s="74"/>
      <c r="I5374" s="117">
        <f>IF(C5374=0,0,VLOOKUP(C5374,Tabla1[],3,FALSE))</f>
        <v>0</v>
      </c>
      <c r="K5374" s="84">
        <f t="shared" si="819"/>
        <v>0</v>
      </c>
      <c r="L5374" s="118">
        <f t="shared" si="818"/>
        <v>0</v>
      </c>
      <c r="O5374" s="48"/>
      <c r="P5374" s="49"/>
    </row>
    <row r="5375" spans="1:16" x14ac:dyDescent="0.4">
      <c r="B5375" s="122"/>
      <c r="C5375" s="319"/>
      <c r="D5375" s="318"/>
      <c r="E5375" s="116"/>
      <c r="F5375" s="83"/>
      <c r="G5375" s="74"/>
      <c r="I5375" s="117">
        <f>IF(C5375=0,0,VLOOKUP(C5375,Tabla1[],3,FALSE))</f>
        <v>0</v>
      </c>
      <c r="K5375" s="84">
        <f t="shared" si="819"/>
        <v>0</v>
      </c>
      <c r="L5375" s="118">
        <f t="shared" si="818"/>
        <v>0</v>
      </c>
      <c r="O5375" s="48"/>
      <c r="P5375" s="49"/>
    </row>
    <row r="5376" spans="1:16" x14ac:dyDescent="0.4">
      <c r="B5376" s="122"/>
      <c r="C5376" s="319"/>
      <c r="D5376" s="318"/>
      <c r="E5376" s="116"/>
      <c r="F5376" s="83"/>
      <c r="G5376" s="74"/>
      <c r="I5376" s="117">
        <f>IF(C5376=0,0,VLOOKUP(C5376,Tabla1[],3,FALSE))</f>
        <v>0</v>
      </c>
      <c r="K5376" s="84">
        <f t="shared" si="819"/>
        <v>0</v>
      </c>
      <c r="L5376" s="118">
        <f t="shared" si="818"/>
        <v>0</v>
      </c>
      <c r="O5376" s="48"/>
      <c r="P5376" s="49"/>
    </row>
    <row r="5377" spans="2:16" x14ac:dyDescent="0.4">
      <c r="B5377" s="122"/>
      <c r="C5377" s="319"/>
      <c r="D5377" s="318"/>
      <c r="E5377" s="116"/>
      <c r="F5377" s="83"/>
      <c r="G5377" s="74"/>
      <c r="I5377" s="117">
        <f>IF(C5377=0,0,VLOOKUP(C5377,Tabla1[],3,FALSE))</f>
        <v>0</v>
      </c>
      <c r="K5377" s="84">
        <f t="shared" si="819"/>
        <v>0</v>
      </c>
      <c r="L5377" s="118">
        <f t="shared" si="818"/>
        <v>0</v>
      </c>
      <c r="O5377" s="48"/>
      <c r="P5377" s="49"/>
    </row>
    <row r="5378" spans="2:16" x14ac:dyDescent="0.4">
      <c r="B5378" s="122"/>
      <c r="C5378" s="319"/>
      <c r="D5378" s="318"/>
      <c r="E5378" s="116"/>
      <c r="F5378" s="83"/>
      <c r="G5378" s="74"/>
      <c r="I5378" s="117">
        <f>IF(C5378=0,0,VLOOKUP(C5378,Tabla1[],3,FALSE))</f>
        <v>0</v>
      </c>
      <c r="K5378" s="84">
        <f t="shared" si="819"/>
        <v>0</v>
      </c>
      <c r="L5378" s="118">
        <f t="shared" si="818"/>
        <v>0</v>
      </c>
      <c r="O5378" s="48"/>
      <c r="P5378" s="49"/>
    </row>
    <row r="5379" spans="2:16" x14ac:dyDescent="0.4">
      <c r="B5379" s="122"/>
      <c r="C5379" s="317"/>
      <c r="D5379" s="318"/>
      <c r="E5379" s="116"/>
      <c r="F5379" s="83"/>
      <c r="G5379" s="74"/>
      <c r="I5379" s="117">
        <f>IF(C5379=0,0,VLOOKUP(C5379,Tabla1[],3,FALSE))</f>
        <v>0</v>
      </c>
      <c r="K5379" s="84">
        <f t="shared" si="819"/>
        <v>0</v>
      </c>
      <c r="L5379" s="118">
        <f t="shared" si="818"/>
        <v>0</v>
      </c>
      <c r="O5379" s="48"/>
      <c r="P5379" s="49"/>
    </row>
    <row r="5380" spans="2:16" x14ac:dyDescent="0.4">
      <c r="B5380" s="122"/>
      <c r="C5380" s="309"/>
      <c r="D5380" s="310"/>
      <c r="E5380" s="116"/>
      <c r="F5380" s="83"/>
      <c r="G5380" s="74"/>
      <c r="I5380" s="117">
        <f>IF(C5380=0,0,VLOOKUP(C5380,Tabla1[],3,FALSE))</f>
        <v>0</v>
      </c>
      <c r="K5380" s="84">
        <f t="shared" si="819"/>
        <v>0</v>
      </c>
      <c r="L5380" s="118">
        <f t="shared" si="818"/>
        <v>0</v>
      </c>
      <c r="O5380" s="48"/>
      <c r="P5380" s="49"/>
    </row>
    <row r="5381" spans="2:16" x14ac:dyDescent="0.4">
      <c r="B5381" s="122"/>
      <c r="C5381" s="319"/>
      <c r="D5381" s="318"/>
      <c r="E5381" s="116"/>
      <c r="F5381" s="83"/>
      <c r="G5381" s="74"/>
      <c r="I5381" s="117">
        <f>IF(C5381=0,0,VLOOKUP(C5381,Tabla1[],3,FALSE))</f>
        <v>0</v>
      </c>
      <c r="K5381" s="84">
        <f t="shared" si="819"/>
        <v>0</v>
      </c>
      <c r="L5381" s="118">
        <f t="shared" si="818"/>
        <v>0</v>
      </c>
      <c r="O5381" s="48"/>
      <c r="P5381" s="49"/>
    </row>
    <row r="5382" spans="2:16" ht="17.399999999999999" thickBot="1" x14ac:dyDescent="0.45"/>
    <row r="5383" spans="2:16" ht="17.399999999999999" thickBot="1" x14ac:dyDescent="0.35">
      <c r="F5383" s="292" t="s">
        <v>9</v>
      </c>
      <c r="G5383" s="293"/>
      <c r="H5383" s="293"/>
      <c r="I5383" s="294"/>
      <c r="K5383" s="229">
        <f>+SUM(K5372:K5381)</f>
        <v>1415</v>
      </c>
      <c r="L5383" s="119">
        <f>+SUM(L5372:L5381)</f>
        <v>4245</v>
      </c>
      <c r="O5383" s="38"/>
      <c r="P5383" s="38"/>
    </row>
    <row r="5384" spans="2:16" ht="17.399999999999999" thickBot="1" x14ac:dyDescent="0.45">
      <c r="O5384" s="42"/>
      <c r="P5384" s="43"/>
    </row>
    <row r="5385" spans="2:16" ht="17.399999999999999" thickBot="1" x14ac:dyDescent="0.45">
      <c r="B5385" s="110" t="s">
        <v>10</v>
      </c>
      <c r="C5385" s="300" t="s">
        <v>11</v>
      </c>
      <c r="D5385" s="300"/>
      <c r="E5385" s="300"/>
      <c r="F5385" s="300"/>
      <c r="G5385" s="301"/>
    </row>
    <row r="5386" spans="2:16" x14ac:dyDescent="0.4">
      <c r="B5386" s="114" t="s">
        <v>6</v>
      </c>
      <c r="C5386" s="302" t="s">
        <v>1</v>
      </c>
      <c r="D5386" s="303"/>
      <c r="E5386" s="112" t="s">
        <v>193</v>
      </c>
      <c r="F5386" s="120" t="s">
        <v>2</v>
      </c>
      <c r="G5386" s="114" t="s">
        <v>3</v>
      </c>
      <c r="H5386" s="106"/>
      <c r="I5386" s="107" t="s">
        <v>7</v>
      </c>
      <c r="J5386" s="136"/>
      <c r="K5386" s="107" t="s">
        <v>8</v>
      </c>
      <c r="L5386" s="115" t="s">
        <v>194</v>
      </c>
    </row>
    <row r="5387" spans="2:16" x14ac:dyDescent="0.4">
      <c r="B5387" s="122"/>
      <c r="C5387" s="306"/>
      <c r="D5387" s="306"/>
      <c r="E5387" s="116"/>
      <c r="F5387" s="83"/>
      <c r="G5387" s="74"/>
      <c r="I5387" s="117">
        <f>IF(C5387=0,0,VLOOKUP(C5387,Tabla3[],3,FALSE))</f>
        <v>0</v>
      </c>
      <c r="K5387" s="84">
        <f>F5387*I5387</f>
        <v>0</v>
      </c>
      <c r="L5387" s="118">
        <f>E5387*I5387</f>
        <v>0</v>
      </c>
    </row>
    <row r="5388" spans="2:16" x14ac:dyDescent="0.4">
      <c r="B5388" s="74"/>
      <c r="C5388" s="309"/>
      <c r="D5388" s="310"/>
      <c r="E5388" s="121"/>
      <c r="F5388" s="72"/>
      <c r="G5388" s="74"/>
      <c r="I5388" s="117">
        <f>IF(C5388=0,0,VLOOKUP(C5388,Tabla3[],3,FALSE))</f>
        <v>0</v>
      </c>
      <c r="K5388" s="84">
        <f t="shared" ref="K5388:K5390" si="820">+F5388*I5388</f>
        <v>0</v>
      </c>
      <c r="L5388" s="118">
        <f t="shared" ref="L5388:L5390" si="821">E5388*I5388</f>
        <v>0</v>
      </c>
    </row>
    <row r="5389" spans="2:16" x14ac:dyDescent="0.4">
      <c r="B5389" s="74"/>
      <c r="C5389" s="309"/>
      <c r="D5389" s="310"/>
      <c r="E5389" s="121"/>
      <c r="F5389" s="72"/>
      <c r="G5389" s="74"/>
      <c r="I5389" s="117">
        <f>IF(C5389=0,0,VLOOKUP(C5389,Tabla3[],3,FALSE))</f>
        <v>0</v>
      </c>
      <c r="K5389" s="84">
        <f t="shared" si="820"/>
        <v>0</v>
      </c>
      <c r="L5389" s="118">
        <f t="shared" si="821"/>
        <v>0</v>
      </c>
    </row>
    <row r="5390" spans="2:16" x14ac:dyDescent="0.4">
      <c r="B5390" s="74"/>
      <c r="C5390" s="304"/>
      <c r="D5390" s="305"/>
      <c r="E5390" s="121"/>
      <c r="F5390" s="72"/>
      <c r="G5390" s="74"/>
      <c r="I5390" s="117">
        <f>IF(C5390=0,0,VLOOKUP(C5390,Tabla3[],3,FALSE))</f>
        <v>0</v>
      </c>
      <c r="K5390" s="84">
        <f t="shared" si="820"/>
        <v>0</v>
      </c>
      <c r="L5390" s="118">
        <f t="shared" si="821"/>
        <v>0</v>
      </c>
    </row>
    <row r="5391" spans="2:16" ht="17.399999999999999" thickBot="1" x14ac:dyDescent="0.45"/>
    <row r="5392" spans="2:16" ht="17.399999999999999" thickBot="1" x14ac:dyDescent="0.45">
      <c r="F5392" s="292" t="s">
        <v>12</v>
      </c>
      <c r="G5392" s="293"/>
      <c r="H5392" s="293"/>
      <c r="I5392" s="294"/>
      <c r="K5392" s="229">
        <f>+SUM(K5387:K5390)</f>
        <v>0</v>
      </c>
      <c r="L5392" s="119">
        <f>+SUM(L5387:L5390)</f>
        <v>0</v>
      </c>
    </row>
    <row r="5393" spans="2:12" ht="17.399999999999999" thickBot="1" x14ac:dyDescent="0.45"/>
    <row r="5394" spans="2:12" ht="17.399999999999999" thickBot="1" x14ac:dyDescent="0.45">
      <c r="B5394" s="110" t="s">
        <v>13</v>
      </c>
      <c r="C5394" s="300" t="s">
        <v>14</v>
      </c>
      <c r="D5394" s="300"/>
      <c r="E5394" s="300"/>
      <c r="F5394" s="300"/>
      <c r="G5394" s="301"/>
    </row>
    <row r="5395" spans="2:12" x14ac:dyDescent="0.4">
      <c r="B5395" s="114" t="s">
        <v>6</v>
      </c>
      <c r="C5395" s="302" t="s">
        <v>1</v>
      </c>
      <c r="D5395" s="303"/>
      <c r="E5395" s="112" t="s">
        <v>193</v>
      </c>
      <c r="F5395" s="120" t="s">
        <v>2</v>
      </c>
      <c r="G5395" s="114" t="s">
        <v>3</v>
      </c>
      <c r="H5395" s="106"/>
      <c r="I5395" s="107" t="s">
        <v>7</v>
      </c>
      <c r="J5395" s="136"/>
      <c r="K5395" s="107" t="s">
        <v>8</v>
      </c>
      <c r="L5395" s="115" t="s">
        <v>194</v>
      </c>
    </row>
    <row r="5396" spans="2:12" x14ac:dyDescent="0.4">
      <c r="B5396" s="122">
        <v>1</v>
      </c>
      <c r="C5396" s="306" t="s">
        <v>318</v>
      </c>
      <c r="D5396" s="306"/>
      <c r="E5396" s="116">
        <f>I5368</f>
        <v>3</v>
      </c>
      <c r="F5396" s="83">
        <f>ROUND(E5396/I5368,2)</f>
        <v>1</v>
      </c>
      <c r="G5396" s="74" t="str">
        <f>IF(C5396=0,0,VLOOKUP(C5396,Tabla2[],2,FALSE))</f>
        <v>Unidad</v>
      </c>
      <c r="I5396" s="117">
        <f>IF(C5396=0,0,VLOOKUP(C5396,Tabla2[],3,FALSE))</f>
        <v>50</v>
      </c>
      <c r="K5396" s="84">
        <f>+F5396*I5396</f>
        <v>50</v>
      </c>
      <c r="L5396" s="118">
        <f>E5396*I5396</f>
        <v>150</v>
      </c>
    </row>
    <row r="5397" spans="2:12" x14ac:dyDescent="0.4">
      <c r="B5397" s="122"/>
      <c r="C5397" s="306"/>
      <c r="D5397" s="306"/>
      <c r="E5397" s="116"/>
      <c r="F5397" s="83"/>
      <c r="G5397" s="74"/>
      <c r="I5397" s="117">
        <f>IF(C5397=0,0,VLOOKUP(C5397,Tabla2[],3,FALSE))</f>
        <v>0</v>
      </c>
      <c r="K5397" s="84">
        <f>+F5397*I5397</f>
        <v>0</v>
      </c>
      <c r="L5397" s="118">
        <f>E5397*I5397</f>
        <v>0</v>
      </c>
    </row>
    <row r="5398" spans="2:12" ht="17.399999999999999" thickBot="1" x14ac:dyDescent="0.45">
      <c r="B5398" s="123"/>
      <c r="C5398" s="307"/>
      <c r="D5398" s="308"/>
      <c r="E5398" s="124"/>
      <c r="F5398" s="125"/>
      <c r="G5398" s="74"/>
      <c r="I5398" s="117">
        <f>IF(C5398=0,0,VLOOKUP(C5398,Tabla2[],3,FALSE))</f>
        <v>0</v>
      </c>
      <c r="K5398" s="84">
        <f t="shared" ref="K5398" si="822">+F5398*I5398</f>
        <v>0</v>
      </c>
      <c r="L5398" s="118">
        <f t="shared" ref="L5398:L5399" si="823">E5398*I5398</f>
        <v>0</v>
      </c>
    </row>
    <row r="5399" spans="2:12" ht="17.399999999999999" thickBot="1" x14ac:dyDescent="0.45">
      <c r="B5399" s="297" t="s">
        <v>15</v>
      </c>
      <c r="C5399" s="298"/>
      <c r="D5399" s="298"/>
      <c r="E5399" s="298"/>
      <c r="F5399" s="298"/>
      <c r="G5399" s="299"/>
      <c r="I5399" s="84">
        <v>0</v>
      </c>
      <c r="K5399" s="84">
        <v>0</v>
      </c>
      <c r="L5399" s="118">
        <f t="shared" si="823"/>
        <v>0</v>
      </c>
    </row>
    <row r="5400" spans="2:12" ht="17.399999999999999" thickBot="1" x14ac:dyDescent="0.45"/>
    <row r="5401" spans="2:12" ht="17.399999999999999" thickBot="1" x14ac:dyDescent="0.45">
      <c r="F5401" s="292" t="s">
        <v>16</v>
      </c>
      <c r="G5401" s="293"/>
      <c r="H5401" s="293"/>
      <c r="I5401" s="294"/>
      <c r="K5401" s="229">
        <f>+SUM(K5396:K5399)</f>
        <v>50</v>
      </c>
      <c r="L5401" s="119">
        <f>+SUM(L5396:L5399)</f>
        <v>150</v>
      </c>
    </row>
    <row r="5402" spans="2:12" ht="17.399999999999999" thickBot="1" x14ac:dyDescent="0.45"/>
    <row r="5403" spans="2:12" ht="17.399999999999999" thickBot="1" x14ac:dyDescent="0.45">
      <c r="B5403" s="110" t="s">
        <v>17</v>
      </c>
      <c r="C5403" s="300" t="s">
        <v>18</v>
      </c>
      <c r="D5403" s="300"/>
      <c r="E5403" s="300"/>
      <c r="F5403" s="300"/>
      <c r="G5403" s="301"/>
    </row>
    <row r="5404" spans="2:12" x14ac:dyDescent="0.4">
      <c r="B5404" s="114" t="s">
        <v>6</v>
      </c>
      <c r="C5404" s="302" t="s">
        <v>1</v>
      </c>
      <c r="D5404" s="303"/>
      <c r="E5404" s="126"/>
      <c r="F5404" s="120" t="s">
        <v>2</v>
      </c>
      <c r="G5404" s="114" t="s">
        <v>3</v>
      </c>
      <c r="H5404" s="106"/>
      <c r="I5404" s="107" t="s">
        <v>7</v>
      </c>
      <c r="J5404" s="136"/>
      <c r="K5404" s="107" t="s">
        <v>8</v>
      </c>
      <c r="L5404" s="115" t="s">
        <v>194</v>
      </c>
    </row>
    <row r="5405" spans="2:12" x14ac:dyDescent="0.4">
      <c r="B5405" s="74"/>
      <c r="C5405" s="304"/>
      <c r="D5405" s="305"/>
      <c r="E5405" s="127"/>
      <c r="F5405" s="72"/>
      <c r="G5405" s="74"/>
      <c r="I5405" s="84">
        <v>0</v>
      </c>
      <c r="K5405" s="84">
        <f>+F5405*I5405</f>
        <v>0</v>
      </c>
      <c r="L5405" s="118">
        <f>E5405*I5405</f>
        <v>0</v>
      </c>
    </row>
    <row r="5406" spans="2:12" x14ac:dyDescent="0.4">
      <c r="B5406" s="74"/>
      <c r="C5406" s="304"/>
      <c r="D5406" s="305"/>
      <c r="E5406" s="127"/>
      <c r="F5406" s="72"/>
      <c r="G5406" s="74"/>
      <c r="I5406" s="84">
        <v>0</v>
      </c>
      <c r="K5406" s="84">
        <f t="shared" ref="K5406:K5407" si="824">+F5406*I5406</f>
        <v>0</v>
      </c>
      <c r="L5406" s="118">
        <f t="shared" ref="L5406:L5407" si="825">E5406*I5406</f>
        <v>0</v>
      </c>
    </row>
    <row r="5407" spans="2:12" x14ac:dyDescent="0.4">
      <c r="B5407" s="74"/>
      <c r="C5407" s="304"/>
      <c r="D5407" s="305"/>
      <c r="E5407" s="127"/>
      <c r="F5407" s="72"/>
      <c r="G5407" s="74"/>
      <c r="I5407" s="84">
        <v>0</v>
      </c>
      <c r="K5407" s="84">
        <f t="shared" si="824"/>
        <v>0</v>
      </c>
      <c r="L5407" s="118">
        <f t="shared" si="825"/>
        <v>0</v>
      </c>
    </row>
    <row r="5408" spans="2:12" ht="17.399999999999999" thickBot="1" x14ac:dyDescent="0.45">
      <c r="L5408" s="118"/>
    </row>
    <row r="5409" spans="1:16" ht="17.399999999999999" thickBot="1" x14ac:dyDescent="0.45">
      <c r="F5409" s="292" t="s">
        <v>19</v>
      </c>
      <c r="G5409" s="293"/>
      <c r="H5409" s="293"/>
      <c r="I5409" s="294"/>
      <c r="K5409" s="229">
        <f>+SUM(K5405:K5407)</f>
        <v>0</v>
      </c>
      <c r="L5409" s="119">
        <f>+SUM(L5404:L5407)</f>
        <v>0</v>
      </c>
    </row>
    <row r="5410" spans="1:16" ht="15" customHeight="1" x14ac:dyDescent="0.4">
      <c r="F5410" s="128"/>
      <c r="G5410" s="129"/>
      <c r="H5410" s="130"/>
      <c r="I5410" s="108"/>
      <c r="K5410" s="230"/>
    </row>
    <row r="5411" spans="1:16" ht="15" customHeight="1" thickBot="1" x14ac:dyDescent="0.45"/>
    <row r="5412" spans="1:16" ht="17.399999999999999" thickBot="1" x14ac:dyDescent="0.45">
      <c r="F5412" s="292" t="s">
        <v>20</v>
      </c>
      <c r="G5412" s="293"/>
      <c r="H5412" s="293"/>
      <c r="I5412" s="294"/>
      <c r="K5412" s="229">
        <f>(+K5383+K5392+K5401+K5409)</f>
        <v>1465</v>
      </c>
      <c r="L5412" s="119">
        <f>(+L5383+L5392+L5401+L5409)</f>
        <v>4395</v>
      </c>
      <c r="N5412" s="131"/>
      <c r="O5412" s="39"/>
      <c r="P5412" s="40"/>
    </row>
    <row r="5413" spans="1:16" ht="7.5" customHeight="1" thickBot="1" x14ac:dyDescent="0.45">
      <c r="N5413" s="131"/>
      <c r="O5413" s="41"/>
      <c r="P5413" s="40"/>
    </row>
    <row r="5414" spans="1:16" ht="17.399999999999999" thickBot="1" x14ac:dyDescent="0.45">
      <c r="F5414" s="292" t="s">
        <v>21</v>
      </c>
      <c r="G5414" s="293"/>
      <c r="H5414" s="293"/>
      <c r="I5414" s="294"/>
      <c r="K5414" s="229">
        <f>K5412*$N$2</f>
        <v>586</v>
      </c>
      <c r="L5414" s="119">
        <f>L5412*$N$2</f>
        <v>1758</v>
      </c>
    </row>
    <row r="5415" spans="1:16" ht="7.5" customHeight="1" thickBot="1" x14ac:dyDescent="0.45"/>
    <row r="5416" spans="1:16" ht="17.399999999999999" thickBot="1" x14ac:dyDescent="0.45">
      <c r="F5416" s="292" t="s">
        <v>22</v>
      </c>
      <c r="G5416" s="293"/>
      <c r="H5416" s="293"/>
      <c r="I5416" s="294"/>
      <c r="K5416" s="229">
        <f>+K5412+K5414</f>
        <v>2051</v>
      </c>
      <c r="L5416" s="119">
        <f>+L5412+L5414</f>
        <v>6153</v>
      </c>
    </row>
    <row r="5417" spans="1:16" ht="17.399999999999999" thickBot="1" x14ac:dyDescent="0.45">
      <c r="F5417" s="128"/>
      <c r="G5417" s="129"/>
      <c r="H5417" s="130"/>
      <c r="I5417" s="108"/>
      <c r="K5417" s="231"/>
      <c r="L5417" s="132">
        <f>L5416/I5368</f>
        <v>2051</v>
      </c>
      <c r="M5417" s="133">
        <f>(K5416-L5417)*I5368</f>
        <v>0</v>
      </c>
    </row>
    <row r="5418" spans="1:16" x14ac:dyDescent="0.4">
      <c r="F5418" s="128"/>
      <c r="G5418" s="129"/>
      <c r="H5418" s="130"/>
      <c r="I5418" s="108"/>
      <c r="K5418" s="232"/>
      <c r="L5418" s="131"/>
      <c r="M5418" s="134"/>
      <c r="N5418" s="135"/>
    </row>
    <row r="5419" spans="1:16" ht="17.399999999999999" thickBot="1" x14ac:dyDescent="0.45">
      <c r="B5419" s="295"/>
      <c r="C5419" s="295"/>
      <c r="D5419" s="295"/>
    </row>
    <row r="5420" spans="1:16" x14ac:dyDescent="0.4">
      <c r="B5420" s="296" t="s">
        <v>23</v>
      </c>
      <c r="C5420" s="296"/>
      <c r="D5420" s="296"/>
    </row>
    <row r="5421" spans="1:16" x14ac:dyDescent="0.4">
      <c r="B5421" s="157"/>
      <c r="C5421" s="157"/>
      <c r="D5421" s="157"/>
    </row>
    <row r="5422" spans="1:16" x14ac:dyDescent="0.4">
      <c r="B5422" s="157"/>
      <c r="C5422" s="157"/>
      <c r="D5422" s="157"/>
    </row>
    <row r="5423" spans="1:16" x14ac:dyDescent="0.4">
      <c r="B5423" s="105" t="s">
        <v>43</v>
      </c>
      <c r="C5423" s="106"/>
      <c r="D5423" s="311" t="s">
        <v>1</v>
      </c>
      <c r="E5423" s="311"/>
      <c r="F5423" s="311"/>
      <c r="G5423" s="311"/>
      <c r="H5423" s="106"/>
      <c r="I5423" s="107" t="s">
        <v>2</v>
      </c>
      <c r="J5423" s="136"/>
      <c r="K5423" s="107" t="s">
        <v>3</v>
      </c>
    </row>
    <row r="5424" spans="1:16" s="4" customFormat="1" ht="30.75" customHeight="1" x14ac:dyDescent="0.3">
      <c r="A5424" s="31"/>
      <c r="B5424" s="213">
        <f>CATALOGO!B148</f>
        <v>1002.02</v>
      </c>
      <c r="C5424" s="71"/>
      <c r="D5424" s="324" t="str">
        <f>CATALOGO!C148</f>
        <v>LAVAMANOS EMPOTRADO</v>
      </c>
      <c r="E5424" s="324"/>
      <c r="F5424" s="324"/>
      <c r="G5424" s="324"/>
      <c r="H5424" s="71"/>
      <c r="I5424" s="213">
        <f>CATALOGO!D148</f>
        <v>3</v>
      </c>
      <c r="J5424" s="109"/>
      <c r="K5424" s="227" t="str">
        <f>CATALOGO!E148</f>
        <v>Unidad</v>
      </c>
      <c r="L5424" s="71"/>
      <c r="M5424" s="71"/>
      <c r="N5424" s="104"/>
      <c r="O5424" s="37"/>
      <c r="P5424" s="37"/>
    </row>
    <row r="5425" spans="2:16" ht="17.399999999999999" thickBot="1" x14ac:dyDescent="0.45"/>
    <row r="5426" spans="2:16" ht="17.399999999999999" thickBot="1" x14ac:dyDescent="0.45">
      <c r="B5426" s="110" t="s">
        <v>4</v>
      </c>
      <c r="C5426" s="300" t="s">
        <v>5</v>
      </c>
      <c r="D5426" s="300"/>
      <c r="E5426" s="300"/>
      <c r="F5426" s="300"/>
      <c r="G5426" s="301"/>
    </row>
    <row r="5427" spans="2:16" x14ac:dyDescent="0.3">
      <c r="B5427" s="111" t="s">
        <v>6</v>
      </c>
      <c r="C5427" s="313" t="s">
        <v>1</v>
      </c>
      <c r="D5427" s="314"/>
      <c r="E5427" s="112" t="s">
        <v>193</v>
      </c>
      <c r="F5427" s="113" t="s">
        <v>2</v>
      </c>
      <c r="G5427" s="114" t="s">
        <v>3</v>
      </c>
      <c r="H5427" s="106"/>
      <c r="I5427" s="107" t="s">
        <v>7</v>
      </c>
      <c r="J5427" s="136"/>
      <c r="K5427" s="228" t="s">
        <v>8</v>
      </c>
      <c r="L5427" s="115" t="s">
        <v>194</v>
      </c>
      <c r="O5427" s="323"/>
      <c r="P5427" s="323"/>
    </row>
    <row r="5428" spans="2:16" ht="17.25" customHeight="1" x14ac:dyDescent="0.3">
      <c r="B5428" s="122">
        <v>1</v>
      </c>
      <c r="C5428" s="315" t="s">
        <v>392</v>
      </c>
      <c r="D5428" s="316"/>
      <c r="E5428" s="116">
        <f>1*I5424</f>
        <v>3</v>
      </c>
      <c r="F5428" s="83">
        <f>ROUND(E5428/I5424,2)</f>
        <v>1</v>
      </c>
      <c r="G5428" s="74" t="str">
        <f>IF(C5428=0,0,VLOOKUP(C5428,Tabla1[],2,FALSE))</f>
        <v>Unidad</v>
      </c>
      <c r="I5428" s="117">
        <f>IF(C5428=0,0,VLOOKUP(C5428,Tabla1[],3,FALSE))</f>
        <v>700</v>
      </c>
      <c r="K5428" s="84">
        <f>F5428*I5428</f>
        <v>700</v>
      </c>
      <c r="L5428" s="118">
        <f t="shared" ref="L5428:L5437" si="826">E5428*I5428</f>
        <v>2100</v>
      </c>
      <c r="O5428" s="44"/>
      <c r="P5428" s="45"/>
    </row>
    <row r="5429" spans="2:16" ht="16.5" customHeight="1" x14ac:dyDescent="0.4">
      <c r="B5429" s="122">
        <v>2</v>
      </c>
      <c r="C5429" s="319" t="s">
        <v>96</v>
      </c>
      <c r="D5429" s="318"/>
      <c r="E5429" s="116">
        <f>I5424*0.5</f>
        <v>1.5</v>
      </c>
      <c r="F5429" s="83">
        <f>ROUND(E5429/I5424,2)</f>
        <v>0.5</v>
      </c>
      <c r="G5429" s="74" t="str">
        <f>IF(C5429=0,0,VLOOKUP(C5429,Tabla1[],2,FALSE))</f>
        <v>Libra</v>
      </c>
      <c r="I5429" s="117">
        <f>IF(C5429=0,0,VLOOKUP(C5429,Tabla1[],3,FALSE))</f>
        <v>20</v>
      </c>
      <c r="K5429" s="84">
        <f t="shared" ref="K5429:K5437" si="827">+F5429*I5429</f>
        <v>10</v>
      </c>
      <c r="L5429" s="118">
        <f t="shared" si="826"/>
        <v>30</v>
      </c>
      <c r="P5429" s="45"/>
    </row>
    <row r="5430" spans="2:16" x14ac:dyDescent="0.4">
      <c r="B5430" s="122">
        <v>3</v>
      </c>
      <c r="C5430" s="319" t="s">
        <v>591</v>
      </c>
      <c r="D5430" s="318"/>
      <c r="E5430" s="116">
        <f>I5424</f>
        <v>3</v>
      </c>
      <c r="F5430" s="83">
        <f>ROUND(E5430/I5424,2)</f>
        <v>1</v>
      </c>
      <c r="G5430" s="74" t="str">
        <f>IF(C5430=0,0,VLOOKUP(C5430,Tabla1[],2,FALSE))</f>
        <v>Unidad</v>
      </c>
      <c r="I5430" s="117">
        <f>IF(C5430=0,0,VLOOKUP(C5430,Tabla1[],3,FALSE))</f>
        <v>250</v>
      </c>
      <c r="K5430" s="84">
        <f t="shared" si="827"/>
        <v>250</v>
      </c>
      <c r="L5430" s="118">
        <f t="shared" si="826"/>
        <v>750</v>
      </c>
      <c r="O5430" s="48"/>
      <c r="P5430" s="49"/>
    </row>
    <row r="5431" spans="2:16" x14ac:dyDescent="0.4">
      <c r="B5431" s="122"/>
      <c r="C5431" s="319"/>
      <c r="D5431" s="318"/>
      <c r="E5431" s="116"/>
      <c r="F5431" s="83"/>
      <c r="G5431" s="74"/>
      <c r="I5431" s="117">
        <f>IF(C5431=0,0,VLOOKUP(C5431,Tabla1[],3,FALSE))</f>
        <v>0</v>
      </c>
      <c r="K5431" s="84">
        <f t="shared" si="827"/>
        <v>0</v>
      </c>
      <c r="L5431" s="118">
        <f t="shared" si="826"/>
        <v>0</v>
      </c>
      <c r="O5431" s="48"/>
      <c r="P5431" s="49"/>
    </row>
    <row r="5432" spans="2:16" x14ac:dyDescent="0.4">
      <c r="B5432" s="122"/>
      <c r="C5432" s="319"/>
      <c r="D5432" s="318"/>
      <c r="E5432" s="116"/>
      <c r="F5432" s="83"/>
      <c r="G5432" s="74"/>
      <c r="I5432" s="117">
        <f>IF(C5432=0,0,VLOOKUP(C5432,Tabla1[],3,FALSE))</f>
        <v>0</v>
      </c>
      <c r="K5432" s="84">
        <f t="shared" si="827"/>
        <v>0</v>
      </c>
      <c r="L5432" s="118">
        <f t="shared" si="826"/>
        <v>0</v>
      </c>
      <c r="O5432" s="48"/>
      <c r="P5432" s="49"/>
    </row>
    <row r="5433" spans="2:16" x14ac:dyDescent="0.4">
      <c r="B5433" s="122"/>
      <c r="C5433" s="319"/>
      <c r="D5433" s="318"/>
      <c r="E5433" s="116"/>
      <c r="F5433" s="83"/>
      <c r="G5433" s="74"/>
      <c r="I5433" s="117">
        <f>IF(C5433=0,0,VLOOKUP(C5433,Tabla1[],3,FALSE))</f>
        <v>0</v>
      </c>
      <c r="K5433" s="84">
        <f t="shared" si="827"/>
        <v>0</v>
      </c>
      <c r="L5433" s="118">
        <f t="shared" si="826"/>
        <v>0</v>
      </c>
      <c r="O5433" s="48"/>
      <c r="P5433" s="49"/>
    </row>
    <row r="5434" spans="2:16" x14ac:dyDescent="0.4">
      <c r="B5434" s="122"/>
      <c r="C5434" s="319"/>
      <c r="D5434" s="318"/>
      <c r="E5434" s="116"/>
      <c r="F5434" s="83"/>
      <c r="G5434" s="74"/>
      <c r="I5434" s="117">
        <f>IF(C5434=0,0,VLOOKUP(C5434,Tabla1[],3,FALSE))</f>
        <v>0</v>
      </c>
      <c r="K5434" s="84">
        <f t="shared" si="827"/>
        <v>0</v>
      </c>
      <c r="L5434" s="118">
        <f t="shared" si="826"/>
        <v>0</v>
      </c>
      <c r="O5434" s="48"/>
      <c r="P5434" s="49"/>
    </row>
    <row r="5435" spans="2:16" x14ac:dyDescent="0.4">
      <c r="B5435" s="122"/>
      <c r="C5435" s="317"/>
      <c r="D5435" s="318"/>
      <c r="E5435" s="116"/>
      <c r="F5435" s="83"/>
      <c r="G5435" s="74"/>
      <c r="I5435" s="117">
        <f>IF(C5435=0,0,VLOOKUP(C5435,Tabla1[],3,FALSE))</f>
        <v>0</v>
      </c>
      <c r="K5435" s="84">
        <f t="shared" si="827"/>
        <v>0</v>
      </c>
      <c r="L5435" s="118">
        <f t="shared" si="826"/>
        <v>0</v>
      </c>
      <c r="O5435" s="48"/>
      <c r="P5435" s="49"/>
    </row>
    <row r="5436" spans="2:16" x14ac:dyDescent="0.4">
      <c r="B5436" s="122"/>
      <c r="C5436" s="309"/>
      <c r="D5436" s="310"/>
      <c r="E5436" s="116"/>
      <c r="F5436" s="83"/>
      <c r="G5436" s="74"/>
      <c r="I5436" s="117">
        <f>IF(C5436=0,0,VLOOKUP(C5436,Tabla1[],3,FALSE))</f>
        <v>0</v>
      </c>
      <c r="K5436" s="84">
        <f t="shared" si="827"/>
        <v>0</v>
      </c>
      <c r="L5436" s="118">
        <f t="shared" si="826"/>
        <v>0</v>
      </c>
      <c r="O5436" s="48"/>
      <c r="P5436" s="49"/>
    </row>
    <row r="5437" spans="2:16" x14ac:dyDescent="0.4">
      <c r="B5437" s="122"/>
      <c r="C5437" s="319"/>
      <c r="D5437" s="318"/>
      <c r="E5437" s="116"/>
      <c r="F5437" s="83"/>
      <c r="G5437" s="74"/>
      <c r="I5437" s="117">
        <f>IF(C5437=0,0,VLOOKUP(C5437,Tabla1[],3,FALSE))</f>
        <v>0</v>
      </c>
      <c r="K5437" s="84">
        <f t="shared" si="827"/>
        <v>0</v>
      </c>
      <c r="L5437" s="118">
        <f t="shared" si="826"/>
        <v>0</v>
      </c>
      <c r="O5437" s="48"/>
      <c r="P5437" s="49"/>
    </row>
    <row r="5438" spans="2:16" ht="17.399999999999999" thickBot="1" x14ac:dyDescent="0.45"/>
    <row r="5439" spans="2:16" ht="17.399999999999999" thickBot="1" x14ac:dyDescent="0.35">
      <c r="F5439" s="292" t="s">
        <v>9</v>
      </c>
      <c r="G5439" s="293"/>
      <c r="H5439" s="293"/>
      <c r="I5439" s="294"/>
      <c r="K5439" s="229">
        <f>+SUM(K5428:K5437)</f>
        <v>960</v>
      </c>
      <c r="L5439" s="119">
        <f>+SUM(L5428:L5437)</f>
        <v>2880</v>
      </c>
      <c r="O5439" s="38"/>
      <c r="P5439" s="38"/>
    </row>
    <row r="5440" spans="2:16" ht="17.399999999999999" thickBot="1" x14ac:dyDescent="0.45">
      <c r="O5440" s="42"/>
      <c r="P5440" s="43"/>
    </row>
    <row r="5441" spans="2:12" ht="17.399999999999999" thickBot="1" x14ac:dyDescent="0.45">
      <c r="B5441" s="110" t="s">
        <v>10</v>
      </c>
      <c r="C5441" s="300" t="s">
        <v>11</v>
      </c>
      <c r="D5441" s="300"/>
      <c r="E5441" s="300"/>
      <c r="F5441" s="300"/>
      <c r="G5441" s="301"/>
    </row>
    <row r="5442" spans="2:12" x14ac:dyDescent="0.4">
      <c r="B5442" s="114" t="s">
        <v>6</v>
      </c>
      <c r="C5442" s="302" t="s">
        <v>1</v>
      </c>
      <c r="D5442" s="303"/>
      <c r="E5442" s="112" t="s">
        <v>193</v>
      </c>
      <c r="F5442" s="120" t="s">
        <v>2</v>
      </c>
      <c r="G5442" s="114" t="s">
        <v>3</v>
      </c>
      <c r="H5442" s="106"/>
      <c r="I5442" s="107" t="s">
        <v>7</v>
      </c>
      <c r="J5442" s="136"/>
      <c r="K5442" s="107" t="s">
        <v>8</v>
      </c>
      <c r="L5442" s="115" t="s">
        <v>194</v>
      </c>
    </row>
    <row r="5443" spans="2:12" x14ac:dyDescent="0.4">
      <c r="B5443" s="122"/>
      <c r="C5443" s="306"/>
      <c r="D5443" s="306"/>
      <c r="E5443" s="116"/>
      <c r="F5443" s="83"/>
      <c r="G5443" s="74"/>
      <c r="I5443" s="117">
        <f>IF(C5443=0,0,VLOOKUP(C5443,Tabla3[],3,FALSE))</f>
        <v>0</v>
      </c>
      <c r="K5443" s="84">
        <f>F5443*I5443</f>
        <v>0</v>
      </c>
      <c r="L5443" s="118">
        <f>E5443*I5443</f>
        <v>0</v>
      </c>
    </row>
    <row r="5444" spans="2:12" x14ac:dyDescent="0.4">
      <c r="B5444" s="74"/>
      <c r="C5444" s="309"/>
      <c r="D5444" s="310"/>
      <c r="E5444" s="121"/>
      <c r="F5444" s="72"/>
      <c r="G5444" s="74"/>
      <c r="I5444" s="117">
        <f>IF(C5444=0,0,VLOOKUP(C5444,Tabla3[],3,FALSE))</f>
        <v>0</v>
      </c>
      <c r="K5444" s="84">
        <f t="shared" ref="K5444:K5446" si="828">+F5444*I5444</f>
        <v>0</v>
      </c>
      <c r="L5444" s="118">
        <f t="shared" ref="L5444:L5446" si="829">E5444*I5444</f>
        <v>0</v>
      </c>
    </row>
    <row r="5445" spans="2:12" x14ac:dyDescent="0.4">
      <c r="B5445" s="74"/>
      <c r="C5445" s="309"/>
      <c r="D5445" s="310"/>
      <c r="E5445" s="121"/>
      <c r="F5445" s="72"/>
      <c r="G5445" s="74"/>
      <c r="I5445" s="117">
        <f>IF(C5445=0,0,VLOOKUP(C5445,Tabla3[],3,FALSE))</f>
        <v>0</v>
      </c>
      <c r="K5445" s="84">
        <f t="shared" si="828"/>
        <v>0</v>
      </c>
      <c r="L5445" s="118">
        <f t="shared" si="829"/>
        <v>0</v>
      </c>
    </row>
    <row r="5446" spans="2:12" x14ac:dyDescent="0.4">
      <c r="B5446" s="74"/>
      <c r="C5446" s="304"/>
      <c r="D5446" s="305"/>
      <c r="E5446" s="121"/>
      <c r="F5446" s="72"/>
      <c r="G5446" s="74"/>
      <c r="I5446" s="117">
        <f>IF(C5446=0,0,VLOOKUP(C5446,Tabla3[],3,FALSE))</f>
        <v>0</v>
      </c>
      <c r="K5446" s="84">
        <f t="shared" si="828"/>
        <v>0</v>
      </c>
      <c r="L5446" s="118">
        <f t="shared" si="829"/>
        <v>0</v>
      </c>
    </row>
    <row r="5447" spans="2:12" ht="17.399999999999999" thickBot="1" x14ac:dyDescent="0.45"/>
    <row r="5448" spans="2:12" ht="17.399999999999999" thickBot="1" x14ac:dyDescent="0.45">
      <c r="F5448" s="292" t="s">
        <v>12</v>
      </c>
      <c r="G5448" s="293"/>
      <c r="H5448" s="293"/>
      <c r="I5448" s="294"/>
      <c r="K5448" s="229">
        <f>+SUM(K5443:K5446)</f>
        <v>0</v>
      </c>
      <c r="L5448" s="119">
        <f>+SUM(L5443:L5446)</f>
        <v>0</v>
      </c>
    </row>
    <row r="5449" spans="2:12" ht="17.399999999999999" thickBot="1" x14ac:dyDescent="0.45"/>
    <row r="5450" spans="2:12" ht="17.399999999999999" thickBot="1" x14ac:dyDescent="0.45">
      <c r="B5450" s="110" t="s">
        <v>13</v>
      </c>
      <c r="C5450" s="300" t="s">
        <v>14</v>
      </c>
      <c r="D5450" s="300"/>
      <c r="E5450" s="300"/>
      <c r="F5450" s="300"/>
      <c r="G5450" s="301"/>
    </row>
    <row r="5451" spans="2:12" x14ac:dyDescent="0.4">
      <c r="B5451" s="114" t="s">
        <v>6</v>
      </c>
      <c r="C5451" s="302" t="s">
        <v>1</v>
      </c>
      <c r="D5451" s="303"/>
      <c r="E5451" s="112" t="s">
        <v>193</v>
      </c>
      <c r="F5451" s="120" t="s">
        <v>2</v>
      </c>
      <c r="G5451" s="114" t="s">
        <v>3</v>
      </c>
      <c r="H5451" s="106"/>
      <c r="I5451" s="107" t="s">
        <v>7</v>
      </c>
      <c r="J5451" s="136"/>
      <c r="K5451" s="107" t="s">
        <v>8</v>
      </c>
      <c r="L5451" s="115" t="s">
        <v>194</v>
      </c>
    </row>
    <row r="5452" spans="2:12" x14ac:dyDescent="0.4">
      <c r="B5452" s="122">
        <v>1</v>
      </c>
      <c r="C5452" s="306" t="s">
        <v>344</v>
      </c>
      <c r="D5452" s="306"/>
      <c r="E5452" s="116">
        <f>I5424</f>
        <v>3</v>
      </c>
      <c r="F5452" s="83">
        <f>ROUND(E5452/I5424,2)</f>
        <v>1</v>
      </c>
      <c r="G5452" s="74" t="str">
        <f>IF(C5452=0,0,VLOOKUP(C5452,Tabla2[],2,FALSE))</f>
        <v>Unidad</v>
      </c>
      <c r="I5452" s="117">
        <f>IF(C5452=0,0,VLOOKUP(C5452,Tabla2[],3,FALSE))</f>
        <v>60</v>
      </c>
      <c r="K5452" s="84">
        <f>+F5452*I5452</f>
        <v>60</v>
      </c>
      <c r="L5452" s="118">
        <f>E5452*I5452</f>
        <v>180</v>
      </c>
    </row>
    <row r="5453" spans="2:12" x14ac:dyDescent="0.4">
      <c r="B5453" s="122"/>
      <c r="C5453" s="306"/>
      <c r="D5453" s="306"/>
      <c r="E5453" s="116"/>
      <c r="F5453" s="83"/>
      <c r="G5453" s="74"/>
      <c r="I5453" s="117">
        <f>IF(C5453=0,0,VLOOKUP(C5453,Tabla2[],3,FALSE))</f>
        <v>0</v>
      </c>
      <c r="K5453" s="84">
        <f>+F5453*I5453</f>
        <v>0</v>
      </c>
      <c r="L5453" s="118">
        <f>E5453*I5453</f>
        <v>0</v>
      </c>
    </row>
    <row r="5454" spans="2:12" ht="17.399999999999999" thickBot="1" x14ac:dyDescent="0.45">
      <c r="B5454" s="123"/>
      <c r="C5454" s="307"/>
      <c r="D5454" s="308"/>
      <c r="E5454" s="124"/>
      <c r="F5454" s="125"/>
      <c r="G5454" s="74"/>
      <c r="I5454" s="117">
        <f>IF(C5454=0,0,VLOOKUP(C5454,Tabla2[],3,FALSE))</f>
        <v>0</v>
      </c>
      <c r="K5454" s="84">
        <f t="shared" ref="K5454" si="830">+F5454*I5454</f>
        <v>0</v>
      </c>
      <c r="L5454" s="118">
        <f t="shared" ref="L5454:L5455" si="831">E5454*I5454</f>
        <v>0</v>
      </c>
    </row>
    <row r="5455" spans="2:12" ht="17.399999999999999" thickBot="1" x14ac:dyDescent="0.45">
      <c r="B5455" s="297" t="s">
        <v>15</v>
      </c>
      <c r="C5455" s="298"/>
      <c r="D5455" s="298"/>
      <c r="E5455" s="298"/>
      <c r="F5455" s="298"/>
      <c r="G5455" s="299"/>
      <c r="I5455" s="84">
        <v>0</v>
      </c>
      <c r="K5455" s="84">
        <v>0</v>
      </c>
      <c r="L5455" s="118">
        <f t="shared" si="831"/>
        <v>0</v>
      </c>
    </row>
    <row r="5456" spans="2:12" ht="17.399999999999999" thickBot="1" x14ac:dyDescent="0.45"/>
    <row r="5457" spans="2:16" ht="17.399999999999999" thickBot="1" x14ac:dyDescent="0.45">
      <c r="F5457" s="292" t="s">
        <v>16</v>
      </c>
      <c r="G5457" s="293"/>
      <c r="H5457" s="293"/>
      <c r="I5457" s="294"/>
      <c r="K5457" s="229">
        <f>+SUM(K5452:K5455)</f>
        <v>60</v>
      </c>
      <c r="L5457" s="119">
        <f>+SUM(L5452:L5455)</f>
        <v>180</v>
      </c>
    </row>
    <row r="5458" spans="2:16" ht="17.399999999999999" thickBot="1" x14ac:dyDescent="0.45"/>
    <row r="5459" spans="2:16" ht="17.399999999999999" thickBot="1" x14ac:dyDescent="0.45">
      <c r="B5459" s="110" t="s">
        <v>17</v>
      </c>
      <c r="C5459" s="300" t="s">
        <v>18</v>
      </c>
      <c r="D5459" s="300"/>
      <c r="E5459" s="300"/>
      <c r="F5459" s="300"/>
      <c r="G5459" s="301"/>
    </row>
    <row r="5460" spans="2:16" x14ac:dyDescent="0.4">
      <c r="B5460" s="114" t="s">
        <v>6</v>
      </c>
      <c r="C5460" s="302" t="s">
        <v>1</v>
      </c>
      <c r="D5460" s="303"/>
      <c r="E5460" s="126"/>
      <c r="F5460" s="120" t="s">
        <v>2</v>
      </c>
      <c r="G5460" s="114" t="s">
        <v>3</v>
      </c>
      <c r="H5460" s="106"/>
      <c r="I5460" s="107" t="s">
        <v>7</v>
      </c>
      <c r="J5460" s="136"/>
      <c r="K5460" s="107" t="s">
        <v>8</v>
      </c>
      <c r="L5460" s="115" t="s">
        <v>194</v>
      </c>
    </row>
    <row r="5461" spans="2:16" x14ac:dyDescent="0.4">
      <c r="B5461" s="74"/>
      <c r="C5461" s="304"/>
      <c r="D5461" s="305"/>
      <c r="E5461" s="127"/>
      <c r="F5461" s="72"/>
      <c r="G5461" s="74"/>
      <c r="I5461" s="84">
        <v>0</v>
      </c>
      <c r="K5461" s="84">
        <f>+F5461*I5461</f>
        <v>0</v>
      </c>
      <c r="L5461" s="118">
        <f>E5461*I5461</f>
        <v>0</v>
      </c>
    </row>
    <row r="5462" spans="2:16" x14ac:dyDescent="0.4">
      <c r="B5462" s="74"/>
      <c r="C5462" s="304"/>
      <c r="D5462" s="305"/>
      <c r="E5462" s="127"/>
      <c r="F5462" s="72"/>
      <c r="G5462" s="74"/>
      <c r="I5462" s="84">
        <v>0</v>
      </c>
      <c r="K5462" s="84">
        <f t="shared" ref="K5462:K5463" si="832">+F5462*I5462</f>
        <v>0</v>
      </c>
      <c r="L5462" s="118">
        <f t="shared" ref="L5462:L5463" si="833">E5462*I5462</f>
        <v>0</v>
      </c>
    </row>
    <row r="5463" spans="2:16" x14ac:dyDescent="0.4">
      <c r="B5463" s="74"/>
      <c r="C5463" s="304"/>
      <c r="D5463" s="305"/>
      <c r="E5463" s="127"/>
      <c r="F5463" s="72"/>
      <c r="G5463" s="74"/>
      <c r="I5463" s="84">
        <v>0</v>
      </c>
      <c r="K5463" s="84">
        <f t="shared" si="832"/>
        <v>0</v>
      </c>
      <c r="L5463" s="118">
        <f t="shared" si="833"/>
        <v>0</v>
      </c>
    </row>
    <row r="5464" spans="2:16" ht="17.399999999999999" thickBot="1" x14ac:dyDescent="0.45">
      <c r="L5464" s="118"/>
    </row>
    <row r="5465" spans="2:16" ht="17.399999999999999" thickBot="1" x14ac:dyDescent="0.45">
      <c r="F5465" s="292" t="s">
        <v>19</v>
      </c>
      <c r="G5465" s="293"/>
      <c r="H5465" s="293"/>
      <c r="I5465" s="294"/>
      <c r="K5465" s="229">
        <f>+SUM(K5461:K5463)</f>
        <v>0</v>
      </c>
      <c r="L5465" s="119">
        <f>+SUM(L5460:L5463)</f>
        <v>0</v>
      </c>
    </row>
    <row r="5466" spans="2:16" ht="15" customHeight="1" x14ac:dyDescent="0.4">
      <c r="F5466" s="128"/>
      <c r="G5466" s="129"/>
      <c r="H5466" s="130"/>
      <c r="I5466" s="108"/>
      <c r="K5466" s="230"/>
    </row>
    <row r="5467" spans="2:16" ht="15" customHeight="1" thickBot="1" x14ac:dyDescent="0.45"/>
    <row r="5468" spans="2:16" ht="17.399999999999999" thickBot="1" x14ac:dyDescent="0.45">
      <c r="F5468" s="292" t="s">
        <v>20</v>
      </c>
      <c r="G5468" s="293"/>
      <c r="H5468" s="293"/>
      <c r="I5468" s="294"/>
      <c r="K5468" s="229">
        <f>(+K5439+K5448+K5457+K5465)</f>
        <v>1020</v>
      </c>
      <c r="L5468" s="119">
        <f>(+L5439+L5448+L5457+L5465)</f>
        <v>3060</v>
      </c>
      <c r="N5468" s="131"/>
      <c r="O5468" s="39"/>
      <c r="P5468" s="40"/>
    </row>
    <row r="5469" spans="2:16" ht="7.5" customHeight="1" thickBot="1" x14ac:dyDescent="0.45">
      <c r="N5469" s="131"/>
      <c r="O5469" s="41"/>
      <c r="P5469" s="40"/>
    </row>
    <row r="5470" spans="2:16" ht="17.399999999999999" thickBot="1" x14ac:dyDescent="0.45">
      <c r="F5470" s="292" t="s">
        <v>21</v>
      </c>
      <c r="G5470" s="293"/>
      <c r="H5470" s="293"/>
      <c r="I5470" s="294"/>
      <c r="K5470" s="229">
        <f>K5468*$N$2</f>
        <v>408</v>
      </c>
      <c r="L5470" s="119">
        <f>L5468*$N$2</f>
        <v>1224</v>
      </c>
    </row>
    <row r="5471" spans="2:16" ht="7.5" customHeight="1" thickBot="1" x14ac:dyDescent="0.45"/>
    <row r="5472" spans="2:16" ht="17.399999999999999" thickBot="1" x14ac:dyDescent="0.45">
      <c r="F5472" s="292" t="s">
        <v>22</v>
      </c>
      <c r="G5472" s="293"/>
      <c r="H5472" s="293"/>
      <c r="I5472" s="294"/>
      <c r="K5472" s="229">
        <f>+K5468+K5470</f>
        <v>1428</v>
      </c>
      <c r="L5472" s="119">
        <f>+L5468+L5470</f>
        <v>4284</v>
      </c>
    </row>
    <row r="5473" spans="1:16" ht="17.399999999999999" thickBot="1" x14ac:dyDescent="0.45">
      <c r="F5473" s="128"/>
      <c r="G5473" s="129"/>
      <c r="H5473" s="130"/>
      <c r="I5473" s="108"/>
      <c r="K5473" s="231"/>
      <c r="L5473" s="132">
        <f>L5472/I5424</f>
        <v>1428</v>
      </c>
      <c r="M5473" s="133">
        <f>(K5472-L5473)*I5424</f>
        <v>0</v>
      </c>
    </row>
    <row r="5474" spans="1:16" x14ac:dyDescent="0.4">
      <c r="F5474" s="128"/>
      <c r="G5474" s="129"/>
      <c r="H5474" s="130"/>
      <c r="I5474" s="108"/>
      <c r="K5474" s="232"/>
      <c r="L5474" s="131"/>
      <c r="M5474" s="134"/>
      <c r="N5474" s="135"/>
    </row>
    <row r="5475" spans="1:16" ht="17.399999999999999" thickBot="1" x14ac:dyDescent="0.45">
      <c r="B5475" s="295"/>
      <c r="C5475" s="295"/>
      <c r="D5475" s="295"/>
    </row>
    <row r="5476" spans="1:16" x14ac:dyDescent="0.4">
      <c r="B5476" s="296" t="s">
        <v>23</v>
      </c>
      <c r="C5476" s="296"/>
      <c r="D5476" s="296"/>
    </row>
    <row r="5477" spans="1:16" x14ac:dyDescent="0.4">
      <c r="B5477" s="157"/>
      <c r="C5477" s="157"/>
      <c r="D5477" s="157"/>
    </row>
    <row r="5479" spans="1:16" x14ac:dyDescent="0.4">
      <c r="B5479" s="105" t="s">
        <v>43</v>
      </c>
      <c r="C5479" s="106"/>
      <c r="D5479" s="311" t="s">
        <v>1</v>
      </c>
      <c r="E5479" s="311"/>
      <c r="F5479" s="311"/>
      <c r="G5479" s="311"/>
      <c r="H5479" s="106"/>
      <c r="I5479" s="107" t="s">
        <v>2</v>
      </c>
      <c r="J5479" s="136"/>
      <c r="K5479" s="107" t="s">
        <v>3</v>
      </c>
    </row>
    <row r="5480" spans="1:16" s="58" customFormat="1" ht="30.75" customHeight="1" x14ac:dyDescent="0.3">
      <c r="A5480" s="56"/>
      <c r="B5480" s="213">
        <f>CATALOGO!B151</f>
        <v>111.03</v>
      </c>
      <c r="C5480" s="137"/>
      <c r="D5480" s="322" t="str">
        <f>CATALOGO!C151</f>
        <v>DEMOLICIÓN DE PISO CERÁMICO/PORCELANATO</v>
      </c>
      <c r="E5480" s="322"/>
      <c r="F5480" s="322"/>
      <c r="G5480" s="322"/>
      <c r="H5480" s="137"/>
      <c r="I5480" s="213">
        <f>CATALOGO!D151</f>
        <v>6</v>
      </c>
      <c r="J5480" s="109"/>
      <c r="K5480" s="227" t="str">
        <f>CATALOGO!E151</f>
        <v>m²</v>
      </c>
      <c r="L5480" s="137"/>
      <c r="M5480" s="137"/>
      <c r="N5480" s="137"/>
      <c r="O5480" s="57"/>
      <c r="P5480" s="57"/>
    </row>
    <row r="5481" spans="1:16" ht="17.399999999999999" thickBot="1" x14ac:dyDescent="0.45"/>
    <row r="5482" spans="1:16" ht="17.399999999999999" thickBot="1" x14ac:dyDescent="0.45">
      <c r="B5482" s="110" t="s">
        <v>4</v>
      </c>
      <c r="C5482" s="300" t="s">
        <v>5</v>
      </c>
      <c r="D5482" s="300"/>
      <c r="E5482" s="300"/>
      <c r="F5482" s="300"/>
      <c r="G5482" s="301"/>
    </row>
    <row r="5483" spans="1:16" x14ac:dyDescent="0.4">
      <c r="B5483" s="111" t="s">
        <v>6</v>
      </c>
      <c r="C5483" s="313" t="s">
        <v>1</v>
      </c>
      <c r="D5483" s="314"/>
      <c r="E5483" s="112" t="s">
        <v>193</v>
      </c>
      <c r="F5483" s="113" t="s">
        <v>2</v>
      </c>
      <c r="G5483" s="114" t="s">
        <v>3</v>
      </c>
      <c r="H5483" s="106"/>
      <c r="I5483" s="107" t="s">
        <v>7</v>
      </c>
      <c r="J5483" s="136"/>
      <c r="K5483" s="228" t="s">
        <v>8</v>
      </c>
      <c r="L5483" s="115" t="s">
        <v>194</v>
      </c>
    </row>
    <row r="5484" spans="1:16" x14ac:dyDescent="0.4">
      <c r="B5484" s="74"/>
      <c r="C5484" s="306"/>
      <c r="D5484" s="306"/>
      <c r="E5484" s="116"/>
      <c r="F5484" s="83"/>
      <c r="G5484" s="74"/>
      <c r="I5484" s="117">
        <f>IF(C5484=0,0,VLOOKUP(C5484,Tabla1[],3,FALSE))</f>
        <v>0</v>
      </c>
      <c r="K5484" s="84">
        <f>+F5484*I5484</f>
        <v>0</v>
      </c>
      <c r="L5484" s="118">
        <f>E5484*I5484</f>
        <v>0</v>
      </c>
    </row>
    <row r="5485" spans="1:16" x14ac:dyDescent="0.4">
      <c r="B5485" s="74"/>
      <c r="C5485" s="306"/>
      <c r="D5485" s="306"/>
      <c r="E5485" s="116"/>
      <c r="F5485" s="83"/>
      <c r="G5485" s="74"/>
      <c r="I5485" s="117">
        <f>IF(C5485=0,0,VLOOKUP(C5485,Tabla1[],3,FALSE))</f>
        <v>0</v>
      </c>
      <c r="K5485" s="84">
        <f t="shared" ref="K5485:K5493" si="834">+F5485*I5485</f>
        <v>0</v>
      </c>
      <c r="L5485" s="118">
        <f t="shared" ref="L5485:L5493" si="835">E5485*I5485</f>
        <v>0</v>
      </c>
    </row>
    <row r="5486" spans="1:16" x14ac:dyDescent="0.4">
      <c r="B5486" s="74"/>
      <c r="C5486" s="306"/>
      <c r="D5486" s="306"/>
      <c r="E5486" s="116"/>
      <c r="F5486" s="83"/>
      <c r="G5486" s="74"/>
      <c r="I5486" s="117">
        <f>IF(C5486=0,0,VLOOKUP(C5486,Tabla1[],3,FALSE))</f>
        <v>0</v>
      </c>
      <c r="K5486" s="84">
        <f t="shared" si="834"/>
        <v>0</v>
      </c>
      <c r="L5486" s="118">
        <f t="shared" si="835"/>
        <v>0</v>
      </c>
    </row>
    <row r="5487" spans="1:16" x14ac:dyDescent="0.4">
      <c r="B5487" s="74"/>
      <c r="C5487" s="306"/>
      <c r="D5487" s="306"/>
      <c r="E5487" s="116"/>
      <c r="F5487" s="83"/>
      <c r="G5487" s="74"/>
      <c r="I5487" s="117">
        <f>IF(C5487=0,0,VLOOKUP(C5487,Tabla1[],3,FALSE))</f>
        <v>0</v>
      </c>
      <c r="K5487" s="84">
        <f t="shared" si="834"/>
        <v>0</v>
      </c>
      <c r="L5487" s="118">
        <f t="shared" si="835"/>
        <v>0</v>
      </c>
    </row>
    <row r="5488" spans="1:16" x14ac:dyDescent="0.4">
      <c r="B5488" s="74"/>
      <c r="C5488" s="321"/>
      <c r="D5488" s="321"/>
      <c r="E5488" s="116"/>
      <c r="F5488" s="83"/>
      <c r="G5488" s="74"/>
      <c r="I5488" s="117">
        <f>IF(C5488=0,0,VLOOKUP(C5488,Tabla1[],3,FALSE))</f>
        <v>0</v>
      </c>
      <c r="K5488" s="84">
        <f t="shared" si="834"/>
        <v>0</v>
      </c>
      <c r="L5488" s="118">
        <f t="shared" si="835"/>
        <v>0</v>
      </c>
    </row>
    <row r="5489" spans="2:12" x14ac:dyDescent="0.4">
      <c r="B5489" s="74"/>
      <c r="C5489" s="321"/>
      <c r="D5489" s="321"/>
      <c r="E5489" s="116"/>
      <c r="F5489" s="72"/>
      <c r="G5489" s="74"/>
      <c r="I5489" s="117">
        <f>IF(C5489=0,0,VLOOKUP(C5489,Tabla1[],3,FALSE))</f>
        <v>0</v>
      </c>
      <c r="K5489" s="84">
        <f t="shared" si="834"/>
        <v>0</v>
      </c>
      <c r="L5489" s="118">
        <f t="shared" si="835"/>
        <v>0</v>
      </c>
    </row>
    <row r="5490" spans="2:12" x14ac:dyDescent="0.4">
      <c r="B5490" s="74"/>
      <c r="C5490" s="321"/>
      <c r="D5490" s="321"/>
      <c r="E5490" s="116"/>
      <c r="F5490" s="72"/>
      <c r="G5490" s="74"/>
      <c r="I5490" s="117">
        <f>IF(C5490=0,0,VLOOKUP(C5490,Tabla1[],3,FALSE))</f>
        <v>0</v>
      </c>
      <c r="K5490" s="84">
        <f t="shared" si="834"/>
        <v>0</v>
      </c>
      <c r="L5490" s="118">
        <f t="shared" si="835"/>
        <v>0</v>
      </c>
    </row>
    <row r="5491" spans="2:12" x14ac:dyDescent="0.4">
      <c r="B5491" s="74"/>
      <c r="C5491" s="321"/>
      <c r="D5491" s="321"/>
      <c r="E5491" s="116"/>
      <c r="F5491" s="72"/>
      <c r="G5491" s="74"/>
      <c r="I5491" s="117">
        <f>IF(C5491=0,0,VLOOKUP(C5491,Tabla1[],3,FALSE))</f>
        <v>0</v>
      </c>
      <c r="K5491" s="84">
        <f t="shared" si="834"/>
        <v>0</v>
      </c>
      <c r="L5491" s="118">
        <f t="shared" si="835"/>
        <v>0</v>
      </c>
    </row>
    <row r="5492" spans="2:12" x14ac:dyDescent="0.4">
      <c r="B5492" s="74"/>
      <c r="C5492" s="321"/>
      <c r="D5492" s="321"/>
      <c r="E5492" s="116"/>
      <c r="F5492" s="72"/>
      <c r="G5492" s="74"/>
      <c r="I5492" s="117">
        <f>IF(C5492=0,0,VLOOKUP(C5492,Tabla1[],3,FALSE))</f>
        <v>0</v>
      </c>
      <c r="K5492" s="84">
        <f t="shared" si="834"/>
        <v>0</v>
      </c>
      <c r="L5492" s="118">
        <f t="shared" si="835"/>
        <v>0</v>
      </c>
    </row>
    <row r="5493" spans="2:12" x14ac:dyDescent="0.4">
      <c r="B5493" s="74"/>
      <c r="C5493" s="321"/>
      <c r="D5493" s="321"/>
      <c r="E5493" s="116"/>
      <c r="F5493" s="72"/>
      <c r="G5493" s="74"/>
      <c r="I5493" s="117">
        <f>IF(C5493=0,0,VLOOKUP(C5493,Tabla1[],3,FALSE))</f>
        <v>0</v>
      </c>
      <c r="K5493" s="84">
        <f t="shared" si="834"/>
        <v>0</v>
      </c>
      <c r="L5493" s="118">
        <f t="shared" si="835"/>
        <v>0</v>
      </c>
    </row>
    <row r="5494" spans="2:12" ht="17.399999999999999" thickBot="1" x14ac:dyDescent="0.45"/>
    <row r="5495" spans="2:12" ht="17.399999999999999" thickBot="1" x14ac:dyDescent="0.45">
      <c r="F5495" s="292" t="s">
        <v>9</v>
      </c>
      <c r="G5495" s="293"/>
      <c r="H5495" s="293"/>
      <c r="I5495" s="294"/>
      <c r="K5495" s="229">
        <f>+SUM(K5484:K5493)</f>
        <v>0</v>
      </c>
      <c r="L5495" s="119">
        <f>+SUM(L5484:L5493)</f>
        <v>0</v>
      </c>
    </row>
    <row r="5496" spans="2:12" ht="17.399999999999999" thickBot="1" x14ac:dyDescent="0.45"/>
    <row r="5497" spans="2:12" ht="17.399999999999999" thickBot="1" x14ac:dyDescent="0.45">
      <c r="B5497" s="110" t="s">
        <v>10</v>
      </c>
      <c r="C5497" s="300" t="s">
        <v>11</v>
      </c>
      <c r="D5497" s="300"/>
      <c r="E5497" s="300"/>
      <c r="F5497" s="300"/>
      <c r="G5497" s="301"/>
    </row>
    <row r="5498" spans="2:12" x14ac:dyDescent="0.4">
      <c r="B5498" s="114" t="s">
        <v>6</v>
      </c>
      <c r="C5498" s="302" t="s">
        <v>1</v>
      </c>
      <c r="D5498" s="303"/>
      <c r="E5498" s="112" t="s">
        <v>193</v>
      </c>
      <c r="F5498" s="120" t="s">
        <v>2</v>
      </c>
      <c r="G5498" s="114" t="s">
        <v>3</v>
      </c>
      <c r="H5498" s="106"/>
      <c r="I5498" s="107" t="s">
        <v>7</v>
      </c>
      <c r="J5498" s="136"/>
      <c r="K5498" s="107" t="s">
        <v>8</v>
      </c>
      <c r="L5498" s="115" t="s">
        <v>194</v>
      </c>
    </row>
    <row r="5499" spans="2:12" x14ac:dyDescent="0.4">
      <c r="B5499" s="122"/>
      <c r="C5499" s="306"/>
      <c r="D5499" s="306"/>
      <c r="E5499" s="116"/>
      <c r="F5499" s="83"/>
      <c r="G5499" s="74"/>
      <c r="I5499" s="117"/>
      <c r="K5499" s="84"/>
      <c r="L5499" s="118">
        <f>E5499*I5499</f>
        <v>0</v>
      </c>
    </row>
    <row r="5500" spans="2:12" x14ac:dyDescent="0.4">
      <c r="B5500" s="74"/>
      <c r="C5500" s="206"/>
      <c r="D5500" s="207"/>
      <c r="E5500" s="121"/>
      <c r="F5500" s="72"/>
      <c r="G5500" s="74"/>
      <c r="I5500" s="117">
        <f>IF(C5500=0,0,VLOOKUP(C5500,Tabla3[],3,FALSE))</f>
        <v>0</v>
      </c>
      <c r="K5500" s="84">
        <f t="shared" ref="K5500:K5502" si="836">+F5500*I5500</f>
        <v>0</v>
      </c>
      <c r="L5500" s="118">
        <f t="shared" ref="L5500:L5502" si="837">E5500*I5500</f>
        <v>0</v>
      </c>
    </row>
    <row r="5501" spans="2:12" x14ac:dyDescent="0.4">
      <c r="B5501" s="74"/>
      <c r="C5501" s="206"/>
      <c r="D5501" s="207"/>
      <c r="E5501" s="121"/>
      <c r="F5501" s="72"/>
      <c r="G5501" s="74"/>
      <c r="I5501" s="117">
        <f>IF(C5501=0,0,VLOOKUP(C5501,Tabla3[],3,FALSE))</f>
        <v>0</v>
      </c>
      <c r="K5501" s="84">
        <f t="shared" si="836"/>
        <v>0</v>
      </c>
      <c r="L5501" s="118">
        <f t="shared" si="837"/>
        <v>0</v>
      </c>
    </row>
    <row r="5502" spans="2:12" x14ac:dyDescent="0.4">
      <c r="B5502" s="74"/>
      <c r="C5502" s="304"/>
      <c r="D5502" s="305"/>
      <c r="E5502" s="121"/>
      <c r="F5502" s="72"/>
      <c r="G5502" s="74"/>
      <c r="I5502" s="117">
        <f>IF(C5502=0,0,VLOOKUP(C5502,Tabla3[],3,FALSE))</f>
        <v>0</v>
      </c>
      <c r="K5502" s="84">
        <f t="shared" si="836"/>
        <v>0</v>
      </c>
      <c r="L5502" s="118">
        <f t="shared" si="837"/>
        <v>0</v>
      </c>
    </row>
    <row r="5503" spans="2:12" ht="17.399999999999999" thickBot="1" x14ac:dyDescent="0.45"/>
    <row r="5504" spans="2:12" ht="17.399999999999999" thickBot="1" x14ac:dyDescent="0.45">
      <c r="F5504" s="292" t="s">
        <v>12</v>
      </c>
      <c r="G5504" s="293"/>
      <c r="H5504" s="293"/>
      <c r="I5504" s="294"/>
      <c r="K5504" s="229">
        <f>+SUM(K5499:K5502)</f>
        <v>0</v>
      </c>
      <c r="L5504" s="119">
        <f>+SUM(L5499:L5502)</f>
        <v>0</v>
      </c>
    </row>
    <row r="5505" spans="2:12" ht="17.399999999999999" thickBot="1" x14ac:dyDescent="0.45"/>
    <row r="5506" spans="2:12" ht="17.399999999999999" thickBot="1" x14ac:dyDescent="0.45">
      <c r="B5506" s="110" t="s">
        <v>13</v>
      </c>
      <c r="C5506" s="300" t="s">
        <v>14</v>
      </c>
      <c r="D5506" s="300"/>
      <c r="E5506" s="300"/>
      <c r="F5506" s="300"/>
      <c r="G5506" s="301"/>
    </row>
    <row r="5507" spans="2:12" x14ac:dyDescent="0.4">
      <c r="B5507" s="114" t="s">
        <v>6</v>
      </c>
      <c r="C5507" s="302" t="s">
        <v>1</v>
      </c>
      <c r="D5507" s="303"/>
      <c r="E5507" s="112" t="s">
        <v>193</v>
      </c>
      <c r="F5507" s="120" t="s">
        <v>2</v>
      </c>
      <c r="G5507" s="114" t="s">
        <v>3</v>
      </c>
      <c r="H5507" s="106"/>
      <c r="I5507" s="107" t="s">
        <v>7</v>
      </c>
      <c r="J5507" s="136"/>
      <c r="K5507" s="107" t="s">
        <v>8</v>
      </c>
      <c r="L5507" s="115" t="s">
        <v>194</v>
      </c>
    </row>
    <row r="5508" spans="2:12" x14ac:dyDescent="0.4">
      <c r="B5508" s="122">
        <v>1</v>
      </c>
      <c r="C5508" s="306" t="s">
        <v>195</v>
      </c>
      <c r="D5508" s="306"/>
      <c r="E5508" s="116">
        <f>I5480</f>
        <v>6</v>
      </c>
      <c r="F5508" s="83">
        <f>ROUND(E5508/I5480,2)</f>
        <v>1</v>
      </c>
      <c r="G5508" s="74" t="str">
        <f>IF(C5508=0,0,VLOOKUP(C5508,Tabla2[],2,FALSE))</f>
        <v>m²</v>
      </c>
      <c r="I5508" s="117">
        <f>IF(C5508=0,0,VLOOKUP(C5508,Tabla2[],3,FALSE))</f>
        <v>90</v>
      </c>
      <c r="K5508" s="84">
        <f>+F5508*I5508</f>
        <v>90</v>
      </c>
      <c r="L5508" s="118">
        <f>E5508*I5508</f>
        <v>540</v>
      </c>
    </row>
    <row r="5509" spans="2:12" x14ac:dyDescent="0.4">
      <c r="B5509" s="122"/>
      <c r="C5509" s="306"/>
      <c r="D5509" s="306"/>
      <c r="E5509" s="116"/>
      <c r="F5509" s="83"/>
      <c r="G5509" s="74"/>
      <c r="I5509" s="117">
        <f>IF(C5509=0,0,VLOOKUP(C5509,Tabla2[],3,FALSE))</f>
        <v>0</v>
      </c>
      <c r="K5509" s="84">
        <f>+F5509*I5509</f>
        <v>0</v>
      </c>
      <c r="L5509" s="118">
        <f>E5509*I5509</f>
        <v>0</v>
      </c>
    </row>
    <row r="5510" spans="2:12" ht="17.399999999999999" thickBot="1" x14ac:dyDescent="0.45">
      <c r="B5510" s="123"/>
      <c r="C5510" s="307"/>
      <c r="D5510" s="308"/>
      <c r="E5510" s="124"/>
      <c r="F5510" s="125"/>
      <c r="G5510" s="74"/>
      <c r="I5510" s="117">
        <f>IF(C5510=0,0,VLOOKUP(C5510,Tabla2[],3,FALSE))</f>
        <v>0</v>
      </c>
      <c r="K5510" s="84">
        <f t="shared" ref="K5510" si="838">+F5510*I5510</f>
        <v>0</v>
      </c>
      <c r="L5510" s="118">
        <f t="shared" ref="L5510:L5511" si="839">E5510*I5510</f>
        <v>0</v>
      </c>
    </row>
    <row r="5511" spans="2:12" ht="17.399999999999999" thickBot="1" x14ac:dyDescent="0.45">
      <c r="B5511" s="297" t="s">
        <v>15</v>
      </c>
      <c r="C5511" s="298"/>
      <c r="D5511" s="298"/>
      <c r="E5511" s="298"/>
      <c r="F5511" s="298"/>
      <c r="G5511" s="299"/>
      <c r="I5511" s="84">
        <v>0</v>
      </c>
      <c r="K5511" s="84">
        <v>0</v>
      </c>
      <c r="L5511" s="118">
        <f t="shared" si="839"/>
        <v>0</v>
      </c>
    </row>
    <row r="5512" spans="2:12" ht="17.399999999999999" thickBot="1" x14ac:dyDescent="0.45"/>
    <row r="5513" spans="2:12" ht="17.399999999999999" thickBot="1" x14ac:dyDescent="0.45">
      <c r="F5513" s="292" t="s">
        <v>16</v>
      </c>
      <c r="G5513" s="293"/>
      <c r="H5513" s="293"/>
      <c r="I5513" s="294"/>
      <c r="K5513" s="229">
        <f>+SUM(K5508:K5511)</f>
        <v>90</v>
      </c>
      <c r="L5513" s="119">
        <f>+SUM(L5508:L5511)</f>
        <v>540</v>
      </c>
    </row>
    <row r="5514" spans="2:12" ht="17.399999999999999" thickBot="1" x14ac:dyDescent="0.45"/>
    <row r="5515" spans="2:12" ht="17.399999999999999" thickBot="1" x14ac:dyDescent="0.45">
      <c r="B5515" s="110" t="s">
        <v>17</v>
      </c>
      <c r="C5515" s="300" t="s">
        <v>18</v>
      </c>
      <c r="D5515" s="300"/>
      <c r="E5515" s="300"/>
      <c r="F5515" s="300"/>
      <c r="G5515" s="301"/>
    </row>
    <row r="5516" spans="2:12" x14ac:dyDescent="0.4">
      <c r="B5516" s="114" t="s">
        <v>6</v>
      </c>
      <c r="C5516" s="302" t="s">
        <v>1</v>
      </c>
      <c r="D5516" s="303"/>
      <c r="E5516" s="126"/>
      <c r="F5516" s="120" t="s">
        <v>2</v>
      </c>
      <c r="G5516" s="114" t="s">
        <v>3</v>
      </c>
      <c r="H5516" s="106"/>
      <c r="I5516" s="107" t="s">
        <v>7</v>
      </c>
      <c r="J5516" s="136"/>
      <c r="K5516" s="107" t="s">
        <v>8</v>
      </c>
      <c r="L5516" s="115" t="s">
        <v>194</v>
      </c>
    </row>
    <row r="5517" spans="2:12" x14ac:dyDescent="0.4">
      <c r="B5517" s="74"/>
      <c r="C5517" s="304"/>
      <c r="D5517" s="305"/>
      <c r="E5517" s="127"/>
      <c r="F5517" s="72"/>
      <c r="G5517" s="74"/>
      <c r="I5517" s="84">
        <v>0</v>
      </c>
      <c r="K5517" s="84">
        <f>+F5517*I5517</f>
        <v>0</v>
      </c>
      <c r="L5517" s="118">
        <f>E5517*I5517</f>
        <v>0</v>
      </c>
    </row>
    <row r="5518" spans="2:12" x14ac:dyDescent="0.4">
      <c r="B5518" s="74"/>
      <c r="C5518" s="304"/>
      <c r="D5518" s="305"/>
      <c r="E5518" s="127"/>
      <c r="F5518" s="72"/>
      <c r="G5518" s="74"/>
      <c r="I5518" s="84">
        <v>0</v>
      </c>
      <c r="K5518" s="84">
        <f t="shared" ref="K5518:K5519" si="840">+F5518*I5518</f>
        <v>0</v>
      </c>
      <c r="L5518" s="118">
        <f t="shared" ref="L5518:L5519" si="841">E5518*I5518</f>
        <v>0</v>
      </c>
    </row>
    <row r="5519" spans="2:12" x14ac:dyDescent="0.4">
      <c r="B5519" s="74"/>
      <c r="C5519" s="304"/>
      <c r="D5519" s="305"/>
      <c r="E5519" s="127"/>
      <c r="F5519" s="72"/>
      <c r="G5519" s="74"/>
      <c r="I5519" s="84">
        <v>0</v>
      </c>
      <c r="K5519" s="84">
        <f t="shared" si="840"/>
        <v>0</v>
      </c>
      <c r="L5519" s="118">
        <f t="shared" si="841"/>
        <v>0</v>
      </c>
    </row>
    <row r="5520" spans="2:12" ht="17.399999999999999" thickBot="1" x14ac:dyDescent="0.45">
      <c r="L5520" s="118"/>
    </row>
    <row r="5521" spans="1:16" ht="17.399999999999999" thickBot="1" x14ac:dyDescent="0.45">
      <c r="F5521" s="292" t="s">
        <v>19</v>
      </c>
      <c r="G5521" s="293"/>
      <c r="H5521" s="293"/>
      <c r="I5521" s="294"/>
      <c r="K5521" s="229">
        <f>+SUM(K5517:K5519)</f>
        <v>0</v>
      </c>
      <c r="L5521" s="119">
        <f>+SUM(L5516:L5519)</f>
        <v>0</v>
      </c>
    </row>
    <row r="5522" spans="1:16" ht="15" customHeight="1" x14ac:dyDescent="0.4">
      <c r="F5522" s="128"/>
      <c r="G5522" s="129"/>
      <c r="H5522" s="130"/>
      <c r="I5522" s="108"/>
      <c r="K5522" s="230"/>
    </row>
    <row r="5523" spans="1:16" ht="15" customHeight="1" thickBot="1" x14ac:dyDescent="0.45"/>
    <row r="5524" spans="1:16" ht="17.399999999999999" thickBot="1" x14ac:dyDescent="0.45">
      <c r="F5524" s="292" t="s">
        <v>20</v>
      </c>
      <c r="G5524" s="293"/>
      <c r="H5524" s="293"/>
      <c r="I5524" s="294"/>
      <c r="K5524" s="229">
        <f>(+K5495+K5504+K5513+K5521)</f>
        <v>90</v>
      </c>
      <c r="L5524" s="119">
        <f>(+L5495+L5504+L5513+L5521)</f>
        <v>540</v>
      </c>
      <c r="N5524" s="131"/>
      <c r="O5524" s="39"/>
      <c r="P5524" s="40"/>
    </row>
    <row r="5525" spans="1:16" ht="7.5" customHeight="1" thickBot="1" x14ac:dyDescent="0.45">
      <c r="N5525" s="131"/>
      <c r="O5525" s="41"/>
      <c r="P5525" s="40"/>
    </row>
    <row r="5526" spans="1:16" ht="17.399999999999999" thickBot="1" x14ac:dyDescent="0.45">
      <c r="F5526" s="292" t="s">
        <v>21</v>
      </c>
      <c r="G5526" s="293"/>
      <c r="H5526" s="293"/>
      <c r="I5526" s="294"/>
      <c r="K5526" s="229">
        <f>K5524*$N$2</f>
        <v>36</v>
      </c>
      <c r="L5526" s="119">
        <f>L5524*$N$2</f>
        <v>216</v>
      </c>
    </row>
    <row r="5527" spans="1:16" ht="7.5" customHeight="1" thickBot="1" x14ac:dyDescent="0.45"/>
    <row r="5528" spans="1:16" ht="17.399999999999999" thickBot="1" x14ac:dyDescent="0.45">
      <c r="F5528" s="292" t="s">
        <v>22</v>
      </c>
      <c r="G5528" s="293"/>
      <c r="H5528" s="293"/>
      <c r="I5528" s="294"/>
      <c r="K5528" s="229">
        <f>+K5524+K5526</f>
        <v>126</v>
      </c>
      <c r="L5528" s="119">
        <f>+L5524+L5526</f>
        <v>756</v>
      </c>
    </row>
    <row r="5529" spans="1:16" ht="17.399999999999999" thickBot="1" x14ac:dyDescent="0.45">
      <c r="F5529" s="128"/>
      <c r="G5529" s="129"/>
      <c r="H5529" s="130"/>
      <c r="I5529" s="108"/>
      <c r="K5529" s="231"/>
      <c r="L5529" s="132">
        <f>L5528/I5480</f>
        <v>126</v>
      </c>
      <c r="M5529" s="133">
        <f>(K5528-L5529)*I5480</f>
        <v>0</v>
      </c>
    </row>
    <row r="5530" spans="1:16" x14ac:dyDescent="0.4">
      <c r="F5530" s="128"/>
      <c r="G5530" s="129"/>
      <c r="H5530" s="130"/>
      <c r="I5530" s="108"/>
      <c r="K5530" s="232"/>
      <c r="L5530" s="131"/>
      <c r="M5530" s="134"/>
      <c r="N5530" s="135"/>
    </row>
    <row r="5531" spans="1:16" ht="17.399999999999999" thickBot="1" x14ac:dyDescent="0.45">
      <c r="B5531" s="295"/>
      <c r="C5531" s="295"/>
      <c r="D5531" s="295"/>
    </row>
    <row r="5532" spans="1:16" x14ac:dyDescent="0.4">
      <c r="B5532" s="296" t="s">
        <v>23</v>
      </c>
      <c r="C5532" s="296"/>
      <c r="D5532" s="296"/>
    </row>
    <row r="5533" spans="1:16" x14ac:dyDescent="0.4">
      <c r="B5533" s="157"/>
      <c r="C5533" s="157"/>
      <c r="D5533" s="157"/>
    </row>
    <row r="5535" spans="1:16" x14ac:dyDescent="0.4">
      <c r="B5535" s="105" t="s">
        <v>43</v>
      </c>
      <c r="C5535" s="106"/>
      <c r="D5535" s="311" t="s">
        <v>1</v>
      </c>
      <c r="E5535" s="311"/>
      <c r="F5535" s="311"/>
      <c r="G5535" s="311"/>
      <c r="H5535" s="106"/>
      <c r="I5535" s="107" t="s">
        <v>2</v>
      </c>
      <c r="J5535" s="136"/>
      <c r="K5535" s="107" t="s">
        <v>3</v>
      </c>
    </row>
    <row r="5536" spans="1:16" s="58" customFormat="1" ht="30.75" customHeight="1" x14ac:dyDescent="0.3">
      <c r="A5536" s="56"/>
      <c r="B5536" s="213">
        <f>CATALOGO!B152</f>
        <v>117.01</v>
      </c>
      <c r="C5536" s="137"/>
      <c r="D5536" s="322" t="str">
        <f>CATALOGO!C152</f>
        <v>DESMONTAJE DE ARTEFACTOS SANITARIOS</v>
      </c>
      <c r="E5536" s="322"/>
      <c r="F5536" s="322"/>
      <c r="G5536" s="322"/>
      <c r="H5536" s="137"/>
      <c r="I5536" s="213">
        <f>CATALOGO!D152</f>
        <v>6</v>
      </c>
      <c r="J5536" s="109"/>
      <c r="K5536" s="227" t="str">
        <f>CATALOGO!E152</f>
        <v>Unidad</v>
      </c>
      <c r="L5536" s="137"/>
      <c r="M5536" s="137"/>
      <c r="N5536" s="137"/>
      <c r="O5536" s="57"/>
      <c r="P5536" s="57"/>
    </row>
    <row r="5537" spans="2:12" ht="17.399999999999999" thickBot="1" x14ac:dyDescent="0.45"/>
    <row r="5538" spans="2:12" ht="17.399999999999999" thickBot="1" x14ac:dyDescent="0.45">
      <c r="B5538" s="110" t="s">
        <v>4</v>
      </c>
      <c r="C5538" s="300" t="s">
        <v>5</v>
      </c>
      <c r="D5538" s="300"/>
      <c r="E5538" s="300"/>
      <c r="F5538" s="300"/>
      <c r="G5538" s="301"/>
    </row>
    <row r="5539" spans="2:12" x14ac:dyDescent="0.4">
      <c r="B5539" s="111" t="s">
        <v>6</v>
      </c>
      <c r="C5539" s="313" t="s">
        <v>1</v>
      </c>
      <c r="D5539" s="314"/>
      <c r="E5539" s="112" t="s">
        <v>193</v>
      </c>
      <c r="F5539" s="113" t="s">
        <v>2</v>
      </c>
      <c r="G5539" s="114" t="s">
        <v>3</v>
      </c>
      <c r="H5539" s="106"/>
      <c r="I5539" s="107" t="s">
        <v>7</v>
      </c>
      <c r="J5539" s="136"/>
      <c r="K5539" s="228" t="s">
        <v>8</v>
      </c>
      <c r="L5539" s="115" t="s">
        <v>194</v>
      </c>
    </row>
    <row r="5540" spans="2:12" x14ac:dyDescent="0.4">
      <c r="B5540" s="74"/>
      <c r="C5540" s="306"/>
      <c r="D5540" s="306"/>
      <c r="E5540" s="116"/>
      <c r="F5540" s="83"/>
      <c r="G5540" s="74"/>
      <c r="I5540" s="117">
        <f>IF(C5540=0,0,VLOOKUP(C5540,Tabla1[],3,FALSE))</f>
        <v>0</v>
      </c>
      <c r="K5540" s="84">
        <f>+F5540*I5540</f>
        <v>0</v>
      </c>
      <c r="L5540" s="118">
        <f>E5540*I5540</f>
        <v>0</v>
      </c>
    </row>
    <row r="5541" spans="2:12" x14ac:dyDescent="0.4">
      <c r="B5541" s="74"/>
      <c r="C5541" s="306"/>
      <c r="D5541" s="306"/>
      <c r="E5541" s="116"/>
      <c r="F5541" s="83"/>
      <c r="G5541" s="74"/>
      <c r="I5541" s="117">
        <f>IF(C5541=0,0,VLOOKUP(C5541,Tabla1[],3,FALSE))</f>
        <v>0</v>
      </c>
      <c r="K5541" s="84">
        <f t="shared" ref="K5541:K5549" si="842">+F5541*I5541</f>
        <v>0</v>
      </c>
      <c r="L5541" s="118">
        <f t="shared" ref="L5541:L5549" si="843">E5541*I5541</f>
        <v>0</v>
      </c>
    </row>
    <row r="5542" spans="2:12" x14ac:dyDescent="0.4">
      <c r="B5542" s="74"/>
      <c r="C5542" s="306"/>
      <c r="D5542" s="306"/>
      <c r="E5542" s="116"/>
      <c r="F5542" s="83"/>
      <c r="G5542" s="74"/>
      <c r="I5542" s="117">
        <f>IF(C5542=0,0,VLOOKUP(C5542,Tabla1[],3,FALSE))</f>
        <v>0</v>
      </c>
      <c r="K5542" s="84">
        <f t="shared" si="842"/>
        <v>0</v>
      </c>
      <c r="L5542" s="118">
        <f t="shared" si="843"/>
        <v>0</v>
      </c>
    </row>
    <row r="5543" spans="2:12" x14ac:dyDescent="0.4">
      <c r="B5543" s="74"/>
      <c r="C5543" s="306"/>
      <c r="D5543" s="306"/>
      <c r="E5543" s="116"/>
      <c r="F5543" s="83"/>
      <c r="G5543" s="74"/>
      <c r="I5543" s="117">
        <f>IF(C5543=0,0,VLOOKUP(C5543,Tabla1[],3,FALSE))</f>
        <v>0</v>
      </c>
      <c r="K5543" s="84">
        <f t="shared" si="842"/>
        <v>0</v>
      </c>
      <c r="L5543" s="118">
        <f t="shared" si="843"/>
        <v>0</v>
      </c>
    </row>
    <row r="5544" spans="2:12" x14ac:dyDescent="0.4">
      <c r="B5544" s="74"/>
      <c r="C5544" s="321"/>
      <c r="D5544" s="321"/>
      <c r="E5544" s="116"/>
      <c r="F5544" s="83"/>
      <c r="G5544" s="74"/>
      <c r="I5544" s="117">
        <f>IF(C5544=0,0,VLOOKUP(C5544,Tabla1[],3,FALSE))</f>
        <v>0</v>
      </c>
      <c r="K5544" s="84">
        <f t="shared" si="842"/>
        <v>0</v>
      </c>
      <c r="L5544" s="118">
        <f t="shared" si="843"/>
        <v>0</v>
      </c>
    </row>
    <row r="5545" spans="2:12" x14ac:dyDescent="0.4">
      <c r="B5545" s="74"/>
      <c r="C5545" s="321"/>
      <c r="D5545" s="321"/>
      <c r="E5545" s="116"/>
      <c r="F5545" s="72"/>
      <c r="G5545" s="74"/>
      <c r="I5545" s="117">
        <f>IF(C5545=0,0,VLOOKUP(C5545,Tabla1[],3,FALSE))</f>
        <v>0</v>
      </c>
      <c r="K5545" s="84">
        <f t="shared" si="842"/>
        <v>0</v>
      </c>
      <c r="L5545" s="118">
        <f t="shared" si="843"/>
        <v>0</v>
      </c>
    </row>
    <row r="5546" spans="2:12" x14ac:dyDescent="0.4">
      <c r="B5546" s="74"/>
      <c r="C5546" s="321"/>
      <c r="D5546" s="321"/>
      <c r="E5546" s="116"/>
      <c r="F5546" s="72"/>
      <c r="G5546" s="74"/>
      <c r="I5546" s="117">
        <f>IF(C5546=0,0,VLOOKUP(C5546,Tabla1[],3,FALSE))</f>
        <v>0</v>
      </c>
      <c r="K5546" s="84">
        <f t="shared" si="842"/>
        <v>0</v>
      </c>
      <c r="L5546" s="118">
        <f t="shared" si="843"/>
        <v>0</v>
      </c>
    </row>
    <row r="5547" spans="2:12" x14ac:dyDescent="0.4">
      <c r="B5547" s="74"/>
      <c r="C5547" s="321"/>
      <c r="D5547" s="321"/>
      <c r="E5547" s="116"/>
      <c r="F5547" s="72"/>
      <c r="G5547" s="74"/>
      <c r="I5547" s="117">
        <f>IF(C5547=0,0,VLOOKUP(C5547,Tabla1[],3,FALSE))</f>
        <v>0</v>
      </c>
      <c r="K5547" s="84">
        <f t="shared" si="842"/>
        <v>0</v>
      </c>
      <c r="L5547" s="118">
        <f t="shared" si="843"/>
        <v>0</v>
      </c>
    </row>
    <row r="5548" spans="2:12" x14ac:dyDescent="0.4">
      <c r="B5548" s="74"/>
      <c r="C5548" s="321"/>
      <c r="D5548" s="321"/>
      <c r="E5548" s="116"/>
      <c r="F5548" s="72"/>
      <c r="G5548" s="74"/>
      <c r="I5548" s="117">
        <f>IF(C5548=0,0,VLOOKUP(C5548,Tabla1[],3,FALSE))</f>
        <v>0</v>
      </c>
      <c r="K5548" s="84">
        <f t="shared" si="842"/>
        <v>0</v>
      </c>
      <c r="L5548" s="118">
        <f t="shared" si="843"/>
        <v>0</v>
      </c>
    </row>
    <row r="5549" spans="2:12" x14ac:dyDescent="0.4">
      <c r="B5549" s="74"/>
      <c r="C5549" s="321"/>
      <c r="D5549" s="321"/>
      <c r="E5549" s="116"/>
      <c r="F5549" s="72"/>
      <c r="G5549" s="74"/>
      <c r="I5549" s="117">
        <f>IF(C5549=0,0,VLOOKUP(C5549,Tabla1[],3,FALSE))</f>
        <v>0</v>
      </c>
      <c r="K5549" s="84">
        <f t="shared" si="842"/>
        <v>0</v>
      </c>
      <c r="L5549" s="118">
        <f t="shared" si="843"/>
        <v>0</v>
      </c>
    </row>
    <row r="5550" spans="2:12" ht="17.399999999999999" thickBot="1" x14ac:dyDescent="0.45"/>
    <row r="5551" spans="2:12" ht="17.399999999999999" thickBot="1" x14ac:dyDescent="0.45">
      <c r="F5551" s="292" t="s">
        <v>9</v>
      </c>
      <c r="G5551" s="293"/>
      <c r="H5551" s="293"/>
      <c r="I5551" s="294"/>
      <c r="K5551" s="229">
        <f>+SUM(K5540:K5549)</f>
        <v>0</v>
      </c>
      <c r="L5551" s="119">
        <f>+SUM(L5540:L5549)</f>
        <v>0</v>
      </c>
    </row>
    <row r="5552" spans="2:12" ht="17.399999999999999" thickBot="1" x14ac:dyDescent="0.45"/>
    <row r="5553" spans="2:12" ht="17.399999999999999" thickBot="1" x14ac:dyDescent="0.45">
      <c r="B5553" s="110" t="s">
        <v>10</v>
      </c>
      <c r="C5553" s="300" t="s">
        <v>11</v>
      </c>
      <c r="D5553" s="300"/>
      <c r="E5553" s="300"/>
      <c r="F5553" s="300"/>
      <c r="G5553" s="301"/>
    </row>
    <row r="5554" spans="2:12" x14ac:dyDescent="0.4">
      <c r="B5554" s="114" t="s">
        <v>6</v>
      </c>
      <c r="C5554" s="302" t="s">
        <v>1</v>
      </c>
      <c r="D5554" s="303"/>
      <c r="E5554" s="112" t="s">
        <v>193</v>
      </c>
      <c r="F5554" s="120" t="s">
        <v>2</v>
      </c>
      <c r="G5554" s="114" t="s">
        <v>3</v>
      </c>
      <c r="H5554" s="106"/>
      <c r="I5554" s="107" t="s">
        <v>7</v>
      </c>
      <c r="J5554" s="136"/>
      <c r="K5554" s="107" t="s">
        <v>8</v>
      </c>
      <c r="L5554" s="115" t="s">
        <v>194</v>
      </c>
    </row>
    <row r="5555" spans="2:12" x14ac:dyDescent="0.4">
      <c r="B5555" s="122">
        <v>1</v>
      </c>
      <c r="C5555" s="306" t="s">
        <v>190</v>
      </c>
      <c r="D5555" s="306"/>
      <c r="E5555" s="116">
        <f>I5536*0.6</f>
        <v>3.5999999999999996</v>
      </c>
      <c r="F5555" s="83">
        <f>ROUND(E5555/I5536,2)</f>
        <v>0.6</v>
      </c>
      <c r="G5555" s="74" t="str">
        <f>IF(C5555=0,0,VLOOKUP(C5555,Tabla3[],2,FALSE))</f>
        <v>Viaje</v>
      </c>
      <c r="I5555" s="117">
        <f>IF(C5555=0,0,VLOOKUP(C5555,Tabla3[],3,FALSE))</f>
        <v>200</v>
      </c>
      <c r="K5555" s="84">
        <f t="shared" ref="K5555:K5558" si="844">+F5555*I5555</f>
        <v>120</v>
      </c>
      <c r="L5555" s="118">
        <f>E5555*I5555</f>
        <v>719.99999999999989</v>
      </c>
    </row>
    <row r="5556" spans="2:12" x14ac:dyDescent="0.4">
      <c r="B5556" s="74"/>
      <c r="C5556" s="206"/>
      <c r="D5556" s="207"/>
      <c r="E5556" s="121"/>
      <c r="F5556" s="72"/>
      <c r="G5556" s="74"/>
      <c r="I5556" s="117">
        <f>IF(C5556=0,0,VLOOKUP(C5556,Tabla3[],3,FALSE))</f>
        <v>0</v>
      </c>
      <c r="K5556" s="84">
        <f t="shared" si="844"/>
        <v>0</v>
      </c>
      <c r="L5556" s="118">
        <f t="shared" ref="L5556:L5558" si="845">E5556*I5556</f>
        <v>0</v>
      </c>
    </row>
    <row r="5557" spans="2:12" x14ac:dyDescent="0.4">
      <c r="B5557" s="74"/>
      <c r="C5557" s="206"/>
      <c r="D5557" s="207"/>
      <c r="E5557" s="121"/>
      <c r="F5557" s="72"/>
      <c r="G5557" s="74"/>
      <c r="I5557" s="117">
        <f>IF(C5557=0,0,VLOOKUP(C5557,Tabla3[],3,FALSE))</f>
        <v>0</v>
      </c>
      <c r="K5557" s="84">
        <f t="shared" si="844"/>
        <v>0</v>
      </c>
      <c r="L5557" s="118">
        <f t="shared" si="845"/>
        <v>0</v>
      </c>
    </row>
    <row r="5558" spans="2:12" x14ac:dyDescent="0.4">
      <c r="B5558" s="74"/>
      <c r="C5558" s="304"/>
      <c r="D5558" s="305"/>
      <c r="E5558" s="121"/>
      <c r="F5558" s="72"/>
      <c r="G5558" s="74"/>
      <c r="I5558" s="117">
        <f>IF(C5558=0,0,VLOOKUP(C5558,Tabla3[],3,FALSE))</f>
        <v>0</v>
      </c>
      <c r="K5558" s="84">
        <f t="shared" si="844"/>
        <v>0</v>
      </c>
      <c r="L5558" s="118">
        <f t="shared" si="845"/>
        <v>0</v>
      </c>
    </row>
    <row r="5559" spans="2:12" ht="17.399999999999999" thickBot="1" x14ac:dyDescent="0.45"/>
    <row r="5560" spans="2:12" ht="17.399999999999999" thickBot="1" x14ac:dyDescent="0.45">
      <c r="F5560" s="292" t="s">
        <v>12</v>
      </c>
      <c r="G5560" s="293"/>
      <c r="H5560" s="293"/>
      <c r="I5560" s="294"/>
      <c r="K5560" s="229">
        <f>+SUM(K5555:K5558)</f>
        <v>120</v>
      </c>
      <c r="L5560" s="119">
        <f>+SUM(L5555:L5558)</f>
        <v>719.99999999999989</v>
      </c>
    </row>
    <row r="5561" spans="2:12" ht="17.399999999999999" thickBot="1" x14ac:dyDescent="0.45"/>
    <row r="5562" spans="2:12" ht="17.399999999999999" thickBot="1" x14ac:dyDescent="0.45">
      <c r="B5562" s="110" t="s">
        <v>13</v>
      </c>
      <c r="C5562" s="300" t="s">
        <v>14</v>
      </c>
      <c r="D5562" s="300"/>
      <c r="E5562" s="300"/>
      <c r="F5562" s="300"/>
      <c r="G5562" s="301"/>
    </row>
    <row r="5563" spans="2:12" x14ac:dyDescent="0.4">
      <c r="B5563" s="114" t="s">
        <v>6</v>
      </c>
      <c r="C5563" s="302" t="s">
        <v>1</v>
      </c>
      <c r="D5563" s="303"/>
      <c r="E5563" s="112" t="s">
        <v>193</v>
      </c>
      <c r="F5563" s="120" t="s">
        <v>2</v>
      </c>
      <c r="G5563" s="114" t="s">
        <v>3</v>
      </c>
      <c r="H5563" s="106"/>
      <c r="I5563" s="107" t="s">
        <v>7</v>
      </c>
      <c r="J5563" s="136"/>
      <c r="K5563" s="107" t="s">
        <v>8</v>
      </c>
      <c r="L5563" s="115" t="s">
        <v>194</v>
      </c>
    </row>
    <row r="5564" spans="2:12" x14ac:dyDescent="0.4">
      <c r="B5564" s="122">
        <v>1</v>
      </c>
      <c r="C5564" s="306" t="s">
        <v>329</v>
      </c>
      <c r="D5564" s="306"/>
      <c r="E5564" s="116">
        <f>I5536</f>
        <v>6</v>
      </c>
      <c r="F5564" s="83">
        <f>ROUND(E5564/I5536,2)</f>
        <v>1</v>
      </c>
      <c r="G5564" s="74" t="str">
        <f>IF(C5564=0,0,VLOOKUP(C5564,Tabla2[],2,FALSE))</f>
        <v>Unidad</v>
      </c>
      <c r="I5564" s="117">
        <f>IF(C5564=0,0,VLOOKUP(C5564,Tabla2[],3,FALSE))</f>
        <v>140</v>
      </c>
      <c r="K5564" s="84">
        <f>+F5564*I5564</f>
        <v>140</v>
      </c>
      <c r="L5564" s="118">
        <f>E5564*I5564</f>
        <v>840</v>
      </c>
    </row>
    <row r="5565" spans="2:12" x14ac:dyDescent="0.4">
      <c r="B5565" s="122"/>
      <c r="C5565" s="306"/>
      <c r="D5565" s="306"/>
      <c r="E5565" s="116"/>
      <c r="F5565" s="83"/>
      <c r="G5565" s="74"/>
      <c r="I5565" s="117">
        <f>IF(C5565=0,0,VLOOKUP(C5565,Tabla2[],3,FALSE))</f>
        <v>0</v>
      </c>
      <c r="K5565" s="84">
        <f>+F5565*I5565</f>
        <v>0</v>
      </c>
      <c r="L5565" s="118">
        <f>E5565*I5565</f>
        <v>0</v>
      </c>
    </row>
    <row r="5566" spans="2:12" ht="17.399999999999999" thickBot="1" x14ac:dyDescent="0.45">
      <c r="B5566" s="123"/>
      <c r="C5566" s="307"/>
      <c r="D5566" s="308"/>
      <c r="E5566" s="124"/>
      <c r="F5566" s="125"/>
      <c r="G5566" s="74"/>
      <c r="I5566" s="117">
        <f>IF(C5566=0,0,VLOOKUP(C5566,Tabla2[],3,FALSE))</f>
        <v>0</v>
      </c>
      <c r="K5566" s="84">
        <f t="shared" ref="K5566" si="846">+F5566*I5566</f>
        <v>0</v>
      </c>
      <c r="L5566" s="118">
        <f t="shared" ref="L5566:L5567" si="847">E5566*I5566</f>
        <v>0</v>
      </c>
    </row>
    <row r="5567" spans="2:12" ht="17.399999999999999" thickBot="1" x14ac:dyDescent="0.45">
      <c r="B5567" s="297" t="s">
        <v>15</v>
      </c>
      <c r="C5567" s="298"/>
      <c r="D5567" s="298"/>
      <c r="E5567" s="298"/>
      <c r="F5567" s="298"/>
      <c r="G5567" s="299"/>
      <c r="I5567" s="84">
        <v>0</v>
      </c>
      <c r="K5567" s="84">
        <v>0</v>
      </c>
      <c r="L5567" s="118">
        <f t="shared" si="847"/>
        <v>0</v>
      </c>
    </row>
    <row r="5568" spans="2:12" ht="17.399999999999999" thickBot="1" x14ac:dyDescent="0.45"/>
    <row r="5569" spans="2:16" ht="17.399999999999999" thickBot="1" x14ac:dyDescent="0.45">
      <c r="F5569" s="292" t="s">
        <v>16</v>
      </c>
      <c r="G5569" s="293"/>
      <c r="H5569" s="293"/>
      <c r="I5569" s="294"/>
      <c r="K5569" s="229">
        <f>+SUM(K5564:K5567)</f>
        <v>140</v>
      </c>
      <c r="L5569" s="119">
        <f>+SUM(L5564:L5567)</f>
        <v>840</v>
      </c>
    </row>
    <row r="5570" spans="2:16" ht="17.399999999999999" thickBot="1" x14ac:dyDescent="0.45"/>
    <row r="5571" spans="2:16" ht="17.399999999999999" thickBot="1" x14ac:dyDescent="0.45">
      <c r="B5571" s="110" t="s">
        <v>17</v>
      </c>
      <c r="C5571" s="300" t="s">
        <v>18</v>
      </c>
      <c r="D5571" s="300"/>
      <c r="E5571" s="300"/>
      <c r="F5571" s="300"/>
      <c r="G5571" s="301"/>
    </row>
    <row r="5572" spans="2:16" x14ac:dyDescent="0.4">
      <c r="B5572" s="114" t="s">
        <v>6</v>
      </c>
      <c r="C5572" s="302" t="s">
        <v>1</v>
      </c>
      <c r="D5572" s="303"/>
      <c r="E5572" s="126"/>
      <c r="F5572" s="120" t="s">
        <v>2</v>
      </c>
      <c r="G5572" s="114" t="s">
        <v>3</v>
      </c>
      <c r="H5572" s="106"/>
      <c r="I5572" s="107" t="s">
        <v>7</v>
      </c>
      <c r="J5572" s="136"/>
      <c r="K5572" s="107" t="s">
        <v>8</v>
      </c>
      <c r="L5572" s="115" t="s">
        <v>194</v>
      </c>
    </row>
    <row r="5573" spans="2:16" x14ac:dyDescent="0.4">
      <c r="B5573" s="74"/>
      <c r="C5573" s="304"/>
      <c r="D5573" s="305"/>
      <c r="E5573" s="127"/>
      <c r="F5573" s="72"/>
      <c r="G5573" s="74"/>
      <c r="I5573" s="84">
        <v>0</v>
      </c>
      <c r="K5573" s="84">
        <f>+F5573*I5573</f>
        <v>0</v>
      </c>
      <c r="L5573" s="118">
        <f>E5573*I5573</f>
        <v>0</v>
      </c>
    </row>
    <row r="5574" spans="2:16" x14ac:dyDescent="0.4">
      <c r="B5574" s="74"/>
      <c r="C5574" s="304"/>
      <c r="D5574" s="305"/>
      <c r="E5574" s="127"/>
      <c r="F5574" s="72"/>
      <c r="G5574" s="74"/>
      <c r="I5574" s="84">
        <v>0</v>
      </c>
      <c r="K5574" s="84">
        <f t="shared" ref="K5574:K5575" si="848">+F5574*I5574</f>
        <v>0</v>
      </c>
      <c r="L5574" s="118">
        <f t="shared" ref="L5574:L5575" si="849">E5574*I5574</f>
        <v>0</v>
      </c>
    </row>
    <row r="5575" spans="2:16" x14ac:dyDescent="0.4">
      <c r="B5575" s="74"/>
      <c r="C5575" s="304"/>
      <c r="D5575" s="305"/>
      <c r="E5575" s="127"/>
      <c r="F5575" s="72"/>
      <c r="G5575" s="74"/>
      <c r="I5575" s="84">
        <v>0</v>
      </c>
      <c r="K5575" s="84">
        <f t="shared" si="848"/>
        <v>0</v>
      </c>
      <c r="L5575" s="118">
        <f t="shared" si="849"/>
        <v>0</v>
      </c>
    </row>
    <row r="5576" spans="2:16" ht="17.399999999999999" thickBot="1" x14ac:dyDescent="0.45">
      <c r="L5576" s="118"/>
    </row>
    <row r="5577" spans="2:16" ht="17.399999999999999" thickBot="1" x14ac:dyDescent="0.45">
      <c r="F5577" s="292" t="s">
        <v>19</v>
      </c>
      <c r="G5577" s="293"/>
      <c r="H5577" s="293"/>
      <c r="I5577" s="294"/>
      <c r="K5577" s="229">
        <f>+SUM(K5573:K5575)</f>
        <v>0</v>
      </c>
      <c r="L5577" s="119">
        <f>+SUM(L5572:L5575)</f>
        <v>0</v>
      </c>
    </row>
    <row r="5578" spans="2:16" ht="15" customHeight="1" x14ac:dyDescent="0.4">
      <c r="F5578" s="128"/>
      <c r="G5578" s="129"/>
      <c r="H5578" s="130"/>
      <c r="I5578" s="108"/>
      <c r="K5578" s="230"/>
    </row>
    <row r="5579" spans="2:16" ht="15" customHeight="1" thickBot="1" x14ac:dyDescent="0.45"/>
    <row r="5580" spans="2:16" ht="17.399999999999999" thickBot="1" x14ac:dyDescent="0.45">
      <c r="F5580" s="292" t="s">
        <v>20</v>
      </c>
      <c r="G5580" s="293"/>
      <c r="H5580" s="293"/>
      <c r="I5580" s="294"/>
      <c r="K5580" s="229">
        <f>(+K5551+K5560+K5569+K5577)</f>
        <v>260</v>
      </c>
      <c r="L5580" s="119">
        <f>(+L5551+L5560+L5569+L5577)</f>
        <v>1560</v>
      </c>
      <c r="N5580" s="131"/>
      <c r="O5580" s="39"/>
      <c r="P5580" s="40"/>
    </row>
    <row r="5581" spans="2:16" ht="7.5" customHeight="1" thickBot="1" x14ac:dyDescent="0.45">
      <c r="N5581" s="131"/>
      <c r="O5581" s="41"/>
      <c r="P5581" s="40"/>
    </row>
    <row r="5582" spans="2:16" ht="17.399999999999999" thickBot="1" x14ac:dyDescent="0.45">
      <c r="F5582" s="292" t="s">
        <v>21</v>
      </c>
      <c r="G5582" s="293"/>
      <c r="H5582" s="293"/>
      <c r="I5582" s="294"/>
      <c r="K5582" s="229">
        <f>K5580*$N$2</f>
        <v>104</v>
      </c>
      <c r="L5582" s="119">
        <f>L5580*$N$2</f>
        <v>624</v>
      </c>
    </row>
    <row r="5583" spans="2:16" ht="7.5" customHeight="1" thickBot="1" x14ac:dyDescent="0.45"/>
    <row r="5584" spans="2:16" ht="17.399999999999999" thickBot="1" x14ac:dyDescent="0.45">
      <c r="F5584" s="292" t="s">
        <v>22</v>
      </c>
      <c r="G5584" s="293"/>
      <c r="H5584" s="293"/>
      <c r="I5584" s="294"/>
      <c r="K5584" s="229">
        <f>+K5580+K5582</f>
        <v>364</v>
      </c>
      <c r="L5584" s="119">
        <f>+L5580+L5582</f>
        <v>2184</v>
      </c>
    </row>
    <row r="5585" spans="1:16" ht="17.399999999999999" thickBot="1" x14ac:dyDescent="0.45">
      <c r="F5585" s="128"/>
      <c r="G5585" s="129"/>
      <c r="H5585" s="130"/>
      <c r="I5585" s="108"/>
      <c r="K5585" s="231"/>
      <c r="L5585" s="132">
        <f>L5584/I5536</f>
        <v>364</v>
      </c>
      <c r="M5585" s="133">
        <f>(K5584-L5585)*I5536</f>
        <v>0</v>
      </c>
    </row>
    <row r="5586" spans="1:16" x14ac:dyDescent="0.4">
      <c r="F5586" s="128"/>
      <c r="G5586" s="129"/>
      <c r="H5586" s="130"/>
      <c r="I5586" s="108"/>
      <c r="K5586" s="232"/>
      <c r="L5586" s="131"/>
      <c r="M5586" s="134"/>
      <c r="N5586" s="135"/>
    </row>
    <row r="5587" spans="1:16" ht="17.399999999999999" thickBot="1" x14ac:dyDescent="0.45">
      <c r="B5587" s="295"/>
      <c r="C5587" s="295"/>
      <c r="D5587" s="295"/>
    </row>
    <row r="5588" spans="1:16" x14ac:dyDescent="0.4">
      <c r="B5588" s="296" t="s">
        <v>23</v>
      </c>
      <c r="C5588" s="296"/>
      <c r="D5588" s="296"/>
    </row>
    <row r="5589" spans="1:16" x14ac:dyDescent="0.4">
      <c r="B5589" s="157"/>
      <c r="C5589" s="157"/>
      <c r="D5589" s="157"/>
    </row>
    <row r="5591" spans="1:16" x14ac:dyDescent="0.4">
      <c r="B5591" s="105" t="s">
        <v>43</v>
      </c>
      <c r="C5591" s="106"/>
      <c r="D5591" s="311" t="s">
        <v>1</v>
      </c>
      <c r="E5591" s="311"/>
      <c r="F5591" s="311"/>
      <c r="G5591" s="311"/>
      <c r="H5591" s="106"/>
      <c r="I5591" s="107" t="s">
        <v>2</v>
      </c>
      <c r="J5591" s="136"/>
      <c r="K5591" s="107" t="s">
        <v>3</v>
      </c>
    </row>
    <row r="5592" spans="1:16" s="58" customFormat="1" ht="30.75" customHeight="1" x14ac:dyDescent="0.3">
      <c r="A5592" s="56"/>
      <c r="B5592" s="213">
        <f>CATALOGO!B155</f>
        <v>711.07</v>
      </c>
      <c r="C5592" s="137"/>
      <c r="D5592" s="322" t="str">
        <f>CATALOGO!C155</f>
        <v>REMOZAMIENTO DE PORTÓN DE METAL + CHAPA</v>
      </c>
      <c r="E5592" s="322"/>
      <c r="F5592" s="322"/>
      <c r="G5592" s="322"/>
      <c r="H5592" s="137"/>
      <c r="I5592" s="213">
        <f>CATALOGO!D155</f>
        <v>1</v>
      </c>
      <c r="J5592" s="109"/>
      <c r="K5592" s="227" t="str">
        <f>CATALOGO!E155</f>
        <v>Unidad</v>
      </c>
      <c r="L5592" s="137"/>
      <c r="M5592" s="137"/>
      <c r="N5592" s="137"/>
      <c r="O5592" s="57"/>
      <c r="P5592" s="57"/>
    </row>
    <row r="5593" spans="1:16" ht="17.399999999999999" thickBot="1" x14ac:dyDescent="0.45"/>
    <row r="5594" spans="1:16" ht="17.399999999999999" thickBot="1" x14ac:dyDescent="0.45">
      <c r="B5594" s="110" t="s">
        <v>4</v>
      </c>
      <c r="C5594" s="300" t="s">
        <v>5</v>
      </c>
      <c r="D5594" s="300"/>
      <c r="E5594" s="300"/>
      <c r="F5594" s="300"/>
      <c r="G5594" s="301"/>
    </row>
    <row r="5595" spans="1:16" x14ac:dyDescent="0.4">
      <c r="B5595" s="111" t="s">
        <v>6</v>
      </c>
      <c r="C5595" s="313" t="s">
        <v>1</v>
      </c>
      <c r="D5595" s="314"/>
      <c r="E5595" s="112" t="s">
        <v>193</v>
      </c>
      <c r="F5595" s="113" t="s">
        <v>2</v>
      </c>
      <c r="G5595" s="114" t="s">
        <v>3</v>
      </c>
      <c r="H5595" s="106"/>
      <c r="I5595" s="107" t="s">
        <v>7</v>
      </c>
      <c r="J5595" s="136"/>
      <c r="K5595" s="228" t="s">
        <v>8</v>
      </c>
      <c r="L5595" s="115" t="s">
        <v>194</v>
      </c>
    </row>
    <row r="5596" spans="1:16" x14ac:dyDescent="0.4">
      <c r="B5596" s="74"/>
      <c r="C5596" s="306"/>
      <c r="D5596" s="306"/>
      <c r="E5596" s="116"/>
      <c r="F5596" s="83"/>
      <c r="G5596" s="74"/>
      <c r="I5596" s="117">
        <f>IF(C5596=0,0,VLOOKUP(C5596,Tabla1[],3,FALSE))</f>
        <v>0</v>
      </c>
      <c r="K5596" s="84">
        <f>+F5596*I5596</f>
        <v>0</v>
      </c>
      <c r="L5596" s="118">
        <f>E5596*I5596</f>
        <v>0</v>
      </c>
    </row>
    <row r="5597" spans="1:16" x14ac:dyDescent="0.4">
      <c r="B5597" s="74"/>
      <c r="C5597" s="306"/>
      <c r="D5597" s="306"/>
      <c r="E5597" s="116"/>
      <c r="F5597" s="83"/>
      <c r="G5597" s="74"/>
      <c r="I5597" s="117">
        <f>IF(C5597=0,0,VLOOKUP(C5597,Tabla1[],3,FALSE))</f>
        <v>0</v>
      </c>
      <c r="K5597" s="84">
        <f t="shared" ref="K5597:K5605" si="850">+F5597*I5597</f>
        <v>0</v>
      </c>
      <c r="L5597" s="118">
        <f t="shared" ref="L5597:L5605" si="851">E5597*I5597</f>
        <v>0</v>
      </c>
    </row>
    <row r="5598" spans="1:16" x14ac:dyDescent="0.4">
      <c r="B5598" s="74"/>
      <c r="C5598" s="306"/>
      <c r="D5598" s="306"/>
      <c r="E5598" s="116"/>
      <c r="F5598" s="83"/>
      <c r="G5598" s="74"/>
      <c r="I5598" s="117">
        <f>IF(C5598=0,0,VLOOKUP(C5598,Tabla1[],3,FALSE))</f>
        <v>0</v>
      </c>
      <c r="K5598" s="84">
        <f t="shared" si="850"/>
        <v>0</v>
      </c>
      <c r="L5598" s="118">
        <f t="shared" si="851"/>
        <v>0</v>
      </c>
    </row>
    <row r="5599" spans="1:16" x14ac:dyDescent="0.4">
      <c r="B5599" s="74"/>
      <c r="C5599" s="306"/>
      <c r="D5599" s="306"/>
      <c r="E5599" s="116"/>
      <c r="F5599" s="83"/>
      <c r="G5599" s="74"/>
      <c r="I5599" s="117">
        <f>IF(C5599=0,0,VLOOKUP(C5599,Tabla1[],3,FALSE))</f>
        <v>0</v>
      </c>
      <c r="K5599" s="84">
        <f t="shared" si="850"/>
        <v>0</v>
      </c>
      <c r="L5599" s="118">
        <f t="shared" si="851"/>
        <v>0</v>
      </c>
    </row>
    <row r="5600" spans="1:16" x14ac:dyDescent="0.4">
      <c r="B5600" s="74"/>
      <c r="C5600" s="321"/>
      <c r="D5600" s="321"/>
      <c r="E5600" s="116"/>
      <c r="F5600" s="83"/>
      <c r="G5600" s="74"/>
      <c r="I5600" s="117">
        <f>IF(C5600=0,0,VLOOKUP(C5600,Tabla1[],3,FALSE))</f>
        <v>0</v>
      </c>
      <c r="K5600" s="84">
        <f t="shared" si="850"/>
        <v>0</v>
      </c>
      <c r="L5600" s="118">
        <f t="shared" si="851"/>
        <v>0</v>
      </c>
    </row>
    <row r="5601" spans="2:12" x14ac:dyDescent="0.4">
      <c r="B5601" s="74"/>
      <c r="C5601" s="321"/>
      <c r="D5601" s="321"/>
      <c r="E5601" s="116"/>
      <c r="F5601" s="72"/>
      <c r="G5601" s="74"/>
      <c r="I5601" s="117">
        <f>IF(C5601=0,0,VLOOKUP(C5601,Tabla1[],3,FALSE))</f>
        <v>0</v>
      </c>
      <c r="K5601" s="84">
        <f t="shared" si="850"/>
        <v>0</v>
      </c>
      <c r="L5601" s="118">
        <f t="shared" si="851"/>
        <v>0</v>
      </c>
    </row>
    <row r="5602" spans="2:12" x14ac:dyDescent="0.4">
      <c r="B5602" s="74"/>
      <c r="C5602" s="321"/>
      <c r="D5602" s="321"/>
      <c r="E5602" s="116"/>
      <c r="F5602" s="72"/>
      <c r="G5602" s="74"/>
      <c r="I5602" s="117">
        <f>IF(C5602=0,0,VLOOKUP(C5602,Tabla1[],3,FALSE))</f>
        <v>0</v>
      </c>
      <c r="K5602" s="84">
        <f t="shared" si="850"/>
        <v>0</v>
      </c>
      <c r="L5602" s="118">
        <f t="shared" si="851"/>
        <v>0</v>
      </c>
    </row>
    <row r="5603" spans="2:12" x14ac:dyDescent="0.4">
      <c r="B5603" s="74"/>
      <c r="C5603" s="321"/>
      <c r="D5603" s="321"/>
      <c r="E5603" s="116"/>
      <c r="F5603" s="72"/>
      <c r="G5603" s="74"/>
      <c r="I5603" s="117">
        <f>IF(C5603=0,0,VLOOKUP(C5603,Tabla1[],3,FALSE))</f>
        <v>0</v>
      </c>
      <c r="K5603" s="84">
        <f t="shared" si="850"/>
        <v>0</v>
      </c>
      <c r="L5603" s="118">
        <f t="shared" si="851"/>
        <v>0</v>
      </c>
    </row>
    <row r="5604" spans="2:12" x14ac:dyDescent="0.4">
      <c r="B5604" s="74"/>
      <c r="C5604" s="321"/>
      <c r="D5604" s="321"/>
      <c r="E5604" s="116"/>
      <c r="F5604" s="72"/>
      <c r="G5604" s="74"/>
      <c r="I5604" s="117">
        <f>IF(C5604=0,0,VLOOKUP(C5604,Tabla1[],3,FALSE))</f>
        <v>0</v>
      </c>
      <c r="K5604" s="84">
        <f t="shared" si="850"/>
        <v>0</v>
      </c>
      <c r="L5604" s="118">
        <f t="shared" si="851"/>
        <v>0</v>
      </c>
    </row>
    <row r="5605" spans="2:12" x14ac:dyDescent="0.4">
      <c r="B5605" s="74"/>
      <c r="C5605" s="321"/>
      <c r="D5605" s="321"/>
      <c r="E5605" s="116"/>
      <c r="F5605" s="72"/>
      <c r="G5605" s="74"/>
      <c r="I5605" s="117">
        <f>IF(C5605=0,0,VLOOKUP(C5605,Tabla1[],3,FALSE))</f>
        <v>0</v>
      </c>
      <c r="K5605" s="84">
        <f t="shared" si="850"/>
        <v>0</v>
      </c>
      <c r="L5605" s="118">
        <f t="shared" si="851"/>
        <v>0</v>
      </c>
    </row>
    <row r="5606" spans="2:12" ht="17.399999999999999" thickBot="1" x14ac:dyDescent="0.45"/>
    <row r="5607" spans="2:12" ht="17.399999999999999" thickBot="1" x14ac:dyDescent="0.45">
      <c r="F5607" s="292" t="s">
        <v>9</v>
      </c>
      <c r="G5607" s="293"/>
      <c r="H5607" s="293"/>
      <c r="I5607" s="294"/>
      <c r="K5607" s="229">
        <f>+SUM(K5596:K5605)</f>
        <v>0</v>
      </c>
      <c r="L5607" s="119">
        <f>+SUM(L5596:L5605)</f>
        <v>0</v>
      </c>
    </row>
    <row r="5608" spans="2:12" ht="17.399999999999999" thickBot="1" x14ac:dyDescent="0.45"/>
    <row r="5609" spans="2:12" ht="17.399999999999999" thickBot="1" x14ac:dyDescent="0.45">
      <c r="B5609" s="110" t="s">
        <v>10</v>
      </c>
      <c r="C5609" s="300" t="s">
        <v>11</v>
      </c>
      <c r="D5609" s="300"/>
      <c r="E5609" s="300"/>
      <c r="F5609" s="300"/>
      <c r="G5609" s="301"/>
    </row>
    <row r="5610" spans="2:12" x14ac:dyDescent="0.4">
      <c r="B5610" s="114" t="s">
        <v>6</v>
      </c>
      <c r="C5610" s="302" t="s">
        <v>1</v>
      </c>
      <c r="D5610" s="303"/>
      <c r="E5610" s="112" t="s">
        <v>193</v>
      </c>
      <c r="F5610" s="120" t="s">
        <v>2</v>
      </c>
      <c r="G5610" s="114" t="s">
        <v>3</v>
      </c>
      <c r="H5610" s="106"/>
      <c r="I5610" s="107" t="s">
        <v>7</v>
      </c>
      <c r="J5610" s="136"/>
      <c r="K5610" s="107" t="s">
        <v>8</v>
      </c>
      <c r="L5610" s="115" t="s">
        <v>194</v>
      </c>
    </row>
    <row r="5611" spans="2:12" x14ac:dyDescent="0.4">
      <c r="B5611" s="122"/>
      <c r="C5611" s="306"/>
      <c r="D5611" s="306"/>
      <c r="E5611" s="116"/>
      <c r="F5611" s="83"/>
      <c r="G5611" s="74"/>
      <c r="I5611" s="117">
        <f>IF(C5611=0,0,VLOOKUP(C5611,Tabla3[],3,FALSE))</f>
        <v>0</v>
      </c>
      <c r="K5611" s="84">
        <f t="shared" ref="K5611:K5614" si="852">+F5611*I5611</f>
        <v>0</v>
      </c>
      <c r="L5611" s="118">
        <f>E5611*I5611</f>
        <v>0</v>
      </c>
    </row>
    <row r="5612" spans="2:12" x14ac:dyDescent="0.4">
      <c r="B5612" s="74"/>
      <c r="C5612" s="206"/>
      <c r="D5612" s="207"/>
      <c r="E5612" s="121"/>
      <c r="F5612" s="72"/>
      <c r="G5612" s="74"/>
      <c r="I5612" s="117">
        <f>IF(C5612=0,0,VLOOKUP(C5612,Tabla3[],3,FALSE))</f>
        <v>0</v>
      </c>
      <c r="K5612" s="84">
        <f t="shared" si="852"/>
        <v>0</v>
      </c>
      <c r="L5612" s="118">
        <f t="shared" ref="L5612:L5614" si="853">E5612*I5612</f>
        <v>0</v>
      </c>
    </row>
    <row r="5613" spans="2:12" x14ac:dyDescent="0.4">
      <c r="B5613" s="74"/>
      <c r="C5613" s="206"/>
      <c r="D5613" s="207"/>
      <c r="E5613" s="121"/>
      <c r="F5613" s="72"/>
      <c r="G5613" s="74"/>
      <c r="I5613" s="117">
        <f>IF(C5613=0,0,VLOOKUP(C5613,Tabla3[],3,FALSE))</f>
        <v>0</v>
      </c>
      <c r="K5613" s="84">
        <f t="shared" si="852"/>
        <v>0</v>
      </c>
      <c r="L5613" s="118">
        <f t="shared" si="853"/>
        <v>0</v>
      </c>
    </row>
    <row r="5614" spans="2:12" x14ac:dyDescent="0.4">
      <c r="B5614" s="74"/>
      <c r="C5614" s="304"/>
      <c r="D5614" s="305"/>
      <c r="E5614" s="121"/>
      <c r="F5614" s="72"/>
      <c r="G5614" s="74"/>
      <c r="I5614" s="117">
        <f>IF(C5614=0,0,VLOOKUP(C5614,Tabla3[],3,FALSE))</f>
        <v>0</v>
      </c>
      <c r="K5614" s="84">
        <f t="shared" si="852"/>
        <v>0</v>
      </c>
      <c r="L5614" s="118">
        <f t="shared" si="853"/>
        <v>0</v>
      </c>
    </row>
    <row r="5615" spans="2:12" ht="17.399999999999999" thickBot="1" x14ac:dyDescent="0.45"/>
    <row r="5616" spans="2:12" ht="17.399999999999999" thickBot="1" x14ac:dyDescent="0.45">
      <c r="F5616" s="292" t="s">
        <v>12</v>
      </c>
      <c r="G5616" s="293"/>
      <c r="H5616" s="293"/>
      <c r="I5616" s="294"/>
      <c r="K5616" s="229">
        <f>+SUM(K5611:K5614)</f>
        <v>0</v>
      </c>
      <c r="L5616" s="119">
        <f>+SUM(L5611:L5614)</f>
        <v>0</v>
      </c>
    </row>
    <row r="5617" spans="2:12" ht="17.399999999999999" thickBot="1" x14ac:dyDescent="0.45"/>
    <row r="5618" spans="2:12" ht="17.399999999999999" thickBot="1" x14ac:dyDescent="0.45">
      <c r="B5618" s="110" t="s">
        <v>13</v>
      </c>
      <c r="C5618" s="300" t="s">
        <v>14</v>
      </c>
      <c r="D5618" s="300"/>
      <c r="E5618" s="300"/>
      <c r="F5618" s="300"/>
      <c r="G5618" s="301"/>
    </row>
    <row r="5619" spans="2:12" x14ac:dyDescent="0.4">
      <c r="B5619" s="114" t="s">
        <v>6</v>
      </c>
      <c r="C5619" s="302" t="s">
        <v>1</v>
      </c>
      <c r="D5619" s="303"/>
      <c r="E5619" s="112" t="s">
        <v>193</v>
      </c>
      <c r="F5619" s="120" t="s">
        <v>2</v>
      </c>
      <c r="G5619" s="114" t="s">
        <v>3</v>
      </c>
      <c r="H5619" s="106"/>
      <c r="I5619" s="107" t="s">
        <v>7</v>
      </c>
      <c r="J5619" s="136"/>
      <c r="K5619" s="107" t="s">
        <v>8</v>
      </c>
      <c r="L5619" s="115" t="s">
        <v>194</v>
      </c>
    </row>
    <row r="5620" spans="2:12" x14ac:dyDescent="0.4">
      <c r="B5620" s="122">
        <v>1</v>
      </c>
      <c r="C5620" s="306" t="s">
        <v>567</v>
      </c>
      <c r="D5620" s="306"/>
      <c r="E5620" s="116">
        <f>I5592</f>
        <v>1</v>
      </c>
      <c r="F5620" s="83">
        <f>ROUND(E5620/I5592,2)</f>
        <v>1</v>
      </c>
      <c r="G5620" s="74" t="str">
        <f>IF(C5620=0,0,VLOOKUP(C5620,Tabla2[],2,FALSE))</f>
        <v>Unidad</v>
      </c>
      <c r="I5620" s="117">
        <f>IF(C5620=0,0,VLOOKUP(C5620,Tabla2[],3,FALSE))</f>
        <v>1500</v>
      </c>
      <c r="K5620" s="84">
        <f>+F5620*I5620</f>
        <v>1500</v>
      </c>
      <c r="L5620" s="118">
        <f>E5620*I5620</f>
        <v>1500</v>
      </c>
    </row>
    <row r="5621" spans="2:12" x14ac:dyDescent="0.4">
      <c r="B5621" s="122"/>
      <c r="C5621" s="306" t="s">
        <v>352</v>
      </c>
      <c r="D5621" s="306"/>
      <c r="E5621" s="116">
        <f>I5592</f>
        <v>1</v>
      </c>
      <c r="F5621" s="83">
        <f>ROUND(E5621/I5592,2)</f>
        <v>1</v>
      </c>
      <c r="G5621" s="74" t="str">
        <f>IF(C5621=0,0,VLOOKUP(C5621,Tabla2[],2,FALSE))</f>
        <v>Unidad</v>
      </c>
      <c r="I5621" s="117">
        <f>IF(C5621=0,0,VLOOKUP(C5621,Tabla2[],3,FALSE))</f>
        <v>315</v>
      </c>
      <c r="K5621" s="84">
        <f>+F5621*I5621</f>
        <v>315</v>
      </c>
      <c r="L5621" s="118">
        <f>E5621*I5621</f>
        <v>315</v>
      </c>
    </row>
    <row r="5622" spans="2:12" ht="17.399999999999999" thickBot="1" x14ac:dyDescent="0.45">
      <c r="B5622" s="123"/>
      <c r="C5622" s="307"/>
      <c r="D5622" s="308"/>
      <c r="E5622" s="124"/>
      <c r="F5622" s="125"/>
      <c r="G5622" s="74"/>
      <c r="I5622" s="117">
        <f>IF(C5622=0,0,VLOOKUP(C5622,Tabla2[],3,FALSE))</f>
        <v>0</v>
      </c>
      <c r="K5622" s="84">
        <f t="shared" ref="K5622" si="854">+F5622*I5622</f>
        <v>0</v>
      </c>
      <c r="L5622" s="118">
        <f t="shared" ref="L5622:L5623" si="855">E5622*I5622</f>
        <v>0</v>
      </c>
    </row>
    <row r="5623" spans="2:12" ht="17.399999999999999" thickBot="1" x14ac:dyDescent="0.45">
      <c r="B5623" s="297" t="s">
        <v>15</v>
      </c>
      <c r="C5623" s="298"/>
      <c r="D5623" s="298"/>
      <c r="E5623" s="298"/>
      <c r="F5623" s="298"/>
      <c r="G5623" s="299"/>
      <c r="I5623" s="84">
        <v>0</v>
      </c>
      <c r="K5623" s="84">
        <v>0</v>
      </c>
      <c r="L5623" s="118">
        <f t="shared" si="855"/>
        <v>0</v>
      </c>
    </row>
    <row r="5624" spans="2:12" ht="17.399999999999999" thickBot="1" x14ac:dyDescent="0.45"/>
    <row r="5625" spans="2:12" ht="17.399999999999999" thickBot="1" x14ac:dyDescent="0.45">
      <c r="F5625" s="292" t="s">
        <v>16</v>
      </c>
      <c r="G5625" s="293"/>
      <c r="H5625" s="293"/>
      <c r="I5625" s="294"/>
      <c r="K5625" s="229">
        <f>+SUM(K5620:K5623)</f>
        <v>1815</v>
      </c>
      <c r="L5625" s="119">
        <f>+SUM(L5620:L5623)</f>
        <v>1815</v>
      </c>
    </row>
    <row r="5626" spans="2:12" ht="17.399999999999999" thickBot="1" x14ac:dyDescent="0.45"/>
    <row r="5627" spans="2:12" ht="17.399999999999999" thickBot="1" x14ac:dyDescent="0.45">
      <c r="B5627" s="110" t="s">
        <v>17</v>
      </c>
      <c r="C5627" s="300" t="s">
        <v>18</v>
      </c>
      <c r="D5627" s="300"/>
      <c r="E5627" s="300"/>
      <c r="F5627" s="300"/>
      <c r="G5627" s="301"/>
    </row>
    <row r="5628" spans="2:12" x14ac:dyDescent="0.4">
      <c r="B5628" s="114" t="s">
        <v>6</v>
      </c>
      <c r="C5628" s="302" t="s">
        <v>1</v>
      </c>
      <c r="D5628" s="303"/>
      <c r="E5628" s="126"/>
      <c r="F5628" s="120" t="s">
        <v>2</v>
      </c>
      <c r="G5628" s="114" t="s">
        <v>3</v>
      </c>
      <c r="H5628" s="106"/>
      <c r="I5628" s="107" t="s">
        <v>7</v>
      </c>
      <c r="J5628" s="136"/>
      <c r="K5628" s="107" t="s">
        <v>8</v>
      </c>
      <c r="L5628" s="115" t="s">
        <v>194</v>
      </c>
    </row>
    <row r="5629" spans="2:12" x14ac:dyDescent="0.4">
      <c r="B5629" s="74"/>
      <c r="C5629" s="304"/>
      <c r="D5629" s="305"/>
      <c r="E5629" s="127"/>
      <c r="F5629" s="72"/>
      <c r="G5629" s="74"/>
      <c r="I5629" s="84">
        <v>0</v>
      </c>
      <c r="K5629" s="84">
        <f>+F5629*I5629</f>
        <v>0</v>
      </c>
      <c r="L5629" s="118">
        <f>E5629*I5629</f>
        <v>0</v>
      </c>
    </row>
    <row r="5630" spans="2:12" x14ac:dyDescent="0.4">
      <c r="B5630" s="74"/>
      <c r="C5630" s="304"/>
      <c r="D5630" s="305"/>
      <c r="E5630" s="127"/>
      <c r="F5630" s="72"/>
      <c r="G5630" s="74"/>
      <c r="I5630" s="84">
        <v>0</v>
      </c>
      <c r="K5630" s="84">
        <f t="shared" ref="K5630:K5631" si="856">+F5630*I5630</f>
        <v>0</v>
      </c>
      <c r="L5630" s="118">
        <f t="shared" ref="L5630:L5631" si="857">E5630*I5630</f>
        <v>0</v>
      </c>
    </row>
    <row r="5631" spans="2:12" x14ac:dyDescent="0.4">
      <c r="B5631" s="74"/>
      <c r="C5631" s="304"/>
      <c r="D5631" s="305"/>
      <c r="E5631" s="127"/>
      <c r="F5631" s="72"/>
      <c r="G5631" s="74"/>
      <c r="I5631" s="84">
        <v>0</v>
      </c>
      <c r="K5631" s="84">
        <f t="shared" si="856"/>
        <v>0</v>
      </c>
      <c r="L5631" s="118">
        <f t="shared" si="857"/>
        <v>0</v>
      </c>
    </row>
    <row r="5632" spans="2:12" ht="17.399999999999999" thickBot="1" x14ac:dyDescent="0.45">
      <c r="L5632" s="118"/>
    </row>
    <row r="5633" spans="1:16" ht="17.399999999999999" thickBot="1" x14ac:dyDescent="0.45">
      <c r="F5633" s="292" t="s">
        <v>19</v>
      </c>
      <c r="G5633" s="293"/>
      <c r="H5633" s="293"/>
      <c r="I5633" s="294"/>
      <c r="K5633" s="229">
        <f>+SUM(K5629:K5631)</f>
        <v>0</v>
      </c>
      <c r="L5633" s="119">
        <f>+SUM(L5628:L5631)</f>
        <v>0</v>
      </c>
    </row>
    <row r="5634" spans="1:16" ht="15" customHeight="1" x14ac:dyDescent="0.4">
      <c r="F5634" s="128"/>
      <c r="G5634" s="129"/>
      <c r="H5634" s="130"/>
      <c r="I5634" s="108"/>
      <c r="K5634" s="230"/>
    </row>
    <row r="5635" spans="1:16" ht="15" customHeight="1" thickBot="1" x14ac:dyDescent="0.45"/>
    <row r="5636" spans="1:16" ht="17.399999999999999" thickBot="1" x14ac:dyDescent="0.45">
      <c r="F5636" s="292" t="s">
        <v>20</v>
      </c>
      <c r="G5636" s="293"/>
      <c r="H5636" s="293"/>
      <c r="I5636" s="294"/>
      <c r="K5636" s="229">
        <f>(+K5607+K5616+K5625+K5633)</f>
        <v>1815</v>
      </c>
      <c r="L5636" s="119">
        <f>(+L5607+L5616+L5625+L5633)</f>
        <v>1815</v>
      </c>
      <c r="N5636" s="131"/>
      <c r="O5636" s="39"/>
      <c r="P5636" s="40"/>
    </row>
    <row r="5637" spans="1:16" ht="7.5" customHeight="1" thickBot="1" x14ac:dyDescent="0.45">
      <c r="N5637" s="131"/>
      <c r="O5637" s="41"/>
      <c r="P5637" s="40"/>
    </row>
    <row r="5638" spans="1:16" ht="17.399999999999999" thickBot="1" x14ac:dyDescent="0.45">
      <c r="F5638" s="292" t="s">
        <v>21</v>
      </c>
      <c r="G5638" s="293"/>
      <c r="H5638" s="293"/>
      <c r="I5638" s="294"/>
      <c r="K5638" s="229">
        <f>K5636*$N$2</f>
        <v>726</v>
      </c>
      <c r="L5638" s="119">
        <f>L5636*$N$2</f>
        <v>726</v>
      </c>
    </row>
    <row r="5639" spans="1:16" ht="7.5" customHeight="1" thickBot="1" x14ac:dyDescent="0.45"/>
    <row r="5640" spans="1:16" ht="17.399999999999999" thickBot="1" x14ac:dyDescent="0.45">
      <c r="F5640" s="292" t="s">
        <v>22</v>
      </c>
      <c r="G5640" s="293"/>
      <c r="H5640" s="293"/>
      <c r="I5640" s="294"/>
      <c r="K5640" s="229">
        <f>+K5636+K5638</f>
        <v>2541</v>
      </c>
      <c r="L5640" s="119">
        <f>+L5636+L5638</f>
        <v>2541</v>
      </c>
    </row>
    <row r="5641" spans="1:16" ht="17.399999999999999" thickBot="1" x14ac:dyDescent="0.45">
      <c r="F5641" s="128"/>
      <c r="G5641" s="129"/>
      <c r="H5641" s="130"/>
      <c r="I5641" s="108"/>
      <c r="K5641" s="231"/>
      <c r="L5641" s="132">
        <f>L5640/I5592</f>
        <v>2541</v>
      </c>
      <c r="M5641" s="133">
        <f>(K5640-L5641)*I5592</f>
        <v>0</v>
      </c>
    </row>
    <row r="5642" spans="1:16" x14ac:dyDescent="0.4">
      <c r="F5642" s="128"/>
      <c r="G5642" s="129"/>
      <c r="H5642" s="130"/>
      <c r="I5642" s="108"/>
      <c r="K5642" s="232"/>
      <c r="L5642" s="131"/>
      <c r="M5642" s="134"/>
      <c r="N5642" s="135"/>
    </row>
    <row r="5643" spans="1:16" ht="17.399999999999999" thickBot="1" x14ac:dyDescent="0.45">
      <c r="B5643" s="295"/>
      <c r="C5643" s="295"/>
      <c r="D5643" s="295"/>
    </row>
    <row r="5644" spans="1:16" x14ac:dyDescent="0.4">
      <c r="B5644" s="296" t="s">
        <v>23</v>
      </c>
      <c r="C5644" s="296"/>
      <c r="D5644" s="296"/>
    </row>
    <row r="5645" spans="1:16" x14ac:dyDescent="0.4">
      <c r="B5645" s="157"/>
      <c r="C5645" s="157"/>
      <c r="D5645" s="157"/>
    </row>
    <row r="5647" spans="1:16" x14ac:dyDescent="0.4">
      <c r="B5647" s="105" t="s">
        <v>43</v>
      </c>
      <c r="C5647" s="106"/>
      <c r="D5647" s="311" t="s">
        <v>1</v>
      </c>
      <c r="E5647" s="311"/>
      <c r="F5647" s="311"/>
      <c r="G5647" s="311"/>
      <c r="H5647" s="106"/>
      <c r="I5647" s="107" t="s">
        <v>2</v>
      </c>
      <c r="J5647" s="136"/>
      <c r="K5647" s="107" t="s">
        <v>3</v>
      </c>
    </row>
    <row r="5648" spans="1:16" s="58" customFormat="1" ht="30.75" customHeight="1" x14ac:dyDescent="0.3">
      <c r="A5648" s="56"/>
      <c r="B5648" s="213">
        <f>CATALOGO!B157</f>
        <v>909.04</v>
      </c>
      <c r="C5648" s="137"/>
      <c r="D5648" s="322" t="str">
        <f>CATALOGO!C157</f>
        <v>TINACO (2500 LTS)</v>
      </c>
      <c r="E5648" s="322"/>
      <c r="F5648" s="322"/>
      <c r="G5648" s="322"/>
      <c r="H5648" s="137"/>
      <c r="I5648" s="213">
        <f>CATALOGO!D157</f>
        <v>1</v>
      </c>
      <c r="J5648" s="109"/>
      <c r="K5648" s="227" t="str">
        <f>CATALOGO!E157</f>
        <v>Unidad</v>
      </c>
      <c r="L5648" s="137"/>
      <c r="M5648" s="137"/>
      <c r="N5648" s="137"/>
      <c r="O5648" s="57"/>
      <c r="P5648" s="57"/>
    </row>
    <row r="5649" spans="2:16" ht="17.399999999999999" thickBot="1" x14ac:dyDescent="0.45"/>
    <row r="5650" spans="2:16" ht="17.399999999999999" thickBot="1" x14ac:dyDescent="0.45">
      <c r="B5650" s="110" t="s">
        <v>4</v>
      </c>
      <c r="C5650" s="300" t="s">
        <v>5</v>
      </c>
      <c r="D5650" s="300"/>
      <c r="E5650" s="300"/>
      <c r="F5650" s="300"/>
      <c r="G5650" s="301"/>
    </row>
    <row r="5651" spans="2:16" x14ac:dyDescent="0.4">
      <c r="B5651" s="111" t="s">
        <v>6</v>
      </c>
      <c r="C5651" s="313" t="s">
        <v>1</v>
      </c>
      <c r="D5651" s="314"/>
      <c r="E5651" s="112" t="s">
        <v>193</v>
      </c>
      <c r="F5651" s="113" t="s">
        <v>2</v>
      </c>
      <c r="G5651" s="114" t="s">
        <v>3</v>
      </c>
      <c r="H5651" s="106"/>
      <c r="I5651" s="107" t="s">
        <v>7</v>
      </c>
      <c r="J5651" s="136"/>
      <c r="K5651" s="228" t="s">
        <v>8</v>
      </c>
      <c r="L5651" s="115" t="s">
        <v>194</v>
      </c>
    </row>
    <row r="5652" spans="2:16" ht="17.25" customHeight="1" x14ac:dyDescent="0.3">
      <c r="B5652" s="122">
        <v>1</v>
      </c>
      <c r="C5652" s="315" t="s">
        <v>482</v>
      </c>
      <c r="D5652" s="316"/>
      <c r="E5652" s="116">
        <f>1*I5648</f>
        <v>1</v>
      </c>
      <c r="F5652" s="83">
        <f>ROUND(E5652/I5648,2)</f>
        <v>1</v>
      </c>
      <c r="G5652" s="74" t="str">
        <f>IF(C5652=0,0,VLOOKUP(C5652,Tabla1[],2,FALSE))</f>
        <v>Unidad</v>
      </c>
      <c r="I5652" s="117">
        <f>IF(C5652=0,0,VLOOKUP(C5652,Tabla1[],3,FALSE))</f>
        <v>6155</v>
      </c>
      <c r="K5652" s="84">
        <f>F5652*I5652</f>
        <v>6155</v>
      </c>
      <c r="L5652" s="118">
        <f t="shared" ref="L5652" si="858">E5652*I5652</f>
        <v>6155</v>
      </c>
      <c r="O5652" s="44"/>
      <c r="P5652" s="45"/>
    </row>
    <row r="5653" spans="2:16" x14ac:dyDescent="0.4">
      <c r="B5653" s="74"/>
      <c r="C5653" s="306"/>
      <c r="D5653" s="306"/>
      <c r="E5653" s="116"/>
      <c r="F5653" s="83"/>
      <c r="G5653" s="74"/>
      <c r="I5653" s="117">
        <f>IF(C5653=0,0,VLOOKUP(C5653,Tabla1[],3,FALSE))</f>
        <v>0</v>
      </c>
      <c r="K5653" s="84">
        <f t="shared" ref="K5653:K5661" si="859">+F5653*I5653</f>
        <v>0</v>
      </c>
      <c r="L5653" s="118">
        <f t="shared" ref="L5653:L5661" si="860">E5653*I5653</f>
        <v>0</v>
      </c>
    </row>
    <row r="5654" spans="2:16" x14ac:dyDescent="0.4">
      <c r="B5654" s="74"/>
      <c r="C5654" s="306"/>
      <c r="D5654" s="306"/>
      <c r="E5654" s="116"/>
      <c r="F5654" s="83"/>
      <c r="G5654" s="74"/>
      <c r="I5654" s="117">
        <f>IF(C5654=0,0,VLOOKUP(C5654,Tabla1[],3,FALSE))</f>
        <v>0</v>
      </c>
      <c r="K5654" s="84">
        <f t="shared" si="859"/>
        <v>0</v>
      </c>
      <c r="L5654" s="118">
        <f t="shared" si="860"/>
        <v>0</v>
      </c>
    </row>
    <row r="5655" spans="2:16" x14ac:dyDescent="0.4">
      <c r="B5655" s="74"/>
      <c r="C5655" s="306"/>
      <c r="D5655" s="306"/>
      <c r="E5655" s="116"/>
      <c r="F5655" s="83"/>
      <c r="G5655" s="74"/>
      <c r="I5655" s="117">
        <f>IF(C5655=0,0,VLOOKUP(C5655,Tabla1[],3,FALSE))</f>
        <v>0</v>
      </c>
      <c r="K5655" s="84">
        <f t="shared" si="859"/>
        <v>0</v>
      </c>
      <c r="L5655" s="118">
        <f t="shared" si="860"/>
        <v>0</v>
      </c>
    </row>
    <row r="5656" spans="2:16" x14ac:dyDescent="0.4">
      <c r="B5656" s="74"/>
      <c r="C5656" s="321"/>
      <c r="D5656" s="321"/>
      <c r="E5656" s="116"/>
      <c r="F5656" s="83"/>
      <c r="G5656" s="74"/>
      <c r="I5656" s="117">
        <f>IF(C5656=0,0,VLOOKUP(C5656,Tabla1[],3,FALSE))</f>
        <v>0</v>
      </c>
      <c r="K5656" s="84">
        <f t="shared" si="859"/>
        <v>0</v>
      </c>
      <c r="L5656" s="118">
        <f t="shared" si="860"/>
        <v>0</v>
      </c>
    </row>
    <row r="5657" spans="2:16" x14ac:dyDescent="0.4">
      <c r="B5657" s="74"/>
      <c r="C5657" s="321"/>
      <c r="D5657" s="321"/>
      <c r="E5657" s="116"/>
      <c r="F5657" s="72"/>
      <c r="G5657" s="74"/>
      <c r="I5657" s="117">
        <f>IF(C5657=0,0,VLOOKUP(C5657,Tabla1[],3,FALSE))</f>
        <v>0</v>
      </c>
      <c r="K5657" s="84">
        <f t="shared" si="859"/>
        <v>0</v>
      </c>
      <c r="L5657" s="118">
        <f t="shared" si="860"/>
        <v>0</v>
      </c>
    </row>
    <row r="5658" spans="2:16" x14ac:dyDescent="0.4">
      <c r="B5658" s="74"/>
      <c r="C5658" s="321"/>
      <c r="D5658" s="321"/>
      <c r="E5658" s="116"/>
      <c r="F5658" s="72"/>
      <c r="G5658" s="74"/>
      <c r="I5658" s="117">
        <f>IF(C5658=0,0,VLOOKUP(C5658,Tabla1[],3,FALSE))</f>
        <v>0</v>
      </c>
      <c r="K5658" s="84">
        <f t="shared" si="859"/>
        <v>0</v>
      </c>
      <c r="L5658" s="118">
        <f t="shared" si="860"/>
        <v>0</v>
      </c>
    </row>
    <row r="5659" spans="2:16" x14ac:dyDescent="0.4">
      <c r="B5659" s="74"/>
      <c r="C5659" s="321"/>
      <c r="D5659" s="321"/>
      <c r="E5659" s="116"/>
      <c r="F5659" s="72"/>
      <c r="G5659" s="74"/>
      <c r="I5659" s="117">
        <f>IF(C5659=0,0,VLOOKUP(C5659,Tabla1[],3,FALSE))</f>
        <v>0</v>
      </c>
      <c r="K5659" s="84">
        <f t="shared" si="859"/>
        <v>0</v>
      </c>
      <c r="L5659" s="118">
        <f t="shared" si="860"/>
        <v>0</v>
      </c>
    </row>
    <row r="5660" spans="2:16" x14ac:dyDescent="0.4">
      <c r="B5660" s="74"/>
      <c r="C5660" s="321"/>
      <c r="D5660" s="321"/>
      <c r="E5660" s="116"/>
      <c r="F5660" s="72"/>
      <c r="G5660" s="74"/>
      <c r="I5660" s="117">
        <f>IF(C5660=0,0,VLOOKUP(C5660,Tabla1[],3,FALSE))</f>
        <v>0</v>
      </c>
      <c r="K5660" s="84">
        <f t="shared" si="859"/>
        <v>0</v>
      </c>
      <c r="L5660" s="118">
        <f t="shared" si="860"/>
        <v>0</v>
      </c>
    </row>
    <row r="5661" spans="2:16" x14ac:dyDescent="0.4">
      <c r="B5661" s="74"/>
      <c r="C5661" s="321"/>
      <c r="D5661" s="321"/>
      <c r="E5661" s="116"/>
      <c r="F5661" s="72"/>
      <c r="G5661" s="74"/>
      <c r="I5661" s="117">
        <f>IF(C5661=0,0,VLOOKUP(C5661,Tabla1[],3,FALSE))</f>
        <v>0</v>
      </c>
      <c r="K5661" s="84">
        <f t="shared" si="859"/>
        <v>0</v>
      </c>
      <c r="L5661" s="118">
        <f t="shared" si="860"/>
        <v>0</v>
      </c>
    </row>
    <row r="5662" spans="2:16" ht="17.399999999999999" thickBot="1" x14ac:dyDescent="0.45"/>
    <row r="5663" spans="2:16" ht="17.399999999999999" thickBot="1" x14ac:dyDescent="0.45">
      <c r="F5663" s="292" t="s">
        <v>9</v>
      </c>
      <c r="G5663" s="293"/>
      <c r="H5663" s="293"/>
      <c r="I5663" s="294"/>
      <c r="K5663" s="229">
        <f>+SUM(K5652:K5661)</f>
        <v>6155</v>
      </c>
      <c r="L5663" s="119">
        <f>+SUM(L5652:L5661)</f>
        <v>6155</v>
      </c>
    </row>
    <row r="5664" spans="2:16" ht="17.399999999999999" thickBot="1" x14ac:dyDescent="0.45"/>
    <row r="5665" spans="2:12" ht="17.399999999999999" thickBot="1" x14ac:dyDescent="0.45">
      <c r="B5665" s="110" t="s">
        <v>10</v>
      </c>
      <c r="C5665" s="300" t="s">
        <v>11</v>
      </c>
      <c r="D5665" s="300"/>
      <c r="E5665" s="300"/>
      <c r="F5665" s="300"/>
      <c r="G5665" s="301"/>
    </row>
    <row r="5666" spans="2:12" x14ac:dyDescent="0.4">
      <c r="B5666" s="114" t="s">
        <v>6</v>
      </c>
      <c r="C5666" s="302" t="s">
        <v>1</v>
      </c>
      <c r="D5666" s="303"/>
      <c r="E5666" s="112" t="s">
        <v>193</v>
      </c>
      <c r="F5666" s="120" t="s">
        <v>2</v>
      </c>
      <c r="G5666" s="114" t="s">
        <v>3</v>
      </c>
      <c r="H5666" s="106"/>
      <c r="I5666" s="107" t="s">
        <v>7</v>
      </c>
      <c r="J5666" s="136"/>
      <c r="K5666" s="107" t="s">
        <v>8</v>
      </c>
      <c r="L5666" s="115" t="s">
        <v>194</v>
      </c>
    </row>
    <row r="5667" spans="2:12" x14ac:dyDescent="0.4">
      <c r="B5667" s="122"/>
      <c r="C5667" s="306"/>
      <c r="D5667" s="306"/>
      <c r="E5667" s="116"/>
      <c r="F5667" s="83"/>
      <c r="G5667" s="74"/>
      <c r="I5667" s="117">
        <f>IF(C5667=0,0,VLOOKUP(C5667,Tabla3[],3,FALSE))</f>
        <v>0</v>
      </c>
      <c r="K5667" s="84">
        <f t="shared" ref="K5667:K5670" si="861">+F5667*I5667</f>
        <v>0</v>
      </c>
      <c r="L5667" s="118">
        <f>E5667*I5667</f>
        <v>0</v>
      </c>
    </row>
    <row r="5668" spans="2:12" x14ac:dyDescent="0.4">
      <c r="B5668" s="74"/>
      <c r="C5668" s="206"/>
      <c r="D5668" s="207"/>
      <c r="E5668" s="121"/>
      <c r="F5668" s="72"/>
      <c r="G5668" s="74"/>
      <c r="I5668" s="117">
        <f>IF(C5668=0,0,VLOOKUP(C5668,Tabla3[],3,FALSE))</f>
        <v>0</v>
      </c>
      <c r="K5668" s="84">
        <f t="shared" si="861"/>
        <v>0</v>
      </c>
      <c r="L5668" s="118">
        <f t="shared" ref="L5668:L5670" si="862">E5668*I5668</f>
        <v>0</v>
      </c>
    </row>
    <row r="5669" spans="2:12" x14ac:dyDescent="0.4">
      <c r="B5669" s="74"/>
      <c r="C5669" s="206"/>
      <c r="D5669" s="207"/>
      <c r="E5669" s="121"/>
      <c r="F5669" s="72"/>
      <c r="G5669" s="74"/>
      <c r="I5669" s="117">
        <f>IF(C5669=0,0,VLOOKUP(C5669,Tabla3[],3,FALSE))</f>
        <v>0</v>
      </c>
      <c r="K5669" s="84">
        <f t="shared" si="861"/>
        <v>0</v>
      </c>
      <c r="L5669" s="118">
        <f t="shared" si="862"/>
        <v>0</v>
      </c>
    </row>
    <row r="5670" spans="2:12" x14ac:dyDescent="0.4">
      <c r="B5670" s="74"/>
      <c r="C5670" s="304"/>
      <c r="D5670" s="305"/>
      <c r="E5670" s="121"/>
      <c r="F5670" s="72"/>
      <c r="G5670" s="74"/>
      <c r="I5670" s="117">
        <f>IF(C5670=0,0,VLOOKUP(C5670,Tabla3[],3,FALSE))</f>
        <v>0</v>
      </c>
      <c r="K5670" s="84">
        <f t="shared" si="861"/>
        <v>0</v>
      </c>
      <c r="L5670" s="118">
        <f t="shared" si="862"/>
        <v>0</v>
      </c>
    </row>
    <row r="5671" spans="2:12" ht="17.399999999999999" thickBot="1" x14ac:dyDescent="0.45"/>
    <row r="5672" spans="2:12" ht="17.399999999999999" thickBot="1" x14ac:dyDescent="0.45">
      <c r="F5672" s="292" t="s">
        <v>12</v>
      </c>
      <c r="G5672" s="293"/>
      <c r="H5672" s="293"/>
      <c r="I5672" s="294"/>
      <c r="K5672" s="229">
        <f>+SUM(K5667:K5670)</f>
        <v>0</v>
      </c>
      <c r="L5672" s="119">
        <f>+SUM(L5667:L5670)</f>
        <v>0</v>
      </c>
    </row>
    <row r="5673" spans="2:12" ht="17.399999999999999" thickBot="1" x14ac:dyDescent="0.45"/>
    <row r="5674" spans="2:12" ht="17.399999999999999" thickBot="1" x14ac:dyDescent="0.45">
      <c r="B5674" s="110" t="s">
        <v>13</v>
      </c>
      <c r="C5674" s="300" t="s">
        <v>14</v>
      </c>
      <c r="D5674" s="300"/>
      <c r="E5674" s="300"/>
      <c r="F5674" s="300"/>
      <c r="G5674" s="301"/>
    </row>
    <row r="5675" spans="2:12" x14ac:dyDescent="0.4">
      <c r="B5675" s="114" t="s">
        <v>6</v>
      </c>
      <c r="C5675" s="302" t="s">
        <v>1</v>
      </c>
      <c r="D5675" s="303"/>
      <c r="E5675" s="112" t="s">
        <v>193</v>
      </c>
      <c r="F5675" s="120" t="s">
        <v>2</v>
      </c>
      <c r="G5675" s="114" t="s">
        <v>3</v>
      </c>
      <c r="H5675" s="106"/>
      <c r="I5675" s="107" t="s">
        <v>7</v>
      </c>
      <c r="J5675" s="136"/>
      <c r="K5675" s="107" t="s">
        <v>8</v>
      </c>
      <c r="L5675" s="115" t="s">
        <v>194</v>
      </c>
    </row>
    <row r="5676" spans="2:12" x14ac:dyDescent="0.4">
      <c r="B5676" s="122">
        <v>1</v>
      </c>
      <c r="C5676" s="306" t="s">
        <v>342</v>
      </c>
      <c r="D5676" s="306"/>
      <c r="E5676" s="116">
        <f>I5648</f>
        <v>1</v>
      </c>
      <c r="F5676" s="83">
        <f>ROUND(E5676/I5648,2)</f>
        <v>1</v>
      </c>
      <c r="G5676" s="74" t="str">
        <f>IF(C5676=0,0,VLOOKUP(C5676,Tabla2[],2,FALSE))</f>
        <v>Unidad</v>
      </c>
      <c r="I5676" s="117">
        <f>IF(C5676=0,0,VLOOKUP(C5676,Tabla2[],3,FALSE))</f>
        <v>100</v>
      </c>
      <c r="K5676" s="84">
        <f>+F5676*I5676</f>
        <v>100</v>
      </c>
      <c r="L5676" s="118">
        <f>E5676*I5676</f>
        <v>100</v>
      </c>
    </row>
    <row r="5677" spans="2:12" x14ac:dyDescent="0.4">
      <c r="B5677" s="122"/>
      <c r="C5677" s="306"/>
      <c r="D5677" s="306"/>
      <c r="E5677" s="116"/>
      <c r="F5677" s="83"/>
      <c r="G5677" s="74"/>
      <c r="I5677" s="117">
        <f>IF(C5677=0,0,VLOOKUP(C5677,Tabla2[],3,FALSE))</f>
        <v>0</v>
      </c>
      <c r="K5677" s="84">
        <f>+F5677*I5677</f>
        <v>0</v>
      </c>
      <c r="L5677" s="118">
        <f>E5677*I5677</f>
        <v>0</v>
      </c>
    </row>
    <row r="5678" spans="2:12" ht="17.399999999999999" thickBot="1" x14ac:dyDescent="0.45">
      <c r="B5678" s="123"/>
      <c r="C5678" s="307"/>
      <c r="D5678" s="308"/>
      <c r="E5678" s="124"/>
      <c r="F5678" s="125"/>
      <c r="G5678" s="74"/>
      <c r="I5678" s="117">
        <f>IF(C5678=0,0,VLOOKUP(C5678,Tabla2[],3,FALSE))</f>
        <v>0</v>
      </c>
      <c r="K5678" s="84">
        <f t="shared" ref="K5678" si="863">+F5678*I5678</f>
        <v>0</v>
      </c>
      <c r="L5678" s="118">
        <f t="shared" ref="L5678:L5679" si="864">E5678*I5678</f>
        <v>0</v>
      </c>
    </row>
    <row r="5679" spans="2:12" ht="17.399999999999999" thickBot="1" x14ac:dyDescent="0.45">
      <c r="B5679" s="297" t="s">
        <v>15</v>
      </c>
      <c r="C5679" s="298"/>
      <c r="D5679" s="298"/>
      <c r="E5679" s="298"/>
      <c r="F5679" s="298"/>
      <c r="G5679" s="299"/>
      <c r="I5679" s="84">
        <v>0</v>
      </c>
      <c r="K5679" s="84">
        <v>0</v>
      </c>
      <c r="L5679" s="118">
        <f t="shared" si="864"/>
        <v>0</v>
      </c>
    </row>
    <row r="5680" spans="2:12" ht="17.399999999999999" thickBot="1" x14ac:dyDescent="0.45"/>
    <row r="5681" spans="2:16" ht="17.399999999999999" thickBot="1" x14ac:dyDescent="0.45">
      <c r="F5681" s="292" t="s">
        <v>16</v>
      </c>
      <c r="G5681" s="293"/>
      <c r="H5681" s="293"/>
      <c r="I5681" s="294"/>
      <c r="K5681" s="229">
        <f>+SUM(K5676:K5679)</f>
        <v>100</v>
      </c>
      <c r="L5681" s="119">
        <f>+SUM(L5676:L5679)</f>
        <v>100</v>
      </c>
    </row>
    <row r="5682" spans="2:16" ht="17.399999999999999" thickBot="1" x14ac:dyDescent="0.45"/>
    <row r="5683" spans="2:16" ht="17.399999999999999" thickBot="1" x14ac:dyDescent="0.45">
      <c r="B5683" s="110" t="s">
        <v>17</v>
      </c>
      <c r="C5683" s="300" t="s">
        <v>18</v>
      </c>
      <c r="D5683" s="300"/>
      <c r="E5683" s="300"/>
      <c r="F5683" s="300"/>
      <c r="G5683" s="301"/>
    </row>
    <row r="5684" spans="2:16" x14ac:dyDescent="0.4">
      <c r="B5684" s="114" t="s">
        <v>6</v>
      </c>
      <c r="C5684" s="302" t="s">
        <v>1</v>
      </c>
      <c r="D5684" s="303"/>
      <c r="E5684" s="126"/>
      <c r="F5684" s="120" t="s">
        <v>2</v>
      </c>
      <c r="G5684" s="114" t="s">
        <v>3</v>
      </c>
      <c r="H5684" s="106"/>
      <c r="I5684" s="107" t="s">
        <v>7</v>
      </c>
      <c r="J5684" s="136"/>
      <c r="K5684" s="107" t="s">
        <v>8</v>
      </c>
      <c r="L5684" s="115" t="s">
        <v>194</v>
      </c>
    </row>
    <row r="5685" spans="2:16" x14ac:dyDescent="0.4">
      <c r="B5685" s="74"/>
      <c r="C5685" s="304"/>
      <c r="D5685" s="305"/>
      <c r="E5685" s="127"/>
      <c r="F5685" s="72"/>
      <c r="G5685" s="74"/>
      <c r="I5685" s="84">
        <v>0</v>
      </c>
      <c r="K5685" s="84">
        <f>+F5685*I5685</f>
        <v>0</v>
      </c>
      <c r="L5685" s="118">
        <f>E5685*I5685</f>
        <v>0</v>
      </c>
    </row>
    <row r="5686" spans="2:16" x14ac:dyDescent="0.4">
      <c r="B5686" s="74"/>
      <c r="C5686" s="304"/>
      <c r="D5686" s="305"/>
      <c r="E5686" s="127"/>
      <c r="F5686" s="72"/>
      <c r="G5686" s="74"/>
      <c r="I5686" s="84">
        <v>0</v>
      </c>
      <c r="K5686" s="84">
        <f t="shared" ref="K5686:K5687" si="865">+F5686*I5686</f>
        <v>0</v>
      </c>
      <c r="L5686" s="118">
        <f t="shared" ref="L5686:L5687" si="866">E5686*I5686</f>
        <v>0</v>
      </c>
    </row>
    <row r="5687" spans="2:16" x14ac:dyDescent="0.4">
      <c r="B5687" s="74"/>
      <c r="C5687" s="304"/>
      <c r="D5687" s="305"/>
      <c r="E5687" s="127"/>
      <c r="F5687" s="72"/>
      <c r="G5687" s="74"/>
      <c r="I5687" s="84">
        <v>0</v>
      </c>
      <c r="K5687" s="84">
        <f t="shared" si="865"/>
        <v>0</v>
      </c>
      <c r="L5687" s="118">
        <f t="shared" si="866"/>
        <v>0</v>
      </c>
    </row>
    <row r="5688" spans="2:16" ht="17.399999999999999" thickBot="1" x14ac:dyDescent="0.45">
      <c r="L5688" s="118"/>
    </row>
    <row r="5689" spans="2:16" ht="17.399999999999999" thickBot="1" x14ac:dyDescent="0.45">
      <c r="F5689" s="292" t="s">
        <v>19</v>
      </c>
      <c r="G5689" s="293"/>
      <c r="H5689" s="293"/>
      <c r="I5689" s="294"/>
      <c r="K5689" s="229">
        <f>+SUM(K5685:K5687)</f>
        <v>0</v>
      </c>
      <c r="L5689" s="119">
        <f>+SUM(L5684:L5687)</f>
        <v>0</v>
      </c>
    </row>
    <row r="5690" spans="2:16" ht="15" customHeight="1" x14ac:dyDescent="0.4">
      <c r="F5690" s="128"/>
      <c r="G5690" s="129"/>
      <c r="H5690" s="130"/>
      <c r="I5690" s="108"/>
      <c r="K5690" s="230"/>
    </row>
    <row r="5691" spans="2:16" ht="15" customHeight="1" thickBot="1" x14ac:dyDescent="0.45"/>
    <row r="5692" spans="2:16" ht="17.399999999999999" thickBot="1" x14ac:dyDescent="0.45">
      <c r="F5692" s="292" t="s">
        <v>20</v>
      </c>
      <c r="G5692" s="293"/>
      <c r="H5692" s="293"/>
      <c r="I5692" s="294"/>
      <c r="K5692" s="229">
        <f>(+K5663+K5672+K5681+K5689)</f>
        <v>6255</v>
      </c>
      <c r="L5692" s="119">
        <f>(+L5663+L5672+L5681+L5689)</f>
        <v>6255</v>
      </c>
      <c r="N5692" s="131"/>
      <c r="O5692" s="39"/>
      <c r="P5692" s="40"/>
    </row>
    <row r="5693" spans="2:16" ht="7.5" customHeight="1" thickBot="1" x14ac:dyDescent="0.45">
      <c r="N5693" s="131"/>
      <c r="O5693" s="41"/>
      <c r="P5693" s="40"/>
    </row>
    <row r="5694" spans="2:16" ht="17.399999999999999" thickBot="1" x14ac:dyDescent="0.45">
      <c r="F5694" s="292" t="s">
        <v>21</v>
      </c>
      <c r="G5694" s="293"/>
      <c r="H5694" s="293"/>
      <c r="I5694" s="294"/>
      <c r="K5694" s="229">
        <f>K5692*$N$2</f>
        <v>2502</v>
      </c>
      <c r="L5694" s="119">
        <f>L5692*$N$2</f>
        <v>2502</v>
      </c>
    </row>
    <row r="5695" spans="2:16" ht="7.5" customHeight="1" thickBot="1" x14ac:dyDescent="0.45"/>
    <row r="5696" spans="2:16" ht="17.399999999999999" thickBot="1" x14ac:dyDescent="0.45">
      <c r="F5696" s="292" t="s">
        <v>22</v>
      </c>
      <c r="G5696" s="293"/>
      <c r="H5696" s="293"/>
      <c r="I5696" s="294"/>
      <c r="K5696" s="229">
        <f>+K5692+K5694</f>
        <v>8757</v>
      </c>
      <c r="L5696" s="119">
        <f>+L5692+L5694</f>
        <v>8757</v>
      </c>
    </row>
    <row r="5697" spans="1:16" ht="17.399999999999999" thickBot="1" x14ac:dyDescent="0.45">
      <c r="F5697" s="128"/>
      <c r="G5697" s="129"/>
      <c r="H5697" s="130"/>
      <c r="I5697" s="108"/>
      <c r="K5697" s="231"/>
      <c r="L5697" s="132">
        <f>L5696/I5648</f>
        <v>8757</v>
      </c>
      <c r="M5697" s="133">
        <f>(K5696-L5697)*I5648</f>
        <v>0</v>
      </c>
    </row>
    <row r="5698" spans="1:16" x14ac:dyDescent="0.4">
      <c r="F5698" s="128"/>
      <c r="G5698" s="129"/>
      <c r="H5698" s="130"/>
      <c r="I5698" s="108"/>
      <c r="K5698" s="232"/>
      <c r="L5698" s="131"/>
      <c r="M5698" s="134"/>
      <c r="N5698" s="135"/>
    </row>
    <row r="5699" spans="1:16" ht="17.399999999999999" thickBot="1" x14ac:dyDescent="0.45">
      <c r="B5699" s="295"/>
      <c r="C5699" s="295"/>
      <c r="D5699" s="295"/>
    </row>
    <row r="5700" spans="1:16" x14ac:dyDescent="0.4">
      <c r="B5700" s="296" t="s">
        <v>23</v>
      </c>
      <c r="C5700" s="296"/>
      <c r="D5700" s="296"/>
    </row>
    <row r="5701" spans="1:16" x14ac:dyDescent="0.4">
      <c r="B5701" s="157"/>
      <c r="C5701" s="157"/>
      <c r="D5701" s="157"/>
    </row>
    <row r="5702" spans="1:16" x14ac:dyDescent="0.4">
      <c r="B5702" s="157"/>
      <c r="C5702" s="157"/>
      <c r="D5702" s="157"/>
      <c r="F5702" s="77"/>
      <c r="J5702" s="78"/>
      <c r="N5702" s="146"/>
    </row>
    <row r="5703" spans="1:16" x14ac:dyDescent="0.4">
      <c r="B5703" s="105" t="s">
        <v>43</v>
      </c>
      <c r="C5703" s="106"/>
      <c r="D5703" s="311" t="s">
        <v>1</v>
      </c>
      <c r="E5703" s="311"/>
      <c r="F5703" s="311"/>
      <c r="G5703" s="311"/>
      <c r="H5703" s="106"/>
      <c r="I5703" s="107" t="s">
        <v>2</v>
      </c>
      <c r="J5703" s="108"/>
      <c r="K5703" s="107" t="s">
        <v>3</v>
      </c>
      <c r="N5703" s="146"/>
    </row>
    <row r="5704" spans="1:16" s="4" customFormat="1" ht="30.75" customHeight="1" x14ac:dyDescent="0.3">
      <c r="A5704" s="31"/>
      <c r="B5704" s="213">
        <f>CATALOGO!B159</f>
        <v>1401.01</v>
      </c>
      <c r="C5704" s="71"/>
      <c r="D5704" s="312" t="str">
        <f>CATALOGO!C159</f>
        <v>ASTA PARA BANDERA</v>
      </c>
      <c r="E5704" s="312"/>
      <c r="F5704" s="312"/>
      <c r="G5704" s="312"/>
      <c r="H5704" s="71"/>
      <c r="I5704" s="213">
        <f>CATALOGO!D159</f>
        <v>1</v>
      </c>
      <c r="J5704" s="109"/>
      <c r="K5704" s="227" t="str">
        <f>CATALOGO!E159</f>
        <v>Unidad</v>
      </c>
      <c r="L5704" s="71"/>
      <c r="M5704" s="71"/>
      <c r="N5704" s="147"/>
      <c r="O5704" s="37"/>
      <c r="P5704" s="37"/>
    </row>
    <row r="5705" spans="1:16" ht="17.399999999999999" thickBot="1" x14ac:dyDescent="0.45">
      <c r="F5705" s="77"/>
      <c r="J5705" s="78"/>
      <c r="N5705" s="146"/>
    </row>
    <row r="5706" spans="1:16" ht="17.399999999999999" thickBot="1" x14ac:dyDescent="0.45">
      <c r="B5706" s="110" t="s">
        <v>4</v>
      </c>
      <c r="C5706" s="300" t="s">
        <v>5</v>
      </c>
      <c r="D5706" s="300"/>
      <c r="E5706" s="300"/>
      <c r="F5706" s="300"/>
      <c r="G5706" s="301"/>
      <c r="J5706" s="78"/>
      <c r="N5706" s="146"/>
    </row>
    <row r="5707" spans="1:16" s="20" customFormat="1" x14ac:dyDescent="0.4">
      <c r="A5707" s="53"/>
      <c r="B5707" s="111" t="s">
        <v>6</v>
      </c>
      <c r="C5707" s="313" t="s">
        <v>1</v>
      </c>
      <c r="D5707" s="314"/>
      <c r="E5707" s="112" t="s">
        <v>193</v>
      </c>
      <c r="F5707" s="111" t="s">
        <v>2</v>
      </c>
      <c r="G5707" s="114" t="s">
        <v>3</v>
      </c>
      <c r="H5707" s="106"/>
      <c r="I5707" s="107" t="s">
        <v>7</v>
      </c>
      <c r="J5707" s="108"/>
      <c r="K5707" s="228" t="s">
        <v>8</v>
      </c>
      <c r="L5707" s="115" t="s">
        <v>194</v>
      </c>
      <c r="M5707" s="17"/>
      <c r="N5707" s="146"/>
      <c r="O5707" s="36"/>
      <c r="P5707" s="36"/>
    </row>
    <row r="5708" spans="1:16" s="20" customFormat="1" ht="16.8" customHeight="1" x14ac:dyDescent="0.4">
      <c r="A5708" s="53"/>
      <c r="B5708" s="122">
        <v>1</v>
      </c>
      <c r="C5708" s="315" t="s">
        <v>169</v>
      </c>
      <c r="D5708" s="316"/>
      <c r="E5708" s="116">
        <v>2</v>
      </c>
      <c r="F5708" s="83">
        <f>ROUND(E5708/I5704,2)</f>
        <v>2</v>
      </c>
      <c r="G5708" s="74" t="str">
        <f>IF(C5708=0,0,VLOOKUP(C5708,Tabla1[],2,FALSE))</f>
        <v>Varilla</v>
      </c>
      <c r="H5708" s="17"/>
      <c r="I5708" s="117">
        <f>IF(C5708=0,0,VLOOKUP(C5708,Tabla1[],3,FALSE))</f>
        <v>40</v>
      </c>
      <c r="J5708" s="97"/>
      <c r="K5708" s="84">
        <f>+F5708*I5708</f>
        <v>80</v>
      </c>
      <c r="L5708" s="118">
        <f>E5708*I5708</f>
        <v>80</v>
      </c>
      <c r="M5708" s="17"/>
      <c r="N5708" s="146"/>
      <c r="O5708" s="36"/>
      <c r="P5708" s="36"/>
    </row>
    <row r="5709" spans="1:16" s="20" customFormat="1" ht="16.8" customHeight="1" x14ac:dyDescent="0.4">
      <c r="A5709" s="53"/>
      <c r="B5709" s="122">
        <v>2</v>
      </c>
      <c r="C5709" s="315" t="s">
        <v>214</v>
      </c>
      <c r="D5709" s="316"/>
      <c r="E5709" s="116">
        <f>I5704*6</f>
        <v>6</v>
      </c>
      <c r="F5709" s="83">
        <f>ROUND(E5709/I5704,2)</f>
        <v>6</v>
      </c>
      <c r="G5709" s="74" t="str">
        <f>IF(C5709=0,0,VLOOKUP(C5709,Tabla1[],2,FALSE))</f>
        <v>Saco</v>
      </c>
      <c r="H5709" s="17"/>
      <c r="I5709" s="117">
        <f>IF(C5709=0,0,VLOOKUP(C5709,Tabla1[],3,FALSE))</f>
        <v>80</v>
      </c>
      <c r="J5709" s="97"/>
      <c r="K5709" s="84">
        <f t="shared" ref="K5709:K5717" si="867">+F5709*I5709</f>
        <v>480</v>
      </c>
      <c r="L5709" s="118">
        <f t="shared" ref="L5709:L5717" si="868">E5709*I5709</f>
        <v>480</v>
      </c>
      <c r="M5709" s="17"/>
      <c r="N5709" s="146"/>
      <c r="O5709" s="36"/>
      <c r="P5709" s="36"/>
    </row>
    <row r="5710" spans="1:16" s="20" customFormat="1" ht="16.8" customHeight="1" x14ac:dyDescent="0.4">
      <c r="A5710" s="53"/>
      <c r="B5710" s="122">
        <v>3</v>
      </c>
      <c r="C5710" s="315" t="s">
        <v>73</v>
      </c>
      <c r="D5710" s="316"/>
      <c r="E5710" s="116">
        <f>I5704*0.5</f>
        <v>0.5</v>
      </c>
      <c r="F5710" s="83">
        <f>ROUND(E5710/I5704,2)</f>
        <v>0.5</v>
      </c>
      <c r="G5710" s="74" t="str">
        <f>IF(C5710=0,0,VLOOKUP(C5710,Tabla1[],2,FALSE))</f>
        <v>m³</v>
      </c>
      <c r="H5710" s="17"/>
      <c r="I5710" s="117">
        <f>IF(C5710=0,0,VLOOKUP(C5710,Tabla1[],3,FALSE))</f>
        <v>250</v>
      </c>
      <c r="J5710" s="97"/>
      <c r="K5710" s="84">
        <f t="shared" si="867"/>
        <v>125</v>
      </c>
      <c r="L5710" s="118">
        <f t="shared" si="868"/>
        <v>125</v>
      </c>
      <c r="M5710" s="17"/>
      <c r="N5710" s="146"/>
      <c r="O5710" s="36"/>
      <c r="P5710" s="36"/>
    </row>
    <row r="5711" spans="1:16" s="20" customFormat="1" ht="16.8" customHeight="1" x14ac:dyDescent="0.4">
      <c r="A5711" s="53"/>
      <c r="B5711" s="122">
        <v>4</v>
      </c>
      <c r="C5711" s="315" t="s">
        <v>230</v>
      </c>
      <c r="D5711" s="316"/>
      <c r="E5711" s="116">
        <f>I5704*0.5</f>
        <v>0.5</v>
      </c>
      <c r="F5711" s="83">
        <f>ROUND(E5711/I5704,2)</f>
        <v>0.5</v>
      </c>
      <c r="G5711" s="74" t="str">
        <f>IF(C5711=0,0,VLOOKUP(C5711,Tabla1[],2,FALSE))</f>
        <v>m³</v>
      </c>
      <c r="H5711" s="17"/>
      <c r="I5711" s="117">
        <f>IF(C5711=0,0,VLOOKUP(C5711,Tabla1[],3,FALSE))</f>
        <v>250</v>
      </c>
      <c r="J5711" s="97"/>
      <c r="K5711" s="84">
        <f t="shared" si="867"/>
        <v>125</v>
      </c>
      <c r="L5711" s="118">
        <f t="shared" si="868"/>
        <v>125</v>
      </c>
      <c r="M5711" s="17"/>
      <c r="N5711" s="146"/>
      <c r="O5711" s="36"/>
      <c r="P5711" s="36"/>
    </row>
    <row r="5712" spans="1:16" s="20" customFormat="1" ht="16.8" customHeight="1" x14ac:dyDescent="0.4">
      <c r="A5712" s="53"/>
      <c r="B5712" s="122">
        <v>5</v>
      </c>
      <c r="C5712" s="315" t="s">
        <v>180</v>
      </c>
      <c r="D5712" s="316"/>
      <c r="E5712" s="116">
        <f>I5704*100</f>
        <v>100</v>
      </c>
      <c r="F5712" s="83">
        <f>ROUND(E5712/I5704,2)</f>
        <v>100</v>
      </c>
      <c r="G5712" s="74" t="str">
        <f>IF(C5712=0,0,VLOOKUP(C5712,Tabla1[],2,FALSE))</f>
        <v>pt</v>
      </c>
      <c r="H5712" s="17"/>
      <c r="I5712" s="117">
        <f>IF(C5712=0,0,VLOOKUP(C5712,Tabla1[],3,FALSE))</f>
        <v>9</v>
      </c>
      <c r="J5712" s="97"/>
      <c r="K5712" s="84">
        <f t="shared" si="867"/>
        <v>900</v>
      </c>
      <c r="L5712" s="118">
        <f t="shared" si="868"/>
        <v>900</v>
      </c>
      <c r="M5712" s="17"/>
      <c r="N5712" s="146"/>
      <c r="O5712" s="36"/>
      <c r="P5712" s="36"/>
    </row>
    <row r="5713" spans="1:16" s="20" customFormat="1" ht="16.8" customHeight="1" x14ac:dyDescent="0.4">
      <c r="A5713" s="53"/>
      <c r="B5713" s="122">
        <v>6</v>
      </c>
      <c r="C5713" s="315" t="s">
        <v>369</v>
      </c>
      <c r="D5713" s="316"/>
      <c r="E5713" s="116">
        <f>I5704*3</f>
        <v>3</v>
      </c>
      <c r="F5713" s="83">
        <f>ROUND(E5713/I5704,2)</f>
        <v>3</v>
      </c>
      <c r="G5713" s="74" t="str">
        <f>IF(C5713=0,0,VLOOKUP(C5713,Tabla1[],2,FALSE))</f>
        <v>Libra</v>
      </c>
      <c r="H5713" s="17"/>
      <c r="I5713" s="117">
        <f>IF(C5713=0,0,VLOOKUP(C5713,Tabla1[],3,FALSE))</f>
        <v>8</v>
      </c>
      <c r="J5713" s="97"/>
      <c r="K5713" s="84">
        <f t="shared" si="867"/>
        <v>24</v>
      </c>
      <c r="L5713" s="118">
        <f t="shared" si="868"/>
        <v>24</v>
      </c>
      <c r="M5713" s="17"/>
      <c r="N5713" s="146"/>
      <c r="O5713" s="36"/>
      <c r="P5713" s="36"/>
    </row>
    <row r="5714" spans="1:16" s="20" customFormat="1" ht="16.8" customHeight="1" x14ac:dyDescent="0.4">
      <c r="A5714" s="53"/>
      <c r="B5714" s="122">
        <v>7</v>
      </c>
      <c r="C5714" s="315" t="s">
        <v>118</v>
      </c>
      <c r="D5714" s="316"/>
      <c r="E5714" s="116">
        <f>I5704</f>
        <v>1</v>
      </c>
      <c r="F5714" s="83">
        <f>ROUND(E5714/I5704,2)</f>
        <v>1</v>
      </c>
      <c r="G5714" s="74" t="str">
        <f>IF(C5714=0,0,VLOOKUP(C5714,Tabla1[],2,FALSE))</f>
        <v>Unidad</v>
      </c>
      <c r="H5714" s="17"/>
      <c r="I5714" s="117">
        <f>IF(C5714=0,0,VLOOKUP(C5714,Tabla1[],3,FALSE))</f>
        <v>550</v>
      </c>
      <c r="J5714" s="97"/>
      <c r="K5714" s="84">
        <f t="shared" si="867"/>
        <v>550</v>
      </c>
      <c r="L5714" s="118">
        <f t="shared" si="868"/>
        <v>550</v>
      </c>
      <c r="M5714" s="17"/>
      <c r="N5714" s="146"/>
      <c r="O5714" s="36"/>
      <c r="P5714" s="36"/>
    </row>
    <row r="5715" spans="1:16" s="20" customFormat="1" x14ac:dyDescent="0.4">
      <c r="A5715" s="53"/>
      <c r="B5715" s="122">
        <v>8</v>
      </c>
      <c r="C5715" s="319" t="s">
        <v>196</v>
      </c>
      <c r="D5715" s="318"/>
      <c r="E5715" s="116">
        <f>I5704</f>
        <v>1</v>
      </c>
      <c r="F5715" s="83">
        <f>ROUND(E5715/I5704,2)</f>
        <v>1</v>
      </c>
      <c r="G5715" s="74" t="str">
        <f>IF(C5715=0,0,VLOOKUP(C5715,Tabla1[],2,FALSE))</f>
        <v>Galón</v>
      </c>
      <c r="H5715" s="17"/>
      <c r="I5715" s="117">
        <f>IF(C5715=0,0,VLOOKUP(C5715,Tabla1[],3,FALSE))</f>
        <v>200</v>
      </c>
      <c r="J5715" s="97"/>
      <c r="K5715" s="84">
        <f t="shared" si="867"/>
        <v>200</v>
      </c>
      <c r="L5715" s="118">
        <f t="shared" si="868"/>
        <v>200</v>
      </c>
      <c r="M5715" s="17"/>
      <c r="N5715" s="146"/>
      <c r="O5715" s="36"/>
      <c r="P5715" s="36"/>
    </row>
    <row r="5716" spans="1:16" s="20" customFormat="1" x14ac:dyDescent="0.4">
      <c r="A5716" s="53"/>
      <c r="B5716" s="122">
        <v>9</v>
      </c>
      <c r="C5716" s="319" t="s">
        <v>175</v>
      </c>
      <c r="D5716" s="318"/>
      <c r="E5716" s="116">
        <f>I5704*1.1</f>
        <v>1.1000000000000001</v>
      </c>
      <c r="F5716" s="83">
        <f>ROUND(E5716/I5704,2)</f>
        <v>1.1000000000000001</v>
      </c>
      <c r="G5716" s="74" t="str">
        <f>IF(C5716=0,0,VLOOKUP(C5716,Tabla1[],2,FALSE))</f>
        <v>Libra</v>
      </c>
      <c r="H5716" s="17"/>
      <c r="I5716" s="117">
        <f>IF(C5716=0,0,VLOOKUP(C5716,Tabla1[],3,FALSE))</f>
        <v>10</v>
      </c>
      <c r="J5716" s="97"/>
      <c r="K5716" s="84">
        <f t="shared" si="867"/>
        <v>11</v>
      </c>
      <c r="L5716" s="118">
        <f t="shared" si="868"/>
        <v>11</v>
      </c>
      <c r="M5716" s="17"/>
      <c r="N5716" s="146"/>
      <c r="O5716" s="36"/>
      <c r="P5716" s="36"/>
    </row>
    <row r="5717" spans="1:16" s="20" customFormat="1" x14ac:dyDescent="0.4">
      <c r="A5717" s="53"/>
      <c r="B5717" s="122"/>
      <c r="C5717" s="319"/>
      <c r="D5717" s="318"/>
      <c r="E5717" s="116"/>
      <c r="F5717" s="148"/>
      <c r="G5717" s="74"/>
      <c r="H5717" s="17"/>
      <c r="I5717" s="117">
        <f>IF(C5717=0,0,VLOOKUP(C5717,Tabla1[],3,FALSE))</f>
        <v>0</v>
      </c>
      <c r="J5717" s="97"/>
      <c r="K5717" s="84">
        <f t="shared" si="867"/>
        <v>0</v>
      </c>
      <c r="L5717" s="118">
        <f t="shared" si="868"/>
        <v>0</v>
      </c>
      <c r="M5717" s="17"/>
      <c r="N5717" s="146"/>
      <c r="O5717" s="36"/>
      <c r="P5717" s="36"/>
    </row>
    <row r="5718" spans="1:16" s="20" customFormat="1" ht="17.399999999999999" thickBot="1" x14ac:dyDescent="0.45">
      <c r="A5718" s="53"/>
      <c r="B5718" s="77"/>
      <c r="C5718" s="17"/>
      <c r="D5718" s="17"/>
      <c r="E5718" s="76"/>
      <c r="F5718" s="77"/>
      <c r="G5718" s="77"/>
      <c r="H5718" s="17"/>
      <c r="I5718" s="78"/>
      <c r="J5718" s="78"/>
      <c r="K5718" s="78"/>
      <c r="L5718" s="17"/>
      <c r="M5718" s="17"/>
      <c r="N5718" s="146"/>
      <c r="O5718" s="36"/>
      <c r="P5718" s="36"/>
    </row>
    <row r="5719" spans="1:16" s="20" customFormat="1" ht="17.399999999999999" thickBot="1" x14ac:dyDescent="0.45">
      <c r="A5719" s="53"/>
      <c r="B5719" s="77"/>
      <c r="C5719" s="17"/>
      <c r="D5719" s="17"/>
      <c r="E5719" s="76"/>
      <c r="F5719" s="292" t="s">
        <v>9</v>
      </c>
      <c r="G5719" s="293"/>
      <c r="H5719" s="293"/>
      <c r="I5719" s="294"/>
      <c r="J5719" s="78"/>
      <c r="K5719" s="229">
        <f>+SUM(K5708:K5717)</f>
        <v>2495</v>
      </c>
      <c r="L5719" s="119">
        <f>+SUM(L5708:L5717)</f>
        <v>2495</v>
      </c>
      <c r="M5719" s="17"/>
      <c r="N5719" s="146"/>
      <c r="O5719" s="36"/>
      <c r="P5719" s="36"/>
    </row>
    <row r="5720" spans="1:16" s="20" customFormat="1" ht="17.399999999999999" thickBot="1" x14ac:dyDescent="0.45">
      <c r="A5720" s="53"/>
      <c r="B5720" s="77"/>
      <c r="C5720" s="17"/>
      <c r="D5720" s="17"/>
      <c r="E5720" s="76"/>
      <c r="F5720" s="77"/>
      <c r="G5720" s="77"/>
      <c r="H5720" s="17"/>
      <c r="I5720" s="78"/>
      <c r="J5720" s="78"/>
      <c r="K5720" s="78"/>
      <c r="L5720" s="17"/>
      <c r="M5720" s="17"/>
      <c r="N5720" s="146"/>
      <c r="O5720" s="36"/>
      <c r="P5720" s="36"/>
    </row>
    <row r="5721" spans="1:16" s="20" customFormat="1" ht="17.399999999999999" thickBot="1" x14ac:dyDescent="0.45">
      <c r="A5721" s="53"/>
      <c r="B5721" s="110" t="s">
        <v>10</v>
      </c>
      <c r="C5721" s="300" t="s">
        <v>11</v>
      </c>
      <c r="D5721" s="300"/>
      <c r="E5721" s="300"/>
      <c r="F5721" s="300"/>
      <c r="G5721" s="301"/>
      <c r="H5721" s="17"/>
      <c r="I5721" s="78"/>
      <c r="J5721" s="78"/>
      <c r="K5721" s="78"/>
      <c r="L5721" s="17"/>
      <c r="M5721" s="17"/>
      <c r="N5721" s="146"/>
      <c r="O5721" s="36"/>
      <c r="P5721" s="36"/>
    </row>
    <row r="5722" spans="1:16" s="20" customFormat="1" x14ac:dyDescent="0.4">
      <c r="A5722" s="53"/>
      <c r="B5722" s="114" t="s">
        <v>6</v>
      </c>
      <c r="C5722" s="302" t="s">
        <v>1</v>
      </c>
      <c r="D5722" s="303"/>
      <c r="E5722" s="112" t="s">
        <v>193</v>
      </c>
      <c r="F5722" s="114" t="s">
        <v>2</v>
      </c>
      <c r="G5722" s="114" t="s">
        <v>3</v>
      </c>
      <c r="H5722" s="106"/>
      <c r="I5722" s="107" t="s">
        <v>7</v>
      </c>
      <c r="J5722" s="108"/>
      <c r="K5722" s="107" t="s">
        <v>8</v>
      </c>
      <c r="L5722" s="115" t="s">
        <v>194</v>
      </c>
      <c r="M5722" s="17"/>
      <c r="N5722" s="146"/>
      <c r="O5722" s="36"/>
      <c r="P5722" s="36"/>
    </row>
    <row r="5723" spans="1:16" s="20" customFormat="1" x14ac:dyDescent="0.4">
      <c r="A5723" s="53"/>
      <c r="B5723" s="122"/>
      <c r="C5723" s="306"/>
      <c r="D5723" s="306"/>
      <c r="E5723" s="116"/>
      <c r="F5723" s="148"/>
      <c r="G5723" s="74"/>
      <c r="H5723" s="17"/>
      <c r="I5723" s="117">
        <f>IF(C5723=0,0,VLOOKUP(C5723,Tabla3[],3,FALSE))</f>
        <v>0</v>
      </c>
      <c r="J5723" s="97"/>
      <c r="K5723" s="84">
        <f t="shared" ref="K5723:K5726" si="869">+F5723*I5723</f>
        <v>0</v>
      </c>
      <c r="L5723" s="118">
        <f>E5723*I5723</f>
        <v>0</v>
      </c>
      <c r="M5723" s="17"/>
      <c r="N5723" s="146"/>
      <c r="O5723" s="36"/>
      <c r="P5723" s="36"/>
    </row>
    <row r="5724" spans="1:16" s="20" customFormat="1" x14ac:dyDescent="0.4">
      <c r="A5724" s="53"/>
      <c r="B5724" s="74"/>
      <c r="C5724" s="309"/>
      <c r="D5724" s="310"/>
      <c r="E5724" s="121"/>
      <c r="F5724" s="74"/>
      <c r="G5724" s="74"/>
      <c r="H5724" s="17"/>
      <c r="I5724" s="117">
        <f>IF(C5724=0,0,VLOOKUP(C5724,Tabla3[],3,FALSE))</f>
        <v>0</v>
      </c>
      <c r="J5724" s="97"/>
      <c r="K5724" s="84">
        <f t="shared" si="869"/>
        <v>0</v>
      </c>
      <c r="L5724" s="118">
        <f t="shared" ref="L5724:L5726" si="870">E5724*I5724</f>
        <v>0</v>
      </c>
      <c r="M5724" s="17"/>
      <c r="N5724" s="146"/>
      <c r="O5724" s="36"/>
      <c r="P5724" s="36"/>
    </row>
    <row r="5725" spans="1:16" s="20" customFormat="1" x14ac:dyDescent="0.4">
      <c r="A5725" s="53"/>
      <c r="B5725" s="74"/>
      <c r="C5725" s="309"/>
      <c r="D5725" s="310"/>
      <c r="E5725" s="121"/>
      <c r="F5725" s="74"/>
      <c r="G5725" s="74"/>
      <c r="H5725" s="17"/>
      <c r="I5725" s="117">
        <f>IF(C5725=0,0,VLOOKUP(C5725,Tabla3[],3,FALSE))</f>
        <v>0</v>
      </c>
      <c r="J5725" s="97"/>
      <c r="K5725" s="84">
        <f t="shared" si="869"/>
        <v>0</v>
      </c>
      <c r="L5725" s="118">
        <f t="shared" si="870"/>
        <v>0</v>
      </c>
      <c r="M5725" s="17"/>
      <c r="N5725" s="146"/>
      <c r="O5725" s="36"/>
      <c r="P5725" s="36"/>
    </row>
    <row r="5726" spans="1:16" s="20" customFormat="1" x14ac:dyDescent="0.4">
      <c r="A5726" s="53"/>
      <c r="B5726" s="74"/>
      <c r="C5726" s="304"/>
      <c r="D5726" s="305"/>
      <c r="E5726" s="121"/>
      <c r="F5726" s="74"/>
      <c r="G5726" s="74"/>
      <c r="H5726" s="17"/>
      <c r="I5726" s="117">
        <f>IF(C5726=0,0,VLOOKUP(C5726,Tabla3[],3,FALSE))</f>
        <v>0</v>
      </c>
      <c r="J5726" s="97"/>
      <c r="K5726" s="84">
        <f t="shared" si="869"/>
        <v>0</v>
      </c>
      <c r="L5726" s="118">
        <f t="shared" si="870"/>
        <v>0</v>
      </c>
      <c r="M5726" s="17"/>
      <c r="N5726" s="146"/>
      <c r="O5726" s="36"/>
      <c r="P5726" s="36"/>
    </row>
    <row r="5727" spans="1:16" s="20" customFormat="1" ht="17.399999999999999" thickBot="1" x14ac:dyDescent="0.45">
      <c r="A5727" s="53"/>
      <c r="B5727" s="77"/>
      <c r="C5727" s="17"/>
      <c r="D5727" s="17"/>
      <c r="E5727" s="76"/>
      <c r="F5727" s="77"/>
      <c r="G5727" s="77"/>
      <c r="H5727" s="17"/>
      <c r="I5727" s="78"/>
      <c r="J5727" s="78"/>
      <c r="K5727" s="78"/>
      <c r="L5727" s="17"/>
      <c r="M5727" s="17"/>
      <c r="N5727" s="146"/>
      <c r="O5727" s="36"/>
      <c r="P5727" s="36"/>
    </row>
    <row r="5728" spans="1:16" s="20" customFormat="1" ht="17.399999999999999" thickBot="1" x14ac:dyDescent="0.45">
      <c r="A5728" s="53"/>
      <c r="B5728" s="77"/>
      <c r="C5728" s="17"/>
      <c r="D5728" s="17"/>
      <c r="E5728" s="76"/>
      <c r="F5728" s="292" t="s">
        <v>12</v>
      </c>
      <c r="G5728" s="293"/>
      <c r="H5728" s="293"/>
      <c r="I5728" s="294"/>
      <c r="J5728" s="78"/>
      <c r="K5728" s="229">
        <f>+SUM(K5723:K5726)</f>
        <v>0</v>
      </c>
      <c r="L5728" s="119">
        <f>+SUM(L5723:L5726)</f>
        <v>0</v>
      </c>
      <c r="M5728" s="17"/>
      <c r="N5728" s="146"/>
      <c r="O5728" s="36"/>
      <c r="P5728" s="36"/>
    </row>
    <row r="5729" spans="1:16" s="20" customFormat="1" ht="17.399999999999999" thickBot="1" x14ac:dyDescent="0.45">
      <c r="A5729" s="53"/>
      <c r="B5729" s="77"/>
      <c r="C5729" s="17"/>
      <c r="D5729" s="17"/>
      <c r="E5729" s="76"/>
      <c r="F5729" s="77"/>
      <c r="G5729" s="77"/>
      <c r="H5729" s="17"/>
      <c r="I5729" s="78"/>
      <c r="J5729" s="78"/>
      <c r="K5729" s="78"/>
      <c r="L5729" s="17"/>
      <c r="M5729" s="17"/>
      <c r="N5729" s="146"/>
      <c r="O5729" s="36"/>
      <c r="P5729" s="36"/>
    </row>
    <row r="5730" spans="1:16" s="20" customFormat="1" ht="17.399999999999999" thickBot="1" x14ac:dyDescent="0.45">
      <c r="A5730" s="53"/>
      <c r="B5730" s="110" t="s">
        <v>13</v>
      </c>
      <c r="C5730" s="300" t="s">
        <v>14</v>
      </c>
      <c r="D5730" s="300"/>
      <c r="E5730" s="300"/>
      <c r="F5730" s="300"/>
      <c r="G5730" s="301"/>
      <c r="H5730" s="17"/>
      <c r="I5730" s="78"/>
      <c r="J5730" s="78"/>
      <c r="K5730" s="78"/>
      <c r="L5730" s="17"/>
      <c r="M5730" s="17"/>
      <c r="N5730" s="146"/>
      <c r="O5730" s="36"/>
      <c r="P5730" s="36"/>
    </row>
    <row r="5731" spans="1:16" s="20" customFormat="1" x14ac:dyDescent="0.4">
      <c r="A5731" s="53"/>
      <c r="B5731" s="114" t="s">
        <v>6</v>
      </c>
      <c r="C5731" s="302" t="s">
        <v>1</v>
      </c>
      <c r="D5731" s="303"/>
      <c r="E5731" s="112" t="s">
        <v>193</v>
      </c>
      <c r="F5731" s="114" t="s">
        <v>2</v>
      </c>
      <c r="G5731" s="114" t="s">
        <v>3</v>
      </c>
      <c r="H5731" s="106"/>
      <c r="I5731" s="107" t="s">
        <v>7</v>
      </c>
      <c r="J5731" s="108"/>
      <c r="K5731" s="107" t="s">
        <v>8</v>
      </c>
      <c r="L5731" s="115" t="s">
        <v>194</v>
      </c>
      <c r="M5731" s="17"/>
      <c r="N5731" s="146"/>
      <c r="O5731" s="36"/>
      <c r="P5731" s="36"/>
    </row>
    <row r="5732" spans="1:16" s="20" customFormat="1" x14ac:dyDescent="0.4">
      <c r="A5732" s="53"/>
      <c r="B5732" s="122">
        <v>1</v>
      </c>
      <c r="C5732" s="306" t="s">
        <v>407</v>
      </c>
      <c r="D5732" s="306"/>
      <c r="E5732" s="116">
        <f>I5704</f>
        <v>1</v>
      </c>
      <c r="F5732" s="148">
        <f>ROUND(E5732/I5704,2)</f>
        <v>1</v>
      </c>
      <c r="G5732" s="74" t="str">
        <f>IF(C5732=0,0,VLOOKUP(C5732,Tabla2[],2,FALSE))</f>
        <v>Unidad</v>
      </c>
      <c r="H5732" s="17"/>
      <c r="I5732" s="117">
        <f>IF(C5732=0,0,VLOOKUP(C5732,Tabla2[],3,FALSE))</f>
        <v>700</v>
      </c>
      <c r="J5732" s="97"/>
      <c r="K5732" s="84">
        <f>+F5732*I5732</f>
        <v>700</v>
      </c>
      <c r="L5732" s="118">
        <f>E5732*I5732</f>
        <v>700</v>
      </c>
      <c r="M5732" s="17"/>
      <c r="N5732" s="146"/>
      <c r="O5732" s="36"/>
      <c r="P5732" s="36"/>
    </row>
    <row r="5733" spans="1:16" s="20" customFormat="1" x14ac:dyDescent="0.4">
      <c r="A5733" s="53"/>
      <c r="B5733" s="122"/>
      <c r="C5733" s="306"/>
      <c r="D5733" s="306"/>
      <c r="E5733" s="116"/>
      <c r="F5733" s="148"/>
      <c r="G5733" s="74"/>
      <c r="H5733" s="17"/>
      <c r="I5733" s="117">
        <f>IF(C5733=0,0,VLOOKUP(C5733,Tabla2[],3,FALSE))</f>
        <v>0</v>
      </c>
      <c r="J5733" s="97"/>
      <c r="K5733" s="84">
        <f t="shared" ref="K5733:K5734" si="871">+F5733*I5733</f>
        <v>0</v>
      </c>
      <c r="L5733" s="118">
        <f t="shared" ref="L5733:L5735" si="872">E5733*I5733</f>
        <v>0</v>
      </c>
      <c r="M5733" s="17"/>
      <c r="N5733" s="146"/>
      <c r="O5733" s="36"/>
      <c r="P5733" s="36"/>
    </row>
    <row r="5734" spans="1:16" s="20" customFormat="1" ht="17.399999999999999" thickBot="1" x14ac:dyDescent="0.45">
      <c r="A5734" s="53"/>
      <c r="B5734" s="123"/>
      <c r="C5734" s="307"/>
      <c r="D5734" s="308"/>
      <c r="E5734" s="124"/>
      <c r="F5734" s="123"/>
      <c r="G5734" s="74"/>
      <c r="H5734" s="17"/>
      <c r="I5734" s="117">
        <f>IF(C5734=0,0,VLOOKUP(C5734,Tabla2[],3,FALSE))</f>
        <v>0</v>
      </c>
      <c r="J5734" s="97"/>
      <c r="K5734" s="84">
        <f t="shared" si="871"/>
        <v>0</v>
      </c>
      <c r="L5734" s="118">
        <f t="shared" si="872"/>
        <v>0</v>
      </c>
      <c r="M5734" s="17"/>
      <c r="N5734" s="146"/>
      <c r="O5734" s="36"/>
      <c r="P5734" s="36"/>
    </row>
    <row r="5735" spans="1:16" s="20" customFormat="1" ht="17.399999999999999" thickBot="1" x14ac:dyDescent="0.45">
      <c r="A5735" s="53"/>
      <c r="B5735" s="297" t="s">
        <v>15</v>
      </c>
      <c r="C5735" s="298"/>
      <c r="D5735" s="298"/>
      <c r="E5735" s="298"/>
      <c r="F5735" s="298"/>
      <c r="G5735" s="299"/>
      <c r="H5735" s="17"/>
      <c r="I5735" s="84">
        <v>0</v>
      </c>
      <c r="J5735" s="78"/>
      <c r="K5735" s="84">
        <v>0</v>
      </c>
      <c r="L5735" s="118">
        <f t="shared" si="872"/>
        <v>0</v>
      </c>
      <c r="M5735" s="17"/>
      <c r="N5735" s="146"/>
      <c r="O5735" s="36"/>
      <c r="P5735" s="36"/>
    </row>
    <row r="5736" spans="1:16" s="20" customFormat="1" ht="17.399999999999999" thickBot="1" x14ac:dyDescent="0.45">
      <c r="A5736" s="53"/>
      <c r="B5736" s="77"/>
      <c r="C5736" s="17"/>
      <c r="D5736" s="17"/>
      <c r="E5736" s="76"/>
      <c r="F5736" s="77"/>
      <c r="G5736" s="77"/>
      <c r="H5736" s="17"/>
      <c r="I5736" s="78"/>
      <c r="J5736" s="78"/>
      <c r="K5736" s="78"/>
      <c r="L5736" s="17"/>
      <c r="M5736" s="17"/>
      <c r="N5736" s="146"/>
      <c r="O5736" s="36"/>
      <c r="P5736" s="36"/>
    </row>
    <row r="5737" spans="1:16" s="20" customFormat="1" ht="17.399999999999999" thickBot="1" x14ac:dyDescent="0.45">
      <c r="A5737" s="53"/>
      <c r="B5737" s="77"/>
      <c r="C5737" s="17"/>
      <c r="D5737" s="17"/>
      <c r="E5737" s="76"/>
      <c r="F5737" s="292" t="s">
        <v>16</v>
      </c>
      <c r="G5737" s="293"/>
      <c r="H5737" s="293"/>
      <c r="I5737" s="294"/>
      <c r="J5737" s="78"/>
      <c r="K5737" s="229">
        <f>+SUM(K5732:K5735)</f>
        <v>700</v>
      </c>
      <c r="L5737" s="119">
        <f>+SUM(L5732:L5735)</f>
        <v>700</v>
      </c>
      <c r="M5737" s="17"/>
      <c r="N5737" s="146"/>
      <c r="O5737" s="36"/>
      <c r="P5737" s="36"/>
    </row>
    <row r="5738" spans="1:16" ht="17.399999999999999" thickBot="1" x14ac:dyDescent="0.45">
      <c r="F5738" s="77"/>
      <c r="J5738" s="78"/>
      <c r="N5738" s="146"/>
    </row>
    <row r="5739" spans="1:16" ht="17.399999999999999" thickBot="1" x14ac:dyDescent="0.45">
      <c r="B5739" s="110" t="s">
        <v>17</v>
      </c>
      <c r="C5739" s="300" t="s">
        <v>18</v>
      </c>
      <c r="D5739" s="300"/>
      <c r="E5739" s="300"/>
      <c r="F5739" s="300"/>
      <c r="G5739" s="301"/>
      <c r="J5739" s="78"/>
      <c r="N5739" s="146"/>
    </row>
    <row r="5740" spans="1:16" x14ac:dyDescent="0.4">
      <c r="B5740" s="114" t="s">
        <v>6</v>
      </c>
      <c r="C5740" s="302" t="s">
        <v>1</v>
      </c>
      <c r="D5740" s="303"/>
      <c r="E5740" s="126"/>
      <c r="F5740" s="114" t="s">
        <v>2</v>
      </c>
      <c r="G5740" s="114" t="s">
        <v>3</v>
      </c>
      <c r="H5740" s="106"/>
      <c r="I5740" s="107" t="s">
        <v>7</v>
      </c>
      <c r="J5740" s="108"/>
      <c r="K5740" s="107" t="s">
        <v>8</v>
      </c>
      <c r="L5740" s="115" t="s">
        <v>194</v>
      </c>
      <c r="N5740" s="146"/>
    </row>
    <row r="5741" spans="1:16" x14ac:dyDescent="0.4">
      <c r="B5741" s="74"/>
      <c r="C5741" s="304"/>
      <c r="D5741" s="305"/>
      <c r="E5741" s="127"/>
      <c r="F5741" s="74"/>
      <c r="G5741" s="74"/>
      <c r="I5741" s="84">
        <v>0</v>
      </c>
      <c r="J5741" s="78"/>
      <c r="K5741" s="84">
        <f>+F5741*I5741</f>
        <v>0</v>
      </c>
      <c r="L5741" s="118">
        <f>E5741*I5741</f>
        <v>0</v>
      </c>
      <c r="N5741" s="146"/>
    </row>
    <row r="5742" spans="1:16" x14ac:dyDescent="0.4">
      <c r="B5742" s="74"/>
      <c r="C5742" s="304"/>
      <c r="D5742" s="305"/>
      <c r="E5742" s="127"/>
      <c r="F5742" s="74"/>
      <c r="G5742" s="74"/>
      <c r="I5742" s="84">
        <v>0</v>
      </c>
      <c r="J5742" s="78"/>
      <c r="K5742" s="84">
        <f t="shared" ref="K5742:K5743" si="873">+F5742*I5742</f>
        <v>0</v>
      </c>
      <c r="L5742" s="118">
        <f t="shared" ref="L5742:L5743" si="874">E5742*I5742</f>
        <v>0</v>
      </c>
      <c r="N5742" s="146"/>
    </row>
    <row r="5743" spans="1:16" x14ac:dyDescent="0.4">
      <c r="B5743" s="74"/>
      <c r="C5743" s="304"/>
      <c r="D5743" s="305"/>
      <c r="E5743" s="127"/>
      <c r="F5743" s="74"/>
      <c r="G5743" s="74"/>
      <c r="I5743" s="84">
        <v>0</v>
      </c>
      <c r="J5743" s="78"/>
      <c r="K5743" s="84">
        <f t="shared" si="873"/>
        <v>0</v>
      </c>
      <c r="L5743" s="118">
        <f t="shared" si="874"/>
        <v>0</v>
      </c>
      <c r="N5743" s="146"/>
    </row>
    <row r="5744" spans="1:16" ht="17.399999999999999" thickBot="1" x14ac:dyDescent="0.45">
      <c r="F5744" s="77"/>
      <c r="J5744" s="78"/>
      <c r="L5744" s="118"/>
      <c r="N5744" s="146"/>
    </row>
    <row r="5745" spans="1:16" ht="17.399999999999999" thickBot="1" x14ac:dyDescent="0.45">
      <c r="F5745" s="292" t="s">
        <v>19</v>
      </c>
      <c r="G5745" s="293"/>
      <c r="H5745" s="293"/>
      <c r="I5745" s="294"/>
      <c r="J5745" s="78"/>
      <c r="K5745" s="229">
        <f>+SUM(K5741:K5743)</f>
        <v>0</v>
      </c>
      <c r="L5745" s="119">
        <f>+SUM(L5740:L5743)</f>
        <v>0</v>
      </c>
      <c r="N5745" s="146"/>
    </row>
    <row r="5746" spans="1:16" ht="15" customHeight="1" x14ac:dyDescent="0.4">
      <c r="F5746" s="129"/>
      <c r="G5746" s="129"/>
      <c r="H5746" s="130"/>
      <c r="I5746" s="108"/>
      <c r="J5746" s="78"/>
      <c r="K5746" s="230"/>
      <c r="N5746" s="146"/>
    </row>
    <row r="5747" spans="1:16" ht="15" customHeight="1" thickBot="1" x14ac:dyDescent="0.45">
      <c r="F5747" s="77"/>
      <c r="J5747" s="78"/>
      <c r="N5747" s="146"/>
    </row>
    <row r="5748" spans="1:16" ht="17.399999999999999" thickBot="1" x14ac:dyDescent="0.45">
      <c r="F5748" s="292" t="s">
        <v>20</v>
      </c>
      <c r="G5748" s="293"/>
      <c r="H5748" s="293"/>
      <c r="I5748" s="294"/>
      <c r="J5748" s="78"/>
      <c r="K5748" s="229">
        <f>(+K5719+K5728+K5737+K5745)</f>
        <v>3195</v>
      </c>
      <c r="L5748" s="119">
        <f>(+L5719+L5728+L5737+L5745)</f>
        <v>3195</v>
      </c>
      <c r="N5748" s="149"/>
      <c r="O5748" s="39"/>
      <c r="P5748" s="40"/>
    </row>
    <row r="5749" spans="1:16" ht="7.5" customHeight="1" thickBot="1" x14ac:dyDescent="0.45">
      <c r="F5749" s="77"/>
      <c r="J5749" s="78"/>
      <c r="N5749" s="149"/>
      <c r="O5749" s="41"/>
      <c r="P5749" s="40"/>
    </row>
    <row r="5750" spans="1:16" ht="17.399999999999999" thickBot="1" x14ac:dyDescent="0.45">
      <c r="F5750" s="292" t="s">
        <v>21</v>
      </c>
      <c r="G5750" s="293"/>
      <c r="H5750" s="293"/>
      <c r="I5750" s="294"/>
      <c r="J5750" s="78"/>
      <c r="K5750" s="229">
        <f>K5748*$N$2</f>
        <v>1278</v>
      </c>
      <c r="L5750" s="119">
        <f>L5748*$N$2</f>
        <v>1278</v>
      </c>
      <c r="N5750" s="146"/>
    </row>
    <row r="5751" spans="1:16" ht="7.5" customHeight="1" thickBot="1" x14ac:dyDescent="0.45">
      <c r="F5751" s="77"/>
      <c r="J5751" s="78"/>
      <c r="N5751" s="146"/>
    </row>
    <row r="5752" spans="1:16" ht="17.399999999999999" thickBot="1" x14ac:dyDescent="0.45">
      <c r="F5752" s="292" t="s">
        <v>22</v>
      </c>
      <c r="G5752" s="293"/>
      <c r="H5752" s="293"/>
      <c r="I5752" s="294"/>
      <c r="J5752" s="78"/>
      <c r="K5752" s="229">
        <f>+K5748+K5750</f>
        <v>4473</v>
      </c>
      <c r="L5752" s="119">
        <f>+L5748+L5750</f>
        <v>4473</v>
      </c>
      <c r="N5752" s="146"/>
    </row>
    <row r="5753" spans="1:16" ht="17.399999999999999" thickBot="1" x14ac:dyDescent="0.45">
      <c r="F5753" s="129"/>
      <c r="G5753" s="129"/>
      <c r="H5753" s="130"/>
      <c r="I5753" s="108"/>
      <c r="J5753" s="78"/>
      <c r="K5753" s="231"/>
      <c r="L5753" s="132">
        <f>L5752/I5704</f>
        <v>4473</v>
      </c>
      <c r="M5753" s="133">
        <f>(K5752-L5753)*I5704</f>
        <v>0</v>
      </c>
      <c r="N5753" s="146"/>
    </row>
    <row r="5754" spans="1:16" x14ac:dyDescent="0.4">
      <c r="F5754" s="129"/>
      <c r="G5754" s="129"/>
      <c r="H5754" s="130"/>
      <c r="I5754" s="108"/>
      <c r="J5754" s="78"/>
      <c r="K5754" s="232"/>
      <c r="L5754" s="131"/>
      <c r="M5754" s="134"/>
      <c r="N5754" s="150"/>
    </row>
    <row r="5755" spans="1:16" ht="17.399999999999999" thickBot="1" x14ac:dyDescent="0.45">
      <c r="B5755" s="295"/>
      <c r="C5755" s="295"/>
      <c r="D5755" s="295"/>
      <c r="F5755" s="77"/>
      <c r="J5755" s="78"/>
      <c r="N5755" s="146"/>
    </row>
    <row r="5756" spans="1:16" x14ac:dyDescent="0.4">
      <c r="B5756" s="296" t="s">
        <v>23</v>
      </c>
      <c r="C5756" s="296"/>
      <c r="D5756" s="296"/>
      <c r="F5756" s="77"/>
      <c r="J5756" s="78"/>
      <c r="N5756" s="146"/>
    </row>
    <row r="5757" spans="1:16" x14ac:dyDescent="0.4">
      <c r="B5757" s="157"/>
      <c r="C5757" s="157"/>
      <c r="D5757" s="157"/>
      <c r="F5757" s="77"/>
      <c r="J5757" s="78"/>
      <c r="N5757" s="146"/>
    </row>
    <row r="5758" spans="1:16" x14ac:dyDescent="0.4">
      <c r="B5758" s="157"/>
      <c r="C5758" s="157"/>
      <c r="D5758" s="157"/>
      <c r="F5758" s="77"/>
      <c r="J5758" s="78"/>
      <c r="N5758" s="146"/>
    </row>
    <row r="5759" spans="1:16" x14ac:dyDescent="0.4">
      <c r="B5759" s="105" t="s">
        <v>43</v>
      </c>
      <c r="C5759" s="106"/>
      <c r="D5759" s="311" t="s">
        <v>1</v>
      </c>
      <c r="E5759" s="311"/>
      <c r="F5759" s="311"/>
      <c r="G5759" s="311"/>
      <c r="H5759" s="106"/>
      <c r="I5759" s="107" t="s">
        <v>2</v>
      </c>
      <c r="J5759" s="108"/>
      <c r="K5759" s="107" t="s">
        <v>3</v>
      </c>
      <c r="N5759" s="146"/>
    </row>
    <row r="5760" spans="1:16" s="4" customFormat="1" ht="30.75" customHeight="1" x14ac:dyDescent="0.3">
      <c r="A5760" s="31"/>
      <c r="B5760" s="213">
        <f>CATALOGO!B160</f>
        <v>1413.06</v>
      </c>
      <c r="C5760" s="71"/>
      <c r="D5760" s="312" t="str">
        <f>CATALOGO!C160</f>
        <v>MURO PERIMETRAL DE 0.15m, H=2.0m</v>
      </c>
      <c r="E5760" s="312"/>
      <c r="F5760" s="312"/>
      <c r="G5760" s="312"/>
      <c r="H5760" s="71"/>
      <c r="I5760" s="213">
        <f>CATALOGO!D160</f>
        <v>30</v>
      </c>
      <c r="J5760" s="109"/>
      <c r="K5760" s="227" t="str">
        <f>CATALOGO!E160</f>
        <v>ml</v>
      </c>
      <c r="L5760" s="71"/>
      <c r="M5760" s="71"/>
      <c r="N5760" s="147"/>
      <c r="O5760" s="37"/>
      <c r="P5760" s="37"/>
    </row>
    <row r="5761" spans="1:16" ht="17.399999999999999" thickBot="1" x14ac:dyDescent="0.45">
      <c r="F5761" s="77"/>
      <c r="J5761" s="78"/>
      <c r="N5761" s="146"/>
    </row>
    <row r="5762" spans="1:16" ht="17.399999999999999" thickBot="1" x14ac:dyDescent="0.45">
      <c r="B5762" s="110" t="s">
        <v>4</v>
      </c>
      <c r="C5762" s="300" t="s">
        <v>5</v>
      </c>
      <c r="D5762" s="300"/>
      <c r="E5762" s="300"/>
      <c r="F5762" s="300"/>
      <c r="G5762" s="301"/>
      <c r="J5762" s="78"/>
      <c r="N5762" s="146"/>
    </row>
    <row r="5763" spans="1:16" s="20" customFormat="1" x14ac:dyDescent="0.4">
      <c r="A5763" s="53"/>
      <c r="B5763" s="111" t="s">
        <v>6</v>
      </c>
      <c r="C5763" s="313" t="s">
        <v>1</v>
      </c>
      <c r="D5763" s="314"/>
      <c r="E5763" s="112" t="s">
        <v>193</v>
      </c>
      <c r="F5763" s="111" t="s">
        <v>2</v>
      </c>
      <c r="G5763" s="114" t="s">
        <v>3</v>
      </c>
      <c r="H5763" s="106"/>
      <c r="I5763" s="107" t="s">
        <v>7</v>
      </c>
      <c r="J5763" s="108"/>
      <c r="K5763" s="228" t="s">
        <v>8</v>
      </c>
      <c r="L5763" s="115" t="s">
        <v>194</v>
      </c>
      <c r="M5763" s="17"/>
      <c r="N5763" s="146"/>
      <c r="O5763" s="36"/>
      <c r="P5763" s="36"/>
    </row>
    <row r="5764" spans="1:16" s="20" customFormat="1" ht="16.5" customHeight="1" x14ac:dyDescent="0.4">
      <c r="A5764" s="53"/>
      <c r="B5764" s="122">
        <v>1</v>
      </c>
      <c r="C5764" s="315" t="s">
        <v>169</v>
      </c>
      <c r="D5764" s="316"/>
      <c r="E5764" s="116">
        <f>I5760*1.25</f>
        <v>37.5</v>
      </c>
      <c r="F5764" s="83">
        <f>ROUND(E5764/I5760,2)</f>
        <v>1.25</v>
      </c>
      <c r="G5764" s="74" t="str">
        <f>IF(C5764=0,0,VLOOKUP(C5764,Tabla1[],2,FALSE))</f>
        <v>Varilla</v>
      </c>
      <c r="H5764" s="17"/>
      <c r="I5764" s="117">
        <f>IF(C5764=0,0,VLOOKUP(C5764,Tabla1[],3,FALSE))</f>
        <v>40</v>
      </c>
      <c r="J5764" s="97"/>
      <c r="K5764" s="84">
        <f>+F5764*I5764</f>
        <v>50</v>
      </c>
      <c r="L5764" s="118">
        <f>E5764*I5764</f>
        <v>1500</v>
      </c>
      <c r="M5764" s="17"/>
      <c r="N5764" s="146"/>
      <c r="O5764" s="36"/>
      <c r="P5764" s="36"/>
    </row>
    <row r="5765" spans="1:16" s="20" customFormat="1" ht="16.5" customHeight="1" x14ac:dyDescent="0.4">
      <c r="A5765" s="53"/>
      <c r="B5765" s="122">
        <v>2</v>
      </c>
      <c r="C5765" s="315" t="s">
        <v>214</v>
      </c>
      <c r="D5765" s="316"/>
      <c r="E5765" s="116">
        <f>I5760*2</f>
        <v>60</v>
      </c>
      <c r="F5765" s="83">
        <f>ROUND(E5765/I5760,2)</f>
        <v>2</v>
      </c>
      <c r="G5765" s="74" t="str">
        <f>IF(C5765=0,0,VLOOKUP(C5765,Tabla1[],2,FALSE))</f>
        <v>Saco</v>
      </c>
      <c r="H5765" s="17"/>
      <c r="I5765" s="117">
        <f>IF(C5765=0,0,VLOOKUP(C5765,Tabla1[],3,FALSE))</f>
        <v>80</v>
      </c>
      <c r="J5765" s="97"/>
      <c r="K5765" s="84">
        <f t="shared" ref="K5765:K5773" si="875">+F5765*I5765</f>
        <v>160</v>
      </c>
      <c r="L5765" s="118">
        <f t="shared" ref="L5765:L5773" si="876">E5765*I5765</f>
        <v>4800</v>
      </c>
      <c r="M5765" s="17"/>
      <c r="N5765" s="146"/>
      <c r="O5765" s="36"/>
      <c r="P5765" s="36"/>
    </row>
    <row r="5766" spans="1:16" s="20" customFormat="1" ht="16.5" customHeight="1" x14ac:dyDescent="0.4">
      <c r="A5766" s="53"/>
      <c r="B5766" s="122">
        <v>3</v>
      </c>
      <c r="C5766" s="315" t="s">
        <v>73</v>
      </c>
      <c r="D5766" s="316"/>
      <c r="E5766" s="116">
        <f>I5760*0.3</f>
        <v>9</v>
      </c>
      <c r="F5766" s="83">
        <f>ROUND(E5766/I5760,2)</f>
        <v>0.3</v>
      </c>
      <c r="G5766" s="74" t="str">
        <f>IF(C5766=0,0,VLOOKUP(C5766,Tabla1[],2,FALSE))</f>
        <v>m³</v>
      </c>
      <c r="H5766" s="17"/>
      <c r="I5766" s="117">
        <f>IF(C5766=0,0,VLOOKUP(C5766,Tabla1[],3,FALSE))</f>
        <v>250</v>
      </c>
      <c r="J5766" s="97"/>
      <c r="K5766" s="84">
        <f t="shared" si="875"/>
        <v>75</v>
      </c>
      <c r="L5766" s="118">
        <f t="shared" si="876"/>
        <v>2250</v>
      </c>
      <c r="M5766" s="17"/>
      <c r="N5766" s="146"/>
      <c r="O5766" s="36"/>
      <c r="P5766" s="36"/>
    </row>
    <row r="5767" spans="1:16" s="20" customFormat="1" ht="16.5" customHeight="1" x14ac:dyDescent="0.4">
      <c r="A5767" s="53"/>
      <c r="B5767" s="122">
        <v>4</v>
      </c>
      <c r="C5767" s="315" t="s">
        <v>230</v>
      </c>
      <c r="D5767" s="316"/>
      <c r="E5767" s="116">
        <f>I5760*0.26</f>
        <v>7.8000000000000007</v>
      </c>
      <c r="F5767" s="83">
        <f>ROUND(E5767/I5760,2)</f>
        <v>0.26</v>
      </c>
      <c r="G5767" s="74" t="str">
        <f>IF(C5767=0,0,VLOOKUP(C5767,Tabla1[],2,FALSE))</f>
        <v>m³</v>
      </c>
      <c r="H5767" s="17"/>
      <c r="I5767" s="117">
        <f>IF(C5767=0,0,VLOOKUP(C5767,Tabla1[],3,FALSE))</f>
        <v>250</v>
      </c>
      <c r="J5767" s="97"/>
      <c r="K5767" s="84">
        <f t="shared" si="875"/>
        <v>65</v>
      </c>
      <c r="L5767" s="118">
        <f t="shared" si="876"/>
        <v>1950.0000000000002</v>
      </c>
      <c r="M5767" s="17"/>
      <c r="N5767" s="146"/>
      <c r="O5767" s="36"/>
      <c r="P5767" s="36"/>
    </row>
    <row r="5768" spans="1:16" s="20" customFormat="1" ht="16.5" customHeight="1" x14ac:dyDescent="0.4">
      <c r="A5768" s="53"/>
      <c r="B5768" s="122">
        <v>5</v>
      </c>
      <c r="C5768" s="315" t="s">
        <v>180</v>
      </c>
      <c r="D5768" s="316"/>
      <c r="E5768" s="116">
        <f>I5760*20</f>
        <v>600</v>
      </c>
      <c r="F5768" s="83">
        <f>ROUND(E5768/I5760,2)</f>
        <v>20</v>
      </c>
      <c r="G5768" s="74" t="str">
        <f>IF(C5768=0,0,VLOOKUP(C5768,Tabla1[],2,FALSE))</f>
        <v>pt</v>
      </c>
      <c r="H5768" s="17"/>
      <c r="I5768" s="117">
        <f>IF(C5768=0,0,VLOOKUP(C5768,Tabla1[],3,FALSE))</f>
        <v>9</v>
      </c>
      <c r="J5768" s="97"/>
      <c r="K5768" s="84">
        <f t="shared" si="875"/>
        <v>180</v>
      </c>
      <c r="L5768" s="118">
        <f t="shared" si="876"/>
        <v>5400</v>
      </c>
      <c r="M5768" s="17"/>
      <c r="N5768" s="146"/>
      <c r="O5768" s="36"/>
      <c r="P5768" s="36"/>
    </row>
    <row r="5769" spans="1:16" s="20" customFormat="1" ht="16.5" customHeight="1" x14ac:dyDescent="0.4">
      <c r="A5769" s="53"/>
      <c r="B5769" s="122">
        <v>6</v>
      </c>
      <c r="C5769" s="315" t="s">
        <v>369</v>
      </c>
      <c r="D5769" s="316"/>
      <c r="E5769" s="116">
        <f>I5760*3</f>
        <v>90</v>
      </c>
      <c r="F5769" s="83">
        <f>ROUND(E5769/I5760,2)</f>
        <v>3</v>
      </c>
      <c r="G5769" s="74" t="str">
        <f>IF(C5769=0,0,VLOOKUP(C5769,Tabla1[],2,FALSE))</f>
        <v>Libra</v>
      </c>
      <c r="H5769" s="17"/>
      <c r="I5769" s="117">
        <f>IF(C5769=0,0,VLOOKUP(C5769,Tabla1[],3,FALSE))</f>
        <v>8</v>
      </c>
      <c r="J5769" s="97"/>
      <c r="K5769" s="84">
        <f t="shared" si="875"/>
        <v>24</v>
      </c>
      <c r="L5769" s="118">
        <f t="shared" si="876"/>
        <v>720</v>
      </c>
      <c r="M5769" s="17"/>
      <c r="N5769" s="146"/>
      <c r="O5769" s="36"/>
      <c r="P5769" s="36"/>
    </row>
    <row r="5770" spans="1:16" s="20" customFormat="1" ht="16.5" customHeight="1" x14ac:dyDescent="0.4">
      <c r="A5770" s="53"/>
      <c r="B5770" s="122">
        <v>7</v>
      </c>
      <c r="C5770" s="315" t="s">
        <v>275</v>
      </c>
      <c r="D5770" s="316"/>
      <c r="E5770" s="116">
        <f>I5760*30</f>
        <v>900</v>
      </c>
      <c r="F5770" s="83">
        <f>ROUND(E5770/I5760,2)</f>
        <v>30</v>
      </c>
      <c r="G5770" s="74" t="str">
        <f>IF(C5770=0,0,VLOOKUP(C5770,Tabla1[],2,FALSE))</f>
        <v>Unidad</v>
      </c>
      <c r="H5770" s="17"/>
      <c r="I5770" s="117">
        <f>IF(C5770=0,0,VLOOKUP(C5770,Tabla1[],3,FALSE))</f>
        <v>8</v>
      </c>
      <c r="J5770" s="97"/>
      <c r="K5770" s="84">
        <f t="shared" si="875"/>
        <v>240</v>
      </c>
      <c r="L5770" s="118">
        <f t="shared" si="876"/>
        <v>7200</v>
      </c>
      <c r="M5770" s="17"/>
      <c r="N5770" s="146"/>
      <c r="O5770" s="36"/>
      <c r="P5770" s="36"/>
    </row>
    <row r="5771" spans="1:16" s="20" customFormat="1" x14ac:dyDescent="0.4">
      <c r="A5771" s="53"/>
      <c r="B5771" s="122">
        <v>8</v>
      </c>
      <c r="C5771" s="319" t="s">
        <v>313</v>
      </c>
      <c r="D5771" s="318"/>
      <c r="E5771" s="116">
        <f>I5760*2.5</f>
        <v>75</v>
      </c>
      <c r="F5771" s="83">
        <f>ROUND(E5771/I5760,2)</f>
        <v>2.5</v>
      </c>
      <c r="G5771" s="74" t="str">
        <f>IF(C5771=0,0,VLOOKUP(C5771,Tabla1[],2,FALSE))</f>
        <v>Varilla</v>
      </c>
      <c r="H5771" s="17"/>
      <c r="I5771" s="117">
        <f>IF(C5771=0,0,VLOOKUP(C5771,Tabla1[],3,FALSE))</f>
        <v>20</v>
      </c>
      <c r="J5771" s="97"/>
      <c r="K5771" s="84">
        <f t="shared" si="875"/>
        <v>50</v>
      </c>
      <c r="L5771" s="118">
        <f t="shared" si="876"/>
        <v>1500</v>
      </c>
      <c r="M5771" s="17"/>
      <c r="N5771" s="146"/>
      <c r="O5771" s="36"/>
      <c r="P5771" s="36"/>
    </row>
    <row r="5772" spans="1:16" s="20" customFormat="1" x14ac:dyDescent="0.4">
      <c r="A5772" s="53"/>
      <c r="B5772" s="122">
        <v>9</v>
      </c>
      <c r="C5772" s="319" t="s">
        <v>175</v>
      </c>
      <c r="D5772" s="318"/>
      <c r="E5772" s="116">
        <f>I5760*0.6</f>
        <v>18</v>
      </c>
      <c r="F5772" s="83">
        <f>ROUND(E5772/I5760,2)</f>
        <v>0.6</v>
      </c>
      <c r="G5772" s="74" t="str">
        <f>IF(C5772=0,0,VLOOKUP(C5772,Tabla1[],2,FALSE))</f>
        <v>Libra</v>
      </c>
      <c r="H5772" s="17"/>
      <c r="I5772" s="117">
        <f>IF(C5772=0,0,VLOOKUP(C5772,Tabla1[],3,FALSE))</f>
        <v>10</v>
      </c>
      <c r="J5772" s="97"/>
      <c r="K5772" s="84">
        <f t="shared" si="875"/>
        <v>6</v>
      </c>
      <c r="L5772" s="118">
        <f t="shared" si="876"/>
        <v>180</v>
      </c>
      <c r="M5772" s="17"/>
      <c r="N5772" s="146"/>
      <c r="O5772" s="36"/>
      <c r="P5772" s="36"/>
    </row>
    <row r="5773" spans="1:16" s="20" customFormat="1" x14ac:dyDescent="0.4">
      <c r="A5773" s="53"/>
      <c r="B5773" s="122"/>
      <c r="C5773" s="319"/>
      <c r="D5773" s="318"/>
      <c r="E5773" s="116"/>
      <c r="F5773" s="148"/>
      <c r="G5773" s="74"/>
      <c r="H5773" s="17"/>
      <c r="I5773" s="117">
        <f>IF(C5773=0,0,VLOOKUP(C5773,Tabla1[],3,FALSE))</f>
        <v>0</v>
      </c>
      <c r="J5773" s="97"/>
      <c r="K5773" s="84">
        <f t="shared" si="875"/>
        <v>0</v>
      </c>
      <c r="L5773" s="118">
        <f t="shared" si="876"/>
        <v>0</v>
      </c>
      <c r="M5773" s="17"/>
      <c r="N5773" s="146"/>
      <c r="O5773" s="36"/>
      <c r="P5773" s="36"/>
    </row>
    <row r="5774" spans="1:16" s="20" customFormat="1" ht="17.399999999999999" thickBot="1" x14ac:dyDescent="0.45">
      <c r="A5774" s="53"/>
      <c r="B5774" s="77"/>
      <c r="C5774" s="17"/>
      <c r="D5774" s="17"/>
      <c r="E5774" s="76"/>
      <c r="F5774" s="77"/>
      <c r="G5774" s="77"/>
      <c r="H5774" s="17"/>
      <c r="I5774" s="78"/>
      <c r="J5774" s="78"/>
      <c r="K5774" s="78"/>
      <c r="L5774" s="17"/>
      <c r="M5774" s="17"/>
      <c r="N5774" s="146"/>
      <c r="O5774" s="36"/>
      <c r="P5774" s="36"/>
    </row>
    <row r="5775" spans="1:16" s="20" customFormat="1" ht="17.399999999999999" thickBot="1" x14ac:dyDescent="0.45">
      <c r="A5775" s="53"/>
      <c r="B5775" s="77"/>
      <c r="C5775" s="17"/>
      <c r="D5775" s="17"/>
      <c r="E5775" s="76"/>
      <c r="F5775" s="292" t="s">
        <v>9</v>
      </c>
      <c r="G5775" s="293"/>
      <c r="H5775" s="293"/>
      <c r="I5775" s="294"/>
      <c r="J5775" s="78"/>
      <c r="K5775" s="229">
        <f>+SUM(K5764:K5773)</f>
        <v>850</v>
      </c>
      <c r="L5775" s="119">
        <f>+SUM(L5764:L5773)</f>
        <v>25500</v>
      </c>
      <c r="M5775" s="17"/>
      <c r="N5775" s="146"/>
      <c r="O5775" s="36"/>
      <c r="P5775" s="36"/>
    </row>
    <row r="5776" spans="1:16" s="20" customFormat="1" ht="17.399999999999999" thickBot="1" x14ac:dyDescent="0.45">
      <c r="A5776" s="53"/>
      <c r="B5776" s="77"/>
      <c r="C5776" s="17"/>
      <c r="D5776" s="17"/>
      <c r="E5776" s="76"/>
      <c r="F5776" s="77"/>
      <c r="G5776" s="77"/>
      <c r="H5776" s="17"/>
      <c r="I5776" s="78"/>
      <c r="J5776" s="78"/>
      <c r="K5776" s="78"/>
      <c r="L5776" s="17"/>
      <c r="M5776" s="17"/>
      <c r="N5776" s="146"/>
      <c r="O5776" s="36"/>
      <c r="P5776" s="36"/>
    </row>
    <row r="5777" spans="1:16" s="20" customFormat="1" ht="17.399999999999999" thickBot="1" x14ac:dyDescent="0.45">
      <c r="A5777" s="53"/>
      <c r="B5777" s="110" t="s">
        <v>10</v>
      </c>
      <c r="C5777" s="300" t="s">
        <v>11</v>
      </c>
      <c r="D5777" s="300"/>
      <c r="E5777" s="300"/>
      <c r="F5777" s="300"/>
      <c r="G5777" s="301"/>
      <c r="H5777" s="17"/>
      <c r="I5777" s="78"/>
      <c r="J5777" s="78"/>
      <c r="K5777" s="78"/>
      <c r="L5777" s="17"/>
      <c r="M5777" s="17"/>
      <c r="N5777" s="146"/>
      <c r="O5777" s="36"/>
      <c r="P5777" s="36"/>
    </row>
    <row r="5778" spans="1:16" s="20" customFormat="1" x14ac:dyDescent="0.4">
      <c r="A5778" s="53"/>
      <c r="B5778" s="114" t="s">
        <v>6</v>
      </c>
      <c r="C5778" s="302" t="s">
        <v>1</v>
      </c>
      <c r="D5778" s="303"/>
      <c r="E5778" s="112" t="s">
        <v>193</v>
      </c>
      <c r="F5778" s="114" t="s">
        <v>2</v>
      </c>
      <c r="G5778" s="114" t="s">
        <v>3</v>
      </c>
      <c r="H5778" s="106"/>
      <c r="I5778" s="107" t="s">
        <v>7</v>
      </c>
      <c r="J5778" s="108"/>
      <c r="K5778" s="107" t="s">
        <v>8</v>
      </c>
      <c r="L5778" s="115" t="s">
        <v>194</v>
      </c>
      <c r="M5778" s="17"/>
      <c r="N5778" s="146"/>
      <c r="O5778" s="36"/>
      <c r="P5778" s="36"/>
    </row>
    <row r="5779" spans="1:16" s="20" customFormat="1" x14ac:dyDescent="0.4">
      <c r="A5779" s="53"/>
      <c r="B5779" s="122"/>
      <c r="C5779" s="306"/>
      <c r="D5779" s="306"/>
      <c r="E5779" s="116"/>
      <c r="F5779" s="148"/>
      <c r="G5779" s="74"/>
      <c r="H5779" s="17"/>
      <c r="I5779" s="117">
        <f>IF(C5779=0,0,VLOOKUP(C5779,Tabla3[],3,FALSE))</f>
        <v>0</v>
      </c>
      <c r="J5779" s="97"/>
      <c r="K5779" s="84">
        <f t="shared" ref="K5779:K5782" si="877">+F5779*I5779</f>
        <v>0</v>
      </c>
      <c r="L5779" s="118">
        <f>E5779*I5779</f>
        <v>0</v>
      </c>
      <c r="M5779" s="17"/>
      <c r="N5779" s="146"/>
      <c r="O5779" s="36"/>
      <c r="P5779" s="36"/>
    </row>
    <row r="5780" spans="1:16" s="20" customFormat="1" x14ac:dyDescent="0.4">
      <c r="A5780" s="53"/>
      <c r="B5780" s="74"/>
      <c r="C5780" s="309"/>
      <c r="D5780" s="310"/>
      <c r="E5780" s="121"/>
      <c r="F5780" s="74"/>
      <c r="G5780" s="74"/>
      <c r="H5780" s="17"/>
      <c r="I5780" s="117">
        <f>IF(C5780=0,0,VLOOKUP(C5780,Tabla3[],3,FALSE))</f>
        <v>0</v>
      </c>
      <c r="J5780" s="97"/>
      <c r="K5780" s="84">
        <f t="shared" si="877"/>
        <v>0</v>
      </c>
      <c r="L5780" s="118">
        <f t="shared" ref="L5780:L5782" si="878">E5780*I5780</f>
        <v>0</v>
      </c>
      <c r="M5780" s="17"/>
      <c r="N5780" s="146"/>
      <c r="O5780" s="36"/>
      <c r="P5780" s="36"/>
    </row>
    <row r="5781" spans="1:16" s="20" customFormat="1" x14ac:dyDescent="0.4">
      <c r="A5781" s="53"/>
      <c r="B5781" s="74"/>
      <c r="C5781" s="309"/>
      <c r="D5781" s="310"/>
      <c r="E5781" s="121"/>
      <c r="F5781" s="74"/>
      <c r="G5781" s="74"/>
      <c r="H5781" s="17"/>
      <c r="I5781" s="117">
        <f>IF(C5781=0,0,VLOOKUP(C5781,Tabla3[],3,FALSE))</f>
        <v>0</v>
      </c>
      <c r="J5781" s="97"/>
      <c r="K5781" s="84">
        <f t="shared" si="877"/>
        <v>0</v>
      </c>
      <c r="L5781" s="118">
        <f t="shared" si="878"/>
        <v>0</v>
      </c>
      <c r="M5781" s="17"/>
      <c r="N5781" s="146"/>
      <c r="O5781" s="36"/>
      <c r="P5781" s="36"/>
    </row>
    <row r="5782" spans="1:16" s="20" customFormat="1" x14ac:dyDescent="0.4">
      <c r="A5782" s="53"/>
      <c r="B5782" s="74"/>
      <c r="C5782" s="304"/>
      <c r="D5782" s="305"/>
      <c r="E5782" s="121"/>
      <c r="F5782" s="74"/>
      <c r="G5782" s="74"/>
      <c r="H5782" s="17"/>
      <c r="I5782" s="117">
        <f>IF(C5782=0,0,VLOOKUP(C5782,Tabla3[],3,FALSE))</f>
        <v>0</v>
      </c>
      <c r="J5782" s="97"/>
      <c r="K5782" s="84">
        <f t="shared" si="877"/>
        <v>0</v>
      </c>
      <c r="L5782" s="118">
        <f t="shared" si="878"/>
        <v>0</v>
      </c>
      <c r="M5782" s="17"/>
      <c r="N5782" s="146"/>
      <c r="O5782" s="36"/>
      <c r="P5782" s="36"/>
    </row>
    <row r="5783" spans="1:16" s="20" customFormat="1" ht="17.399999999999999" thickBot="1" x14ac:dyDescent="0.45">
      <c r="A5783" s="53"/>
      <c r="B5783" s="77"/>
      <c r="C5783" s="17"/>
      <c r="D5783" s="17"/>
      <c r="E5783" s="76"/>
      <c r="F5783" s="77"/>
      <c r="G5783" s="77"/>
      <c r="H5783" s="17"/>
      <c r="I5783" s="78"/>
      <c r="J5783" s="78"/>
      <c r="K5783" s="78"/>
      <c r="L5783" s="17"/>
      <c r="M5783" s="17"/>
      <c r="N5783" s="146"/>
      <c r="O5783" s="36"/>
      <c r="P5783" s="36"/>
    </row>
    <row r="5784" spans="1:16" s="20" customFormat="1" ht="17.399999999999999" thickBot="1" x14ac:dyDescent="0.45">
      <c r="A5784" s="53"/>
      <c r="B5784" s="77"/>
      <c r="C5784" s="17"/>
      <c r="D5784" s="17"/>
      <c r="E5784" s="76"/>
      <c r="F5784" s="292" t="s">
        <v>12</v>
      </c>
      <c r="G5784" s="293"/>
      <c r="H5784" s="293"/>
      <c r="I5784" s="294"/>
      <c r="J5784" s="78"/>
      <c r="K5784" s="229">
        <f>+SUM(K5779:K5782)</f>
        <v>0</v>
      </c>
      <c r="L5784" s="119">
        <f>+SUM(L5779:L5782)</f>
        <v>0</v>
      </c>
      <c r="M5784" s="17"/>
      <c r="N5784" s="146"/>
      <c r="O5784" s="36"/>
      <c r="P5784" s="36"/>
    </row>
    <row r="5785" spans="1:16" s="20" customFormat="1" ht="17.399999999999999" thickBot="1" x14ac:dyDescent="0.45">
      <c r="A5785" s="53"/>
      <c r="B5785" s="77"/>
      <c r="C5785" s="17"/>
      <c r="D5785" s="17"/>
      <c r="E5785" s="76"/>
      <c r="F5785" s="77"/>
      <c r="G5785" s="77"/>
      <c r="H5785" s="17"/>
      <c r="I5785" s="78"/>
      <c r="J5785" s="78"/>
      <c r="K5785" s="78"/>
      <c r="L5785" s="17"/>
      <c r="M5785" s="17"/>
      <c r="N5785" s="146"/>
      <c r="O5785" s="36"/>
      <c r="P5785" s="36"/>
    </row>
    <row r="5786" spans="1:16" s="20" customFormat="1" ht="17.399999999999999" thickBot="1" x14ac:dyDescent="0.45">
      <c r="A5786" s="53"/>
      <c r="B5786" s="110" t="s">
        <v>13</v>
      </c>
      <c r="C5786" s="300" t="s">
        <v>14</v>
      </c>
      <c r="D5786" s="300"/>
      <c r="E5786" s="300"/>
      <c r="F5786" s="300"/>
      <c r="G5786" s="301"/>
      <c r="H5786" s="17"/>
      <c r="I5786" s="78"/>
      <c r="J5786" s="78"/>
      <c r="K5786" s="78"/>
      <c r="L5786" s="17"/>
      <c r="M5786" s="17"/>
      <c r="N5786" s="146"/>
      <c r="O5786" s="36"/>
      <c r="P5786" s="36"/>
    </row>
    <row r="5787" spans="1:16" s="20" customFormat="1" x14ac:dyDescent="0.4">
      <c r="A5787" s="53"/>
      <c r="B5787" s="114" t="s">
        <v>6</v>
      </c>
      <c r="C5787" s="302" t="s">
        <v>1</v>
      </c>
      <c r="D5787" s="303"/>
      <c r="E5787" s="112" t="s">
        <v>193</v>
      </c>
      <c r="F5787" s="114" t="s">
        <v>2</v>
      </c>
      <c r="G5787" s="114" t="s">
        <v>3</v>
      </c>
      <c r="H5787" s="106"/>
      <c r="I5787" s="107" t="s">
        <v>7</v>
      </c>
      <c r="J5787" s="108"/>
      <c r="K5787" s="107" t="s">
        <v>8</v>
      </c>
      <c r="L5787" s="115" t="s">
        <v>194</v>
      </c>
      <c r="M5787" s="17"/>
      <c r="N5787" s="146"/>
      <c r="O5787" s="36"/>
      <c r="P5787" s="36"/>
    </row>
    <row r="5788" spans="1:16" s="20" customFormat="1" x14ac:dyDescent="0.4">
      <c r="A5788" s="53"/>
      <c r="B5788" s="122">
        <v>1</v>
      </c>
      <c r="C5788" s="306" t="s">
        <v>490</v>
      </c>
      <c r="D5788" s="306"/>
      <c r="E5788" s="116">
        <f>I5760</f>
        <v>30</v>
      </c>
      <c r="F5788" s="148">
        <f>ROUND(E5788/I5760,2)</f>
        <v>1</v>
      </c>
      <c r="G5788" s="74" t="str">
        <f>IF(C5788=0,0,VLOOKUP(C5788,Tabla2[],2,FALSE))</f>
        <v>ml</v>
      </c>
      <c r="H5788" s="17"/>
      <c r="I5788" s="117">
        <f>IF(C5788=0,0,VLOOKUP(C5788,Tabla2[],3,FALSE))</f>
        <v>400</v>
      </c>
      <c r="J5788" s="97"/>
      <c r="K5788" s="84">
        <f>+F5788*I5788</f>
        <v>400</v>
      </c>
      <c r="L5788" s="118">
        <f>E5788*I5788</f>
        <v>12000</v>
      </c>
      <c r="M5788" s="17"/>
      <c r="N5788" s="146"/>
      <c r="O5788" s="36"/>
      <c r="P5788" s="36"/>
    </row>
    <row r="5789" spans="1:16" s="20" customFormat="1" x14ac:dyDescent="0.4">
      <c r="A5789" s="53"/>
      <c r="B5789" s="122"/>
      <c r="C5789" s="306"/>
      <c r="D5789" s="306"/>
      <c r="E5789" s="116"/>
      <c r="F5789" s="148"/>
      <c r="G5789" s="74"/>
      <c r="H5789" s="17"/>
      <c r="I5789" s="117">
        <f>IF(C5789=0,0,VLOOKUP(C5789,Tabla2[],3,FALSE))</f>
        <v>0</v>
      </c>
      <c r="J5789" s="97"/>
      <c r="K5789" s="84">
        <f t="shared" ref="K5789:K5790" si="879">+F5789*I5789</f>
        <v>0</v>
      </c>
      <c r="L5789" s="118">
        <f t="shared" ref="L5789:L5791" si="880">E5789*I5789</f>
        <v>0</v>
      </c>
      <c r="M5789" s="17"/>
      <c r="N5789" s="146"/>
      <c r="O5789" s="36"/>
      <c r="P5789" s="36"/>
    </row>
    <row r="5790" spans="1:16" s="20" customFormat="1" ht="17.399999999999999" thickBot="1" x14ac:dyDescent="0.45">
      <c r="A5790" s="53"/>
      <c r="B5790" s="123"/>
      <c r="C5790" s="307"/>
      <c r="D5790" s="308"/>
      <c r="E5790" s="124"/>
      <c r="F5790" s="123"/>
      <c r="G5790" s="74"/>
      <c r="H5790" s="17"/>
      <c r="I5790" s="117">
        <f>IF(C5790=0,0,VLOOKUP(C5790,Tabla2[],3,FALSE))</f>
        <v>0</v>
      </c>
      <c r="J5790" s="97"/>
      <c r="K5790" s="84">
        <f t="shared" si="879"/>
        <v>0</v>
      </c>
      <c r="L5790" s="118">
        <f t="shared" si="880"/>
        <v>0</v>
      </c>
      <c r="M5790" s="17"/>
      <c r="N5790" s="146"/>
      <c r="O5790" s="36"/>
      <c r="P5790" s="36"/>
    </row>
    <row r="5791" spans="1:16" s="20" customFormat="1" ht="17.399999999999999" thickBot="1" x14ac:dyDescent="0.45">
      <c r="A5791" s="53"/>
      <c r="B5791" s="297" t="s">
        <v>15</v>
      </c>
      <c r="C5791" s="298"/>
      <c r="D5791" s="298"/>
      <c r="E5791" s="298"/>
      <c r="F5791" s="298"/>
      <c r="G5791" s="299"/>
      <c r="H5791" s="17"/>
      <c r="I5791" s="84">
        <v>0</v>
      </c>
      <c r="J5791" s="78"/>
      <c r="K5791" s="84">
        <v>0</v>
      </c>
      <c r="L5791" s="118">
        <f t="shared" si="880"/>
        <v>0</v>
      </c>
      <c r="M5791" s="17"/>
      <c r="N5791" s="146"/>
      <c r="O5791" s="36"/>
      <c r="P5791" s="36"/>
    </row>
    <row r="5792" spans="1:16" s="20" customFormat="1" ht="17.399999999999999" thickBot="1" x14ac:dyDescent="0.45">
      <c r="A5792" s="53"/>
      <c r="B5792" s="77"/>
      <c r="C5792" s="17"/>
      <c r="D5792" s="17"/>
      <c r="E5792" s="76"/>
      <c r="F5792" s="77"/>
      <c r="G5792" s="77"/>
      <c r="H5792" s="17"/>
      <c r="I5792" s="78"/>
      <c r="J5792" s="78"/>
      <c r="K5792" s="78"/>
      <c r="L5792" s="17"/>
      <c r="M5792" s="17"/>
      <c r="N5792" s="146"/>
      <c r="O5792" s="36"/>
      <c r="P5792" s="36"/>
    </row>
    <row r="5793" spans="1:16" s="20" customFormat="1" ht="17.399999999999999" thickBot="1" x14ac:dyDescent="0.45">
      <c r="A5793" s="53"/>
      <c r="B5793" s="77"/>
      <c r="C5793" s="17"/>
      <c r="D5793" s="17"/>
      <c r="E5793" s="76"/>
      <c r="F5793" s="292" t="s">
        <v>16</v>
      </c>
      <c r="G5793" s="293"/>
      <c r="H5793" s="293"/>
      <c r="I5793" s="294"/>
      <c r="J5793" s="78"/>
      <c r="K5793" s="229">
        <f>+SUM(K5788:K5791)</f>
        <v>400</v>
      </c>
      <c r="L5793" s="119">
        <f>+SUM(L5788:L5791)</f>
        <v>12000</v>
      </c>
      <c r="M5793" s="17"/>
      <c r="N5793" s="146"/>
      <c r="O5793" s="36"/>
      <c r="P5793" s="36"/>
    </row>
    <row r="5794" spans="1:16" ht="17.399999999999999" thickBot="1" x14ac:dyDescent="0.45">
      <c r="F5794" s="77"/>
      <c r="J5794" s="78"/>
      <c r="N5794" s="146"/>
    </row>
    <row r="5795" spans="1:16" ht="17.399999999999999" thickBot="1" x14ac:dyDescent="0.45">
      <c r="B5795" s="110" t="s">
        <v>17</v>
      </c>
      <c r="C5795" s="300" t="s">
        <v>18</v>
      </c>
      <c r="D5795" s="300"/>
      <c r="E5795" s="300"/>
      <c r="F5795" s="300"/>
      <c r="G5795" s="301"/>
      <c r="J5795" s="78"/>
      <c r="N5795" s="146"/>
    </row>
    <row r="5796" spans="1:16" x14ac:dyDescent="0.4">
      <c r="B5796" s="114" t="s">
        <v>6</v>
      </c>
      <c r="C5796" s="302" t="s">
        <v>1</v>
      </c>
      <c r="D5796" s="303"/>
      <c r="E5796" s="126"/>
      <c r="F5796" s="114" t="s">
        <v>2</v>
      </c>
      <c r="G5796" s="114" t="s">
        <v>3</v>
      </c>
      <c r="H5796" s="106"/>
      <c r="I5796" s="107" t="s">
        <v>7</v>
      </c>
      <c r="J5796" s="108"/>
      <c r="K5796" s="107" t="s">
        <v>8</v>
      </c>
      <c r="L5796" s="115" t="s">
        <v>194</v>
      </c>
      <c r="N5796" s="146"/>
    </row>
    <row r="5797" spans="1:16" x14ac:dyDescent="0.4">
      <c r="B5797" s="74"/>
      <c r="C5797" s="304"/>
      <c r="D5797" s="305"/>
      <c r="E5797" s="127"/>
      <c r="F5797" s="74"/>
      <c r="G5797" s="74"/>
      <c r="I5797" s="84">
        <v>0</v>
      </c>
      <c r="J5797" s="78"/>
      <c r="K5797" s="84">
        <f>+F5797*I5797</f>
        <v>0</v>
      </c>
      <c r="L5797" s="118">
        <f>E5797*I5797</f>
        <v>0</v>
      </c>
      <c r="N5797" s="146"/>
    </row>
    <row r="5798" spans="1:16" x14ac:dyDescent="0.4">
      <c r="B5798" s="74"/>
      <c r="C5798" s="304"/>
      <c r="D5798" s="305"/>
      <c r="E5798" s="127"/>
      <c r="F5798" s="74"/>
      <c r="G5798" s="74"/>
      <c r="I5798" s="84">
        <v>0</v>
      </c>
      <c r="J5798" s="78"/>
      <c r="K5798" s="84">
        <f t="shared" ref="K5798:K5799" si="881">+F5798*I5798</f>
        <v>0</v>
      </c>
      <c r="L5798" s="118">
        <f t="shared" ref="L5798:L5799" si="882">E5798*I5798</f>
        <v>0</v>
      </c>
      <c r="N5798" s="146"/>
    </row>
    <row r="5799" spans="1:16" x14ac:dyDescent="0.4">
      <c r="B5799" s="74"/>
      <c r="C5799" s="304"/>
      <c r="D5799" s="305"/>
      <c r="E5799" s="127"/>
      <c r="F5799" s="74"/>
      <c r="G5799" s="74"/>
      <c r="I5799" s="84">
        <v>0</v>
      </c>
      <c r="J5799" s="78"/>
      <c r="K5799" s="84">
        <f t="shared" si="881"/>
        <v>0</v>
      </c>
      <c r="L5799" s="118">
        <f t="shared" si="882"/>
        <v>0</v>
      </c>
      <c r="N5799" s="146"/>
    </row>
    <row r="5800" spans="1:16" ht="17.399999999999999" thickBot="1" x14ac:dyDescent="0.45">
      <c r="F5800" s="77"/>
      <c r="J5800" s="78"/>
      <c r="L5800" s="118"/>
      <c r="N5800" s="146"/>
    </row>
    <row r="5801" spans="1:16" ht="17.399999999999999" thickBot="1" x14ac:dyDescent="0.45">
      <c r="F5801" s="292" t="s">
        <v>19</v>
      </c>
      <c r="G5801" s="293"/>
      <c r="H5801" s="293"/>
      <c r="I5801" s="294"/>
      <c r="J5801" s="78"/>
      <c r="K5801" s="229">
        <f>+SUM(K5797:K5799)</f>
        <v>0</v>
      </c>
      <c r="L5801" s="119">
        <f>+SUM(L5796:L5799)</f>
        <v>0</v>
      </c>
      <c r="N5801" s="146"/>
    </row>
    <row r="5802" spans="1:16" ht="15" customHeight="1" x14ac:dyDescent="0.4">
      <c r="F5802" s="129"/>
      <c r="G5802" s="129"/>
      <c r="H5802" s="130"/>
      <c r="I5802" s="108"/>
      <c r="J5802" s="78"/>
      <c r="K5802" s="230"/>
      <c r="N5802" s="146"/>
    </row>
    <row r="5803" spans="1:16" ht="15" customHeight="1" thickBot="1" x14ac:dyDescent="0.45">
      <c r="F5803" s="77"/>
      <c r="J5803" s="78"/>
      <c r="N5803" s="146"/>
    </row>
    <row r="5804" spans="1:16" ht="17.399999999999999" thickBot="1" x14ac:dyDescent="0.45">
      <c r="F5804" s="292" t="s">
        <v>20</v>
      </c>
      <c r="G5804" s="293"/>
      <c r="H5804" s="293"/>
      <c r="I5804" s="294"/>
      <c r="J5804" s="78"/>
      <c r="K5804" s="229">
        <f>(+K5775+K5784+K5793+K5801)</f>
        <v>1250</v>
      </c>
      <c r="L5804" s="119">
        <f>(+L5775+L5784+L5793+L5801)</f>
        <v>37500</v>
      </c>
      <c r="N5804" s="149"/>
      <c r="O5804" s="39"/>
      <c r="P5804" s="40"/>
    </row>
    <row r="5805" spans="1:16" ht="7.5" customHeight="1" thickBot="1" x14ac:dyDescent="0.45">
      <c r="F5805" s="77"/>
      <c r="J5805" s="78"/>
      <c r="N5805" s="149"/>
      <c r="O5805" s="41"/>
      <c r="P5805" s="40"/>
    </row>
    <row r="5806" spans="1:16" ht="17.399999999999999" thickBot="1" x14ac:dyDescent="0.45">
      <c r="F5806" s="292" t="s">
        <v>21</v>
      </c>
      <c r="G5806" s="293"/>
      <c r="H5806" s="293"/>
      <c r="I5806" s="294"/>
      <c r="J5806" s="78"/>
      <c r="K5806" s="229">
        <f>K5804*$N$2</f>
        <v>500</v>
      </c>
      <c r="L5806" s="119">
        <f>L5804*$N$2</f>
        <v>15000</v>
      </c>
      <c r="N5806" s="146"/>
    </row>
    <row r="5807" spans="1:16" ht="7.5" customHeight="1" thickBot="1" x14ac:dyDescent="0.45">
      <c r="F5807" s="77"/>
      <c r="J5807" s="78"/>
      <c r="N5807" s="146"/>
    </row>
    <row r="5808" spans="1:16" ht="17.399999999999999" thickBot="1" x14ac:dyDescent="0.45">
      <c r="F5808" s="292" t="s">
        <v>22</v>
      </c>
      <c r="G5808" s="293"/>
      <c r="H5808" s="293"/>
      <c r="I5808" s="294"/>
      <c r="J5808" s="78"/>
      <c r="K5808" s="229">
        <f>+K5804+K5806</f>
        <v>1750</v>
      </c>
      <c r="L5808" s="119">
        <f>+L5804+L5806</f>
        <v>52500</v>
      </c>
      <c r="N5808" s="146"/>
    </row>
    <row r="5809" spans="2:14" ht="17.399999999999999" thickBot="1" x14ac:dyDescent="0.45">
      <c r="F5809" s="129"/>
      <c r="G5809" s="129"/>
      <c r="H5809" s="130"/>
      <c r="I5809" s="108"/>
      <c r="J5809" s="78"/>
      <c r="K5809" s="231"/>
      <c r="L5809" s="132">
        <f>L5808/I5760</f>
        <v>1750</v>
      </c>
      <c r="M5809" s="133">
        <f>(K5808-L5809)*I5760</f>
        <v>0</v>
      </c>
      <c r="N5809" s="146"/>
    </row>
    <row r="5810" spans="2:14" x14ac:dyDescent="0.4">
      <c r="F5810" s="129"/>
      <c r="G5810" s="129"/>
      <c r="H5810" s="130"/>
      <c r="I5810" s="108"/>
      <c r="J5810" s="78"/>
      <c r="K5810" s="232"/>
      <c r="L5810" s="131"/>
      <c r="M5810" s="134"/>
      <c r="N5810" s="150"/>
    </row>
    <row r="5811" spans="2:14" ht="17.399999999999999" thickBot="1" x14ac:dyDescent="0.45">
      <c r="B5811" s="295"/>
      <c r="C5811" s="295"/>
      <c r="D5811" s="295"/>
      <c r="F5811" s="77"/>
      <c r="J5811" s="78"/>
      <c r="N5811" s="146"/>
    </row>
    <row r="5812" spans="2:14" x14ac:dyDescent="0.4">
      <c r="B5812" s="296" t="s">
        <v>23</v>
      </c>
      <c r="C5812" s="296"/>
      <c r="D5812" s="296"/>
      <c r="F5812" s="77"/>
      <c r="J5812" s="78"/>
      <c r="N5812" s="146"/>
    </row>
    <row r="5813" spans="2:14" x14ac:dyDescent="0.4">
      <c r="B5813" s="157"/>
      <c r="C5813" s="157"/>
      <c r="D5813" s="157"/>
      <c r="F5813" s="77"/>
      <c r="J5813" s="78"/>
      <c r="N5813" s="146"/>
    </row>
  </sheetData>
  <mergeCells count="4060">
    <mergeCell ref="D61:G61"/>
    <mergeCell ref="D62:G62"/>
    <mergeCell ref="C64:G64"/>
    <mergeCell ref="C65:D65"/>
    <mergeCell ref="C66:D66"/>
    <mergeCell ref="C67:D67"/>
    <mergeCell ref="C68:D68"/>
    <mergeCell ref="C69:D69"/>
    <mergeCell ref="C70:D70"/>
    <mergeCell ref="C71:D71"/>
    <mergeCell ref="F108:I108"/>
    <mergeCell ref="F110:I110"/>
    <mergeCell ref="B113:D113"/>
    <mergeCell ref="B114:D114"/>
    <mergeCell ref="C81:D81"/>
    <mergeCell ref="C84:D84"/>
    <mergeCell ref="F86:I86"/>
    <mergeCell ref="C88:G88"/>
    <mergeCell ref="C89:D89"/>
    <mergeCell ref="C90:D90"/>
    <mergeCell ref="C91:D91"/>
    <mergeCell ref="C92:D92"/>
    <mergeCell ref="B93:G93"/>
    <mergeCell ref="F95:I95"/>
    <mergeCell ref="C97:G97"/>
    <mergeCell ref="C98:D98"/>
    <mergeCell ref="C99:D99"/>
    <mergeCell ref="C100:D100"/>
    <mergeCell ref="C101:D101"/>
    <mergeCell ref="F103:I103"/>
    <mergeCell ref="F106:I106"/>
    <mergeCell ref="C72:D72"/>
    <mergeCell ref="C73:D73"/>
    <mergeCell ref="C74:D74"/>
    <mergeCell ref="C75:D75"/>
    <mergeCell ref="F77:I77"/>
    <mergeCell ref="C79:G79"/>
    <mergeCell ref="C80:D80"/>
    <mergeCell ref="B1481:D1481"/>
    <mergeCell ref="B1482:D1482"/>
    <mergeCell ref="D1373:G1373"/>
    <mergeCell ref="D1374:G1374"/>
    <mergeCell ref="C1376:G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F1389:I1389"/>
    <mergeCell ref="C1391:G1391"/>
    <mergeCell ref="C1392:D1392"/>
    <mergeCell ref="C1393:D1393"/>
    <mergeCell ref="C1394:D1394"/>
    <mergeCell ref="C1442:D1442"/>
    <mergeCell ref="C1443:D1443"/>
    <mergeCell ref="F1445:I1445"/>
    <mergeCell ref="C1447:G1447"/>
    <mergeCell ref="F1474:I1474"/>
    <mergeCell ref="C1437:D1437"/>
    <mergeCell ref="C1438:D1438"/>
    <mergeCell ref="F1476:I1476"/>
    <mergeCell ref="F1478:I1478"/>
    <mergeCell ref="F1454:I1454"/>
    <mergeCell ref="C1456:G1456"/>
    <mergeCell ref="C1457:D1457"/>
    <mergeCell ref="C1458:D1458"/>
    <mergeCell ref="C1459:D1459"/>
    <mergeCell ref="C1460:D1460"/>
    <mergeCell ref="B1461:G1461"/>
    <mergeCell ref="F1463:I1463"/>
    <mergeCell ref="D1429:G1429"/>
    <mergeCell ref="D1430:G1430"/>
    <mergeCell ref="C1432:G1432"/>
    <mergeCell ref="C1433:D1433"/>
    <mergeCell ref="C1434:D1434"/>
    <mergeCell ref="C1435:D1435"/>
    <mergeCell ref="C1436:D1436"/>
    <mergeCell ref="F1415:I1415"/>
    <mergeCell ref="F1418:I1418"/>
    <mergeCell ref="F1420:I1420"/>
    <mergeCell ref="F1422:I1422"/>
    <mergeCell ref="B1425:D1425"/>
    <mergeCell ref="B1426:D1426"/>
    <mergeCell ref="C1465:G1465"/>
    <mergeCell ref="C1466:D1466"/>
    <mergeCell ref="C1467:D1467"/>
    <mergeCell ref="C1468:D1468"/>
    <mergeCell ref="C1469:D1469"/>
    <mergeCell ref="F1471:I1471"/>
    <mergeCell ref="C1448:D1448"/>
    <mergeCell ref="C1449:D1449"/>
    <mergeCell ref="C1450:D1450"/>
    <mergeCell ref="C1412:D1412"/>
    <mergeCell ref="C1413:D1413"/>
    <mergeCell ref="C1439:D1439"/>
    <mergeCell ref="C1440:D1440"/>
    <mergeCell ref="C1441:D1441"/>
    <mergeCell ref="C1451:D1451"/>
    <mergeCell ref="C1452:D1452"/>
    <mergeCell ref="C898:D898"/>
    <mergeCell ref="C899:D899"/>
    <mergeCell ref="C900:D900"/>
    <mergeCell ref="B901:G901"/>
    <mergeCell ref="F903:I903"/>
    <mergeCell ref="C905:G905"/>
    <mergeCell ref="C906:D906"/>
    <mergeCell ref="C907:D907"/>
    <mergeCell ref="C908:D908"/>
    <mergeCell ref="C909:D909"/>
    <mergeCell ref="F911:I911"/>
    <mergeCell ref="F914:I914"/>
    <mergeCell ref="F916:I916"/>
    <mergeCell ref="F918:I918"/>
    <mergeCell ref="B921:D921"/>
    <mergeCell ref="B922:D922"/>
    <mergeCell ref="C1395:D1395"/>
    <mergeCell ref="C1396:D1396"/>
    <mergeCell ref="F1398:I1398"/>
    <mergeCell ref="C1400:G1400"/>
    <mergeCell ref="C1401:D1401"/>
    <mergeCell ref="C1402:D1402"/>
    <mergeCell ref="C1403:D1403"/>
    <mergeCell ref="C1404:D1404"/>
    <mergeCell ref="B1405:G1405"/>
    <mergeCell ref="F1407:I1407"/>
    <mergeCell ref="C1409:G1409"/>
    <mergeCell ref="C1410:D1410"/>
    <mergeCell ref="C1411:D1411"/>
    <mergeCell ref="F847:I847"/>
    <mergeCell ref="C849:G849"/>
    <mergeCell ref="C850:D850"/>
    <mergeCell ref="C851:D851"/>
    <mergeCell ref="C852:D852"/>
    <mergeCell ref="C853:D853"/>
    <mergeCell ref="F855:I855"/>
    <mergeCell ref="F858:I858"/>
    <mergeCell ref="F860:I860"/>
    <mergeCell ref="F862:I862"/>
    <mergeCell ref="B865:D865"/>
    <mergeCell ref="B866:D866"/>
    <mergeCell ref="D869:G869"/>
    <mergeCell ref="D870:G870"/>
    <mergeCell ref="C872:G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F885:I885"/>
    <mergeCell ref="C887:G887"/>
    <mergeCell ref="C888:D888"/>
    <mergeCell ref="C889:D889"/>
    <mergeCell ref="C892:D892"/>
    <mergeCell ref="F894:I894"/>
    <mergeCell ref="C896:G896"/>
    <mergeCell ref="C897:D897"/>
    <mergeCell ref="C796:D796"/>
    <mergeCell ref="C797:D797"/>
    <mergeCell ref="F799:I799"/>
    <mergeCell ref="F802:I802"/>
    <mergeCell ref="F804:I804"/>
    <mergeCell ref="F806:I806"/>
    <mergeCell ref="B809:D809"/>
    <mergeCell ref="B810:D810"/>
    <mergeCell ref="D813:G813"/>
    <mergeCell ref="D814:G814"/>
    <mergeCell ref="C816:G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F829:I829"/>
    <mergeCell ref="C831:G831"/>
    <mergeCell ref="C832:D832"/>
    <mergeCell ref="C833:D833"/>
    <mergeCell ref="C836:D836"/>
    <mergeCell ref="F838:I838"/>
    <mergeCell ref="C840:G840"/>
    <mergeCell ref="C841:D841"/>
    <mergeCell ref="C842:D842"/>
    <mergeCell ref="C843:D843"/>
    <mergeCell ref="C844:D844"/>
    <mergeCell ref="B845:G845"/>
    <mergeCell ref="F529:I529"/>
    <mergeCell ref="F531:I531"/>
    <mergeCell ref="B534:D534"/>
    <mergeCell ref="B535:D535"/>
    <mergeCell ref="D757:G757"/>
    <mergeCell ref="D758:G758"/>
    <mergeCell ref="C760:G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F773:I773"/>
    <mergeCell ref="C775:G775"/>
    <mergeCell ref="C776:D776"/>
    <mergeCell ref="C777:D777"/>
    <mergeCell ref="C780:D780"/>
    <mergeCell ref="F782:I782"/>
    <mergeCell ref="C784:G784"/>
    <mergeCell ref="C785:D785"/>
    <mergeCell ref="C786:D786"/>
    <mergeCell ref="C787:D787"/>
    <mergeCell ref="C788:D788"/>
    <mergeCell ref="B789:G789"/>
    <mergeCell ref="F791:I791"/>
    <mergeCell ref="C793:G793"/>
    <mergeCell ref="C794:D794"/>
    <mergeCell ref="C795:D795"/>
    <mergeCell ref="D484:G484"/>
    <mergeCell ref="D485:G485"/>
    <mergeCell ref="C487:G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F498:I498"/>
    <mergeCell ref="C500:G500"/>
    <mergeCell ref="C501:D501"/>
    <mergeCell ref="C505:D505"/>
    <mergeCell ref="F507:I507"/>
    <mergeCell ref="C509:G509"/>
    <mergeCell ref="C510:D510"/>
    <mergeCell ref="C511:D511"/>
    <mergeCell ref="C512:D512"/>
    <mergeCell ref="C513:D513"/>
    <mergeCell ref="B514:G514"/>
    <mergeCell ref="F516:I516"/>
    <mergeCell ref="F527:I527"/>
    <mergeCell ref="D428:G428"/>
    <mergeCell ref="D429:G429"/>
    <mergeCell ref="C431:G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57:D457"/>
    <mergeCell ref="C458:D458"/>
    <mergeCell ref="C459:D459"/>
    <mergeCell ref="B460:G460"/>
    <mergeCell ref="F462:I462"/>
    <mergeCell ref="C464:G464"/>
    <mergeCell ref="C465:D465"/>
    <mergeCell ref="C466:D466"/>
    <mergeCell ref="C467:D467"/>
    <mergeCell ref="C468:D468"/>
    <mergeCell ref="F470:I470"/>
    <mergeCell ref="F473:I473"/>
    <mergeCell ref="F475:I475"/>
    <mergeCell ref="F477:I477"/>
    <mergeCell ref="B480:D480"/>
    <mergeCell ref="B481:D481"/>
    <mergeCell ref="C502:D502"/>
    <mergeCell ref="F453:I453"/>
    <mergeCell ref="C455:G455"/>
    <mergeCell ref="C456:D456"/>
    <mergeCell ref="C411:D411"/>
    <mergeCell ref="C412:D412"/>
    <mergeCell ref="F414:I414"/>
    <mergeCell ref="F417:I417"/>
    <mergeCell ref="F419:I419"/>
    <mergeCell ref="F421:I421"/>
    <mergeCell ref="B424:D424"/>
    <mergeCell ref="B425:D425"/>
    <mergeCell ref="C518:G518"/>
    <mergeCell ref="C519:D519"/>
    <mergeCell ref="C520:D520"/>
    <mergeCell ref="C521:D521"/>
    <mergeCell ref="C522:D522"/>
    <mergeCell ref="F524:I524"/>
    <mergeCell ref="C304:D304"/>
    <mergeCell ref="C305:D305"/>
    <mergeCell ref="B404:G404"/>
    <mergeCell ref="F406:I406"/>
    <mergeCell ref="C408:G408"/>
    <mergeCell ref="C409:D409"/>
    <mergeCell ref="C410:D410"/>
    <mergeCell ref="C361:D361"/>
    <mergeCell ref="F363:I363"/>
    <mergeCell ref="F366:I366"/>
    <mergeCell ref="D323:G323"/>
    <mergeCell ref="D324:G324"/>
    <mergeCell ref="C326:G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F337:I337"/>
    <mergeCell ref="C339:G339"/>
    <mergeCell ref="F368:I368"/>
    <mergeCell ref="F370:I370"/>
    <mergeCell ref="B373:D373"/>
    <mergeCell ref="B374:D374"/>
    <mergeCell ref="D377:G377"/>
    <mergeCell ref="D378:G378"/>
    <mergeCell ref="C380:G380"/>
    <mergeCell ref="C381:D381"/>
    <mergeCell ref="C5740:D5740"/>
    <mergeCell ref="C5741:D5741"/>
    <mergeCell ref="F5752:I5752"/>
    <mergeCell ref="C5724:D5724"/>
    <mergeCell ref="C5725:D5725"/>
    <mergeCell ref="C5726:D5726"/>
    <mergeCell ref="C5731:D5731"/>
    <mergeCell ref="C5732:D5732"/>
    <mergeCell ref="C5707:D5707"/>
    <mergeCell ref="C5714:D5714"/>
    <mergeCell ref="C5715:D5715"/>
    <mergeCell ref="C5716:D5716"/>
    <mergeCell ref="C5717:D5717"/>
    <mergeCell ref="F5719:I5719"/>
    <mergeCell ref="C5721:G5721"/>
    <mergeCell ref="C5722:D5722"/>
    <mergeCell ref="C5723:D5723"/>
    <mergeCell ref="F5728:I5728"/>
    <mergeCell ref="C5730:G5730"/>
    <mergeCell ref="C5733:D5733"/>
    <mergeCell ref="C5734:D5734"/>
    <mergeCell ref="F5560:I5560"/>
    <mergeCell ref="C5665:G5665"/>
    <mergeCell ref="C5666:D5666"/>
    <mergeCell ref="C5667:D5667"/>
    <mergeCell ref="C5563:D5563"/>
    <mergeCell ref="C5564:D5564"/>
    <mergeCell ref="C5573:D5573"/>
    <mergeCell ref="F5584:I5584"/>
    <mergeCell ref="C5562:G5562"/>
    <mergeCell ref="C5565:D5565"/>
    <mergeCell ref="C5566:D5566"/>
    <mergeCell ref="B5567:G5567"/>
    <mergeCell ref="F5569:I5569"/>
    <mergeCell ref="C5571:G5571"/>
    <mergeCell ref="C5572:D5572"/>
    <mergeCell ref="C5574:D5574"/>
    <mergeCell ref="C5575:D5575"/>
    <mergeCell ref="F5577:I5577"/>
    <mergeCell ref="F5580:I5580"/>
    <mergeCell ref="F5582:I5582"/>
    <mergeCell ref="B5587:D5587"/>
    <mergeCell ref="B5588:D5588"/>
    <mergeCell ref="D5647:G5647"/>
    <mergeCell ref="D5648:G5648"/>
    <mergeCell ref="C5650:G5650"/>
    <mergeCell ref="C5651:D5651"/>
    <mergeCell ref="C5652:D5652"/>
    <mergeCell ref="C5653:D5653"/>
    <mergeCell ref="C5654:D5654"/>
    <mergeCell ref="C5655:D5655"/>
    <mergeCell ref="C5656:D5656"/>
    <mergeCell ref="C5657:D5657"/>
    <mergeCell ref="C5706:G5706"/>
    <mergeCell ref="F5689:I5689"/>
    <mergeCell ref="C5509:D5509"/>
    <mergeCell ref="C5510:D5510"/>
    <mergeCell ref="F5526:I5526"/>
    <mergeCell ref="C5483:D5483"/>
    <mergeCell ref="C5484:D5484"/>
    <mergeCell ref="C5485:D5485"/>
    <mergeCell ref="C5487:D5487"/>
    <mergeCell ref="C5488:D5488"/>
    <mergeCell ref="C5493:D5493"/>
    <mergeCell ref="F5495:I5495"/>
    <mergeCell ref="C5497:G5497"/>
    <mergeCell ref="C5507:D5507"/>
    <mergeCell ref="C5489:D5489"/>
    <mergeCell ref="C5490:D5490"/>
    <mergeCell ref="C5555:D5555"/>
    <mergeCell ref="C5558:D5558"/>
    <mergeCell ref="C5540:D5540"/>
    <mergeCell ref="C5541:D5541"/>
    <mergeCell ref="C5542:D5542"/>
    <mergeCell ref="C5543:D5543"/>
    <mergeCell ref="C5544:D5544"/>
    <mergeCell ref="C5545:D5545"/>
    <mergeCell ref="C5546:D5546"/>
    <mergeCell ref="C5547:D5547"/>
    <mergeCell ref="C5548:D5548"/>
    <mergeCell ref="C5549:D5549"/>
    <mergeCell ref="F5551:I5551"/>
    <mergeCell ref="D5535:G5535"/>
    <mergeCell ref="D5536:G5536"/>
    <mergeCell ref="C5538:G5538"/>
    <mergeCell ref="C5539:D5539"/>
    <mergeCell ref="C3949:D3949"/>
    <mergeCell ref="C3957:D3957"/>
    <mergeCell ref="C3958:D3958"/>
    <mergeCell ref="C3938:D3938"/>
    <mergeCell ref="C3982:D3982"/>
    <mergeCell ref="C3987:D3987"/>
    <mergeCell ref="C3988:D3988"/>
    <mergeCell ref="C3989:D3989"/>
    <mergeCell ref="C3956:D3956"/>
    <mergeCell ref="B3971:D3971"/>
    <mergeCell ref="D3975:G3975"/>
    <mergeCell ref="F3944:I3944"/>
    <mergeCell ref="C3946:G3946"/>
    <mergeCell ref="C4005:D4005"/>
    <mergeCell ref="C4006:D4006"/>
    <mergeCell ref="F4017:I4017"/>
    <mergeCell ref="C5396:D5396"/>
    <mergeCell ref="C5395:D5395"/>
    <mergeCell ref="F4073:I4073"/>
    <mergeCell ref="C4044:D4044"/>
    <mergeCell ref="C4052:D4052"/>
    <mergeCell ref="C4053:D4053"/>
    <mergeCell ref="C4054:D4054"/>
    <mergeCell ref="C4196:D4196"/>
    <mergeCell ref="C4043:D4043"/>
    <mergeCell ref="C4173:D4173"/>
    <mergeCell ref="C4061:D4061"/>
    <mergeCell ref="C4062:D4062"/>
    <mergeCell ref="C4120:D4120"/>
    <mergeCell ref="F4125:I4125"/>
    <mergeCell ref="D4087:G4087"/>
    <mergeCell ref="B3808:D3808"/>
    <mergeCell ref="B3809:D3809"/>
    <mergeCell ref="D3812:G3812"/>
    <mergeCell ref="C4143:D4143"/>
    <mergeCell ref="C3930:D3930"/>
    <mergeCell ref="C3939:D3939"/>
    <mergeCell ref="C3940:D3940"/>
    <mergeCell ref="C3941:D3941"/>
    <mergeCell ref="C3947:D3947"/>
    <mergeCell ref="C3948:D3948"/>
    <mergeCell ref="C3931:D3931"/>
    <mergeCell ref="C3843:G3843"/>
    <mergeCell ref="C3844:D3844"/>
    <mergeCell ref="C3845:D3845"/>
    <mergeCell ref="C3846:D3846"/>
    <mergeCell ref="C3847:D3847"/>
    <mergeCell ref="C3830:D3830"/>
    <mergeCell ref="F3832:I3832"/>
    <mergeCell ref="C3834:G3834"/>
    <mergeCell ref="D4088:G4088"/>
    <mergeCell ref="C4090:G4090"/>
    <mergeCell ref="C4119:G4119"/>
    <mergeCell ref="C4121:D4121"/>
    <mergeCell ref="C4122:D4122"/>
    <mergeCell ref="C4123:D4123"/>
    <mergeCell ref="F4128:I4128"/>
    <mergeCell ref="F4130:I4130"/>
    <mergeCell ref="B3860:D3860"/>
    <mergeCell ref="D3863:G3863"/>
    <mergeCell ref="D3864:G3864"/>
    <mergeCell ref="C3866:G3866"/>
    <mergeCell ref="C3867:D3867"/>
    <mergeCell ref="C3745:D3745"/>
    <mergeCell ref="F3747:I3747"/>
    <mergeCell ref="F3750:I3750"/>
    <mergeCell ref="F3752:I3752"/>
    <mergeCell ref="B3702:D3702"/>
    <mergeCell ref="D3705:G3705"/>
    <mergeCell ref="D3706:G3706"/>
    <mergeCell ref="C3708:G3708"/>
    <mergeCell ref="C3709:D3709"/>
    <mergeCell ref="B3757:D3757"/>
    <mergeCell ref="B3758:D3758"/>
    <mergeCell ref="D3761:G3761"/>
    <mergeCell ref="C3793:D3793"/>
    <mergeCell ref="C3794:D3794"/>
    <mergeCell ref="F3805:I3805"/>
    <mergeCell ref="F3790:I3790"/>
    <mergeCell ref="C3792:G3792"/>
    <mergeCell ref="C3795:D3795"/>
    <mergeCell ref="C3796:D3796"/>
    <mergeCell ref="F3798:I3798"/>
    <mergeCell ref="F3801:I3801"/>
    <mergeCell ref="F3803:I3803"/>
    <mergeCell ref="C3764:G3764"/>
    <mergeCell ref="C3765:D3765"/>
    <mergeCell ref="C3605:D3605"/>
    <mergeCell ref="C3606:D3606"/>
    <mergeCell ref="C3607:D3607"/>
    <mergeCell ref="F3609:I3609"/>
    <mergeCell ref="C3611:G3611"/>
    <mergeCell ref="C3612:D3612"/>
    <mergeCell ref="F3640:I3640"/>
    <mergeCell ref="C3678:D3678"/>
    <mergeCell ref="C3679:D3679"/>
    <mergeCell ref="C3680:D3680"/>
    <mergeCell ref="C3613:D3613"/>
    <mergeCell ref="C3614:D3614"/>
    <mergeCell ref="C3615:D3615"/>
    <mergeCell ref="C3616:D3616"/>
    <mergeCell ref="C3668:D3668"/>
    <mergeCell ref="C3669:D3669"/>
    <mergeCell ref="C3670:D3670"/>
    <mergeCell ref="C3671:D3671"/>
    <mergeCell ref="C3672:D3672"/>
    <mergeCell ref="F3618:I3618"/>
    <mergeCell ref="C3620:G3620"/>
    <mergeCell ref="C3621:D3621"/>
    <mergeCell ref="C3622:D3622"/>
    <mergeCell ref="C3623:D3623"/>
    <mergeCell ref="C3624:D3624"/>
    <mergeCell ref="B3625:G3625"/>
    <mergeCell ref="F3627:I3627"/>
    <mergeCell ref="C3629:G3629"/>
    <mergeCell ref="C3630:D3630"/>
    <mergeCell ref="C3631:D3631"/>
    <mergeCell ref="C3632:D3632"/>
    <mergeCell ref="C3633:D3633"/>
    <mergeCell ref="F3469:I3469"/>
    <mergeCell ref="C2446:D2446"/>
    <mergeCell ref="F2425:I2425"/>
    <mergeCell ref="C2427:G2427"/>
    <mergeCell ref="C2428:D2428"/>
    <mergeCell ref="C2429:D2429"/>
    <mergeCell ref="C2430:D2430"/>
    <mergeCell ref="C2431:D2431"/>
    <mergeCell ref="C2432:D2432"/>
    <mergeCell ref="F2434:I2434"/>
    <mergeCell ref="C2436:G2436"/>
    <mergeCell ref="C2437:D2437"/>
    <mergeCell ref="C2438:D2438"/>
    <mergeCell ref="C2439:D2439"/>
    <mergeCell ref="C2440:D2440"/>
    <mergeCell ref="C3502:D3502"/>
    <mergeCell ref="C3503:D3503"/>
    <mergeCell ref="C3412:D3412"/>
    <mergeCell ref="F3414:I3414"/>
    <mergeCell ref="C3395:D3395"/>
    <mergeCell ref="C3400:D3400"/>
    <mergeCell ref="C3111:D3111"/>
    <mergeCell ref="C3112:D3112"/>
    <mergeCell ref="C3113:D3113"/>
    <mergeCell ref="C3114:D3114"/>
    <mergeCell ref="F3116:I3116"/>
    <mergeCell ref="C3393:D3393"/>
    <mergeCell ref="C3394:D3394"/>
    <mergeCell ref="C3352:D3352"/>
    <mergeCell ref="C3353:D3353"/>
    <mergeCell ref="C3342:D3342"/>
    <mergeCell ref="C3343:D3343"/>
    <mergeCell ref="F3367:I3367"/>
    <mergeCell ref="C3345:D3345"/>
    <mergeCell ref="D3025:G3025"/>
    <mergeCell ref="D3026:G3026"/>
    <mergeCell ref="C3028:G3028"/>
    <mergeCell ref="C3029:D3029"/>
    <mergeCell ref="B3075:D3075"/>
    <mergeCell ref="C3341:D3341"/>
    <mergeCell ref="C3083:D3083"/>
    <mergeCell ref="C3084:D3084"/>
    <mergeCell ref="C3085:D3085"/>
    <mergeCell ref="C3086:D3086"/>
    <mergeCell ref="C3087:D3087"/>
    <mergeCell ref="C3088:D3088"/>
    <mergeCell ref="F3090:I3090"/>
    <mergeCell ref="C3092:G3092"/>
    <mergeCell ref="C3093:D3093"/>
    <mergeCell ref="C3094:D3094"/>
    <mergeCell ref="C3095:D3095"/>
    <mergeCell ref="C3096:D3096"/>
    <mergeCell ref="C3097:D3097"/>
    <mergeCell ref="F3099:I3099"/>
    <mergeCell ref="C3101:G3101"/>
    <mergeCell ref="C3102:D3102"/>
    <mergeCell ref="C3103:D3103"/>
    <mergeCell ref="C3104:D3104"/>
    <mergeCell ref="C3105:D3105"/>
    <mergeCell ref="B3106:G3106"/>
    <mergeCell ref="F3108:I3108"/>
    <mergeCell ref="C3110:G3110"/>
    <mergeCell ref="F3148:I3148"/>
    <mergeCell ref="C3150:G3150"/>
    <mergeCell ref="C2095:G2095"/>
    <mergeCell ref="C2096:D2096"/>
    <mergeCell ref="B2142:D2142"/>
    <mergeCell ref="B2141:D2141"/>
    <mergeCell ref="F2403:I2403"/>
    <mergeCell ref="C2396:D2396"/>
    <mergeCell ref="C2416:D2416"/>
    <mergeCell ref="C2417:D2417"/>
    <mergeCell ref="C2149:D2149"/>
    <mergeCell ref="C2170:D2170"/>
    <mergeCell ref="C2171:D2171"/>
    <mergeCell ref="C2172:D2172"/>
    <mergeCell ref="C2173:D2173"/>
    <mergeCell ref="B2174:G2174"/>
    <mergeCell ref="F2176:I2176"/>
    <mergeCell ref="C2178:G2178"/>
    <mergeCell ref="C2179:D2179"/>
    <mergeCell ref="C2180:D2180"/>
    <mergeCell ref="C2181:D2181"/>
    <mergeCell ref="C2182:D2182"/>
    <mergeCell ref="F2184:I2184"/>
    <mergeCell ref="F2187:I2187"/>
    <mergeCell ref="F2189:I2189"/>
    <mergeCell ref="B3074:D3074"/>
    <mergeCell ref="F2134:I2134"/>
    <mergeCell ref="F2136:I2136"/>
    <mergeCell ref="F2138:I2138"/>
    <mergeCell ref="F2070:I2070"/>
    <mergeCell ref="C2072:G2072"/>
    <mergeCell ref="C2073:D2073"/>
    <mergeCell ref="C2074:D2074"/>
    <mergeCell ref="C2075:D2075"/>
    <mergeCell ref="C3052:D3052"/>
    <mergeCell ref="C3053:D3053"/>
    <mergeCell ref="B3054:G3054"/>
    <mergeCell ref="F3056:I3056"/>
    <mergeCell ref="C3058:G3058"/>
    <mergeCell ref="C3059:D3059"/>
    <mergeCell ref="C3060:D3060"/>
    <mergeCell ref="C3061:D3061"/>
    <mergeCell ref="C3062:D3062"/>
    <mergeCell ref="F3064:I3064"/>
    <mergeCell ref="F3067:I3067"/>
    <mergeCell ref="F3069:I3069"/>
    <mergeCell ref="F3071:I3071"/>
    <mergeCell ref="C2148:G2148"/>
    <mergeCell ref="C2076:D2076"/>
    <mergeCell ref="F2078:I2078"/>
    <mergeCell ref="F2081:I2081"/>
    <mergeCell ref="F2083:I2083"/>
    <mergeCell ref="F2085:I2085"/>
    <mergeCell ref="B2088:D2088"/>
    <mergeCell ref="B2089:D2089"/>
    <mergeCell ref="D2092:G2092"/>
    <mergeCell ref="D2093:G2093"/>
    <mergeCell ref="C2018:D2018"/>
    <mergeCell ref="C2019:D2019"/>
    <mergeCell ref="C2020:D2020"/>
    <mergeCell ref="F2022:I2022"/>
    <mergeCell ref="F2025:I2025"/>
    <mergeCell ref="F2027:I2027"/>
    <mergeCell ref="F2029:I2029"/>
    <mergeCell ref="B2032:D2032"/>
    <mergeCell ref="B2033:D2033"/>
    <mergeCell ref="C2007:G2007"/>
    <mergeCell ref="C2008:D2008"/>
    <mergeCell ref="C2009:D2009"/>
    <mergeCell ref="C2010:D2010"/>
    <mergeCell ref="C2011:D2011"/>
    <mergeCell ref="B2012:G2012"/>
    <mergeCell ref="C2048:D2048"/>
    <mergeCell ref="C2049:D2049"/>
    <mergeCell ref="D2036:G2036"/>
    <mergeCell ref="D2037:G2037"/>
    <mergeCell ref="C2039:G2039"/>
    <mergeCell ref="C2050:D2050"/>
    <mergeCell ref="C2057:D2057"/>
    <mergeCell ref="B1924:D1924"/>
    <mergeCell ref="C1900:D1900"/>
    <mergeCell ref="C1901:D1901"/>
    <mergeCell ref="C1902:D1902"/>
    <mergeCell ref="B1903:G1903"/>
    <mergeCell ref="F1905:I1905"/>
    <mergeCell ref="C1907:G1907"/>
    <mergeCell ref="C1908:D1908"/>
    <mergeCell ref="C1909:D1909"/>
    <mergeCell ref="C1910:D1910"/>
    <mergeCell ref="C1889:G1889"/>
    <mergeCell ref="C1890:D1890"/>
    <mergeCell ref="C1891:D1891"/>
    <mergeCell ref="C1892:D1892"/>
    <mergeCell ref="C1893:D1893"/>
    <mergeCell ref="C1894:D1894"/>
    <mergeCell ref="F1896:I1896"/>
    <mergeCell ref="C1898:G1898"/>
    <mergeCell ref="C1899:D1899"/>
    <mergeCell ref="C1990:D1990"/>
    <mergeCell ref="C1991:D1991"/>
    <mergeCell ref="C1992:D1992"/>
    <mergeCell ref="C1993:D1993"/>
    <mergeCell ref="F2052:I2052"/>
    <mergeCell ref="C2054:G2054"/>
    <mergeCell ref="C2055:D2055"/>
    <mergeCell ref="C2056:D2056"/>
    <mergeCell ref="F2014:I2014"/>
    <mergeCell ref="C2016:G2016"/>
    <mergeCell ref="C2017:D2017"/>
    <mergeCell ref="B1594:D1594"/>
    <mergeCell ref="C1835:D1835"/>
    <mergeCell ref="C1836:D1836"/>
    <mergeCell ref="C1837:D1837"/>
    <mergeCell ref="C1838:D1838"/>
    <mergeCell ref="F1840:I1840"/>
    <mergeCell ref="C1842:G1842"/>
    <mergeCell ref="C1843:D1843"/>
    <mergeCell ref="C1844:D1844"/>
    <mergeCell ref="C1845:D1845"/>
    <mergeCell ref="C1824:D1824"/>
    <mergeCell ref="C1825:D1825"/>
    <mergeCell ref="C1821:G1821"/>
    <mergeCell ref="C1822:D1822"/>
    <mergeCell ref="C1823:D1823"/>
    <mergeCell ref="C1619:D1619"/>
    <mergeCell ref="C1620:D1620"/>
    <mergeCell ref="F1622:I1622"/>
    <mergeCell ref="C1624:G1624"/>
    <mergeCell ref="F1586:I1586"/>
    <mergeCell ref="F1588:I1588"/>
    <mergeCell ref="F1590:I1590"/>
    <mergeCell ref="B1593:D1593"/>
    <mergeCell ref="F1566:I1566"/>
    <mergeCell ref="C1568:G1568"/>
    <mergeCell ref="C1569:D1569"/>
    <mergeCell ref="C1570:D1570"/>
    <mergeCell ref="C1571:D1571"/>
    <mergeCell ref="C1572:D1572"/>
    <mergeCell ref="B1573:G1573"/>
    <mergeCell ref="F1575:I1575"/>
    <mergeCell ref="C1577:G1577"/>
    <mergeCell ref="C1874:G1874"/>
    <mergeCell ref="C1875:D1875"/>
    <mergeCell ref="O1875:P1875"/>
    <mergeCell ref="O1822:P1822"/>
    <mergeCell ref="C1828:D1828"/>
    <mergeCell ref="C1829:D1829"/>
    <mergeCell ref="F1831:I1831"/>
    <mergeCell ref="C1833:G1833"/>
    <mergeCell ref="C1834:D1834"/>
    <mergeCell ref="C1605:D1605"/>
    <mergeCell ref="C1609:D1609"/>
    <mergeCell ref="C1610:D1610"/>
    <mergeCell ref="C1611:D1611"/>
    <mergeCell ref="F1613:I1613"/>
    <mergeCell ref="C1615:G1615"/>
    <mergeCell ref="C1616:D1616"/>
    <mergeCell ref="C1617:D1617"/>
    <mergeCell ref="C1618:D1618"/>
    <mergeCell ref="D1871:G1871"/>
    <mergeCell ref="C295:D295"/>
    <mergeCell ref="C296:D296"/>
    <mergeCell ref="C297:D297"/>
    <mergeCell ref="C298:D298"/>
    <mergeCell ref="B299:G299"/>
    <mergeCell ref="F301:I301"/>
    <mergeCell ref="C303:G303"/>
    <mergeCell ref="B320:D320"/>
    <mergeCell ref="C281:D281"/>
    <mergeCell ref="F283:I283"/>
    <mergeCell ref="C285:G285"/>
    <mergeCell ref="C286:D286"/>
    <mergeCell ref="C287:D287"/>
    <mergeCell ref="C290:D290"/>
    <mergeCell ref="F292:I292"/>
    <mergeCell ref="C294:G294"/>
    <mergeCell ref="F1583:I1583"/>
    <mergeCell ref="C392:D392"/>
    <mergeCell ref="C393:D393"/>
    <mergeCell ref="C340:D340"/>
    <mergeCell ref="B353:G353"/>
    <mergeCell ref="F355:I355"/>
    <mergeCell ref="C357:G357"/>
    <mergeCell ref="C358:D358"/>
    <mergeCell ref="C359:D359"/>
    <mergeCell ref="C360:D360"/>
    <mergeCell ref="C395:D395"/>
    <mergeCell ref="F397:I397"/>
    <mergeCell ref="C399:G399"/>
    <mergeCell ref="C400:D400"/>
    <mergeCell ref="C401:D401"/>
    <mergeCell ref="C402:D402"/>
    <mergeCell ref="F316:I316"/>
    <mergeCell ref="B319:D319"/>
    <mergeCell ref="C341:D341"/>
    <mergeCell ref="C344:D344"/>
    <mergeCell ref="F346:I346"/>
    <mergeCell ref="C348:G348"/>
    <mergeCell ref="C349:D349"/>
    <mergeCell ref="C350:D350"/>
    <mergeCell ref="C351:D351"/>
    <mergeCell ref="C352:D352"/>
    <mergeCell ref="C549:D549"/>
    <mergeCell ref="C550:D550"/>
    <mergeCell ref="F552:I552"/>
    <mergeCell ref="C554:G554"/>
    <mergeCell ref="C555:D555"/>
    <mergeCell ref="C556:D556"/>
    <mergeCell ref="C559:D559"/>
    <mergeCell ref="C403:D403"/>
    <mergeCell ref="C382:D382"/>
    <mergeCell ref="C383:D383"/>
    <mergeCell ref="C384:D384"/>
    <mergeCell ref="C385:D385"/>
    <mergeCell ref="C386:D386"/>
    <mergeCell ref="F388:I388"/>
    <mergeCell ref="C390:G390"/>
    <mergeCell ref="C391:D391"/>
    <mergeCell ref="C442:D442"/>
    <mergeCell ref="F444:I444"/>
    <mergeCell ref="C446:G446"/>
    <mergeCell ref="C447:D447"/>
    <mergeCell ref="C448:D448"/>
    <mergeCell ref="C451:D451"/>
    <mergeCell ref="C245:D245"/>
    <mergeCell ref="B247:G247"/>
    <mergeCell ref="F249:I249"/>
    <mergeCell ref="C229:D229"/>
    <mergeCell ref="C238:D238"/>
    <mergeCell ref="C125:D125"/>
    <mergeCell ref="C126:D126"/>
    <mergeCell ref="D271:G271"/>
    <mergeCell ref="C274:G274"/>
    <mergeCell ref="F159:I159"/>
    <mergeCell ref="F161:I161"/>
    <mergeCell ref="B164:D164"/>
    <mergeCell ref="B165:D165"/>
    <mergeCell ref="B144:G144"/>
    <mergeCell ref="F146:I146"/>
    <mergeCell ref="C148:G148"/>
    <mergeCell ref="C149:D149"/>
    <mergeCell ref="C150:D150"/>
    <mergeCell ref="C151:D151"/>
    <mergeCell ref="C152:D152"/>
    <mergeCell ref="F154:I154"/>
    <mergeCell ref="F157:I157"/>
    <mergeCell ref="C131:D131"/>
    <mergeCell ref="C132:D132"/>
    <mergeCell ref="C135:D135"/>
    <mergeCell ref="F137:I137"/>
    <mergeCell ref="C139:G139"/>
    <mergeCell ref="C140:D140"/>
    <mergeCell ref="C171:G171"/>
    <mergeCell ref="C172:D172"/>
    <mergeCell ref="C246:D246"/>
    <mergeCell ref="C174:D174"/>
    <mergeCell ref="C175:D175"/>
    <mergeCell ref="C176:D176"/>
    <mergeCell ref="C177:D177"/>
    <mergeCell ref="C182:D182"/>
    <mergeCell ref="C183:D183"/>
    <mergeCell ref="F205:I205"/>
    <mergeCell ref="C186:D186"/>
    <mergeCell ref="F188:I188"/>
    <mergeCell ref="C190:G190"/>
    <mergeCell ref="C192:D192"/>
    <mergeCell ref="F179:I179"/>
    <mergeCell ref="C181:G181"/>
    <mergeCell ref="C191:D191"/>
    <mergeCell ref="C200:D200"/>
    <mergeCell ref="C243:D243"/>
    <mergeCell ref="C244:D244"/>
    <mergeCell ref="C16:D16"/>
    <mergeCell ref="B2:B7"/>
    <mergeCell ref="D2:K2"/>
    <mergeCell ref="D4:I4"/>
    <mergeCell ref="D5:I5"/>
    <mergeCell ref="K5:K7"/>
    <mergeCell ref="D7:I7"/>
    <mergeCell ref="B9:K9"/>
    <mergeCell ref="D11:G11"/>
    <mergeCell ref="D12:G12"/>
    <mergeCell ref="C14:G14"/>
    <mergeCell ref="C15:D15"/>
    <mergeCell ref="B58:D58"/>
    <mergeCell ref="F39:I39"/>
    <mergeCell ref="C41:G41"/>
    <mergeCell ref="C42:D42"/>
    <mergeCell ref="C43:D43"/>
    <mergeCell ref="C44:D44"/>
    <mergeCell ref="C45:D45"/>
    <mergeCell ref="F47:I47"/>
    <mergeCell ref="F50:I50"/>
    <mergeCell ref="F52:I52"/>
    <mergeCell ref="F54:I54"/>
    <mergeCell ref="B57:D57"/>
    <mergeCell ref="F21:I21"/>
    <mergeCell ref="C23:G23"/>
    <mergeCell ref="B37:G37"/>
    <mergeCell ref="C25:D25"/>
    <mergeCell ref="C28:D28"/>
    <mergeCell ref="F30:I30"/>
    <mergeCell ref="D6:I6"/>
    <mergeCell ref="C17:D17"/>
    <mergeCell ref="O3082:P3082"/>
    <mergeCell ref="C1846:D1846"/>
    <mergeCell ref="B1847:G1847"/>
    <mergeCell ref="F1849:I1849"/>
    <mergeCell ref="C1851:G1851"/>
    <mergeCell ref="C1852:D1852"/>
    <mergeCell ref="C1853:D1853"/>
    <mergeCell ref="C276:D276"/>
    <mergeCell ref="C277:D277"/>
    <mergeCell ref="C278:D278"/>
    <mergeCell ref="C279:D279"/>
    <mergeCell ref="F128:I128"/>
    <mergeCell ref="C130:G130"/>
    <mergeCell ref="C123:D123"/>
    <mergeCell ref="C124:D124"/>
    <mergeCell ref="D117:G117"/>
    <mergeCell ref="D118:G118"/>
    <mergeCell ref="C120:G120"/>
    <mergeCell ref="C121:D121"/>
    <mergeCell ref="C122:D122"/>
    <mergeCell ref="C275:D275"/>
    <mergeCell ref="C193:D193"/>
    <mergeCell ref="C194:D194"/>
    <mergeCell ref="B195:G195"/>
    <mergeCell ref="F197:I197"/>
    <mergeCell ref="C199:G199"/>
    <mergeCell ref="C201:D201"/>
    <mergeCell ref="C202:D202"/>
    <mergeCell ref="C203:D203"/>
    <mergeCell ref="F208:I208"/>
    <mergeCell ref="D272:G272"/>
    <mergeCell ref="C223:D223"/>
    <mergeCell ref="C224:D224"/>
    <mergeCell ref="C3151:D3151"/>
    <mergeCell ref="C3152:D3152"/>
    <mergeCell ref="C3153:D3153"/>
    <mergeCell ref="C3154:D3154"/>
    <mergeCell ref="B3155:G3155"/>
    <mergeCell ref="F3157:I3157"/>
    <mergeCell ref="F3119:I3119"/>
    <mergeCell ref="F3121:I3121"/>
    <mergeCell ref="F3123:I3123"/>
    <mergeCell ref="B3126:D3126"/>
    <mergeCell ref="B3127:D3127"/>
    <mergeCell ref="C18:D18"/>
    <mergeCell ref="C19:D19"/>
    <mergeCell ref="C33:D33"/>
    <mergeCell ref="C34:D34"/>
    <mergeCell ref="C35:D35"/>
    <mergeCell ref="C36:D36"/>
    <mergeCell ref="C24:D24"/>
    <mergeCell ref="D3078:G3078"/>
    <mergeCell ref="D3079:G3079"/>
    <mergeCell ref="C3081:G3081"/>
    <mergeCell ref="C3082:D3082"/>
    <mergeCell ref="C32:G32"/>
    <mergeCell ref="B267:D267"/>
    <mergeCell ref="C141:D141"/>
    <mergeCell ref="C142:D142"/>
    <mergeCell ref="C143:D143"/>
    <mergeCell ref="D169:G169"/>
    <mergeCell ref="D168:G168"/>
    <mergeCell ref="C173:D173"/>
    <mergeCell ref="C225:D225"/>
    <mergeCell ref="C280:D280"/>
    <mergeCell ref="O3134:P3134"/>
    <mergeCell ref="C3135:D3135"/>
    <mergeCell ref="C3136:D3136"/>
    <mergeCell ref="C3137:D3137"/>
    <mergeCell ref="F3139:I3139"/>
    <mergeCell ref="C3141:G3141"/>
    <mergeCell ref="C3142:D3142"/>
    <mergeCell ref="C3143:D3143"/>
    <mergeCell ref="C3144:D3144"/>
    <mergeCell ref="D3130:G3130"/>
    <mergeCell ref="D3131:G3131"/>
    <mergeCell ref="C3133:G3133"/>
    <mergeCell ref="C3134:D3134"/>
    <mergeCell ref="C3145:D3145"/>
    <mergeCell ref="C3146:D3146"/>
    <mergeCell ref="C2108:D2108"/>
    <mergeCell ref="F2114:I2114"/>
    <mergeCell ref="C2116:G2116"/>
    <mergeCell ref="C2117:D2117"/>
    <mergeCell ref="B2121:G2121"/>
    <mergeCell ref="F2123:I2123"/>
    <mergeCell ref="C2125:G2125"/>
    <mergeCell ref="O2040:P2040"/>
    <mergeCell ref="C2041:D2041"/>
    <mergeCell ref="C2042:D2042"/>
    <mergeCell ref="C2043:D2043"/>
    <mergeCell ref="C2044:D2044"/>
    <mergeCell ref="O1987:P1987"/>
    <mergeCell ref="C1988:D1988"/>
    <mergeCell ref="C1989:D1989"/>
    <mergeCell ref="C3195:D3195"/>
    <mergeCell ref="F3197:I3197"/>
    <mergeCell ref="C3199:G3199"/>
    <mergeCell ref="C3200:D3200"/>
    <mergeCell ref="C3201:D3201"/>
    <mergeCell ref="C3202:D3202"/>
    <mergeCell ref="C3203:D3203"/>
    <mergeCell ref="B3204:G3204"/>
    <mergeCell ref="F3206:I3206"/>
    <mergeCell ref="C3250:D3250"/>
    <mergeCell ref="C3251:D3251"/>
    <mergeCell ref="C3252:D3252"/>
    <mergeCell ref="C3253:D3253"/>
    <mergeCell ref="O3232:P3232"/>
    <mergeCell ref="C3233:D3233"/>
    <mergeCell ref="B3254:G3254"/>
    <mergeCell ref="F3256:I3256"/>
    <mergeCell ref="C3234:D3234"/>
    <mergeCell ref="C3236:D3236"/>
    <mergeCell ref="F3238:I3238"/>
    <mergeCell ref="C3240:G3240"/>
    <mergeCell ref="C3241:D3241"/>
    <mergeCell ref="C3242:D3242"/>
    <mergeCell ref="C3243:D3243"/>
    <mergeCell ref="C3244:D3244"/>
    <mergeCell ref="C3245:D3245"/>
    <mergeCell ref="C3235:D3235"/>
    <mergeCell ref="C3208:G3208"/>
    <mergeCell ref="C3209:D3209"/>
    <mergeCell ref="C3210:D3210"/>
    <mergeCell ref="C3211:D3211"/>
    <mergeCell ref="C3212:D3212"/>
    <mergeCell ref="C3309:D3309"/>
    <mergeCell ref="C3286:D3286"/>
    <mergeCell ref="C3292:D3292"/>
    <mergeCell ref="F3317:I3317"/>
    <mergeCell ref="F3319:I3319"/>
    <mergeCell ref="F3321:I3321"/>
    <mergeCell ref="B3324:D3324"/>
    <mergeCell ref="B3325:D3325"/>
    <mergeCell ref="D3328:G3328"/>
    <mergeCell ref="C3159:G3159"/>
    <mergeCell ref="C3160:D3160"/>
    <mergeCell ref="C3161:D3161"/>
    <mergeCell ref="C3162:D3162"/>
    <mergeCell ref="C3163:D3163"/>
    <mergeCell ref="F3165:I3165"/>
    <mergeCell ref="F3168:I3168"/>
    <mergeCell ref="F3170:I3170"/>
    <mergeCell ref="F3172:I3172"/>
    <mergeCell ref="B3175:D3175"/>
    <mergeCell ref="B3176:D3176"/>
    <mergeCell ref="D3228:G3228"/>
    <mergeCell ref="D3229:G3229"/>
    <mergeCell ref="C3231:G3231"/>
    <mergeCell ref="C3232:D3232"/>
    <mergeCell ref="F3247:I3247"/>
    <mergeCell ref="C3249:G3249"/>
    <mergeCell ref="F3188:I3188"/>
    <mergeCell ref="C3190:G3190"/>
    <mergeCell ref="C3191:D3191"/>
    <mergeCell ref="C3192:D3192"/>
    <mergeCell ref="C3193:D3193"/>
    <mergeCell ref="C3194:D3194"/>
    <mergeCell ref="C4364:D4364"/>
    <mergeCell ref="F4366:I4366"/>
    <mergeCell ref="C4368:G4368"/>
    <mergeCell ref="C4091:D4091"/>
    <mergeCell ref="C4092:D4092"/>
    <mergeCell ref="C4093:D4093"/>
    <mergeCell ref="C4111:D4111"/>
    <mergeCell ref="C4156:D4156"/>
    <mergeCell ref="C4164:D4164"/>
    <mergeCell ref="F4285:I4285"/>
    <mergeCell ref="C4320:D4320"/>
    <mergeCell ref="B4321:G4321"/>
    <mergeCell ref="F4132:I4132"/>
    <mergeCell ref="B4135:D4135"/>
    <mergeCell ref="B4136:D4136"/>
    <mergeCell ref="C4112:D4112"/>
    <mergeCell ref="C4113:D4113"/>
    <mergeCell ref="C4114:D4114"/>
    <mergeCell ref="B4115:G4115"/>
    <mergeCell ref="F4117:I4117"/>
    <mergeCell ref="D4139:G4139"/>
    <mergeCell ref="D4140:G4140"/>
    <mergeCell ref="C4142:G4142"/>
    <mergeCell ref="B4373:G4373"/>
    <mergeCell ref="F4375:I4375"/>
    <mergeCell ref="C4377:G4377"/>
    <mergeCell ref="C4378:D4378"/>
    <mergeCell ref="C4379:D4379"/>
    <mergeCell ref="C4380:D4380"/>
    <mergeCell ref="C4381:D4381"/>
    <mergeCell ref="F4383:I4383"/>
    <mergeCell ref="C4412:D4412"/>
    <mergeCell ref="C4421:D4421"/>
    <mergeCell ref="C4679:D4679"/>
    <mergeCell ref="C4672:D4672"/>
    <mergeCell ref="C4623:D4623"/>
    <mergeCell ref="C4632:D4632"/>
    <mergeCell ref="C4633:D4633"/>
    <mergeCell ref="C4634:D4634"/>
    <mergeCell ref="C4635:D4635"/>
    <mergeCell ref="C4641:D4641"/>
    <mergeCell ref="C4642:D4642"/>
    <mergeCell ref="C4485:D4485"/>
    <mergeCell ref="C4486:D4486"/>
    <mergeCell ref="F4493:I4493"/>
    <mergeCell ref="F4495:I4495"/>
    <mergeCell ref="C4508:D4508"/>
    <mergeCell ref="C4528:D4528"/>
    <mergeCell ref="F4531:I4531"/>
    <mergeCell ref="C4533:G4533"/>
    <mergeCell ref="C4534:D4534"/>
    <mergeCell ref="C4411:G4411"/>
    <mergeCell ref="C4413:D4413"/>
    <mergeCell ref="C4406:D4406"/>
    <mergeCell ref="C4407:D4407"/>
    <mergeCell ref="O4776:P4776"/>
    <mergeCell ref="C4784:D4784"/>
    <mergeCell ref="C4785:D4785"/>
    <mergeCell ref="C4786:D4786"/>
    <mergeCell ref="C4886:D4886"/>
    <mergeCell ref="C4791:D4791"/>
    <mergeCell ref="C4792:D4792"/>
    <mergeCell ref="F4867:I4867"/>
    <mergeCell ref="F4870:I4870"/>
    <mergeCell ref="F4872:I4872"/>
    <mergeCell ref="F4874:I4874"/>
    <mergeCell ref="B4930:D4930"/>
    <mergeCell ref="B4878:D4878"/>
    <mergeCell ref="C4776:D4776"/>
    <mergeCell ref="C4777:D4777"/>
    <mergeCell ref="C4778:D4778"/>
    <mergeCell ref="C4779:D4779"/>
    <mergeCell ref="C4843:G4843"/>
    <mergeCell ref="C4897:D4897"/>
    <mergeCell ref="C4898:D4898"/>
    <mergeCell ref="C4800:D4800"/>
    <mergeCell ref="C4783:D4783"/>
    <mergeCell ref="C4865:D4865"/>
    <mergeCell ref="C4780:D4780"/>
    <mergeCell ref="C4781:D4781"/>
    <mergeCell ref="C4782:D4782"/>
    <mergeCell ref="F4924:I4924"/>
    <mergeCell ref="F4926:I4926"/>
    <mergeCell ref="C4906:D4906"/>
    <mergeCell ref="C4907:D4907"/>
    <mergeCell ref="C4915:D4915"/>
    <mergeCell ref="C4916:D4916"/>
    <mergeCell ref="F4819:I4819"/>
    <mergeCell ref="F4821:I4821"/>
    <mergeCell ref="B4824:D4824"/>
    <mergeCell ref="B4825:D4825"/>
    <mergeCell ref="D4881:G4881"/>
    <mergeCell ref="D4882:G4882"/>
    <mergeCell ref="C4884:G4884"/>
    <mergeCell ref="B4929:D4929"/>
    <mergeCell ref="C4947:D4947"/>
    <mergeCell ref="C4948:D4948"/>
    <mergeCell ref="C4938:D4938"/>
    <mergeCell ref="C4939:D4939"/>
    <mergeCell ref="C4940:D4940"/>
    <mergeCell ref="C4946:D4946"/>
    <mergeCell ref="C4861:G4861"/>
    <mergeCell ref="F4859:I4859"/>
    <mergeCell ref="C4848:D4848"/>
    <mergeCell ref="F4850:I4850"/>
    <mergeCell ref="C4852:G4852"/>
    <mergeCell ref="C4908:D4908"/>
    <mergeCell ref="B4857:G4857"/>
    <mergeCell ref="C4885:D4885"/>
    <mergeCell ref="C4887:D4887"/>
    <mergeCell ref="C4888:D4888"/>
    <mergeCell ref="C4889:D4889"/>
    <mergeCell ref="C4890:D4890"/>
    <mergeCell ref="C4891:D4891"/>
    <mergeCell ref="C4839:D4839"/>
    <mergeCell ref="F4841:I4841"/>
    <mergeCell ref="C5049:D5049"/>
    <mergeCell ref="C5050:D5050"/>
    <mergeCell ref="C5051:D5051"/>
    <mergeCell ref="C5052:D5052"/>
    <mergeCell ref="C5053:D5053"/>
    <mergeCell ref="C5059:D5059"/>
    <mergeCell ref="C5062:D5062"/>
    <mergeCell ref="C5068:D5068"/>
    <mergeCell ref="C5069:D5069"/>
    <mergeCell ref="C5070:D5070"/>
    <mergeCell ref="C5058:D5058"/>
    <mergeCell ref="F5064:I5064"/>
    <mergeCell ref="C5066:G5066"/>
    <mergeCell ref="C5067:D5067"/>
    <mergeCell ref="C5048:D5048"/>
    <mergeCell ref="F5032:I5032"/>
    <mergeCell ref="B4980:D4980"/>
    <mergeCell ref="C5001:G5001"/>
    <mergeCell ref="C5002:D5002"/>
    <mergeCell ref="C5003:D5003"/>
    <mergeCell ref="C5006:D5006"/>
    <mergeCell ref="F5008:I5008"/>
    <mergeCell ref="C5010:G5010"/>
    <mergeCell ref="C5011:D5011"/>
    <mergeCell ref="C5012:D5012"/>
    <mergeCell ref="F5137:I5137"/>
    <mergeCell ref="C5106:D5106"/>
    <mergeCell ref="C5107:D5107"/>
    <mergeCell ref="C5108:D5108"/>
    <mergeCell ref="F5111:I5111"/>
    <mergeCell ref="C5113:G5113"/>
    <mergeCell ref="C5114:D5114"/>
    <mergeCell ref="C5115:D5115"/>
    <mergeCell ref="C5118:D5118"/>
    <mergeCell ref="F5120:I5120"/>
    <mergeCell ref="F5129:I5129"/>
    <mergeCell ref="C5131:G5131"/>
    <mergeCell ref="C5132:D5132"/>
    <mergeCell ref="C5133:D5133"/>
    <mergeCell ref="C5134:D5134"/>
    <mergeCell ref="C5135:D5135"/>
    <mergeCell ref="C5047:D5047"/>
    <mergeCell ref="B5071:G5071"/>
    <mergeCell ref="F5073:I5073"/>
    <mergeCell ref="C5075:G5075"/>
    <mergeCell ref="B5127:G5127"/>
    <mergeCell ref="C5109:D5109"/>
    <mergeCell ref="C5100:D5100"/>
    <mergeCell ref="C5101:D5101"/>
    <mergeCell ref="C5102:D5102"/>
    <mergeCell ref="C5057:G5057"/>
    <mergeCell ref="C5077:D5077"/>
    <mergeCell ref="C5078:D5078"/>
    <mergeCell ref="C5079:D5079"/>
    <mergeCell ref="B5092:D5092"/>
    <mergeCell ref="C5122:G5122"/>
    <mergeCell ref="C5123:D5123"/>
    <mergeCell ref="F3856:I3856"/>
    <mergeCell ref="B3859:D3859"/>
    <mergeCell ref="F2105:I2105"/>
    <mergeCell ref="C2107:G2107"/>
    <mergeCell ref="C3901:D3901"/>
    <mergeCell ref="C3902:D3902"/>
    <mergeCell ref="C3903:D3903"/>
    <mergeCell ref="F3905:I3905"/>
    <mergeCell ref="F3908:I3908"/>
    <mergeCell ref="F3910:I3910"/>
    <mergeCell ref="F3912:I3912"/>
    <mergeCell ref="B3915:D3915"/>
    <mergeCell ref="C4094:D4094"/>
    <mergeCell ref="C4103:D4103"/>
    <mergeCell ref="C4253:D4253"/>
    <mergeCell ref="C4037:D4037"/>
    <mergeCell ref="C4038:D4038"/>
    <mergeCell ref="C3979:D3979"/>
    <mergeCell ref="C3980:D3980"/>
    <mergeCell ref="C3981:D3981"/>
    <mergeCell ref="B3916:D3916"/>
    <mergeCell ref="D3919:G3919"/>
    <mergeCell ref="D3920:G3920"/>
    <mergeCell ref="C3922:G3922"/>
    <mergeCell ref="C3923:D3923"/>
    <mergeCell ref="F3961:I3961"/>
    <mergeCell ref="F3964:I3964"/>
    <mergeCell ref="F3966:I3966"/>
    <mergeCell ref="F3968:I3968"/>
    <mergeCell ref="B3972:D3972"/>
    <mergeCell ref="D3976:G3976"/>
    <mergeCell ref="C3978:G3978"/>
    <mergeCell ref="C251:G251"/>
    <mergeCell ref="C252:D252"/>
    <mergeCell ref="C253:D253"/>
    <mergeCell ref="C254:D254"/>
    <mergeCell ref="C255:D255"/>
    <mergeCell ref="F257:I257"/>
    <mergeCell ref="F260:I260"/>
    <mergeCell ref="F262:I262"/>
    <mergeCell ref="F264:I264"/>
    <mergeCell ref="C1994:D1994"/>
    <mergeCell ref="F1996:I1996"/>
    <mergeCell ref="C1998:G1998"/>
    <mergeCell ref="C1999:D1999"/>
    <mergeCell ref="C2000:D2000"/>
    <mergeCell ref="C2001:D2001"/>
    <mergeCell ref="C2002:D2002"/>
    <mergeCell ref="C2003:D2003"/>
    <mergeCell ref="D1541:G1541"/>
    <mergeCell ref="D1542:G1542"/>
    <mergeCell ref="C1544:G1544"/>
    <mergeCell ref="C1545:D1545"/>
    <mergeCell ref="C1546:D1546"/>
    <mergeCell ref="C1547:D1547"/>
    <mergeCell ref="C1548:D1548"/>
    <mergeCell ref="C1549:D1549"/>
    <mergeCell ref="D1818:G1818"/>
    <mergeCell ref="D1819:G1819"/>
    <mergeCell ref="C306:D306"/>
    <mergeCell ref="C307:D307"/>
    <mergeCell ref="F309:I309"/>
    <mergeCell ref="F312:I312"/>
    <mergeCell ref="F314:I314"/>
    <mergeCell ref="C227:D227"/>
    <mergeCell ref="B268:D268"/>
    <mergeCell ref="D538:G538"/>
    <mergeCell ref="D539:G539"/>
    <mergeCell ref="C541:G541"/>
    <mergeCell ref="C542:D542"/>
    <mergeCell ref="C543:D543"/>
    <mergeCell ref="C544:D544"/>
    <mergeCell ref="C545:D545"/>
    <mergeCell ref="C546:D546"/>
    <mergeCell ref="C547:D547"/>
    <mergeCell ref="C548:D548"/>
    <mergeCell ref="C5333:D5333"/>
    <mergeCell ref="C5334:D5334"/>
    <mergeCell ref="C5373:D5373"/>
    <mergeCell ref="C5379:D5379"/>
    <mergeCell ref="C5386:D5386"/>
    <mergeCell ref="C5377:D5377"/>
    <mergeCell ref="C5378:D5378"/>
    <mergeCell ref="C5274:D5274"/>
    <mergeCell ref="C5275:D5275"/>
    <mergeCell ref="F5297:I5297"/>
    <mergeCell ref="C5342:D5342"/>
    <mergeCell ref="C4856:D4856"/>
    <mergeCell ref="C5292:D5292"/>
    <mergeCell ref="C5283:D5283"/>
    <mergeCell ref="C4735:D4735"/>
    <mergeCell ref="C4736:D4736"/>
    <mergeCell ref="C4737:D4737"/>
    <mergeCell ref="C4509:D4509"/>
    <mergeCell ref="C4510:D4510"/>
    <mergeCell ref="C4525:D4525"/>
    <mergeCell ref="O2096:P2096"/>
    <mergeCell ref="C2097:D2097"/>
    <mergeCell ref="C2098:D2098"/>
    <mergeCell ref="C2099:D2099"/>
    <mergeCell ref="C2100:D2100"/>
    <mergeCell ref="C2109:D2109"/>
    <mergeCell ref="C2110:D2110"/>
    <mergeCell ref="C2111:D2111"/>
    <mergeCell ref="C2112:D2112"/>
    <mergeCell ref="C2118:D2118"/>
    <mergeCell ref="C2119:D2119"/>
    <mergeCell ref="C2120:D2120"/>
    <mergeCell ref="C2127:D2127"/>
    <mergeCell ref="F2131:I2131"/>
    <mergeCell ref="C2128:D2128"/>
    <mergeCell ref="C2129:D2129"/>
    <mergeCell ref="F210:I210"/>
    <mergeCell ref="F212:I212"/>
    <mergeCell ref="B215:D215"/>
    <mergeCell ref="B216:D216"/>
    <mergeCell ref="D219:G219"/>
    <mergeCell ref="D220:G220"/>
    <mergeCell ref="C222:G222"/>
    <mergeCell ref="C228:D228"/>
    <mergeCell ref="F231:I231"/>
    <mergeCell ref="C233:G233"/>
    <mergeCell ref="C234:D234"/>
    <mergeCell ref="C235:D235"/>
    <mergeCell ref="F240:I240"/>
    <mergeCell ref="C1854:D1854"/>
    <mergeCell ref="C242:G242"/>
    <mergeCell ref="C226:D226"/>
    <mergeCell ref="C3290:G3290"/>
    <mergeCell ref="C3293:D3293"/>
    <mergeCell ref="C3294:D3294"/>
    <mergeCell ref="C3295:D3295"/>
    <mergeCell ref="F3297:I3297"/>
    <mergeCell ref="C3299:G3299"/>
    <mergeCell ref="C3302:D3302"/>
    <mergeCell ref="C3303:D3303"/>
    <mergeCell ref="B3304:G3304"/>
    <mergeCell ref="F3306:I3306"/>
    <mergeCell ref="C3308:G3308"/>
    <mergeCell ref="C3310:D3310"/>
    <mergeCell ref="C3311:D3311"/>
    <mergeCell ref="C3312:D3312"/>
    <mergeCell ref="F3314:I3314"/>
    <mergeCell ref="C3555:G3555"/>
    <mergeCell ref="C3556:D3556"/>
    <mergeCell ref="C3360:D3360"/>
    <mergeCell ref="C3361:D3361"/>
    <mergeCell ref="C3362:D3362"/>
    <mergeCell ref="C3359:D3359"/>
    <mergeCell ref="F3364:I3364"/>
    <mergeCell ref="F3369:I3369"/>
    <mergeCell ref="F3371:I3371"/>
    <mergeCell ref="B3374:D3374"/>
    <mergeCell ref="B3375:D3375"/>
    <mergeCell ref="D3378:G3378"/>
    <mergeCell ref="D3379:G3379"/>
    <mergeCell ref="C3381:G3381"/>
    <mergeCell ref="C3300:D3300"/>
    <mergeCell ref="C3301:D3301"/>
    <mergeCell ref="C3291:D3291"/>
    <mergeCell ref="C5046:D5046"/>
    <mergeCell ref="F5055:I5055"/>
    <mergeCell ref="C3900:D3900"/>
    <mergeCell ref="C3894:D3894"/>
    <mergeCell ref="B3895:G3895"/>
    <mergeCell ref="F3897:I3897"/>
    <mergeCell ref="C3899:G3899"/>
    <mergeCell ref="D3538:G3538"/>
    <mergeCell ref="D3539:G3539"/>
    <mergeCell ref="C3541:G3541"/>
    <mergeCell ref="C3542:D3542"/>
    <mergeCell ref="O3542:P3542"/>
    <mergeCell ref="C3543:D3543"/>
    <mergeCell ref="C3544:D3544"/>
    <mergeCell ref="C3545:D3545"/>
    <mergeCell ref="C3546:D3546"/>
    <mergeCell ref="C3547:D3547"/>
    <mergeCell ref="C3548:D3548"/>
    <mergeCell ref="C3549:D3549"/>
    <mergeCell ref="C3550:D3550"/>
    <mergeCell ref="C3551:D3551"/>
    <mergeCell ref="F3553:I3553"/>
    <mergeCell ref="C3557:D3557"/>
    <mergeCell ref="C3558:D3558"/>
    <mergeCell ref="C3559:D3559"/>
    <mergeCell ref="C3560:D3560"/>
    <mergeCell ref="F3562:I3562"/>
    <mergeCell ref="C3564:G3564"/>
    <mergeCell ref="C3565:D3565"/>
    <mergeCell ref="C3566:D3566"/>
    <mergeCell ref="C3567:D3567"/>
    <mergeCell ref="C3568:D3568"/>
    <mergeCell ref="C4775:G4775"/>
    <mergeCell ref="C4904:G4904"/>
    <mergeCell ref="C4905:D4905"/>
    <mergeCell ref="B4909:G4909"/>
    <mergeCell ref="F4911:I4911"/>
    <mergeCell ref="C4913:G4913"/>
    <mergeCell ref="C4914:D4914"/>
    <mergeCell ref="F4919:I4919"/>
    <mergeCell ref="F4922:I4922"/>
    <mergeCell ref="C5124:D5124"/>
    <mergeCell ref="C5125:D5125"/>
    <mergeCell ref="C5126:D5126"/>
    <mergeCell ref="C4994:D4994"/>
    <mergeCell ref="C4995:D4995"/>
    <mergeCell ref="C4996:D4996"/>
    <mergeCell ref="C4997:D4997"/>
    <mergeCell ref="D4983:G4983"/>
    <mergeCell ref="D4984:G4984"/>
    <mergeCell ref="C4986:G4986"/>
    <mergeCell ref="C4987:D4987"/>
    <mergeCell ref="C4988:D4988"/>
    <mergeCell ref="C4989:D4989"/>
    <mergeCell ref="C4990:D4990"/>
    <mergeCell ref="C4991:D4991"/>
    <mergeCell ref="C5099:D5099"/>
    <mergeCell ref="C5103:D5103"/>
    <mergeCell ref="C5104:D5104"/>
    <mergeCell ref="D5040:G5040"/>
    <mergeCell ref="C5042:G5042"/>
    <mergeCell ref="C5043:D5043"/>
    <mergeCell ref="C5044:D5044"/>
    <mergeCell ref="C5045:D5045"/>
    <mergeCell ref="C5277:D5277"/>
    <mergeCell ref="C5278:D5278"/>
    <mergeCell ref="F5280:I5280"/>
    <mergeCell ref="C5282:G5282"/>
    <mergeCell ref="C5284:D5284"/>
    <mergeCell ref="C5285:D5285"/>
    <mergeCell ref="C5286:D5286"/>
    <mergeCell ref="B5287:G5287"/>
    <mergeCell ref="F5289:I5289"/>
    <mergeCell ref="C5291:G5291"/>
    <mergeCell ref="C5293:D5293"/>
    <mergeCell ref="C5294:D5294"/>
    <mergeCell ref="C5262:D5262"/>
    <mergeCell ref="C5263:D5263"/>
    <mergeCell ref="C5264:D5264"/>
    <mergeCell ref="C5265:D5265"/>
    <mergeCell ref="C5266:D5266"/>
    <mergeCell ref="C5491:D5491"/>
    <mergeCell ref="C5492:D5492"/>
    <mergeCell ref="C5486:D5486"/>
    <mergeCell ref="C5427:D5427"/>
    <mergeCell ref="C5428:D5428"/>
    <mergeCell ref="C5429:D5429"/>
    <mergeCell ref="C5430:D5430"/>
    <mergeCell ref="C5431:D5431"/>
    <mergeCell ref="C5432:D5432"/>
    <mergeCell ref="C5433:D5433"/>
    <mergeCell ref="F5468:I5468"/>
    <mergeCell ref="C5405:D5405"/>
    <mergeCell ref="C5406:D5406"/>
    <mergeCell ref="B5419:D5419"/>
    <mergeCell ref="C5371:D5371"/>
    <mergeCell ref="C5372:D5372"/>
    <mergeCell ref="C5374:D5374"/>
    <mergeCell ref="C5375:D5375"/>
    <mergeCell ref="C5397:D5397"/>
    <mergeCell ref="C5404:D5404"/>
    <mergeCell ref="D5423:G5423"/>
    <mergeCell ref="C5442:D5442"/>
    <mergeCell ref="B5455:G5455"/>
    <mergeCell ref="F5457:I5457"/>
    <mergeCell ref="C5459:G5459"/>
    <mergeCell ref="C5460:D5460"/>
    <mergeCell ref="C5461:D5461"/>
    <mergeCell ref="C5462:D5462"/>
    <mergeCell ref="D5424:G5424"/>
    <mergeCell ref="C5426:G5426"/>
    <mergeCell ref="C5387:D5387"/>
    <mergeCell ref="C5388:D5388"/>
    <mergeCell ref="F5694:I5694"/>
    <mergeCell ref="F5696:I5696"/>
    <mergeCell ref="B5699:D5699"/>
    <mergeCell ref="B5700:D5700"/>
    <mergeCell ref="D5703:G5703"/>
    <mergeCell ref="D5704:G5704"/>
    <mergeCell ref="C5708:D5708"/>
    <mergeCell ref="C5709:D5709"/>
    <mergeCell ref="C5710:D5710"/>
    <mergeCell ref="C5711:D5711"/>
    <mergeCell ref="C5712:D5712"/>
    <mergeCell ref="C5713:D5713"/>
    <mergeCell ref="C5553:G5553"/>
    <mergeCell ref="C5554:D5554"/>
    <mergeCell ref="C5498:D5498"/>
    <mergeCell ref="C5499:D5499"/>
    <mergeCell ref="C5502:D5502"/>
    <mergeCell ref="F5504:I5504"/>
    <mergeCell ref="C5506:G5506"/>
    <mergeCell ref="B5511:G5511"/>
    <mergeCell ref="F5513:I5513"/>
    <mergeCell ref="C5515:G5515"/>
    <mergeCell ref="C5516:D5516"/>
    <mergeCell ref="C5517:D5517"/>
    <mergeCell ref="C5518:D5518"/>
    <mergeCell ref="C5519:D5519"/>
    <mergeCell ref="F5521:I5521"/>
    <mergeCell ref="F5524:I5524"/>
    <mergeCell ref="F5528:I5528"/>
    <mergeCell ref="B5531:D5531"/>
    <mergeCell ref="B5532:D5532"/>
    <mergeCell ref="C5508:D5508"/>
    <mergeCell ref="C5658:D5658"/>
    <mergeCell ref="C5659:D5659"/>
    <mergeCell ref="C5660:D5660"/>
    <mergeCell ref="C5661:D5661"/>
    <mergeCell ref="F5663:I5663"/>
    <mergeCell ref="F5672:I5672"/>
    <mergeCell ref="C5674:G5674"/>
    <mergeCell ref="B5679:G5679"/>
    <mergeCell ref="F5681:I5681"/>
    <mergeCell ref="C5683:G5683"/>
    <mergeCell ref="F5692:I5692"/>
    <mergeCell ref="C5670:D5670"/>
    <mergeCell ref="C5675:D5675"/>
    <mergeCell ref="C5678:D5678"/>
    <mergeCell ref="C5684:D5684"/>
    <mergeCell ref="C5685:D5685"/>
    <mergeCell ref="C5686:D5686"/>
    <mergeCell ref="C5687:D5687"/>
    <mergeCell ref="C5676:D5676"/>
    <mergeCell ref="C5677:D5677"/>
    <mergeCell ref="F5804:I5804"/>
    <mergeCell ref="F5806:I5806"/>
    <mergeCell ref="F5808:I5808"/>
    <mergeCell ref="B5811:D5811"/>
    <mergeCell ref="B5812:D5812"/>
    <mergeCell ref="B5735:G5735"/>
    <mergeCell ref="F5737:I5737"/>
    <mergeCell ref="C5739:G5739"/>
    <mergeCell ref="C5742:D5742"/>
    <mergeCell ref="C5743:D5743"/>
    <mergeCell ref="F5745:I5745"/>
    <mergeCell ref="F5748:I5748"/>
    <mergeCell ref="F5750:I5750"/>
    <mergeCell ref="B5755:D5755"/>
    <mergeCell ref="B5756:D5756"/>
    <mergeCell ref="D5759:G5759"/>
    <mergeCell ref="D5760:G5760"/>
    <mergeCell ref="C5762:G5762"/>
    <mergeCell ref="C5763:D5763"/>
    <mergeCell ref="C5777:G5777"/>
    <mergeCell ref="C5778:D5778"/>
    <mergeCell ref="C5779:D5779"/>
    <mergeCell ref="C5780:D5780"/>
    <mergeCell ref="C5781:D5781"/>
    <mergeCell ref="C5782:D5782"/>
    <mergeCell ref="C5790:D5790"/>
    <mergeCell ref="C5764:D5764"/>
    <mergeCell ref="C5765:D5765"/>
    <mergeCell ref="C5766:D5766"/>
    <mergeCell ref="C5767:D5767"/>
    <mergeCell ref="C5768:D5768"/>
    <mergeCell ref="C5769:D5769"/>
    <mergeCell ref="C5770:D5770"/>
    <mergeCell ref="C5771:D5771"/>
    <mergeCell ref="C5772:D5772"/>
    <mergeCell ref="C5773:D5773"/>
    <mergeCell ref="F5775:I5775"/>
    <mergeCell ref="F5784:I5784"/>
    <mergeCell ref="C5786:G5786"/>
    <mergeCell ref="C5787:D5787"/>
    <mergeCell ref="C5788:D5788"/>
    <mergeCell ref="C5789:D5789"/>
    <mergeCell ref="B5791:G5791"/>
    <mergeCell ref="F5793:I5793"/>
    <mergeCell ref="C5795:G5795"/>
    <mergeCell ref="C5796:D5796"/>
    <mergeCell ref="C5797:D5797"/>
    <mergeCell ref="C5798:D5798"/>
    <mergeCell ref="F5801:I5801"/>
    <mergeCell ref="C5799:D5799"/>
    <mergeCell ref="F561:I561"/>
    <mergeCell ref="C563:G563"/>
    <mergeCell ref="C564:D564"/>
    <mergeCell ref="C565:D565"/>
    <mergeCell ref="C566:D566"/>
    <mergeCell ref="C567:D567"/>
    <mergeCell ref="B568:G568"/>
    <mergeCell ref="F570:I570"/>
    <mergeCell ref="C572:G572"/>
    <mergeCell ref="C573:D573"/>
    <mergeCell ref="C574:D574"/>
    <mergeCell ref="C575:D575"/>
    <mergeCell ref="C576:D576"/>
    <mergeCell ref="F578:I578"/>
    <mergeCell ref="F581:I581"/>
    <mergeCell ref="F583:I583"/>
    <mergeCell ref="F585:I585"/>
    <mergeCell ref="B588:D588"/>
    <mergeCell ref="B589:D589"/>
    <mergeCell ref="D592:G592"/>
    <mergeCell ref="D593:G593"/>
    <mergeCell ref="C595:G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F606:I606"/>
    <mergeCell ref="C608:G608"/>
    <mergeCell ref="C609:D609"/>
    <mergeCell ref="C610:D610"/>
    <mergeCell ref="C613:D613"/>
    <mergeCell ref="F615:I615"/>
    <mergeCell ref="C617:G617"/>
    <mergeCell ref="C618:D618"/>
    <mergeCell ref="C619:D619"/>
    <mergeCell ref="C620:D620"/>
    <mergeCell ref="C621:D621"/>
    <mergeCell ref="B622:G622"/>
    <mergeCell ref="F624:I624"/>
    <mergeCell ref="C626:G626"/>
    <mergeCell ref="C627:D627"/>
    <mergeCell ref="C628:D628"/>
    <mergeCell ref="C629:D629"/>
    <mergeCell ref="C630:D630"/>
    <mergeCell ref="F632:I632"/>
    <mergeCell ref="F635:I635"/>
    <mergeCell ref="F637:I637"/>
    <mergeCell ref="F639:I639"/>
    <mergeCell ref="B642:D642"/>
    <mergeCell ref="B643:D643"/>
    <mergeCell ref="D646:G646"/>
    <mergeCell ref="D647:G647"/>
    <mergeCell ref="C649:G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F660:I660"/>
    <mergeCell ref="C662:G662"/>
    <mergeCell ref="C663:D663"/>
    <mergeCell ref="C664:D664"/>
    <mergeCell ref="C667:D667"/>
    <mergeCell ref="F669:I669"/>
    <mergeCell ref="C671:G671"/>
    <mergeCell ref="C672:D672"/>
    <mergeCell ref="C673:D673"/>
    <mergeCell ref="C674:D674"/>
    <mergeCell ref="C675:D675"/>
    <mergeCell ref="B676:G676"/>
    <mergeCell ref="F678:I678"/>
    <mergeCell ref="C680:G680"/>
    <mergeCell ref="C681:D681"/>
    <mergeCell ref="C682:D682"/>
    <mergeCell ref="C683:D683"/>
    <mergeCell ref="C684:D684"/>
    <mergeCell ref="F686:I686"/>
    <mergeCell ref="F689:I689"/>
    <mergeCell ref="F691:I691"/>
    <mergeCell ref="F693:I693"/>
    <mergeCell ref="B696:D696"/>
    <mergeCell ref="B697:D697"/>
    <mergeCell ref="D925:G925"/>
    <mergeCell ref="D926:G926"/>
    <mergeCell ref="C928:G928"/>
    <mergeCell ref="C929:D929"/>
    <mergeCell ref="C930:D930"/>
    <mergeCell ref="C931:D931"/>
    <mergeCell ref="C932:D932"/>
    <mergeCell ref="C933:D933"/>
    <mergeCell ref="C934:D934"/>
    <mergeCell ref="C935:D935"/>
    <mergeCell ref="C936:D936"/>
    <mergeCell ref="F725:I725"/>
    <mergeCell ref="C727:G727"/>
    <mergeCell ref="C728:D728"/>
    <mergeCell ref="C729:D729"/>
    <mergeCell ref="C730:D730"/>
    <mergeCell ref="C731:D731"/>
    <mergeCell ref="B732:G732"/>
    <mergeCell ref="F734:I734"/>
    <mergeCell ref="C736:G736"/>
    <mergeCell ref="C737:D737"/>
    <mergeCell ref="C738:D738"/>
    <mergeCell ref="C739:D739"/>
    <mergeCell ref="C740:D740"/>
    <mergeCell ref="F742:I742"/>
    <mergeCell ref="F745:I745"/>
    <mergeCell ref="C937:D937"/>
    <mergeCell ref="C938:D938"/>
    <mergeCell ref="C939:D939"/>
    <mergeCell ref="F941:I941"/>
    <mergeCell ref="C943:G943"/>
    <mergeCell ref="C944:D944"/>
    <mergeCell ref="C945:D945"/>
    <mergeCell ref="C948:D948"/>
    <mergeCell ref="F950:I950"/>
    <mergeCell ref="C952:G952"/>
    <mergeCell ref="C953:D953"/>
    <mergeCell ref="C954:D954"/>
    <mergeCell ref="C955:D955"/>
    <mergeCell ref="C956:D956"/>
    <mergeCell ref="B957:G957"/>
    <mergeCell ref="F959:I959"/>
    <mergeCell ref="C961:G961"/>
    <mergeCell ref="C962:D962"/>
    <mergeCell ref="C963:D963"/>
    <mergeCell ref="C964:D964"/>
    <mergeCell ref="C965:D965"/>
    <mergeCell ref="F967:I967"/>
    <mergeCell ref="F970:I970"/>
    <mergeCell ref="F972:I972"/>
    <mergeCell ref="F974:I974"/>
    <mergeCell ref="B977:D977"/>
    <mergeCell ref="B978:D978"/>
    <mergeCell ref="D981:G981"/>
    <mergeCell ref="D982:G982"/>
    <mergeCell ref="C984:G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F997:I997"/>
    <mergeCell ref="C999:G999"/>
    <mergeCell ref="C1000:D1000"/>
    <mergeCell ref="C1001:D1001"/>
    <mergeCell ref="C1004:D1004"/>
    <mergeCell ref="F1006:I1006"/>
    <mergeCell ref="C1008:G1008"/>
    <mergeCell ref="C1009:D1009"/>
    <mergeCell ref="C1010:D1010"/>
    <mergeCell ref="C1011:D1011"/>
    <mergeCell ref="C1012:D1012"/>
    <mergeCell ref="B1013:G1013"/>
    <mergeCell ref="F1015:I1015"/>
    <mergeCell ref="C1017:G1017"/>
    <mergeCell ref="C1018:D1018"/>
    <mergeCell ref="C1019:D1019"/>
    <mergeCell ref="C1020:D1020"/>
    <mergeCell ref="C1021:D1021"/>
    <mergeCell ref="F1023:I1023"/>
    <mergeCell ref="F1026:I1026"/>
    <mergeCell ref="F1028:I1028"/>
    <mergeCell ref="F1030:I1030"/>
    <mergeCell ref="B1033:D1033"/>
    <mergeCell ref="B1034:D1034"/>
    <mergeCell ref="D1037:G1037"/>
    <mergeCell ref="D1038:G1038"/>
    <mergeCell ref="C1040:G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F1053:I1053"/>
    <mergeCell ref="C1055:G1055"/>
    <mergeCell ref="C1056:D1056"/>
    <mergeCell ref="C1057:D1057"/>
    <mergeCell ref="C1060:D1060"/>
    <mergeCell ref="F1062:I1062"/>
    <mergeCell ref="C1064:G1064"/>
    <mergeCell ref="C1065:D1065"/>
    <mergeCell ref="C1066:D1066"/>
    <mergeCell ref="C1067:D1067"/>
    <mergeCell ref="C1068:D1068"/>
    <mergeCell ref="B1069:G1069"/>
    <mergeCell ref="F1071:I1071"/>
    <mergeCell ref="C1073:G1073"/>
    <mergeCell ref="C1074:D1074"/>
    <mergeCell ref="C1075:D1075"/>
    <mergeCell ref="C1076:D1076"/>
    <mergeCell ref="C1077:D1077"/>
    <mergeCell ref="F1079:I1079"/>
    <mergeCell ref="F1082:I1082"/>
    <mergeCell ref="F1084:I1084"/>
    <mergeCell ref="F1086:I1086"/>
    <mergeCell ref="B1089:D1089"/>
    <mergeCell ref="B1090:D1090"/>
    <mergeCell ref="D1093:G1093"/>
    <mergeCell ref="D1094:G1094"/>
    <mergeCell ref="C1096:G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F1109:I1109"/>
    <mergeCell ref="C1111:G1111"/>
    <mergeCell ref="C1112:D1112"/>
    <mergeCell ref="C1113:D1113"/>
    <mergeCell ref="C1116:D1116"/>
    <mergeCell ref="F1118:I1118"/>
    <mergeCell ref="C1120:G1120"/>
    <mergeCell ref="C1121:D1121"/>
    <mergeCell ref="C1122:D1122"/>
    <mergeCell ref="C1123:D1123"/>
    <mergeCell ref="C1124:D1124"/>
    <mergeCell ref="B1125:G1125"/>
    <mergeCell ref="F1127:I1127"/>
    <mergeCell ref="C1129:G1129"/>
    <mergeCell ref="C1130:D1130"/>
    <mergeCell ref="C1131:D1131"/>
    <mergeCell ref="C1132:D1132"/>
    <mergeCell ref="C1133:D1133"/>
    <mergeCell ref="F1135:I1135"/>
    <mergeCell ref="F1138:I1138"/>
    <mergeCell ref="F1140:I1140"/>
    <mergeCell ref="F1142:I1142"/>
    <mergeCell ref="B1145:D1145"/>
    <mergeCell ref="B1146:D1146"/>
    <mergeCell ref="D1149:G1149"/>
    <mergeCell ref="D1150:G1150"/>
    <mergeCell ref="C1152:G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F1165:I1165"/>
    <mergeCell ref="C1167:G1167"/>
    <mergeCell ref="C1168:D1168"/>
    <mergeCell ref="C1169:D1169"/>
    <mergeCell ref="C1172:D1172"/>
    <mergeCell ref="F1174:I1174"/>
    <mergeCell ref="C1176:G1176"/>
    <mergeCell ref="C1177:D1177"/>
    <mergeCell ref="C1178:D1178"/>
    <mergeCell ref="C1179:D1179"/>
    <mergeCell ref="C1180:D1180"/>
    <mergeCell ref="B1181:G1181"/>
    <mergeCell ref="F1183:I1183"/>
    <mergeCell ref="C1185:G1185"/>
    <mergeCell ref="C1186:D1186"/>
    <mergeCell ref="C1187:D1187"/>
    <mergeCell ref="C1188:D1188"/>
    <mergeCell ref="C1189:D1189"/>
    <mergeCell ref="F1191:I1191"/>
    <mergeCell ref="F1194:I1194"/>
    <mergeCell ref="F1196:I1196"/>
    <mergeCell ref="F1198:I1198"/>
    <mergeCell ref="B1201:D1201"/>
    <mergeCell ref="B1202:D1202"/>
    <mergeCell ref="D1205:G1205"/>
    <mergeCell ref="D1206:G1206"/>
    <mergeCell ref="C1208:G1208"/>
    <mergeCell ref="C1209:D1209"/>
    <mergeCell ref="C1210:D1210"/>
    <mergeCell ref="C1211:D1211"/>
    <mergeCell ref="C1212:D1212"/>
    <mergeCell ref="C1213:D1213"/>
    <mergeCell ref="C1265:D1265"/>
    <mergeCell ref="C1214:D1214"/>
    <mergeCell ref="C1215:D1215"/>
    <mergeCell ref="C1216:D1216"/>
    <mergeCell ref="C1217:D1217"/>
    <mergeCell ref="C1218:D1218"/>
    <mergeCell ref="C1219:D1219"/>
    <mergeCell ref="F1221:I1221"/>
    <mergeCell ref="C1223:G1223"/>
    <mergeCell ref="C1224:D1224"/>
    <mergeCell ref="C1225:D1225"/>
    <mergeCell ref="C1228:D1228"/>
    <mergeCell ref="F1230:I1230"/>
    <mergeCell ref="C1232:G1232"/>
    <mergeCell ref="C1233:D1233"/>
    <mergeCell ref="C1234:D1234"/>
    <mergeCell ref="C1235:D1235"/>
    <mergeCell ref="C1236:D1236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5:D1275"/>
    <mergeCell ref="F1277:I1277"/>
    <mergeCell ref="C1279:G1279"/>
    <mergeCell ref="C1280:D1280"/>
    <mergeCell ref="C1281:D1281"/>
    <mergeCell ref="C1284:D1284"/>
    <mergeCell ref="F1286:I1286"/>
    <mergeCell ref="C1288:G1288"/>
    <mergeCell ref="B1237:G1237"/>
    <mergeCell ref="F1239:I1239"/>
    <mergeCell ref="C1241:G1241"/>
    <mergeCell ref="C1242:D1242"/>
    <mergeCell ref="C1243:D1243"/>
    <mergeCell ref="C1244:D1244"/>
    <mergeCell ref="C1245:D1245"/>
    <mergeCell ref="F1247:I1247"/>
    <mergeCell ref="F1250:I1250"/>
    <mergeCell ref="F1252:I1252"/>
    <mergeCell ref="F1254:I1254"/>
    <mergeCell ref="B1257:D1257"/>
    <mergeCell ref="B1258:D1258"/>
    <mergeCell ref="D1261:G1261"/>
    <mergeCell ref="D1262:G1262"/>
    <mergeCell ref="C1264:G1264"/>
    <mergeCell ref="C1289:D1289"/>
    <mergeCell ref="C1290:D1290"/>
    <mergeCell ref="C1291:D1291"/>
    <mergeCell ref="C1292:D1292"/>
    <mergeCell ref="B1293:G1293"/>
    <mergeCell ref="F1295:I1295"/>
    <mergeCell ref="C1297:G1297"/>
    <mergeCell ref="C1298:D1298"/>
    <mergeCell ref="C1299:D1299"/>
    <mergeCell ref="C1300:D1300"/>
    <mergeCell ref="C1301:D1301"/>
    <mergeCell ref="F1303:I1303"/>
    <mergeCell ref="F1306:I1306"/>
    <mergeCell ref="F1308:I1308"/>
    <mergeCell ref="F1310:I1310"/>
    <mergeCell ref="B1313:D1313"/>
    <mergeCell ref="B1314:D1314"/>
    <mergeCell ref="D1317:G1317"/>
    <mergeCell ref="D1318:G1318"/>
    <mergeCell ref="C1320:G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1:D1331"/>
    <mergeCell ref="F1333:I1333"/>
    <mergeCell ref="C1335:G1335"/>
    <mergeCell ref="C1336:D1336"/>
    <mergeCell ref="C1337:D1337"/>
    <mergeCell ref="F1366:I1366"/>
    <mergeCell ref="B1369:D1369"/>
    <mergeCell ref="B1370:D1370"/>
    <mergeCell ref="D1485:G1485"/>
    <mergeCell ref="D1486:G1486"/>
    <mergeCell ref="C1488:G1488"/>
    <mergeCell ref="C1489:D1489"/>
    <mergeCell ref="C1490:D1490"/>
    <mergeCell ref="C1491:D1491"/>
    <mergeCell ref="C1492:D1492"/>
    <mergeCell ref="C1493:D1493"/>
    <mergeCell ref="C1494:D1494"/>
    <mergeCell ref="C1497:D1497"/>
    <mergeCell ref="C1498:D1498"/>
    <mergeCell ref="C1499:D1499"/>
    <mergeCell ref="C1340:D1340"/>
    <mergeCell ref="F1342:I1342"/>
    <mergeCell ref="C1344:G1344"/>
    <mergeCell ref="C1345:D1345"/>
    <mergeCell ref="C1346:D1346"/>
    <mergeCell ref="C1347:D1347"/>
    <mergeCell ref="C1348:D1348"/>
    <mergeCell ref="B1349:G1349"/>
    <mergeCell ref="F1351:I1351"/>
    <mergeCell ref="C1353:G1353"/>
    <mergeCell ref="C1354:D1354"/>
    <mergeCell ref="C1355:D1355"/>
    <mergeCell ref="C1356:D1356"/>
    <mergeCell ref="C1357:D1357"/>
    <mergeCell ref="F1359:I1359"/>
    <mergeCell ref="F1362:I1362"/>
    <mergeCell ref="F1364:I1364"/>
    <mergeCell ref="F1501:I1501"/>
    <mergeCell ref="C1503:G1503"/>
    <mergeCell ref="C1504:D1504"/>
    <mergeCell ref="C1505:D1505"/>
    <mergeCell ref="C1506:D1506"/>
    <mergeCell ref="C1507:D1507"/>
    <mergeCell ref="C1508:D1508"/>
    <mergeCell ref="F1510:I1510"/>
    <mergeCell ref="C1512:G1512"/>
    <mergeCell ref="C1513:D1513"/>
    <mergeCell ref="C1514:D1514"/>
    <mergeCell ref="C1515:D1515"/>
    <mergeCell ref="C1516:D1516"/>
    <mergeCell ref="B1517:G1517"/>
    <mergeCell ref="F1519:I1519"/>
    <mergeCell ref="C1521:G1521"/>
    <mergeCell ref="C1522:D1522"/>
    <mergeCell ref="C1523:D1523"/>
    <mergeCell ref="C1524:D1524"/>
    <mergeCell ref="C1525:D1525"/>
    <mergeCell ref="F1527:I1527"/>
    <mergeCell ref="F1530:I1530"/>
    <mergeCell ref="F1532:I1532"/>
    <mergeCell ref="F1534:I1534"/>
    <mergeCell ref="B1537:D1537"/>
    <mergeCell ref="B1538:D1538"/>
    <mergeCell ref="D1597:G1597"/>
    <mergeCell ref="D1598:G1598"/>
    <mergeCell ref="C1600:G1600"/>
    <mergeCell ref="C1601:D1601"/>
    <mergeCell ref="O1601:P1601"/>
    <mergeCell ref="C1602:D1602"/>
    <mergeCell ref="C1603:D1603"/>
    <mergeCell ref="C1604:D1604"/>
    <mergeCell ref="O1545:P1545"/>
    <mergeCell ref="C1554:D1554"/>
    <mergeCell ref="C1555:D1555"/>
    <mergeCell ref="F1557:I1557"/>
    <mergeCell ref="C1559:G1559"/>
    <mergeCell ref="C1560:D1560"/>
    <mergeCell ref="C1561:D1561"/>
    <mergeCell ref="C1553:D1553"/>
    <mergeCell ref="C1562:D1562"/>
    <mergeCell ref="C1563:D1563"/>
    <mergeCell ref="C1564:D1564"/>
    <mergeCell ref="C1578:D1578"/>
    <mergeCell ref="C1579:D1579"/>
    <mergeCell ref="C1580:D1580"/>
    <mergeCell ref="C1581:D1581"/>
    <mergeCell ref="C1625:D1625"/>
    <mergeCell ref="C1626:D1626"/>
    <mergeCell ref="C1627:D1627"/>
    <mergeCell ref="C1628:D1628"/>
    <mergeCell ref="B1629:G1629"/>
    <mergeCell ref="F1631:I1631"/>
    <mergeCell ref="C1633:G1633"/>
    <mergeCell ref="C1634:D1634"/>
    <mergeCell ref="C1635:D1635"/>
    <mergeCell ref="C1636:D1636"/>
    <mergeCell ref="C1637:D1637"/>
    <mergeCell ref="F1639:I1639"/>
    <mergeCell ref="F1642:I1642"/>
    <mergeCell ref="F1644:I1644"/>
    <mergeCell ref="F1646:I1646"/>
    <mergeCell ref="B1649:D1649"/>
    <mergeCell ref="B1650:D1650"/>
    <mergeCell ref="D1653:G1653"/>
    <mergeCell ref="D1654:G1654"/>
    <mergeCell ref="C1656:G1656"/>
    <mergeCell ref="C1657:D1657"/>
    <mergeCell ref="O1657:P1657"/>
    <mergeCell ref="C1658:D1658"/>
    <mergeCell ref="C1659:D1659"/>
    <mergeCell ref="C1660:D1660"/>
    <mergeCell ref="C1661:D1661"/>
    <mergeCell ref="C1662:D1662"/>
    <mergeCell ref="C1663:D1663"/>
    <mergeCell ref="C1664:D1664"/>
    <mergeCell ref="F1666:I1666"/>
    <mergeCell ref="C1668:G1668"/>
    <mergeCell ref="C1669:D1669"/>
    <mergeCell ref="C1670:D1670"/>
    <mergeCell ref="C1671:D1671"/>
    <mergeCell ref="C1672:D1672"/>
    <mergeCell ref="C1673:D1673"/>
    <mergeCell ref="F1675:I1675"/>
    <mergeCell ref="C1677:G1677"/>
    <mergeCell ref="C1678:D1678"/>
    <mergeCell ref="C1679:D1679"/>
    <mergeCell ref="C1680:D1680"/>
    <mergeCell ref="C1681:D1681"/>
    <mergeCell ref="B1682:G1682"/>
    <mergeCell ref="F1684:I1684"/>
    <mergeCell ref="C1686:G1686"/>
    <mergeCell ref="C1687:D1687"/>
    <mergeCell ref="C1688:D1688"/>
    <mergeCell ref="C1689:D1689"/>
    <mergeCell ref="C1690:D1690"/>
    <mergeCell ref="F1692:I1692"/>
    <mergeCell ref="F1695:I1695"/>
    <mergeCell ref="F1697:I1697"/>
    <mergeCell ref="F1699:I1699"/>
    <mergeCell ref="B1702:D1702"/>
    <mergeCell ref="B1703:D1703"/>
    <mergeCell ref="D1706:G1706"/>
    <mergeCell ref="D1707:G1707"/>
    <mergeCell ref="C1709:G1709"/>
    <mergeCell ref="C1710:D1710"/>
    <mergeCell ref="O1710:P1710"/>
    <mergeCell ref="C1711:D1711"/>
    <mergeCell ref="C1712:D1712"/>
    <mergeCell ref="C1713:D1713"/>
    <mergeCell ref="C1714:D1714"/>
    <mergeCell ref="C1718:D1718"/>
    <mergeCell ref="C1719:D1719"/>
    <mergeCell ref="C1720:D1720"/>
    <mergeCell ref="F1722:I1722"/>
    <mergeCell ref="C1724:G1724"/>
    <mergeCell ref="C1725:D1725"/>
    <mergeCell ref="C1726:D1726"/>
    <mergeCell ref="C1727:D1727"/>
    <mergeCell ref="C1728:D1728"/>
    <mergeCell ref="C1729:D1729"/>
    <mergeCell ref="F1731:I1731"/>
    <mergeCell ref="C1733:G1733"/>
    <mergeCell ref="C1734:D1734"/>
    <mergeCell ref="C1735:D1735"/>
    <mergeCell ref="C1736:D1736"/>
    <mergeCell ref="C1737:D1737"/>
    <mergeCell ref="B1738:G1738"/>
    <mergeCell ref="F1740:I1740"/>
    <mergeCell ref="C1742:G1742"/>
    <mergeCell ref="C1743:D1743"/>
    <mergeCell ref="C1744:D1744"/>
    <mergeCell ref="C1745:D1745"/>
    <mergeCell ref="C1746:D1746"/>
    <mergeCell ref="F1748:I1748"/>
    <mergeCell ref="F1751:I1751"/>
    <mergeCell ref="F1753:I1753"/>
    <mergeCell ref="F1755:I1755"/>
    <mergeCell ref="B1758:D1758"/>
    <mergeCell ref="B1759:D1759"/>
    <mergeCell ref="D1762:G1762"/>
    <mergeCell ref="D1763:G1763"/>
    <mergeCell ref="C1765:G1765"/>
    <mergeCell ref="C1766:D1766"/>
    <mergeCell ref="O1766:P1766"/>
    <mergeCell ref="C1767:D1767"/>
    <mergeCell ref="C1768:D1768"/>
    <mergeCell ref="C1769:D1769"/>
    <mergeCell ref="C1770:D1770"/>
    <mergeCell ref="C1774:D1774"/>
    <mergeCell ref="C1775:D1775"/>
    <mergeCell ref="C1776:D1776"/>
    <mergeCell ref="F1778:I1778"/>
    <mergeCell ref="C1780:G1780"/>
    <mergeCell ref="C1781:D1781"/>
    <mergeCell ref="C1782:D1782"/>
    <mergeCell ref="C1783:D1783"/>
    <mergeCell ref="C1784:D1784"/>
    <mergeCell ref="C1785:D1785"/>
    <mergeCell ref="F1787:I1787"/>
    <mergeCell ref="C1789:G1789"/>
    <mergeCell ref="C1790:D1790"/>
    <mergeCell ref="C1791:D1791"/>
    <mergeCell ref="C1792:D1792"/>
    <mergeCell ref="C1793:D1793"/>
    <mergeCell ref="B1794:G1794"/>
    <mergeCell ref="F1796:I1796"/>
    <mergeCell ref="C1798:G1798"/>
    <mergeCell ref="C1799:D1799"/>
    <mergeCell ref="C1800:D1800"/>
    <mergeCell ref="C1801:D1801"/>
    <mergeCell ref="C1802:D1802"/>
    <mergeCell ref="F1804:I1804"/>
    <mergeCell ref="F1807:I1807"/>
    <mergeCell ref="F1809:I1809"/>
    <mergeCell ref="F1811:I1811"/>
    <mergeCell ref="B1814:D1814"/>
    <mergeCell ref="B1815:D1815"/>
    <mergeCell ref="D1927:G1927"/>
    <mergeCell ref="D1928:G1928"/>
    <mergeCell ref="C1930:G1930"/>
    <mergeCell ref="C1931:D1931"/>
    <mergeCell ref="O1931:P1931"/>
    <mergeCell ref="C1826:D1826"/>
    <mergeCell ref="C1827:D1827"/>
    <mergeCell ref="C1876:D1876"/>
    <mergeCell ref="C1877:D1877"/>
    <mergeCell ref="C1878:D1878"/>
    <mergeCell ref="C1885:D1885"/>
    <mergeCell ref="F1887:I1887"/>
    <mergeCell ref="D1872:G1872"/>
    <mergeCell ref="C1879:D1879"/>
    <mergeCell ref="C1880:D1880"/>
    <mergeCell ref="C1881:D1881"/>
    <mergeCell ref="C1882:D1882"/>
    <mergeCell ref="C1883:D1883"/>
    <mergeCell ref="C1884:D1884"/>
    <mergeCell ref="C1932:D1932"/>
    <mergeCell ref="C1933:D1933"/>
    <mergeCell ref="C1934:D1934"/>
    <mergeCell ref="C1935:D1935"/>
    <mergeCell ref="C1911:D1911"/>
    <mergeCell ref="F1913:I1913"/>
    <mergeCell ref="F1916:I1916"/>
    <mergeCell ref="F1918:I1918"/>
    <mergeCell ref="F1920:I1920"/>
    <mergeCell ref="B1923:D1923"/>
    <mergeCell ref="C1855:D1855"/>
    <mergeCell ref="F1857:I1857"/>
    <mergeCell ref="F1860:I1860"/>
    <mergeCell ref="F1862:I1862"/>
    <mergeCell ref="F1864:I1864"/>
    <mergeCell ref="B1867:D1867"/>
    <mergeCell ref="B1868:D1868"/>
    <mergeCell ref="C2040:D2040"/>
    <mergeCell ref="C2058:D2058"/>
    <mergeCell ref="C2059:D2059"/>
    <mergeCell ref="F2061:I2061"/>
    <mergeCell ref="D1983:G1983"/>
    <mergeCell ref="D1984:G1984"/>
    <mergeCell ref="C2063:G2063"/>
    <mergeCell ref="C2064:D2064"/>
    <mergeCell ref="C2065:D2065"/>
    <mergeCell ref="C2066:D2066"/>
    <mergeCell ref="C2067:D2067"/>
    <mergeCell ref="C1986:G1986"/>
    <mergeCell ref="C1987:D1987"/>
    <mergeCell ref="B2068:G2068"/>
    <mergeCell ref="C1936:D1936"/>
    <mergeCell ref="C1937:D1937"/>
    <mergeCell ref="C1938:D1938"/>
    <mergeCell ref="C1939:D1939"/>
    <mergeCell ref="C1940:D1940"/>
    <mergeCell ref="C1941:D1941"/>
    <mergeCell ref="F1943:I1943"/>
    <mergeCell ref="C1945:G1945"/>
    <mergeCell ref="C1946:D1946"/>
    <mergeCell ref="C1947:D1947"/>
    <mergeCell ref="C1948:D1948"/>
    <mergeCell ref="C1949:D1949"/>
    <mergeCell ref="C1950:D1950"/>
    <mergeCell ref="F1952:I1952"/>
    <mergeCell ref="C1954:G1954"/>
    <mergeCell ref="C1955:D1955"/>
    <mergeCell ref="C1956:D1956"/>
    <mergeCell ref="F2005:I2005"/>
    <mergeCell ref="O2149:P2149"/>
    <mergeCell ref="C2150:D2150"/>
    <mergeCell ref="C2151:D2151"/>
    <mergeCell ref="C2152:D2152"/>
    <mergeCell ref="C2153:D2153"/>
    <mergeCell ref="F2158:I2158"/>
    <mergeCell ref="C2160:G2160"/>
    <mergeCell ref="C2161:D2161"/>
    <mergeCell ref="C2162:D2162"/>
    <mergeCell ref="C2163:D2163"/>
    <mergeCell ref="C2164:D2164"/>
    <mergeCell ref="C2165:D2165"/>
    <mergeCell ref="F2167:I2167"/>
    <mergeCell ref="C2169:G2169"/>
    <mergeCell ref="C1957:D1957"/>
    <mergeCell ref="C1958:D1958"/>
    <mergeCell ref="B1959:G1959"/>
    <mergeCell ref="F1961:I1961"/>
    <mergeCell ref="C1963:G1963"/>
    <mergeCell ref="C1964:D1964"/>
    <mergeCell ref="C1965:D1965"/>
    <mergeCell ref="C1966:D1966"/>
    <mergeCell ref="C1967:D1967"/>
    <mergeCell ref="F1969:I1969"/>
    <mergeCell ref="F1972:I1972"/>
    <mergeCell ref="F1974:I1974"/>
    <mergeCell ref="F1976:I1976"/>
    <mergeCell ref="B1979:D1979"/>
    <mergeCell ref="B1980:D1980"/>
    <mergeCell ref="D2145:G2145"/>
    <mergeCell ref="D2146:G2146"/>
    <mergeCell ref="C2126:D2126"/>
    <mergeCell ref="F2191:I2191"/>
    <mergeCell ref="B2194:D2194"/>
    <mergeCell ref="B2195:D2195"/>
    <mergeCell ref="D2198:G2198"/>
    <mergeCell ref="D2199:G2199"/>
    <mergeCell ref="C2201:G2201"/>
    <mergeCell ref="C2202:D2202"/>
    <mergeCell ref="O2202:P2202"/>
    <mergeCell ref="C2203:D2203"/>
    <mergeCell ref="C2204:D2204"/>
    <mergeCell ref="C2205:D2205"/>
    <mergeCell ref="C2209:D2209"/>
    <mergeCell ref="C2210:D2210"/>
    <mergeCell ref="C2211:D2211"/>
    <mergeCell ref="C2212:D2212"/>
    <mergeCell ref="F2214:I2214"/>
    <mergeCell ref="C2216:G2216"/>
    <mergeCell ref="C2217:D2217"/>
    <mergeCell ref="C2218:D2218"/>
    <mergeCell ref="C2219:D2219"/>
    <mergeCell ref="C2220:D2220"/>
    <mergeCell ref="C2221:D2221"/>
    <mergeCell ref="F2223:I2223"/>
    <mergeCell ref="C2225:G2225"/>
    <mergeCell ref="C2226:D2226"/>
    <mergeCell ref="C2227:D2227"/>
    <mergeCell ref="C2228:D2228"/>
    <mergeCell ref="C2229:D2229"/>
    <mergeCell ref="B2230:G2230"/>
    <mergeCell ref="F2232:I2232"/>
    <mergeCell ref="C2234:G2234"/>
    <mergeCell ref="C2235:D2235"/>
    <mergeCell ref="C2236:D2236"/>
    <mergeCell ref="C2237:D2237"/>
    <mergeCell ref="C2238:D2238"/>
    <mergeCell ref="F2240:I2240"/>
    <mergeCell ref="F2243:I2243"/>
    <mergeCell ref="F2245:I2245"/>
    <mergeCell ref="F2247:I2247"/>
    <mergeCell ref="B2250:D2250"/>
    <mergeCell ref="B2251:D2251"/>
    <mergeCell ref="D2254:G2254"/>
    <mergeCell ref="D2255:G2255"/>
    <mergeCell ref="C2257:G2257"/>
    <mergeCell ref="C2258:D2258"/>
    <mergeCell ref="O2258:P2258"/>
    <mergeCell ref="C2259:D2259"/>
    <mergeCell ref="C2260:D2260"/>
    <mergeCell ref="C2261:D2261"/>
    <mergeCell ref="C2265:D2265"/>
    <mergeCell ref="C2266:D2266"/>
    <mergeCell ref="O2314:P2314"/>
    <mergeCell ref="C2315:D2315"/>
    <mergeCell ref="C2267:D2267"/>
    <mergeCell ref="C2268:D2268"/>
    <mergeCell ref="F2270:I2270"/>
    <mergeCell ref="C2272:G2272"/>
    <mergeCell ref="C2273:D2273"/>
    <mergeCell ref="C2274:D2274"/>
    <mergeCell ref="C2275:D2275"/>
    <mergeCell ref="C2276:D2276"/>
    <mergeCell ref="C2277:D2277"/>
    <mergeCell ref="F2279:I2279"/>
    <mergeCell ref="C2281:G2281"/>
    <mergeCell ref="C2282:D2282"/>
    <mergeCell ref="C2283:D2283"/>
    <mergeCell ref="C2284:D2284"/>
    <mergeCell ref="C2285:D2285"/>
    <mergeCell ref="B2286:G2286"/>
    <mergeCell ref="F2288:I2288"/>
    <mergeCell ref="C2316:D2316"/>
    <mergeCell ref="C2317:D2317"/>
    <mergeCell ref="F2321:I2321"/>
    <mergeCell ref="C2323:G2323"/>
    <mergeCell ref="C2324:D2324"/>
    <mergeCell ref="C2325:D2325"/>
    <mergeCell ref="C2326:D2326"/>
    <mergeCell ref="C2327:D2327"/>
    <mergeCell ref="C2328:D2328"/>
    <mergeCell ref="F2330:I2330"/>
    <mergeCell ref="C2332:G2332"/>
    <mergeCell ref="C2333:D2333"/>
    <mergeCell ref="C2334:D2334"/>
    <mergeCell ref="C2290:G2290"/>
    <mergeCell ref="C2291:D2291"/>
    <mergeCell ref="C2292:D2292"/>
    <mergeCell ref="C2293:D2293"/>
    <mergeCell ref="C2294:D2294"/>
    <mergeCell ref="F2296:I2296"/>
    <mergeCell ref="F2299:I2299"/>
    <mergeCell ref="F2301:I2301"/>
    <mergeCell ref="F2303:I2303"/>
    <mergeCell ref="B2306:D2306"/>
    <mergeCell ref="B2307:D2307"/>
    <mergeCell ref="D2310:G2310"/>
    <mergeCell ref="D2311:G2311"/>
    <mergeCell ref="C2313:G2313"/>
    <mergeCell ref="C2314:D2314"/>
    <mergeCell ref="C2364:G2364"/>
    <mergeCell ref="C2365:D2365"/>
    <mergeCell ref="O2365:P2365"/>
    <mergeCell ref="C2366:D2366"/>
    <mergeCell ref="C2367:D2367"/>
    <mergeCell ref="C2368:D2368"/>
    <mergeCell ref="F2372:I2372"/>
    <mergeCell ref="C2374:G2374"/>
    <mergeCell ref="C2375:D2375"/>
    <mergeCell ref="C2376:D2376"/>
    <mergeCell ref="C2377:D2377"/>
    <mergeCell ref="C2378:D2378"/>
    <mergeCell ref="C2379:D2379"/>
    <mergeCell ref="C2335:D2335"/>
    <mergeCell ref="C2336:D2336"/>
    <mergeCell ref="B2337:G2337"/>
    <mergeCell ref="F2339:I2339"/>
    <mergeCell ref="C2341:G2341"/>
    <mergeCell ref="C2342:D2342"/>
    <mergeCell ref="C2343:D2343"/>
    <mergeCell ref="C2344:D2344"/>
    <mergeCell ref="C2345:D2345"/>
    <mergeCell ref="F2347:I2347"/>
    <mergeCell ref="F2350:I2350"/>
    <mergeCell ref="F2352:I2352"/>
    <mergeCell ref="F2354:I2354"/>
    <mergeCell ref="B2357:D2357"/>
    <mergeCell ref="B2358:D2358"/>
    <mergeCell ref="D2361:G2361"/>
    <mergeCell ref="D2362:G2362"/>
    <mergeCell ref="F2381:I2381"/>
    <mergeCell ref="C2383:G2383"/>
    <mergeCell ref="C2384:D2384"/>
    <mergeCell ref="C2385:D2385"/>
    <mergeCell ref="C2386:D2386"/>
    <mergeCell ref="C2387:D2387"/>
    <mergeCell ref="B2388:G2388"/>
    <mergeCell ref="F2390:I2390"/>
    <mergeCell ref="C2392:G2392"/>
    <mergeCell ref="F2398:I2398"/>
    <mergeCell ref="F2401:I2401"/>
    <mergeCell ref="F2405:I2405"/>
    <mergeCell ref="B2408:D2408"/>
    <mergeCell ref="B2409:D2409"/>
    <mergeCell ref="D2412:G2412"/>
    <mergeCell ref="D2413:G2413"/>
    <mergeCell ref="C2415:G2415"/>
    <mergeCell ref="C2393:D2393"/>
    <mergeCell ref="C2394:D2394"/>
    <mergeCell ref="C2395:D2395"/>
    <mergeCell ref="O2416:P2416"/>
    <mergeCell ref="B2441:G2441"/>
    <mergeCell ref="F2443:I2443"/>
    <mergeCell ref="C2445:G2445"/>
    <mergeCell ref="C2447:D2447"/>
    <mergeCell ref="C2448:D2448"/>
    <mergeCell ref="C2449:D2449"/>
    <mergeCell ref="F2451:I2451"/>
    <mergeCell ref="F2454:I2454"/>
    <mergeCell ref="F2456:I2456"/>
    <mergeCell ref="F2458:I2458"/>
    <mergeCell ref="B2461:D2461"/>
    <mergeCell ref="B2462:D2462"/>
    <mergeCell ref="C2420:D2420"/>
    <mergeCell ref="C2421:D2421"/>
    <mergeCell ref="D2465:G2465"/>
    <mergeCell ref="D2466:G2466"/>
    <mergeCell ref="C2418:D2418"/>
    <mergeCell ref="C2419:D2419"/>
    <mergeCell ref="C2423:D2423"/>
    <mergeCell ref="C2468:G2468"/>
    <mergeCell ref="C2469:D2469"/>
    <mergeCell ref="O2469:P2469"/>
    <mergeCell ref="C2470:D2470"/>
    <mergeCell ref="C2471:D2471"/>
    <mergeCell ref="C2472:D2472"/>
    <mergeCell ref="C2473:D2473"/>
    <mergeCell ref="C2474:D2474"/>
    <mergeCell ref="C2476:D2476"/>
    <mergeCell ref="C2477:D2477"/>
    <mergeCell ref="C2478:D2478"/>
    <mergeCell ref="C2479:D2479"/>
    <mergeCell ref="F2481:I2481"/>
    <mergeCell ref="C2483:G2483"/>
    <mergeCell ref="C2484:D2484"/>
    <mergeCell ref="C2485:D2485"/>
    <mergeCell ref="C2486:D2486"/>
    <mergeCell ref="C2487:D2487"/>
    <mergeCell ref="C2488:D2488"/>
    <mergeCell ref="F2490:I2490"/>
    <mergeCell ref="C2492:G2492"/>
    <mergeCell ref="C2493:D2493"/>
    <mergeCell ref="C2494:D2494"/>
    <mergeCell ref="C2495:D2495"/>
    <mergeCell ref="C2496:D2496"/>
    <mergeCell ref="B2497:G2497"/>
    <mergeCell ref="F2499:I2499"/>
    <mergeCell ref="C2501:G2501"/>
    <mergeCell ref="C2502:D2502"/>
    <mergeCell ref="C2503:D2503"/>
    <mergeCell ref="C2504:D2504"/>
    <mergeCell ref="C2505:D2505"/>
    <mergeCell ref="F2507:I2507"/>
    <mergeCell ref="F2510:I2510"/>
    <mergeCell ref="F2512:I2512"/>
    <mergeCell ref="C2557:G2557"/>
    <mergeCell ref="C2558:D2558"/>
    <mergeCell ref="F2514:I2514"/>
    <mergeCell ref="B2517:D2517"/>
    <mergeCell ref="B2518:D2518"/>
    <mergeCell ref="D2521:G2521"/>
    <mergeCell ref="D2522:G2522"/>
    <mergeCell ref="C2524:G2524"/>
    <mergeCell ref="C2525:D2525"/>
    <mergeCell ref="O2525:P2525"/>
    <mergeCell ref="C2526:D2526"/>
    <mergeCell ref="C2527:D2527"/>
    <mergeCell ref="C2528:D2528"/>
    <mergeCell ref="C2529:D2529"/>
    <mergeCell ref="C2530:D2530"/>
    <mergeCell ref="C2532:D2532"/>
    <mergeCell ref="C2533:D2533"/>
    <mergeCell ref="C2534:D2534"/>
    <mergeCell ref="C2535:D2535"/>
    <mergeCell ref="C2559:D2559"/>
    <mergeCell ref="C2560:D2560"/>
    <mergeCell ref="C2561:D2561"/>
    <mergeCell ref="F2563:I2563"/>
    <mergeCell ref="F2566:I2566"/>
    <mergeCell ref="F2568:I2568"/>
    <mergeCell ref="F2570:I2570"/>
    <mergeCell ref="B2573:D2573"/>
    <mergeCell ref="B2574:D2574"/>
    <mergeCell ref="C2531:D2531"/>
    <mergeCell ref="D2577:G2577"/>
    <mergeCell ref="D2578:G2578"/>
    <mergeCell ref="C2580:G2580"/>
    <mergeCell ref="C2581:D2581"/>
    <mergeCell ref="O2581:P2581"/>
    <mergeCell ref="C2582:D2582"/>
    <mergeCell ref="C2583:D2583"/>
    <mergeCell ref="F2537:I2537"/>
    <mergeCell ref="C2539:G2539"/>
    <mergeCell ref="C2540:D2540"/>
    <mergeCell ref="C2541:D2541"/>
    <mergeCell ref="C2542:D2542"/>
    <mergeCell ref="C2543:D2543"/>
    <mergeCell ref="C2544:D2544"/>
    <mergeCell ref="F2546:I2546"/>
    <mergeCell ref="C2548:G2548"/>
    <mergeCell ref="C2549:D2549"/>
    <mergeCell ref="C2550:D2550"/>
    <mergeCell ref="C2551:D2551"/>
    <mergeCell ref="C2552:D2552"/>
    <mergeCell ref="B2553:G2553"/>
    <mergeCell ref="F2555:I2555"/>
    <mergeCell ref="C2584:D2584"/>
    <mergeCell ref="C2585:D2585"/>
    <mergeCell ref="C2586:D2586"/>
    <mergeCell ref="C2587:D2587"/>
    <mergeCell ref="C2588:D2588"/>
    <mergeCell ref="C2589:D2589"/>
    <mergeCell ref="C2590:D2590"/>
    <mergeCell ref="C2591:D2591"/>
    <mergeCell ref="F2593:I2593"/>
    <mergeCell ref="C2595:G2595"/>
    <mergeCell ref="C2596:D2596"/>
    <mergeCell ref="C2597:D2597"/>
    <mergeCell ref="C2598:D2598"/>
    <mergeCell ref="C2599:D2599"/>
    <mergeCell ref="C2600:D2600"/>
    <mergeCell ref="F2602:I2602"/>
    <mergeCell ref="C2604:G2604"/>
    <mergeCell ref="C2605:D2605"/>
    <mergeCell ref="C2606:D2606"/>
    <mergeCell ref="C2607:D2607"/>
    <mergeCell ref="C2608:D2608"/>
    <mergeCell ref="B2609:G2609"/>
    <mergeCell ref="F2611:I2611"/>
    <mergeCell ref="C2613:G2613"/>
    <mergeCell ref="C2614:D2614"/>
    <mergeCell ref="C2615:D2615"/>
    <mergeCell ref="C2616:D2616"/>
    <mergeCell ref="C2617:D2617"/>
    <mergeCell ref="F2619:I2619"/>
    <mergeCell ref="F2622:I2622"/>
    <mergeCell ref="F2624:I2624"/>
    <mergeCell ref="F2626:I2626"/>
    <mergeCell ref="B2629:D2629"/>
    <mergeCell ref="B2630:D2630"/>
    <mergeCell ref="D2633:G2633"/>
    <mergeCell ref="D2634:G2634"/>
    <mergeCell ref="C2636:G2636"/>
    <mergeCell ref="C2637:D2637"/>
    <mergeCell ref="O2637:P2637"/>
    <mergeCell ref="C2638:D2638"/>
    <mergeCell ref="C2639:D2639"/>
    <mergeCell ref="C2640:D2640"/>
    <mergeCell ref="C2641:D2641"/>
    <mergeCell ref="C2642:D2642"/>
    <mergeCell ref="C2643:D2643"/>
    <mergeCell ref="C2644:D2644"/>
    <mergeCell ref="C2645:D2645"/>
    <mergeCell ref="C2646:D2646"/>
    <mergeCell ref="C2647:D2647"/>
    <mergeCell ref="F2649:I2649"/>
    <mergeCell ref="C2651:G2651"/>
    <mergeCell ref="C2652:D2652"/>
    <mergeCell ref="C2653:D2653"/>
    <mergeCell ref="C2654:D2654"/>
    <mergeCell ref="C2655:D2655"/>
    <mergeCell ref="C2656:D2656"/>
    <mergeCell ref="F2658:I2658"/>
    <mergeCell ref="C2660:G2660"/>
    <mergeCell ref="C2661:D2661"/>
    <mergeCell ref="C2662:D2662"/>
    <mergeCell ref="C2663:D2663"/>
    <mergeCell ref="C2664:D2664"/>
    <mergeCell ref="B2665:G2665"/>
    <mergeCell ref="F2667:I2667"/>
    <mergeCell ref="C2669:G2669"/>
    <mergeCell ref="C2670:D2670"/>
    <mergeCell ref="C2671:D2671"/>
    <mergeCell ref="C2672:D2672"/>
    <mergeCell ref="C2673:D2673"/>
    <mergeCell ref="F2675:I2675"/>
    <mergeCell ref="F2678:I2678"/>
    <mergeCell ref="F2680:I2680"/>
    <mergeCell ref="F2682:I2682"/>
    <mergeCell ref="B2685:D2685"/>
    <mergeCell ref="B2686:D2686"/>
    <mergeCell ref="D2689:G2689"/>
    <mergeCell ref="D2690:G2690"/>
    <mergeCell ref="C2692:G2692"/>
    <mergeCell ref="C2693:D2693"/>
    <mergeCell ref="O2693:P2693"/>
    <mergeCell ref="C2694:D2694"/>
    <mergeCell ref="C2695:D2695"/>
    <mergeCell ref="C2696:D2696"/>
    <mergeCell ref="C2697:D2697"/>
    <mergeCell ref="C2698:D2698"/>
    <mergeCell ref="C2699:D2699"/>
    <mergeCell ref="C2700:D2700"/>
    <mergeCell ref="C2701:D2701"/>
    <mergeCell ref="C2702:D2702"/>
    <mergeCell ref="C2703:D2703"/>
    <mergeCell ref="F2705:I2705"/>
    <mergeCell ref="C2707:G2707"/>
    <mergeCell ref="C2708:D2708"/>
    <mergeCell ref="C2709:D2709"/>
    <mergeCell ref="C2710:D2710"/>
    <mergeCell ref="C2711:D2711"/>
    <mergeCell ref="C2712:D2712"/>
    <mergeCell ref="F2714:I2714"/>
    <mergeCell ref="C2716:G2716"/>
    <mergeCell ref="C2717:D2717"/>
    <mergeCell ref="C2718:D2718"/>
    <mergeCell ref="C2719:D2719"/>
    <mergeCell ref="C2720:D2720"/>
    <mergeCell ref="B2721:G2721"/>
    <mergeCell ref="F2723:I2723"/>
    <mergeCell ref="C2725:G2725"/>
    <mergeCell ref="C2726:D2726"/>
    <mergeCell ref="C2727:D2727"/>
    <mergeCell ref="C2728:D2728"/>
    <mergeCell ref="C2729:D2729"/>
    <mergeCell ref="F2731:I2731"/>
    <mergeCell ref="F2734:I2734"/>
    <mergeCell ref="F2736:I2736"/>
    <mergeCell ref="F2738:I2738"/>
    <mergeCell ref="B2741:D2741"/>
    <mergeCell ref="B2742:D2742"/>
    <mergeCell ref="D2745:G2745"/>
    <mergeCell ref="D2746:G2746"/>
    <mergeCell ref="C2748:G2748"/>
    <mergeCell ref="C2749:D2749"/>
    <mergeCell ref="O2749:P2749"/>
    <mergeCell ref="C2750:D2750"/>
    <mergeCell ref="C2751:D2751"/>
    <mergeCell ref="C2752:D2752"/>
    <mergeCell ref="C2753:D2753"/>
    <mergeCell ref="C2754:D2754"/>
    <mergeCell ref="C2755:D2755"/>
    <mergeCell ref="C2756:D2756"/>
    <mergeCell ref="C2757:D2757"/>
    <mergeCell ref="C2758:D2758"/>
    <mergeCell ref="C2759:D2759"/>
    <mergeCell ref="F2761:I2761"/>
    <mergeCell ref="C2763:G2763"/>
    <mergeCell ref="C2764:D2764"/>
    <mergeCell ref="C2765:D2765"/>
    <mergeCell ref="C2766:D2766"/>
    <mergeCell ref="C2767:D2767"/>
    <mergeCell ref="C2768:D2768"/>
    <mergeCell ref="F2770:I2770"/>
    <mergeCell ref="C2772:G2772"/>
    <mergeCell ref="C2773:D2773"/>
    <mergeCell ref="C2774:D2774"/>
    <mergeCell ref="C2775:D2775"/>
    <mergeCell ref="C2776:D2776"/>
    <mergeCell ref="B2777:G2777"/>
    <mergeCell ref="F2779:I2779"/>
    <mergeCell ref="C2781:G2781"/>
    <mergeCell ref="C2782:D2782"/>
    <mergeCell ref="C2783:D2783"/>
    <mergeCell ref="C2784:D2784"/>
    <mergeCell ref="C2785:D2785"/>
    <mergeCell ref="F2787:I2787"/>
    <mergeCell ref="F2790:I2790"/>
    <mergeCell ref="F2792:I2792"/>
    <mergeCell ref="F2794:I2794"/>
    <mergeCell ref="B2797:D2797"/>
    <mergeCell ref="B2798:D2798"/>
    <mergeCell ref="D2801:G2801"/>
    <mergeCell ref="D2802:G2802"/>
    <mergeCell ref="C2804:G2804"/>
    <mergeCell ref="C2805:D2805"/>
    <mergeCell ref="O2805:P2805"/>
    <mergeCell ref="C2806:D2806"/>
    <mergeCell ref="C2807:D2807"/>
    <mergeCell ref="C2808:D2808"/>
    <mergeCell ref="C2809:D2809"/>
    <mergeCell ref="C2810:D2810"/>
    <mergeCell ref="C2811:D2811"/>
    <mergeCell ref="C2812:D2812"/>
    <mergeCell ref="C2813:D2813"/>
    <mergeCell ref="O2917:P2917"/>
    <mergeCell ref="C2814:D2814"/>
    <mergeCell ref="C2815:D2815"/>
    <mergeCell ref="F2817:I2817"/>
    <mergeCell ref="C2819:G2819"/>
    <mergeCell ref="C2820:D2820"/>
    <mergeCell ref="C2821:D2821"/>
    <mergeCell ref="C2822:D2822"/>
    <mergeCell ref="C2823:D2823"/>
    <mergeCell ref="C2824:D2824"/>
    <mergeCell ref="F2826:I2826"/>
    <mergeCell ref="C2828:G2828"/>
    <mergeCell ref="C2829:D2829"/>
    <mergeCell ref="C2830:D2830"/>
    <mergeCell ref="C2831:D2831"/>
    <mergeCell ref="C2832:D2832"/>
    <mergeCell ref="B2833:G2833"/>
    <mergeCell ref="F2835:I2835"/>
    <mergeCell ref="C2837:G2837"/>
    <mergeCell ref="C2838:D2838"/>
    <mergeCell ref="C2839:D2839"/>
    <mergeCell ref="C2840:D2840"/>
    <mergeCell ref="C2841:D2841"/>
    <mergeCell ref="F2843:I2843"/>
    <mergeCell ref="F2846:I2846"/>
    <mergeCell ref="F2848:I2848"/>
    <mergeCell ref="F2850:I2850"/>
    <mergeCell ref="B2853:D2853"/>
    <mergeCell ref="B2854:D2854"/>
    <mergeCell ref="D2857:G2857"/>
    <mergeCell ref="D2858:G2858"/>
    <mergeCell ref="C2860:G2860"/>
    <mergeCell ref="C2861:D2861"/>
    <mergeCell ref="C2894:D2894"/>
    <mergeCell ref="C2895:D2895"/>
    <mergeCell ref="O2861:P2861"/>
    <mergeCell ref="C2862:D2862"/>
    <mergeCell ref="C2863:D2863"/>
    <mergeCell ref="C2864:D2864"/>
    <mergeCell ref="C2865:D2865"/>
    <mergeCell ref="C2866:D2866"/>
    <mergeCell ref="C2867:D2867"/>
    <mergeCell ref="C2868:D2868"/>
    <mergeCell ref="C2869:D2869"/>
    <mergeCell ref="C2870:D2870"/>
    <mergeCell ref="C2871:D2871"/>
    <mergeCell ref="F2873:I2873"/>
    <mergeCell ref="C2875:G2875"/>
    <mergeCell ref="C2918:D2918"/>
    <mergeCell ref="C2919:D2919"/>
    <mergeCell ref="C2920:D2920"/>
    <mergeCell ref="C2921:D2921"/>
    <mergeCell ref="C2876:D2876"/>
    <mergeCell ref="C2877:D2877"/>
    <mergeCell ref="C2878:D2878"/>
    <mergeCell ref="C2879:D2879"/>
    <mergeCell ref="C2880:D2880"/>
    <mergeCell ref="F2882:I2882"/>
    <mergeCell ref="C2884:G2884"/>
    <mergeCell ref="C2885:D2885"/>
    <mergeCell ref="C2886:D2886"/>
    <mergeCell ref="C2887:D2887"/>
    <mergeCell ref="C2888:D2888"/>
    <mergeCell ref="B2889:G2889"/>
    <mergeCell ref="F2891:I2891"/>
    <mergeCell ref="C2893:G2893"/>
    <mergeCell ref="C2896:D2896"/>
    <mergeCell ref="C2897:D2897"/>
    <mergeCell ref="F2899:I2899"/>
    <mergeCell ref="F2902:I2902"/>
    <mergeCell ref="F2904:I2904"/>
    <mergeCell ref="F2906:I2906"/>
    <mergeCell ref="B2909:D2909"/>
    <mergeCell ref="B2910:D2910"/>
    <mergeCell ref="D2913:G2913"/>
    <mergeCell ref="D2914:G2914"/>
    <mergeCell ref="C2916:G2916"/>
    <mergeCell ref="C2917:D2917"/>
    <mergeCell ref="C2922:D2922"/>
    <mergeCell ref="C2923:D2923"/>
    <mergeCell ref="C2924:D2924"/>
    <mergeCell ref="C2925:D2925"/>
    <mergeCell ref="C2926:D2926"/>
    <mergeCell ref="C2927:D2927"/>
    <mergeCell ref="F2929:I2929"/>
    <mergeCell ref="C2931:G2931"/>
    <mergeCell ref="C2932:D2932"/>
    <mergeCell ref="C2933:D2933"/>
    <mergeCell ref="C2934:D2934"/>
    <mergeCell ref="C2935:D2935"/>
    <mergeCell ref="C2936:D2936"/>
    <mergeCell ref="F2938:I2938"/>
    <mergeCell ref="C2940:G2940"/>
    <mergeCell ref="C2941:D2941"/>
    <mergeCell ref="C2942:D2942"/>
    <mergeCell ref="C2943:D2943"/>
    <mergeCell ref="C2944:D2944"/>
    <mergeCell ref="B2945:G2945"/>
    <mergeCell ref="F2947:I2947"/>
    <mergeCell ref="C2949:G2949"/>
    <mergeCell ref="C2950:D2950"/>
    <mergeCell ref="C2951:D2951"/>
    <mergeCell ref="C2952:D2952"/>
    <mergeCell ref="C2953:D2953"/>
    <mergeCell ref="F2955:I2955"/>
    <mergeCell ref="F2958:I2958"/>
    <mergeCell ref="F2960:I2960"/>
    <mergeCell ref="F2962:I2962"/>
    <mergeCell ref="B2965:D2965"/>
    <mergeCell ref="B2966:D2966"/>
    <mergeCell ref="D2969:G2969"/>
    <mergeCell ref="D2970:G2970"/>
    <mergeCell ref="C2972:G2972"/>
    <mergeCell ref="C2973:D2973"/>
    <mergeCell ref="O2973:P2973"/>
    <mergeCell ref="C2974:D2974"/>
    <mergeCell ref="C2975:D2975"/>
    <mergeCell ref="C2976:D2976"/>
    <mergeCell ref="C2977:D2977"/>
    <mergeCell ref="C2978:D2978"/>
    <mergeCell ref="C2979:D2979"/>
    <mergeCell ref="C2980:D2980"/>
    <mergeCell ref="C2981:D2981"/>
    <mergeCell ref="C2982:D2982"/>
    <mergeCell ref="C2983:D2983"/>
    <mergeCell ref="F2985:I2985"/>
    <mergeCell ref="C2987:G2987"/>
    <mergeCell ref="C2988:D2988"/>
    <mergeCell ref="C2989:D2989"/>
    <mergeCell ref="C2990:D2990"/>
    <mergeCell ref="C2991:D2991"/>
    <mergeCell ref="C2992:D2992"/>
    <mergeCell ref="F2994:I2994"/>
    <mergeCell ref="C2996:G2996"/>
    <mergeCell ref="C2997:D2997"/>
    <mergeCell ref="C2998:D2998"/>
    <mergeCell ref="C2999:D2999"/>
    <mergeCell ref="C3000:D3000"/>
    <mergeCell ref="B3001:G3001"/>
    <mergeCell ref="F3003:I3003"/>
    <mergeCell ref="C3005:G3005"/>
    <mergeCell ref="C3006:D3006"/>
    <mergeCell ref="C3007:D3007"/>
    <mergeCell ref="C3008:D3008"/>
    <mergeCell ref="C3009:D3009"/>
    <mergeCell ref="F3011:I3011"/>
    <mergeCell ref="F3014:I3014"/>
    <mergeCell ref="F3016:I3016"/>
    <mergeCell ref="F3018:I3018"/>
    <mergeCell ref="B3021:D3021"/>
    <mergeCell ref="B3022:D3022"/>
    <mergeCell ref="D3179:G3179"/>
    <mergeCell ref="D3180:G3180"/>
    <mergeCell ref="C3182:G3182"/>
    <mergeCell ref="C3183:D3183"/>
    <mergeCell ref="O3183:P3183"/>
    <mergeCell ref="C3184:D3184"/>
    <mergeCell ref="C3185:D3185"/>
    <mergeCell ref="C3186:D3186"/>
    <mergeCell ref="O3029:P3029"/>
    <mergeCell ref="C3030:D3030"/>
    <mergeCell ref="C3031:D3031"/>
    <mergeCell ref="C3032:D3032"/>
    <mergeCell ref="C3033:D3033"/>
    <mergeCell ref="C3034:D3034"/>
    <mergeCell ref="C3035:D3035"/>
    <mergeCell ref="C3036:D3036"/>
    <mergeCell ref="F3038:I3038"/>
    <mergeCell ref="C3040:G3040"/>
    <mergeCell ref="C3041:D3041"/>
    <mergeCell ref="C3042:D3042"/>
    <mergeCell ref="C3043:D3043"/>
    <mergeCell ref="C3044:D3044"/>
    <mergeCell ref="C3045:D3045"/>
    <mergeCell ref="F3047:I3047"/>
    <mergeCell ref="C3049:G3049"/>
    <mergeCell ref="C3050:D3050"/>
    <mergeCell ref="C3051:D3051"/>
    <mergeCell ref="F3214:I3214"/>
    <mergeCell ref="F3217:I3217"/>
    <mergeCell ref="F3219:I3219"/>
    <mergeCell ref="F3221:I3221"/>
    <mergeCell ref="B3224:D3224"/>
    <mergeCell ref="B3225:D3225"/>
    <mergeCell ref="D3278:G3278"/>
    <mergeCell ref="D3279:G3279"/>
    <mergeCell ref="C3281:G3281"/>
    <mergeCell ref="C3282:D3282"/>
    <mergeCell ref="O3282:P3282"/>
    <mergeCell ref="F3288:I3288"/>
    <mergeCell ref="C3283:D3283"/>
    <mergeCell ref="C3284:D3284"/>
    <mergeCell ref="C3285:D3285"/>
    <mergeCell ref="C3259:D3259"/>
    <mergeCell ref="C3260:D3260"/>
    <mergeCell ref="C3261:D3261"/>
    <mergeCell ref="C3262:D3262"/>
    <mergeCell ref="F3264:I3264"/>
    <mergeCell ref="F3267:I3267"/>
    <mergeCell ref="F3269:I3269"/>
    <mergeCell ref="F3271:I3271"/>
    <mergeCell ref="B3274:D3274"/>
    <mergeCell ref="C3258:G3258"/>
    <mergeCell ref="B3275:D3275"/>
    <mergeCell ref="D3329:G3329"/>
    <mergeCell ref="C3331:G3331"/>
    <mergeCell ref="C3332:D3332"/>
    <mergeCell ref="O3332:P3332"/>
    <mergeCell ref="C3333:D3333"/>
    <mergeCell ref="C3334:D3334"/>
    <mergeCell ref="C3335:D3335"/>
    <mergeCell ref="C3336:D3336"/>
    <mergeCell ref="F3338:I3338"/>
    <mergeCell ref="C3340:G3340"/>
    <mergeCell ref="F3347:I3347"/>
    <mergeCell ref="C3349:G3349"/>
    <mergeCell ref="C3350:D3350"/>
    <mergeCell ref="C3351:D3351"/>
    <mergeCell ref="B3354:G3354"/>
    <mergeCell ref="F3356:I3356"/>
    <mergeCell ref="C3358:G3358"/>
    <mergeCell ref="C3344:D3344"/>
    <mergeCell ref="C3382:D3382"/>
    <mergeCell ref="O3382:P3382"/>
    <mergeCell ref="C3383:D3383"/>
    <mergeCell ref="C3384:D3384"/>
    <mergeCell ref="C3385:D3385"/>
    <mergeCell ref="C3386:D3386"/>
    <mergeCell ref="F3388:I3388"/>
    <mergeCell ref="C3390:G3390"/>
    <mergeCell ref="C3391:D3391"/>
    <mergeCell ref="C3392:D3392"/>
    <mergeCell ref="F3397:I3397"/>
    <mergeCell ref="C3399:G3399"/>
    <mergeCell ref="B3404:G3404"/>
    <mergeCell ref="F3406:I3406"/>
    <mergeCell ref="C3408:G3408"/>
    <mergeCell ref="C3410:D3410"/>
    <mergeCell ref="C3411:D3411"/>
    <mergeCell ref="C3409:D3409"/>
    <mergeCell ref="C3401:D3401"/>
    <mergeCell ref="C3402:D3402"/>
    <mergeCell ref="C3403:D3403"/>
    <mergeCell ref="F3417:I3417"/>
    <mergeCell ref="F3419:I3419"/>
    <mergeCell ref="F3421:I3421"/>
    <mergeCell ref="B3424:D3424"/>
    <mergeCell ref="B3425:D3425"/>
    <mergeCell ref="D3428:G3428"/>
    <mergeCell ref="D3429:G3429"/>
    <mergeCell ref="C3431:G3431"/>
    <mergeCell ref="C3432:D3432"/>
    <mergeCell ref="O3432:P3432"/>
    <mergeCell ref="C3433:D3433"/>
    <mergeCell ref="C3434:D3434"/>
    <mergeCell ref="C3435:D3435"/>
    <mergeCell ref="C3436:D3436"/>
    <mergeCell ref="C3437:D3437"/>
    <mergeCell ref="C3438:D3438"/>
    <mergeCell ref="C3439:D3439"/>
    <mergeCell ref="C3440:D3440"/>
    <mergeCell ref="C3441:D3441"/>
    <mergeCell ref="F3443:I3443"/>
    <mergeCell ref="C3445:G3445"/>
    <mergeCell ref="C3446:D3446"/>
    <mergeCell ref="C3447:D3447"/>
    <mergeCell ref="C3448:D3448"/>
    <mergeCell ref="F3452:I3452"/>
    <mergeCell ref="C3454:G3454"/>
    <mergeCell ref="C3457:D3457"/>
    <mergeCell ref="C3458:D3458"/>
    <mergeCell ref="B3459:G3459"/>
    <mergeCell ref="F3461:I3461"/>
    <mergeCell ref="C3463:G3463"/>
    <mergeCell ref="C3464:D3464"/>
    <mergeCell ref="C3466:D3466"/>
    <mergeCell ref="C3467:D3467"/>
    <mergeCell ref="C3455:D3455"/>
    <mergeCell ref="C3456:D3456"/>
    <mergeCell ref="C3449:D3449"/>
    <mergeCell ref="C3450:D3450"/>
    <mergeCell ref="C3465:D3465"/>
    <mergeCell ref="F3472:I3472"/>
    <mergeCell ref="F3474:I3474"/>
    <mergeCell ref="B3479:D3479"/>
    <mergeCell ref="B3480:D3480"/>
    <mergeCell ref="D3483:G3483"/>
    <mergeCell ref="D3484:G3484"/>
    <mergeCell ref="C3486:G3486"/>
    <mergeCell ref="C3487:D3487"/>
    <mergeCell ref="O3487:P3487"/>
    <mergeCell ref="C3488:D3488"/>
    <mergeCell ref="C3489:D3489"/>
    <mergeCell ref="C3490:D3490"/>
    <mergeCell ref="C3491:D3491"/>
    <mergeCell ref="C3492:D3492"/>
    <mergeCell ref="C3493:D3493"/>
    <mergeCell ref="C3494:D3494"/>
    <mergeCell ref="C3495:D3495"/>
    <mergeCell ref="F3476:I3476"/>
    <mergeCell ref="C3496:D3496"/>
    <mergeCell ref="F3498:I3498"/>
    <mergeCell ref="C3500:G3500"/>
    <mergeCell ref="C3501:D3501"/>
    <mergeCell ref="F3507:I3507"/>
    <mergeCell ref="C3509:G3509"/>
    <mergeCell ref="C3510:D3510"/>
    <mergeCell ref="C3511:D3511"/>
    <mergeCell ref="C3512:D3512"/>
    <mergeCell ref="C3513:D3513"/>
    <mergeCell ref="B3514:G3514"/>
    <mergeCell ref="F3516:I3516"/>
    <mergeCell ref="C3518:G3518"/>
    <mergeCell ref="C3519:D3519"/>
    <mergeCell ref="C3520:D3520"/>
    <mergeCell ref="C3521:D3521"/>
    <mergeCell ref="C3522:D3522"/>
    <mergeCell ref="C3504:D3504"/>
    <mergeCell ref="C3505:D3505"/>
    <mergeCell ref="F3524:I3524"/>
    <mergeCell ref="F3527:I3527"/>
    <mergeCell ref="F3531:I3531"/>
    <mergeCell ref="B3534:D3534"/>
    <mergeCell ref="B3535:D3535"/>
    <mergeCell ref="D3593:G3593"/>
    <mergeCell ref="D3594:G3594"/>
    <mergeCell ref="C3596:G3596"/>
    <mergeCell ref="C3597:D3597"/>
    <mergeCell ref="O3597:P3597"/>
    <mergeCell ref="C3598:D3598"/>
    <mergeCell ref="C3599:D3599"/>
    <mergeCell ref="C3600:D3600"/>
    <mergeCell ref="C3601:D3601"/>
    <mergeCell ref="C3602:D3602"/>
    <mergeCell ref="C3603:D3603"/>
    <mergeCell ref="C3604:D3604"/>
    <mergeCell ref="C3575:D3575"/>
    <mergeCell ref="C3576:D3576"/>
    <mergeCell ref="C3577:D3577"/>
    <mergeCell ref="F3579:I3579"/>
    <mergeCell ref="F3582:I3582"/>
    <mergeCell ref="F3584:I3584"/>
    <mergeCell ref="F3586:I3586"/>
    <mergeCell ref="B3589:D3589"/>
    <mergeCell ref="B3590:D3590"/>
    <mergeCell ref="C3573:G3573"/>
    <mergeCell ref="C3574:D3574"/>
    <mergeCell ref="F3529:I3529"/>
    <mergeCell ref="B3569:G3569"/>
    <mergeCell ref="F3571:I3571"/>
    <mergeCell ref="F3635:I3635"/>
    <mergeCell ref="F3638:I3638"/>
    <mergeCell ref="F3642:I3642"/>
    <mergeCell ref="B3645:D3645"/>
    <mergeCell ref="B3646:D3646"/>
    <mergeCell ref="D3649:G3649"/>
    <mergeCell ref="D3650:G3650"/>
    <mergeCell ref="C3652:G3652"/>
    <mergeCell ref="C3653:D3653"/>
    <mergeCell ref="O3653:P3653"/>
    <mergeCell ref="C3654:D3654"/>
    <mergeCell ref="C3655:D3655"/>
    <mergeCell ref="C3656:D3656"/>
    <mergeCell ref="C3657:D3657"/>
    <mergeCell ref="C3658:D3658"/>
    <mergeCell ref="C3659:D3659"/>
    <mergeCell ref="C3660:D3660"/>
    <mergeCell ref="C3661:D3661"/>
    <mergeCell ref="C3662:D3662"/>
    <mergeCell ref="C3663:D3663"/>
    <mergeCell ref="F3665:I3665"/>
    <mergeCell ref="C3667:G3667"/>
    <mergeCell ref="F3674:I3674"/>
    <mergeCell ref="C3676:G3676"/>
    <mergeCell ref="C3677:D3677"/>
    <mergeCell ref="B3681:G3681"/>
    <mergeCell ref="F3683:I3683"/>
    <mergeCell ref="C3685:G3685"/>
    <mergeCell ref="C3686:D3686"/>
    <mergeCell ref="F3691:I3691"/>
    <mergeCell ref="F3694:I3694"/>
    <mergeCell ref="F3696:I3696"/>
    <mergeCell ref="F3698:I3698"/>
    <mergeCell ref="B3701:D3701"/>
    <mergeCell ref="C3687:D3687"/>
    <mergeCell ref="C3688:D3688"/>
    <mergeCell ref="C3689:D3689"/>
    <mergeCell ref="O3709:P3709"/>
    <mergeCell ref="C3710:D3710"/>
    <mergeCell ref="C3711:D3711"/>
    <mergeCell ref="C3712:D3712"/>
    <mergeCell ref="C3713:D3713"/>
    <mergeCell ref="C3714:D3714"/>
    <mergeCell ref="C3715:D3715"/>
    <mergeCell ref="C3716:D3716"/>
    <mergeCell ref="C3717:D3717"/>
    <mergeCell ref="C3718:D3718"/>
    <mergeCell ref="F3721:I3721"/>
    <mergeCell ref="C3723:G3723"/>
    <mergeCell ref="C3727:D3727"/>
    <mergeCell ref="C3728:D3728"/>
    <mergeCell ref="F3730:I3730"/>
    <mergeCell ref="C3732:G3732"/>
    <mergeCell ref="D3762:G3762"/>
    <mergeCell ref="F3754:I3754"/>
    <mergeCell ref="C3719:D3719"/>
    <mergeCell ref="C3735:D3735"/>
    <mergeCell ref="C3742:D3742"/>
    <mergeCell ref="C3743:D3743"/>
    <mergeCell ref="C3724:D3724"/>
    <mergeCell ref="C3725:D3725"/>
    <mergeCell ref="C3726:D3726"/>
    <mergeCell ref="C3733:D3733"/>
    <mergeCell ref="C3734:D3734"/>
    <mergeCell ref="C3736:D3736"/>
    <mergeCell ref="B3737:G3737"/>
    <mergeCell ref="F3739:I3739"/>
    <mergeCell ref="C3741:G3741"/>
    <mergeCell ref="C3744:D3744"/>
    <mergeCell ref="O3765:P3765"/>
    <mergeCell ref="C3766:D3766"/>
    <mergeCell ref="C3767:D3767"/>
    <mergeCell ref="C3768:D3768"/>
    <mergeCell ref="C3769:D3769"/>
    <mergeCell ref="C3770:D3770"/>
    <mergeCell ref="F3772:I3772"/>
    <mergeCell ref="C3774:G3774"/>
    <mergeCell ref="C3778:D3778"/>
    <mergeCell ref="C3779:D3779"/>
    <mergeCell ref="F3781:I3781"/>
    <mergeCell ref="C3783:G3783"/>
    <mergeCell ref="C3787:D3787"/>
    <mergeCell ref="B3788:G3788"/>
    <mergeCell ref="C3775:D3775"/>
    <mergeCell ref="C3776:D3776"/>
    <mergeCell ref="C3777:D3777"/>
    <mergeCell ref="C3784:D3784"/>
    <mergeCell ref="C3785:D3785"/>
    <mergeCell ref="C3786:D3786"/>
    <mergeCell ref="D3813:G3813"/>
    <mergeCell ref="C3815:G3815"/>
    <mergeCell ref="C3816:D3816"/>
    <mergeCell ref="O3816:P3816"/>
    <mergeCell ref="C3817:D3817"/>
    <mergeCell ref="C3818:D3818"/>
    <mergeCell ref="C3819:D3819"/>
    <mergeCell ref="C3820:D3820"/>
    <mergeCell ref="C3821:D3821"/>
    <mergeCell ref="F3823:I3823"/>
    <mergeCell ref="C3825:G3825"/>
    <mergeCell ref="C3829:D3829"/>
    <mergeCell ref="C3838:D3838"/>
    <mergeCell ref="B3839:G3839"/>
    <mergeCell ref="F3849:I3849"/>
    <mergeCell ref="F3852:I3852"/>
    <mergeCell ref="F3854:I3854"/>
    <mergeCell ref="C3826:D3826"/>
    <mergeCell ref="C3827:D3827"/>
    <mergeCell ref="C3828:D3828"/>
    <mergeCell ref="C3835:D3835"/>
    <mergeCell ref="C3836:D3836"/>
    <mergeCell ref="C3837:D3837"/>
    <mergeCell ref="F3841:I3841"/>
    <mergeCell ref="O3867:P3867"/>
    <mergeCell ref="C3868:D3868"/>
    <mergeCell ref="C3869:D3869"/>
    <mergeCell ref="C3870:D3870"/>
    <mergeCell ref="C3871:D3871"/>
    <mergeCell ref="C3872:D3872"/>
    <mergeCell ref="C3873:D3873"/>
    <mergeCell ref="C3874:D3874"/>
    <mergeCell ref="C3875:D3875"/>
    <mergeCell ref="F3879:I3879"/>
    <mergeCell ref="C3881:G3881"/>
    <mergeCell ref="C3884:D3884"/>
    <mergeCell ref="C3885:D3885"/>
    <mergeCell ref="C3886:D3886"/>
    <mergeCell ref="F3888:I3888"/>
    <mergeCell ref="C3890:G3890"/>
    <mergeCell ref="C3893:D3893"/>
    <mergeCell ref="C3882:D3882"/>
    <mergeCell ref="C3883:D3883"/>
    <mergeCell ref="C3891:D3891"/>
    <mergeCell ref="C3892:D3892"/>
    <mergeCell ref="C3876:D3876"/>
    <mergeCell ref="C3877:D3877"/>
    <mergeCell ref="O3923:P3923"/>
    <mergeCell ref="C3924:D3924"/>
    <mergeCell ref="C3925:D3925"/>
    <mergeCell ref="C3926:D3926"/>
    <mergeCell ref="C3927:D3927"/>
    <mergeCell ref="C3928:D3928"/>
    <mergeCell ref="C3929:D3929"/>
    <mergeCell ref="C3932:D3932"/>
    <mergeCell ref="C3933:D3933"/>
    <mergeCell ref="F3935:I3935"/>
    <mergeCell ref="C3937:G3937"/>
    <mergeCell ref="C3942:D3942"/>
    <mergeCell ref="C3950:D3950"/>
    <mergeCell ref="B3951:G3951"/>
    <mergeCell ref="F3953:I3953"/>
    <mergeCell ref="C3955:G3955"/>
    <mergeCell ref="C3959:D3959"/>
    <mergeCell ref="O3979:P3979"/>
    <mergeCell ref="C3983:D3983"/>
    <mergeCell ref="C3984:D3984"/>
    <mergeCell ref="C3985:D3985"/>
    <mergeCell ref="C3986:D3986"/>
    <mergeCell ref="F3991:I3991"/>
    <mergeCell ref="C3993:G3993"/>
    <mergeCell ref="C3994:D3994"/>
    <mergeCell ref="C3995:D3995"/>
    <mergeCell ref="F4000:I4000"/>
    <mergeCell ref="C4002:G4002"/>
    <mergeCell ref="C4003:D4003"/>
    <mergeCell ref="C4004:D4004"/>
    <mergeCell ref="B4007:G4007"/>
    <mergeCell ref="F4009:I4009"/>
    <mergeCell ref="C4011:G4011"/>
    <mergeCell ref="C4012:D4012"/>
    <mergeCell ref="F4020:I4020"/>
    <mergeCell ref="F4022:I4022"/>
    <mergeCell ref="C3996:D3996"/>
    <mergeCell ref="C3997:D3997"/>
    <mergeCell ref="C3998:D3998"/>
    <mergeCell ref="F4024:I4024"/>
    <mergeCell ref="B4027:D4027"/>
    <mergeCell ref="B4028:D4028"/>
    <mergeCell ref="D4031:G4031"/>
    <mergeCell ref="D4032:G4032"/>
    <mergeCell ref="C4034:G4034"/>
    <mergeCell ref="C4035:D4035"/>
    <mergeCell ref="O4035:P4035"/>
    <mergeCell ref="C4036:D4036"/>
    <mergeCell ref="C4039:D4039"/>
    <mergeCell ref="C4040:D4040"/>
    <mergeCell ref="C4041:D4041"/>
    <mergeCell ref="C4013:D4013"/>
    <mergeCell ref="C4014:D4014"/>
    <mergeCell ref="C4015:D4015"/>
    <mergeCell ref="C4042:D4042"/>
    <mergeCell ref="C4045:D4045"/>
    <mergeCell ref="F4047:I4047"/>
    <mergeCell ref="C4049:G4049"/>
    <mergeCell ref="C4050:D4050"/>
    <mergeCell ref="C4051:D4051"/>
    <mergeCell ref="F4056:I4056"/>
    <mergeCell ref="C4058:G4058"/>
    <mergeCell ref="C4059:D4059"/>
    <mergeCell ref="C4060:D4060"/>
    <mergeCell ref="B4063:G4063"/>
    <mergeCell ref="F4065:I4065"/>
    <mergeCell ref="C4067:G4067"/>
    <mergeCell ref="C4068:D4068"/>
    <mergeCell ref="C4069:D4069"/>
    <mergeCell ref="C4070:D4070"/>
    <mergeCell ref="C4071:D4071"/>
    <mergeCell ref="F4076:I4076"/>
    <mergeCell ref="F4078:I4078"/>
    <mergeCell ref="F4080:I4080"/>
    <mergeCell ref="B4083:D4083"/>
    <mergeCell ref="B4084:D4084"/>
    <mergeCell ref="O4091:P4091"/>
    <mergeCell ref="C4095:D4095"/>
    <mergeCell ref="C4096:D4096"/>
    <mergeCell ref="C4097:D4097"/>
    <mergeCell ref="F4099:I4099"/>
    <mergeCell ref="C4101:G4101"/>
    <mergeCell ref="C4102:D4102"/>
    <mergeCell ref="C4104:D4104"/>
    <mergeCell ref="C4105:D4105"/>
    <mergeCell ref="C4106:D4106"/>
    <mergeCell ref="F4108:I4108"/>
    <mergeCell ref="C4110:G4110"/>
    <mergeCell ref="O4143:P4143"/>
    <mergeCell ref="F4149:I4149"/>
    <mergeCell ref="C4151:G4151"/>
    <mergeCell ref="C4152:D4152"/>
    <mergeCell ref="C4153:D4153"/>
    <mergeCell ref="C4154:D4154"/>
    <mergeCell ref="F4158:I4158"/>
    <mergeCell ref="C4160:G4160"/>
    <mergeCell ref="C4161:D4161"/>
    <mergeCell ref="C4162:D4162"/>
    <mergeCell ref="C4163:D4163"/>
    <mergeCell ref="B4165:G4165"/>
    <mergeCell ref="F4167:I4167"/>
    <mergeCell ref="C4169:G4169"/>
    <mergeCell ref="C4170:D4170"/>
    <mergeCell ref="C4171:D4171"/>
    <mergeCell ref="C4172:D4172"/>
    <mergeCell ref="C4144:D4144"/>
    <mergeCell ref="C4145:D4145"/>
    <mergeCell ref="C4146:D4146"/>
    <mergeCell ref="C4147:D4147"/>
    <mergeCell ref="C4155:D4155"/>
    <mergeCell ref="F4175:I4175"/>
    <mergeCell ref="F4180:I4180"/>
    <mergeCell ref="F4182:I4182"/>
    <mergeCell ref="B4185:D4185"/>
    <mergeCell ref="B4186:D4186"/>
    <mergeCell ref="D4189:G4189"/>
    <mergeCell ref="D4190:G4190"/>
    <mergeCell ref="C4192:G4192"/>
    <mergeCell ref="C4193:D4193"/>
    <mergeCell ref="C4194:D4194"/>
    <mergeCell ref="C4195:D4195"/>
    <mergeCell ref="F4205:I4205"/>
    <mergeCell ref="C4207:G4207"/>
    <mergeCell ref="C4208:D4208"/>
    <mergeCell ref="C4209:D4209"/>
    <mergeCell ref="F4214:I4214"/>
    <mergeCell ref="C4216:G4216"/>
    <mergeCell ref="C4197:D4197"/>
    <mergeCell ref="C4198:D4198"/>
    <mergeCell ref="C4199:D4199"/>
    <mergeCell ref="C4200:D4200"/>
    <mergeCell ref="C4201:D4201"/>
    <mergeCell ref="C4202:D4202"/>
    <mergeCell ref="C4203:D4203"/>
    <mergeCell ref="C4212:D4212"/>
    <mergeCell ref="F4178:I4178"/>
    <mergeCell ref="C4217:D4217"/>
    <mergeCell ref="C4218:D4218"/>
    <mergeCell ref="C4219:D4219"/>
    <mergeCell ref="B4221:G4221"/>
    <mergeCell ref="F4223:I4223"/>
    <mergeCell ref="C4225:G4225"/>
    <mergeCell ref="C4226:D4226"/>
    <mergeCell ref="C4227:D4227"/>
    <mergeCell ref="C4228:D4228"/>
    <mergeCell ref="F4231:I4231"/>
    <mergeCell ref="F4236:I4236"/>
    <mergeCell ref="C4220:D4220"/>
    <mergeCell ref="C4229:D4229"/>
    <mergeCell ref="F4234:I4234"/>
    <mergeCell ref="F4238:I4238"/>
    <mergeCell ref="B4241:D4241"/>
    <mergeCell ref="B4242:D4242"/>
    <mergeCell ref="C4299:G4299"/>
    <mergeCell ref="C4300:D4300"/>
    <mergeCell ref="C4301:D4301"/>
    <mergeCell ref="C4302:D4302"/>
    <mergeCell ref="C4303:D4303"/>
    <mergeCell ref="C4308:D4308"/>
    <mergeCell ref="C4317:D4317"/>
    <mergeCell ref="C4319:D4319"/>
    <mergeCell ref="F4305:I4305"/>
    <mergeCell ref="C4307:G4307"/>
    <mergeCell ref="C4309:D4309"/>
    <mergeCell ref="C4312:D4312"/>
    <mergeCell ref="F4314:I4314"/>
    <mergeCell ref="C4316:G4316"/>
    <mergeCell ref="C4318:D4318"/>
    <mergeCell ref="D4245:G4245"/>
    <mergeCell ref="D4246:G4246"/>
    <mergeCell ref="C4248:G4248"/>
    <mergeCell ref="C4249:D4249"/>
    <mergeCell ref="C4250:D4250"/>
    <mergeCell ref="C4251:D4251"/>
    <mergeCell ref="F4256:I4256"/>
    <mergeCell ref="C4258:G4258"/>
    <mergeCell ref="C4259:D4259"/>
    <mergeCell ref="C4260:D4260"/>
    <mergeCell ref="F4265:I4265"/>
    <mergeCell ref="C4267:G4267"/>
    <mergeCell ref="C4268:D4268"/>
    <mergeCell ref="C4269:D4269"/>
    <mergeCell ref="C4263:D4263"/>
    <mergeCell ref="C4252:D4252"/>
    <mergeCell ref="C4254:D4254"/>
    <mergeCell ref="F4323:I4323"/>
    <mergeCell ref="C4325:G4325"/>
    <mergeCell ref="C4326:D4326"/>
    <mergeCell ref="C4327:D4327"/>
    <mergeCell ref="C4328:D4328"/>
    <mergeCell ref="C4329:D4329"/>
    <mergeCell ref="F4331:I4331"/>
    <mergeCell ref="F4334:I4334"/>
    <mergeCell ref="F4338:I4338"/>
    <mergeCell ref="B4341:D4341"/>
    <mergeCell ref="B4342:D4342"/>
    <mergeCell ref="D4345:G4345"/>
    <mergeCell ref="D4346:G4346"/>
    <mergeCell ref="C4348:G4348"/>
    <mergeCell ref="C4349:D4349"/>
    <mergeCell ref="C4270:D4270"/>
    <mergeCell ref="B4272:G4272"/>
    <mergeCell ref="F4274:I4274"/>
    <mergeCell ref="C4276:G4276"/>
    <mergeCell ref="C4277:D4277"/>
    <mergeCell ref="C4278:D4278"/>
    <mergeCell ref="C4279:D4279"/>
    <mergeCell ref="F4282:I4282"/>
    <mergeCell ref="F4287:I4287"/>
    <mergeCell ref="F4289:I4289"/>
    <mergeCell ref="B4292:D4292"/>
    <mergeCell ref="B4293:D4293"/>
    <mergeCell ref="F4336:I4336"/>
    <mergeCell ref="C4271:D4271"/>
    <mergeCell ref="C4280:D4280"/>
    <mergeCell ref="D4296:G4296"/>
    <mergeCell ref="D4297:G4297"/>
    <mergeCell ref="O4349:P4349"/>
    <mergeCell ref="C4350:D4350"/>
    <mergeCell ref="F4386:I4386"/>
    <mergeCell ref="F4388:I4388"/>
    <mergeCell ref="F4390:I4390"/>
    <mergeCell ref="B4393:D4393"/>
    <mergeCell ref="B4394:D4394"/>
    <mergeCell ref="D4397:G4397"/>
    <mergeCell ref="D4398:G4398"/>
    <mergeCell ref="C4400:G4400"/>
    <mergeCell ref="C4401:D4401"/>
    <mergeCell ref="O4401:P4401"/>
    <mergeCell ref="C4402:D4402"/>
    <mergeCell ref="C4403:D4403"/>
    <mergeCell ref="C4404:D4404"/>
    <mergeCell ref="C4405:D4405"/>
    <mergeCell ref="F4409:I4409"/>
    <mergeCell ref="C4355:D4355"/>
    <mergeCell ref="F4357:I4357"/>
    <mergeCell ref="C4359:G4359"/>
    <mergeCell ref="C4360:D4360"/>
    <mergeCell ref="C4361:D4361"/>
    <mergeCell ref="C4362:D4362"/>
    <mergeCell ref="C4363:D4363"/>
    <mergeCell ref="C4369:D4369"/>
    <mergeCell ref="C4370:D4370"/>
    <mergeCell ref="C4371:D4371"/>
    <mergeCell ref="C4372:D4372"/>
    <mergeCell ref="C4351:D4351"/>
    <mergeCell ref="C4352:D4352"/>
    <mergeCell ref="C4353:D4353"/>
    <mergeCell ref="C4354:D4354"/>
    <mergeCell ref="O4453:P4453"/>
    <mergeCell ref="C4454:D4454"/>
    <mergeCell ref="F4440:I4440"/>
    <mergeCell ref="C4455:D4455"/>
    <mergeCell ref="C4456:D4456"/>
    <mergeCell ref="C4457:D4457"/>
    <mergeCell ref="C4414:D4414"/>
    <mergeCell ref="C4415:D4415"/>
    <mergeCell ref="C4416:D4416"/>
    <mergeCell ref="F4418:I4418"/>
    <mergeCell ref="C4420:G4420"/>
    <mergeCell ref="C4422:D4422"/>
    <mergeCell ref="C4423:D4423"/>
    <mergeCell ref="C4424:D4424"/>
    <mergeCell ref="B4425:G4425"/>
    <mergeCell ref="F4427:I4427"/>
    <mergeCell ref="C4429:G4429"/>
    <mergeCell ref="C4430:D4430"/>
    <mergeCell ref="C4431:D4431"/>
    <mergeCell ref="F4462:I4462"/>
    <mergeCell ref="C4464:G4464"/>
    <mergeCell ref="C4465:D4465"/>
    <mergeCell ref="C4466:D4466"/>
    <mergeCell ref="F4471:I4471"/>
    <mergeCell ref="C4458:D4458"/>
    <mergeCell ref="C4459:D4459"/>
    <mergeCell ref="C4460:D4460"/>
    <mergeCell ref="C4467:D4467"/>
    <mergeCell ref="C4473:G4473"/>
    <mergeCell ref="C4474:D4474"/>
    <mergeCell ref="C4468:D4468"/>
    <mergeCell ref="C4469:D4469"/>
    <mergeCell ref="C4475:D4475"/>
    <mergeCell ref="C4432:D4432"/>
    <mergeCell ref="C4433:D4433"/>
    <mergeCell ref="F4435:I4435"/>
    <mergeCell ref="F4438:I4438"/>
    <mergeCell ref="F4442:I4442"/>
    <mergeCell ref="B4445:D4445"/>
    <mergeCell ref="B4446:D4446"/>
    <mergeCell ref="D4449:G4449"/>
    <mergeCell ref="D4450:G4450"/>
    <mergeCell ref="C4452:G4452"/>
    <mergeCell ref="C4453:D4453"/>
    <mergeCell ref="B4478:G4478"/>
    <mergeCell ref="F4480:I4480"/>
    <mergeCell ref="C4482:G4482"/>
    <mergeCell ref="C4483:D4483"/>
    <mergeCell ref="C4484:D4484"/>
    <mergeCell ref="F4488:I4488"/>
    <mergeCell ref="F4491:I4491"/>
    <mergeCell ref="B4498:D4498"/>
    <mergeCell ref="B4499:D4499"/>
    <mergeCell ref="D4502:G4502"/>
    <mergeCell ref="D4503:G4503"/>
    <mergeCell ref="C4505:G4505"/>
    <mergeCell ref="C4506:D4506"/>
    <mergeCell ref="O4506:P4506"/>
    <mergeCell ref="C4476:D4476"/>
    <mergeCell ref="C4507:D4507"/>
    <mergeCell ref="C4477:D4477"/>
    <mergeCell ref="F4513:I4513"/>
    <mergeCell ref="C4515:G4515"/>
    <mergeCell ref="B4529:G4529"/>
    <mergeCell ref="F4539:I4539"/>
    <mergeCell ref="F4542:I4542"/>
    <mergeCell ref="F4544:I4544"/>
    <mergeCell ref="F4546:I4546"/>
    <mergeCell ref="B4549:D4549"/>
    <mergeCell ref="B4550:D4550"/>
    <mergeCell ref="D4553:G4553"/>
    <mergeCell ref="D4554:G4554"/>
    <mergeCell ref="C4556:G4556"/>
    <mergeCell ref="C4557:D4557"/>
    <mergeCell ref="O4557:P4557"/>
    <mergeCell ref="C4558:D4558"/>
    <mergeCell ref="C4559:D4559"/>
    <mergeCell ref="C4511:D4511"/>
    <mergeCell ref="C4516:D4516"/>
    <mergeCell ref="C4517:D4517"/>
    <mergeCell ref="C4518:D4518"/>
    <mergeCell ref="C4519:D4519"/>
    <mergeCell ref="C4520:D4520"/>
    <mergeCell ref="F4522:I4522"/>
    <mergeCell ref="C4524:G4524"/>
    <mergeCell ref="C4535:D4535"/>
    <mergeCell ref="C4536:D4536"/>
    <mergeCell ref="C4537:D4537"/>
    <mergeCell ref="C4526:D4526"/>
    <mergeCell ref="C4527:D4527"/>
    <mergeCell ref="C4560:D4560"/>
    <mergeCell ref="C4561:D4561"/>
    <mergeCell ref="C4562:D4562"/>
    <mergeCell ref="F4564:I4564"/>
    <mergeCell ref="C4566:G4566"/>
    <mergeCell ref="C4567:D4567"/>
    <mergeCell ref="C4568:D4568"/>
    <mergeCell ref="C4569:D4569"/>
    <mergeCell ref="C4570:D4570"/>
    <mergeCell ref="C4571:D4571"/>
    <mergeCell ref="F4573:I4573"/>
    <mergeCell ref="C4575:G4575"/>
    <mergeCell ref="C4576:D4576"/>
    <mergeCell ref="C4577:D4577"/>
    <mergeCell ref="B4580:G4580"/>
    <mergeCell ref="F4582:I4582"/>
    <mergeCell ref="C4584:G4584"/>
    <mergeCell ref="C4579:D4579"/>
    <mergeCell ref="C4578:D4578"/>
    <mergeCell ref="C4585:D4585"/>
    <mergeCell ref="C4586:D4586"/>
    <mergeCell ref="F4590:I4590"/>
    <mergeCell ref="F4593:I4593"/>
    <mergeCell ref="F4595:I4595"/>
    <mergeCell ref="F4597:I4597"/>
    <mergeCell ref="B4600:D4600"/>
    <mergeCell ref="B4601:D4601"/>
    <mergeCell ref="D4604:G4604"/>
    <mergeCell ref="D4605:G4605"/>
    <mergeCell ref="C4607:G4607"/>
    <mergeCell ref="C4608:D4608"/>
    <mergeCell ref="O4608:P4608"/>
    <mergeCell ref="C4609:D4609"/>
    <mergeCell ref="C4610:D4610"/>
    <mergeCell ref="C4611:D4611"/>
    <mergeCell ref="C4612:D4612"/>
    <mergeCell ref="C4587:D4587"/>
    <mergeCell ref="C4588:D4588"/>
    <mergeCell ref="C4613:D4613"/>
    <mergeCell ref="C4614:D4614"/>
    <mergeCell ref="C4615:D4615"/>
    <mergeCell ref="C4616:D4616"/>
    <mergeCell ref="C4617:D4617"/>
    <mergeCell ref="C4618:D4618"/>
    <mergeCell ref="F4620:I4620"/>
    <mergeCell ref="C4622:G4622"/>
    <mergeCell ref="C4627:D4627"/>
    <mergeCell ref="F4629:I4629"/>
    <mergeCell ref="C4631:G4631"/>
    <mergeCell ref="B4636:G4636"/>
    <mergeCell ref="F4638:I4638"/>
    <mergeCell ref="C4640:G4640"/>
    <mergeCell ref="C4644:D4644"/>
    <mergeCell ref="F4649:I4649"/>
    <mergeCell ref="F4651:I4651"/>
    <mergeCell ref="C4624:D4624"/>
    <mergeCell ref="C4625:D4625"/>
    <mergeCell ref="C4626:D4626"/>
    <mergeCell ref="C4643:D4643"/>
    <mergeCell ref="F4646:I4646"/>
    <mergeCell ref="F4653:I4653"/>
    <mergeCell ref="B4656:D4656"/>
    <mergeCell ref="B4657:D4657"/>
    <mergeCell ref="D4660:G4660"/>
    <mergeCell ref="D4661:G4661"/>
    <mergeCell ref="C4663:G4663"/>
    <mergeCell ref="C4664:D4664"/>
    <mergeCell ref="O4664:P4664"/>
    <mergeCell ref="C4665:D4665"/>
    <mergeCell ref="C4666:D4666"/>
    <mergeCell ref="C4667:D4667"/>
    <mergeCell ref="C4668:D4668"/>
    <mergeCell ref="C4669:D4669"/>
    <mergeCell ref="C4670:D4670"/>
    <mergeCell ref="C4671:D4671"/>
    <mergeCell ref="F4676:I4676"/>
    <mergeCell ref="C4678:G4678"/>
    <mergeCell ref="C4673:D4673"/>
    <mergeCell ref="C4674:D4674"/>
    <mergeCell ref="C4680:D4680"/>
    <mergeCell ref="C4681:D4681"/>
    <mergeCell ref="C4682:D4682"/>
    <mergeCell ref="C4683:D4683"/>
    <mergeCell ref="F4685:I4685"/>
    <mergeCell ref="C4687:G4687"/>
    <mergeCell ref="C4689:D4689"/>
    <mergeCell ref="C4690:D4690"/>
    <mergeCell ref="C4691:D4691"/>
    <mergeCell ref="B4692:G4692"/>
    <mergeCell ref="F4694:I4694"/>
    <mergeCell ref="C4696:G4696"/>
    <mergeCell ref="C4697:D4697"/>
    <mergeCell ref="C4698:D4698"/>
    <mergeCell ref="C4699:D4699"/>
    <mergeCell ref="C4700:D4700"/>
    <mergeCell ref="F4702:I4702"/>
    <mergeCell ref="C4688:D4688"/>
    <mergeCell ref="F4705:I4705"/>
    <mergeCell ref="F4709:I4709"/>
    <mergeCell ref="B4712:D4712"/>
    <mergeCell ref="B4713:D4713"/>
    <mergeCell ref="D4716:G4716"/>
    <mergeCell ref="D4717:G4717"/>
    <mergeCell ref="C4719:G4719"/>
    <mergeCell ref="C4720:D4720"/>
    <mergeCell ref="O4720:P4720"/>
    <mergeCell ref="C4721:D4721"/>
    <mergeCell ref="C4722:D4722"/>
    <mergeCell ref="C4723:D4723"/>
    <mergeCell ref="C4724:D4724"/>
    <mergeCell ref="C4729:D4729"/>
    <mergeCell ref="C4730:D4730"/>
    <mergeCell ref="F4732:I4732"/>
    <mergeCell ref="C4734:G4734"/>
    <mergeCell ref="C4728:D4728"/>
    <mergeCell ref="C4726:D4726"/>
    <mergeCell ref="C4727:D4727"/>
    <mergeCell ref="F4707:I4707"/>
    <mergeCell ref="C4725:D4725"/>
    <mergeCell ref="C4738:D4738"/>
    <mergeCell ref="C4739:D4739"/>
    <mergeCell ref="F4741:I4741"/>
    <mergeCell ref="C4743:G4743"/>
    <mergeCell ref="C4746:D4746"/>
    <mergeCell ref="C4747:D4747"/>
    <mergeCell ref="B4748:G4748"/>
    <mergeCell ref="F4750:I4750"/>
    <mergeCell ref="C4752:G4752"/>
    <mergeCell ref="C4755:D4755"/>
    <mergeCell ref="C4756:D4756"/>
    <mergeCell ref="F4758:I4758"/>
    <mergeCell ref="F4765:I4765"/>
    <mergeCell ref="B4768:D4768"/>
    <mergeCell ref="B4769:D4769"/>
    <mergeCell ref="D4772:G4772"/>
    <mergeCell ref="D4773:G4773"/>
    <mergeCell ref="F4761:I4761"/>
    <mergeCell ref="F4763:I4763"/>
    <mergeCell ref="C4753:D4753"/>
    <mergeCell ref="C4744:D4744"/>
    <mergeCell ref="C4745:D4745"/>
    <mergeCell ref="C4754:D4754"/>
    <mergeCell ref="C4917:D4917"/>
    <mergeCell ref="C4964:D4964"/>
    <mergeCell ref="F4788:I4788"/>
    <mergeCell ref="C4790:G4790"/>
    <mergeCell ref="C4793:D4793"/>
    <mergeCell ref="C4794:D4794"/>
    <mergeCell ref="C4795:D4795"/>
    <mergeCell ref="F4797:I4797"/>
    <mergeCell ref="C4799:G4799"/>
    <mergeCell ref="C4801:D4801"/>
    <mergeCell ref="C4802:D4802"/>
    <mergeCell ref="C4803:D4803"/>
    <mergeCell ref="B4804:G4804"/>
    <mergeCell ref="F4806:I4806"/>
    <mergeCell ref="C4808:G4808"/>
    <mergeCell ref="C4810:D4810"/>
    <mergeCell ref="C4811:D4811"/>
    <mergeCell ref="C4812:D4812"/>
    <mergeCell ref="D4828:G4828"/>
    <mergeCell ref="D4829:G4829"/>
    <mergeCell ref="C4831:G4831"/>
    <mergeCell ref="C4832:D4832"/>
    <mergeCell ref="B4877:D4877"/>
    <mergeCell ref="D4933:G4933"/>
    <mergeCell ref="C4936:G4936"/>
    <mergeCell ref="C4937:D4937"/>
    <mergeCell ref="F4817:I4817"/>
    <mergeCell ref="C4809:D4809"/>
    <mergeCell ref="F4814:I4814"/>
    <mergeCell ref="D4934:G4934"/>
    <mergeCell ref="C4941:D4941"/>
    <mergeCell ref="C4957:D4957"/>
    <mergeCell ref="O4832:P4832"/>
    <mergeCell ref="C4833:D4833"/>
    <mergeCell ref="C4834:D4834"/>
    <mergeCell ref="C4835:D4835"/>
    <mergeCell ref="C4836:D4836"/>
    <mergeCell ref="C4837:D4837"/>
    <mergeCell ref="C4838:D4838"/>
    <mergeCell ref="C4844:D4844"/>
    <mergeCell ref="C4845:D4845"/>
    <mergeCell ref="C4846:D4846"/>
    <mergeCell ref="C4847:D4847"/>
    <mergeCell ref="C4853:D4853"/>
    <mergeCell ref="C4854:D4854"/>
    <mergeCell ref="C4855:D4855"/>
    <mergeCell ref="C4862:D4862"/>
    <mergeCell ref="C4863:D4863"/>
    <mergeCell ref="C4864:D4864"/>
    <mergeCell ref="O4937:P4937"/>
    <mergeCell ref="F4943:I4943"/>
    <mergeCell ref="C4945:G4945"/>
    <mergeCell ref="C4949:D4949"/>
    <mergeCell ref="C4950:D4950"/>
    <mergeCell ref="F4952:I4952"/>
    <mergeCell ref="C4992:D4992"/>
    <mergeCell ref="C4993:D4993"/>
    <mergeCell ref="F4999:I4999"/>
    <mergeCell ref="C4954:G4954"/>
    <mergeCell ref="C4955:D4955"/>
    <mergeCell ref="C4956:D4956"/>
    <mergeCell ref="C4958:D4958"/>
    <mergeCell ref="B4959:G4959"/>
    <mergeCell ref="F4961:I4961"/>
    <mergeCell ref="C4963:G4963"/>
    <mergeCell ref="C4966:D4966"/>
    <mergeCell ref="F4976:I4976"/>
    <mergeCell ref="C4965:D4965"/>
    <mergeCell ref="C4967:D4967"/>
    <mergeCell ref="F4969:I4969"/>
    <mergeCell ref="F4972:I4972"/>
    <mergeCell ref="F4974:I4974"/>
    <mergeCell ref="B4979:D4979"/>
    <mergeCell ref="O4885:P4885"/>
    <mergeCell ref="F4893:I4893"/>
    <mergeCell ref="C4895:G4895"/>
    <mergeCell ref="C4896:D4896"/>
    <mergeCell ref="C4899:D4899"/>
    <mergeCell ref="C4900:D4900"/>
    <mergeCell ref="F4902:I4902"/>
    <mergeCell ref="C5013:D5013"/>
    <mergeCell ref="C5014:D5014"/>
    <mergeCell ref="B5015:G5015"/>
    <mergeCell ref="F5017:I5017"/>
    <mergeCell ref="C5019:G5019"/>
    <mergeCell ref="C5020:D5020"/>
    <mergeCell ref="D5095:G5095"/>
    <mergeCell ref="D5096:G5096"/>
    <mergeCell ref="C5098:G5098"/>
    <mergeCell ref="C5105:D5105"/>
    <mergeCell ref="C5076:D5076"/>
    <mergeCell ref="F5081:I5081"/>
    <mergeCell ref="F5084:I5084"/>
    <mergeCell ref="F5086:I5086"/>
    <mergeCell ref="F5088:I5088"/>
    <mergeCell ref="B5091:D5091"/>
    <mergeCell ref="C5021:D5021"/>
    <mergeCell ref="C5022:D5022"/>
    <mergeCell ref="C5023:D5023"/>
    <mergeCell ref="F5025:I5025"/>
    <mergeCell ref="F5028:I5028"/>
    <mergeCell ref="F5030:I5030"/>
    <mergeCell ref="B5035:D5035"/>
    <mergeCell ref="B5036:D5036"/>
    <mergeCell ref="D5039:G5039"/>
    <mergeCell ref="F5140:I5140"/>
    <mergeCell ref="F5142:I5142"/>
    <mergeCell ref="F5144:I5144"/>
    <mergeCell ref="B5147:D5147"/>
    <mergeCell ref="B5148:D5148"/>
    <mergeCell ref="D5151:G5151"/>
    <mergeCell ref="D5152:G5152"/>
    <mergeCell ref="C5154:G5154"/>
    <mergeCell ref="C5155:D5155"/>
    <mergeCell ref="O5155:P5155"/>
    <mergeCell ref="C5156:D5156"/>
    <mergeCell ref="C5157:D5157"/>
    <mergeCell ref="C5158:D5158"/>
    <mergeCell ref="C5159:D5159"/>
    <mergeCell ref="C5160:D5160"/>
    <mergeCell ref="C5161:D5161"/>
    <mergeCell ref="C5162:D5162"/>
    <mergeCell ref="C5163:D5163"/>
    <mergeCell ref="C5164:D5164"/>
    <mergeCell ref="C5165:D5165"/>
    <mergeCell ref="F5167:I5167"/>
    <mergeCell ref="C5169:G5169"/>
    <mergeCell ref="C5170:D5170"/>
    <mergeCell ref="C5171:D5171"/>
    <mergeCell ref="C5172:D5172"/>
    <mergeCell ref="C5173:D5173"/>
    <mergeCell ref="C5174:D5174"/>
    <mergeCell ref="F5176:I5176"/>
    <mergeCell ref="C5178:G5178"/>
    <mergeCell ref="C5179:D5179"/>
    <mergeCell ref="C5180:D5180"/>
    <mergeCell ref="C5181:D5181"/>
    <mergeCell ref="C5182:D5182"/>
    <mergeCell ref="B5183:G5183"/>
    <mergeCell ref="F5185:I5185"/>
    <mergeCell ref="C5187:G5187"/>
    <mergeCell ref="C5188:D5188"/>
    <mergeCell ref="C5189:D5189"/>
    <mergeCell ref="C5190:D5190"/>
    <mergeCell ref="C5191:D5191"/>
    <mergeCell ref="F5193:I5193"/>
    <mergeCell ref="F5196:I5196"/>
    <mergeCell ref="F5198:I5198"/>
    <mergeCell ref="F5200:I5200"/>
    <mergeCell ref="B5203:D5203"/>
    <mergeCell ref="B5204:D5204"/>
    <mergeCell ref="D5207:G5207"/>
    <mergeCell ref="D5208:G5208"/>
    <mergeCell ref="C5210:G5210"/>
    <mergeCell ref="O5211:P5211"/>
    <mergeCell ref="C5214:D5214"/>
    <mergeCell ref="C5212:D5212"/>
    <mergeCell ref="C5213:D5213"/>
    <mergeCell ref="C5211:D5211"/>
    <mergeCell ref="C5215:D5215"/>
    <mergeCell ref="C5216:D5216"/>
    <mergeCell ref="F5218:I5218"/>
    <mergeCell ref="C5220:G5220"/>
    <mergeCell ref="C5223:D5223"/>
    <mergeCell ref="C5224:D5224"/>
    <mergeCell ref="C5225:D5225"/>
    <mergeCell ref="F5227:I5227"/>
    <mergeCell ref="C5229:G5229"/>
    <mergeCell ref="C5230:D5230"/>
    <mergeCell ref="C5231:D5231"/>
    <mergeCell ref="C5232:D5232"/>
    <mergeCell ref="C5233:D5233"/>
    <mergeCell ref="B5234:G5234"/>
    <mergeCell ref="F5236:I5236"/>
    <mergeCell ref="C5238:G5238"/>
    <mergeCell ref="C5240:D5240"/>
    <mergeCell ref="C5221:D5221"/>
    <mergeCell ref="C5222:D5222"/>
    <mergeCell ref="C5239:D5239"/>
    <mergeCell ref="C5241:D5241"/>
    <mergeCell ref="C5242:D5242"/>
    <mergeCell ref="F5247:I5247"/>
    <mergeCell ref="F5249:I5249"/>
    <mergeCell ref="F5251:I5251"/>
    <mergeCell ref="B5254:D5254"/>
    <mergeCell ref="B5255:D5255"/>
    <mergeCell ref="D5258:G5258"/>
    <mergeCell ref="D5259:G5259"/>
    <mergeCell ref="C5261:G5261"/>
    <mergeCell ref="O5262:P5262"/>
    <mergeCell ref="C5267:D5267"/>
    <mergeCell ref="C5268:D5268"/>
    <mergeCell ref="C5269:D5269"/>
    <mergeCell ref="F5271:I5271"/>
    <mergeCell ref="C5273:G5273"/>
    <mergeCell ref="C5276:D5276"/>
    <mergeCell ref="F5244:I5244"/>
    <mergeCell ref="C5295:D5295"/>
    <mergeCell ref="F5300:I5300"/>
    <mergeCell ref="F5302:I5302"/>
    <mergeCell ref="F5304:I5304"/>
    <mergeCell ref="B5307:D5307"/>
    <mergeCell ref="B5308:D5308"/>
    <mergeCell ref="D5311:G5311"/>
    <mergeCell ref="D5312:G5312"/>
    <mergeCell ref="C5314:G5314"/>
    <mergeCell ref="O5315:P5315"/>
    <mergeCell ref="C5320:D5320"/>
    <mergeCell ref="C5321:D5321"/>
    <mergeCell ref="C5322:D5322"/>
    <mergeCell ref="C5323:D5323"/>
    <mergeCell ref="F5327:I5327"/>
    <mergeCell ref="C5329:G5329"/>
    <mergeCell ref="C5330:D5330"/>
    <mergeCell ref="C5315:D5315"/>
    <mergeCell ref="C5316:D5316"/>
    <mergeCell ref="C5317:D5317"/>
    <mergeCell ref="C5318:D5318"/>
    <mergeCell ref="C5319:D5319"/>
    <mergeCell ref="C5324:D5324"/>
    <mergeCell ref="C5325:D5325"/>
    <mergeCell ref="C5331:D5331"/>
    <mergeCell ref="C5332:D5332"/>
    <mergeCell ref="F5336:I5336"/>
    <mergeCell ref="C5338:G5338"/>
    <mergeCell ref="C5339:D5339"/>
    <mergeCell ref="C5340:D5340"/>
    <mergeCell ref="C5341:D5341"/>
    <mergeCell ref="B5343:G5343"/>
    <mergeCell ref="F5345:I5345"/>
    <mergeCell ref="C5347:G5347"/>
    <mergeCell ref="C5348:D5348"/>
    <mergeCell ref="C5349:D5349"/>
    <mergeCell ref="C5350:D5350"/>
    <mergeCell ref="C5351:D5351"/>
    <mergeCell ref="F5353:I5353"/>
    <mergeCell ref="F5356:I5356"/>
    <mergeCell ref="F5358:I5358"/>
    <mergeCell ref="O5427:P5427"/>
    <mergeCell ref="C5434:D5434"/>
    <mergeCell ref="C5435:D5435"/>
    <mergeCell ref="C5436:D5436"/>
    <mergeCell ref="C5437:D5437"/>
    <mergeCell ref="F5439:I5439"/>
    <mergeCell ref="F5360:I5360"/>
    <mergeCell ref="B5363:D5363"/>
    <mergeCell ref="B5364:D5364"/>
    <mergeCell ref="D5367:G5367"/>
    <mergeCell ref="D5368:G5368"/>
    <mergeCell ref="C5370:G5370"/>
    <mergeCell ref="O5371:P5371"/>
    <mergeCell ref="C5376:D5376"/>
    <mergeCell ref="C5380:D5380"/>
    <mergeCell ref="C5381:D5381"/>
    <mergeCell ref="F5383:I5383"/>
    <mergeCell ref="C5385:G5385"/>
    <mergeCell ref="C5389:D5389"/>
    <mergeCell ref="C5390:D5390"/>
    <mergeCell ref="F5392:I5392"/>
    <mergeCell ref="C5394:G5394"/>
    <mergeCell ref="C5398:D5398"/>
    <mergeCell ref="B5399:G5399"/>
    <mergeCell ref="F5401:I5401"/>
    <mergeCell ref="C5403:G5403"/>
    <mergeCell ref="C5407:D5407"/>
    <mergeCell ref="F5409:I5409"/>
    <mergeCell ref="F5412:I5412"/>
    <mergeCell ref="F5414:I5414"/>
    <mergeCell ref="F5416:I5416"/>
    <mergeCell ref="B5420:D5420"/>
    <mergeCell ref="C720:D720"/>
    <mergeCell ref="C723:D723"/>
    <mergeCell ref="C5600:D5600"/>
    <mergeCell ref="C5601:D5601"/>
    <mergeCell ref="C5602:D5602"/>
    <mergeCell ref="C5603:D5603"/>
    <mergeCell ref="C5604:D5604"/>
    <mergeCell ref="C5605:D5605"/>
    <mergeCell ref="F5607:I5607"/>
    <mergeCell ref="C5609:G5609"/>
    <mergeCell ref="C5610:D5610"/>
    <mergeCell ref="C5611:D5611"/>
    <mergeCell ref="C5614:D5614"/>
    <mergeCell ref="F5616:I5616"/>
    <mergeCell ref="C5618:G5618"/>
    <mergeCell ref="C5619:D5619"/>
    <mergeCell ref="C5620:D5620"/>
    <mergeCell ref="C5463:D5463"/>
    <mergeCell ref="F5465:I5465"/>
    <mergeCell ref="F5470:I5470"/>
    <mergeCell ref="F5472:I5472"/>
    <mergeCell ref="B5475:D5475"/>
    <mergeCell ref="B5476:D5476"/>
    <mergeCell ref="D5479:G5479"/>
    <mergeCell ref="D5480:G5480"/>
    <mergeCell ref="C5482:G5482"/>
    <mergeCell ref="D5591:G5591"/>
    <mergeCell ref="D5592:G5592"/>
    <mergeCell ref="C5594:G5594"/>
    <mergeCell ref="C5595:D5595"/>
    <mergeCell ref="C5596:D5596"/>
    <mergeCell ref="C5597:D5597"/>
    <mergeCell ref="D700:G700"/>
    <mergeCell ref="D701:G701"/>
    <mergeCell ref="C703:G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F716:I716"/>
    <mergeCell ref="C718:G718"/>
    <mergeCell ref="C719:D719"/>
    <mergeCell ref="F747:I747"/>
    <mergeCell ref="F749:I749"/>
    <mergeCell ref="B752:D752"/>
    <mergeCell ref="B753:D753"/>
    <mergeCell ref="B5623:G5623"/>
    <mergeCell ref="F5625:I5625"/>
    <mergeCell ref="C5627:G5627"/>
    <mergeCell ref="C5628:D5628"/>
    <mergeCell ref="C5629:D5629"/>
    <mergeCell ref="C5630:D5630"/>
    <mergeCell ref="C5631:D5631"/>
    <mergeCell ref="F5633:I5633"/>
    <mergeCell ref="F5636:I5636"/>
    <mergeCell ref="F5638:I5638"/>
    <mergeCell ref="F5640:I5640"/>
    <mergeCell ref="B5643:D5643"/>
    <mergeCell ref="B5644:D5644"/>
    <mergeCell ref="C5621:D5621"/>
    <mergeCell ref="C5622:D5622"/>
    <mergeCell ref="C5598:D5598"/>
    <mergeCell ref="C5599:D5599"/>
    <mergeCell ref="C5441:G5441"/>
    <mergeCell ref="C5443:D5443"/>
    <mergeCell ref="C5444:D5444"/>
    <mergeCell ref="C5445:D5445"/>
    <mergeCell ref="C5446:D5446"/>
    <mergeCell ref="F5448:I5448"/>
    <mergeCell ref="C5450:G5450"/>
    <mergeCell ref="C5451:D5451"/>
    <mergeCell ref="C5452:D5452"/>
    <mergeCell ref="C5453:D5453"/>
    <mergeCell ref="C5454:D5454"/>
  </mergeCells>
  <printOptions horizontalCentered="1" verticalCentered="1"/>
  <pageMargins left="0.78740157480314965" right="0.39370078740157483" top="0.78740157480314965" bottom="0.78740157480314965" header="0.31496062992125984" footer="0.31496062992125984"/>
  <pageSetup scale="51" orientation="portrait" r:id="rId1"/>
  <rowBreaks count="106" manualBreakCount="106">
    <brk id="59" min="1" max="10" man="1"/>
    <brk id="115" min="1" max="10" man="1"/>
    <brk id="166" min="1" max="10" man="1"/>
    <brk id="217" min="1" max="10" man="1"/>
    <brk id="269" min="1" max="10" man="1"/>
    <brk id="321" min="1" max="10" man="1"/>
    <brk id="375" min="1" max="10" man="1"/>
    <brk id="426" min="1" max="10" man="1"/>
    <brk id="482" min="1" max="10" man="1"/>
    <brk id="536" min="1" max="10" man="1"/>
    <brk id="590" min="1" max="10" man="1"/>
    <brk id="644" min="1" max="10" man="1"/>
    <brk id="698" min="1" max="10" man="1"/>
    <brk id="755" min="1" max="10" man="1"/>
    <brk id="811" min="1" max="10" man="1"/>
    <brk id="867" min="1" max="10" man="1"/>
    <brk id="923" min="1" max="10" man="1"/>
    <brk id="979" min="1" max="10" man="1"/>
    <brk id="1035" min="1" max="10" man="1"/>
    <brk id="1091" min="1" max="10" man="1"/>
    <brk id="1147" min="1" max="10" man="1"/>
    <brk id="1203" min="1" max="10" man="1"/>
    <brk id="1259" min="1" max="10" man="1"/>
    <brk id="1315" min="1" max="10" man="1"/>
    <brk id="1371" min="1" max="10" man="1"/>
    <brk id="1427" min="1" max="10" man="1"/>
    <brk id="1483" min="1" max="10" man="1"/>
    <brk id="1539" min="1" max="10" man="1"/>
    <brk id="1595" min="1" max="10" man="1"/>
    <brk id="1651" min="1" max="10" man="1"/>
    <brk id="1704" min="1" max="10" man="1"/>
    <brk id="1760" min="1" max="10" man="1"/>
    <brk id="1816" min="1" max="10" man="1"/>
    <brk id="1869" min="1" max="10" man="1"/>
    <brk id="1925" min="1" max="10" man="1"/>
    <brk id="1981" min="1" max="10" man="1"/>
    <brk id="2034" min="1" max="10" man="1"/>
    <brk id="2090" min="1" max="10" man="1"/>
    <brk id="2143" min="1" max="10" man="1"/>
    <brk id="2196" min="1" max="10" man="1"/>
    <brk id="2252" min="1" max="10" man="1"/>
    <brk id="2308" min="1" max="10" man="1"/>
    <brk id="2359" min="1" max="10" man="1"/>
    <brk id="2410" min="1" max="10" man="1"/>
    <brk id="2463" min="1" max="10" man="1"/>
    <brk id="2519" min="1" max="10" man="1"/>
    <brk id="2575" min="1" max="10" man="1"/>
    <brk id="2631" min="1" max="10" man="1"/>
    <brk id="2687" min="1" max="10" man="1"/>
    <brk id="2743" min="1" max="10" man="1"/>
    <brk id="2799" min="1" max="10" man="1"/>
    <brk id="2855" min="1" max="10" man="1"/>
    <brk id="2911" min="1" max="10" man="1"/>
    <brk id="2967" min="1" max="10" man="1"/>
    <brk id="3023" min="1" max="10" man="1"/>
    <brk id="3076" min="1" max="10" man="1"/>
    <brk id="3128" min="1" max="10" man="1"/>
    <brk id="3177" min="1" max="10" man="1"/>
    <brk id="3226" min="1" max="10" man="1"/>
    <brk id="3276" min="1" max="10" man="1"/>
    <brk id="3326" min="1" max="10" man="1"/>
    <brk id="3376" min="1" max="10" man="1"/>
    <brk id="3426" min="1" max="10" man="1"/>
    <brk id="3481" min="1" max="10" man="1"/>
    <brk id="3536" min="1" max="10" man="1"/>
    <brk id="3591" min="1" max="10" man="1"/>
    <brk id="3647" min="1" max="10" man="1"/>
    <brk id="3703" min="1" max="10" man="1"/>
    <brk id="3759" min="1" max="10" man="1"/>
    <brk id="3810" min="1" max="10" man="1"/>
    <brk id="3861" min="1" max="10" man="1"/>
    <brk id="3917" min="1" max="10" man="1"/>
    <brk id="3973" min="1" max="10" man="1"/>
    <brk id="4029" min="1" max="10" man="1"/>
    <brk id="4085" min="1" max="10" man="1"/>
    <brk id="4137" min="1" max="10" man="1"/>
    <brk id="4187" min="1" max="10" man="1"/>
    <brk id="4243" min="1" max="10" man="1"/>
    <brk id="4294" min="1" max="10" man="1"/>
    <brk id="4343" min="1" max="10" man="1"/>
    <brk id="4395" min="1" max="10" man="1"/>
    <brk id="4447" min="1" max="10" man="1"/>
    <brk id="4500" min="1" max="10" man="1"/>
    <brk id="4551" min="1" max="10" man="1"/>
    <brk id="4602" min="1" max="10" man="1"/>
    <brk id="4658" min="1" max="10" man="1"/>
    <brk id="4714" min="1" max="10" man="1"/>
    <brk id="4770" min="1" max="10" man="1"/>
    <brk id="4826" min="1" max="10" man="1"/>
    <brk id="4879" min="1" max="10" man="1"/>
    <brk id="4931" min="1" max="10" man="1"/>
    <brk id="4981" min="1" max="10" man="1"/>
    <brk id="5037" min="1" max="10" man="1"/>
    <brk id="5093" min="1" max="10" man="1"/>
    <brk id="5149" min="1" max="10" man="1"/>
    <brk id="5205" min="1" max="10" man="1"/>
    <brk id="5256" min="1" max="10" man="1"/>
    <brk id="5309" min="1" max="10" man="1"/>
    <brk id="5365" min="1" max="10" man="1"/>
    <brk id="5421" min="1" max="10" man="1"/>
    <brk id="5477" min="1" max="10" man="1"/>
    <brk id="5533" min="1" max="10" man="1"/>
    <brk id="5589" min="1" max="10" man="1"/>
    <brk id="5645" min="1" max="10" man="1"/>
    <brk id="5701" min="1" max="10" man="1"/>
    <brk id="5757" min="1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34"/>
  <sheetViews>
    <sheetView showGridLines="0" view="pageBreakPreview" topLeftCell="A19" zoomScale="85" zoomScaleNormal="100" zoomScaleSheetLayoutView="85" workbookViewId="0">
      <selection activeCell="J34" sqref="J34"/>
    </sheetView>
  </sheetViews>
  <sheetFormatPr baseColWidth="10" defaultRowHeight="15.6" x14ac:dyDescent="0.3"/>
  <cols>
    <col min="2" max="2" width="5.6640625" style="17" customWidth="1"/>
    <col min="3" max="3" width="22.6640625" style="17" customWidth="1"/>
    <col min="4" max="4" width="2" style="17" customWidth="1"/>
    <col min="5" max="7" width="18.6640625" style="17" customWidth="1"/>
    <col min="8" max="8" width="2" style="17" customWidth="1"/>
    <col min="9" max="11" width="18.6640625" style="17" customWidth="1"/>
  </cols>
  <sheetData>
    <row r="1" spans="2:12" ht="16.2" thickBot="1" x14ac:dyDescent="0.35"/>
    <row r="2" spans="2:12" ht="16.2" thickBot="1" x14ac:dyDescent="0.35">
      <c r="B2" s="356"/>
      <c r="C2" s="357"/>
      <c r="E2" s="332" t="str">
        <f>UNITARIOS!D2</f>
        <v>CONSTRUVIAS, 18 CALLE "A" 9-02 ZONA 13, COLONIA AURORA 2, CIUDAD DE GUATEMALA. TEL.: 22922288</v>
      </c>
      <c r="F2" s="333"/>
      <c r="G2" s="333"/>
      <c r="H2" s="333"/>
      <c r="I2" s="333"/>
      <c r="J2" s="333"/>
      <c r="K2" s="334"/>
    </row>
    <row r="3" spans="2:12" ht="16.2" thickBot="1" x14ac:dyDescent="0.35">
      <c r="B3" s="358"/>
      <c r="C3" s="359"/>
    </row>
    <row r="4" spans="2:12" ht="16.2" thickBot="1" x14ac:dyDescent="0.35">
      <c r="B4" s="358"/>
      <c r="C4" s="359"/>
      <c r="E4" s="362" t="str">
        <f>CATALOGO!B2</f>
        <v>EVENTO No. UCEE-14-2022</v>
      </c>
      <c r="F4" s="363"/>
      <c r="G4" s="363"/>
      <c r="H4" s="363"/>
      <c r="I4" s="363"/>
      <c r="J4" s="364"/>
      <c r="K4" s="153" t="s">
        <v>0</v>
      </c>
    </row>
    <row r="5" spans="2:12" ht="17.25" customHeight="1" x14ac:dyDescent="0.3">
      <c r="B5" s="358"/>
      <c r="C5" s="359"/>
      <c r="E5" s="365" t="str">
        <f>CATALOGO!B3</f>
        <v>GRUPO 14 QUE COMPRENDE:</v>
      </c>
      <c r="F5" s="366"/>
      <c r="G5" s="366"/>
      <c r="H5" s="366"/>
      <c r="I5" s="366"/>
      <c r="J5" s="367"/>
      <c r="K5" s="368">
        <f>UNITARIOS!K5</f>
        <v>44761</v>
      </c>
    </row>
    <row r="6" spans="2:12" ht="33.75" customHeight="1" x14ac:dyDescent="0.3">
      <c r="B6" s="358"/>
      <c r="C6" s="359"/>
      <c r="E6" s="365" t="str">
        <f>CATALOGO!B4</f>
        <v>REMOZAMIENTO DE EDIFICACIONES ESCOLARES AFECTADAS POR EL CICLÓN TROPICAL BLAS Y CELIA DEL DEPARTAMENTO DE PETEN</v>
      </c>
      <c r="F6" s="366"/>
      <c r="G6" s="366"/>
      <c r="H6" s="366"/>
      <c r="I6" s="366"/>
      <c r="J6" s="367"/>
      <c r="K6" s="369"/>
    </row>
    <row r="7" spans="2:12" ht="16.2" thickBot="1" x14ac:dyDescent="0.35">
      <c r="B7" s="360"/>
      <c r="C7" s="361"/>
      <c r="E7" s="371" t="str">
        <f>CATALOGO!B5</f>
        <v>- EODP ANEXA A ESCUELA RURAL MIXTA, EL CRUZADERO, MELCHOR DE MENCOS, PETEN -</v>
      </c>
      <c r="F7" s="372"/>
      <c r="G7" s="372"/>
      <c r="H7" s="372"/>
      <c r="I7" s="372"/>
      <c r="J7" s="373"/>
      <c r="K7" s="370"/>
    </row>
    <row r="8" spans="2:12" ht="16.2" thickBot="1" x14ac:dyDescent="0.35">
      <c r="B8" s="154"/>
    </row>
    <row r="9" spans="2:12" ht="14.4" x14ac:dyDescent="0.3">
      <c r="B9" s="374" t="s">
        <v>29</v>
      </c>
      <c r="C9" s="375"/>
      <c r="D9" s="375"/>
      <c r="E9" s="375"/>
      <c r="F9" s="375"/>
      <c r="G9" s="375"/>
      <c r="H9" s="375"/>
      <c r="I9" s="375"/>
      <c r="J9" s="375"/>
      <c r="K9" s="376"/>
    </row>
    <row r="10" spans="2:12" ht="15" thickBot="1" x14ac:dyDescent="0.35">
      <c r="B10" s="377"/>
      <c r="C10" s="378"/>
      <c r="D10" s="378"/>
      <c r="E10" s="378"/>
      <c r="F10" s="378"/>
      <c r="G10" s="378"/>
      <c r="H10" s="378"/>
      <c r="I10" s="378"/>
      <c r="J10" s="378"/>
      <c r="K10" s="379"/>
    </row>
    <row r="11" spans="2:12" ht="16.2" thickBot="1" x14ac:dyDescent="0.35"/>
    <row r="12" spans="2:12" ht="16.2" thickBot="1" x14ac:dyDescent="0.35">
      <c r="B12" s="155">
        <v>1</v>
      </c>
      <c r="C12" s="351" t="s">
        <v>30</v>
      </c>
      <c r="D12" s="352"/>
      <c r="E12" s="352"/>
      <c r="F12" s="352"/>
      <c r="G12" s="353"/>
      <c r="H12" s="154"/>
      <c r="I12" s="380">
        <f>CATALOGO!G161/1.4</f>
        <v>538035</v>
      </c>
      <c r="J12" s="381"/>
      <c r="K12" s="156" t="s">
        <v>39</v>
      </c>
    </row>
    <row r="13" spans="2:12" ht="16.2" thickBot="1" x14ac:dyDescent="0.35">
      <c r="B13" s="157"/>
      <c r="I13" s="239"/>
      <c r="J13" s="239"/>
    </row>
    <row r="14" spans="2:12" ht="16.2" thickBot="1" x14ac:dyDescent="0.35">
      <c r="B14" s="155">
        <v>2</v>
      </c>
      <c r="C14" s="351" t="s">
        <v>31</v>
      </c>
      <c r="D14" s="352"/>
      <c r="E14" s="352"/>
      <c r="F14" s="352"/>
      <c r="G14" s="353"/>
      <c r="H14" s="154"/>
      <c r="I14" s="354">
        <f>I12*L14</f>
        <v>26901.75</v>
      </c>
      <c r="J14" s="355"/>
      <c r="L14" s="55">
        <v>0.05</v>
      </c>
    </row>
    <row r="15" spans="2:12" ht="16.2" thickBot="1" x14ac:dyDescent="0.35">
      <c r="B15" s="157"/>
      <c r="I15" s="158"/>
      <c r="J15" s="158"/>
      <c r="L15" s="55"/>
    </row>
    <row r="16" spans="2:12" ht="16.2" thickBot="1" x14ac:dyDescent="0.35">
      <c r="B16" s="155">
        <v>3</v>
      </c>
      <c r="C16" s="351" t="s">
        <v>33</v>
      </c>
      <c r="D16" s="352"/>
      <c r="E16" s="352"/>
      <c r="F16" s="352"/>
      <c r="G16" s="353"/>
      <c r="H16" s="154"/>
      <c r="I16" s="354">
        <f>I12*L16</f>
        <v>26901.75</v>
      </c>
      <c r="J16" s="355"/>
      <c r="L16" s="55">
        <v>0.05</v>
      </c>
    </row>
    <row r="17" spans="2:13" ht="16.2" thickBot="1" x14ac:dyDescent="0.35">
      <c r="B17" s="157"/>
      <c r="I17" s="158"/>
      <c r="J17" s="158"/>
      <c r="L17" s="55"/>
    </row>
    <row r="18" spans="2:13" ht="16.2" thickBot="1" x14ac:dyDescent="0.35">
      <c r="B18" s="155">
        <v>4</v>
      </c>
      <c r="C18" s="351" t="s">
        <v>32</v>
      </c>
      <c r="D18" s="352"/>
      <c r="E18" s="352"/>
      <c r="F18" s="352"/>
      <c r="G18" s="353"/>
      <c r="H18" s="154"/>
      <c r="I18" s="354">
        <f>I12*L18</f>
        <v>26901.75</v>
      </c>
      <c r="J18" s="355"/>
      <c r="L18" s="55">
        <v>0.05</v>
      </c>
    </row>
    <row r="19" spans="2:13" ht="16.2" thickBot="1" x14ac:dyDescent="0.35">
      <c r="B19" s="157"/>
      <c r="I19" s="158"/>
      <c r="J19" s="158"/>
      <c r="L19" s="55"/>
    </row>
    <row r="20" spans="2:13" ht="16.2" thickBot="1" x14ac:dyDescent="0.35">
      <c r="B20" s="155">
        <v>5</v>
      </c>
      <c r="C20" s="351" t="s">
        <v>34</v>
      </c>
      <c r="D20" s="352"/>
      <c r="E20" s="352"/>
      <c r="F20" s="352"/>
      <c r="G20" s="353"/>
      <c r="H20" s="154"/>
      <c r="I20" s="354">
        <f>I12*L20</f>
        <v>53803.5</v>
      </c>
      <c r="J20" s="355"/>
      <c r="L20" s="55">
        <v>0.1</v>
      </c>
    </row>
    <row r="21" spans="2:13" ht="16.2" thickBot="1" x14ac:dyDescent="0.35">
      <c r="B21" s="157"/>
      <c r="I21" s="158"/>
      <c r="J21" s="158"/>
      <c r="L21" s="55"/>
    </row>
    <row r="22" spans="2:13" ht="16.2" thickBot="1" x14ac:dyDescent="0.35">
      <c r="B22" s="155">
        <v>6</v>
      </c>
      <c r="C22" s="351" t="s">
        <v>35</v>
      </c>
      <c r="D22" s="352"/>
      <c r="E22" s="352"/>
      <c r="F22" s="352"/>
      <c r="G22" s="353"/>
      <c r="H22" s="154"/>
      <c r="I22" s="354">
        <f>I12*L22</f>
        <v>64564.2</v>
      </c>
      <c r="J22" s="355"/>
      <c r="L22" s="55">
        <v>0.12</v>
      </c>
    </row>
    <row r="23" spans="2:13" ht="16.2" thickBot="1" x14ac:dyDescent="0.35">
      <c r="B23" s="157"/>
      <c r="I23" s="158"/>
      <c r="J23" s="158"/>
      <c r="L23" s="55"/>
    </row>
    <row r="24" spans="2:13" ht="16.2" thickBot="1" x14ac:dyDescent="0.35">
      <c r="B24" s="155">
        <v>7</v>
      </c>
      <c r="C24" s="351" t="s">
        <v>361</v>
      </c>
      <c r="D24" s="352"/>
      <c r="E24" s="352"/>
      <c r="F24" s="352"/>
      <c r="G24" s="353"/>
      <c r="H24" s="154"/>
      <c r="I24" s="354">
        <f>I12*L24</f>
        <v>16141.05</v>
      </c>
      <c r="J24" s="355"/>
      <c r="L24" s="55">
        <v>0.03</v>
      </c>
    </row>
    <row r="25" spans="2:13" ht="16.2" thickBot="1" x14ac:dyDescent="0.35">
      <c r="I25" s="158"/>
      <c r="J25" s="158"/>
      <c r="L25" s="5"/>
      <c r="M25" s="5"/>
    </row>
    <row r="26" spans="2:13" ht="16.2" thickBot="1" x14ac:dyDescent="0.35">
      <c r="B26" s="157"/>
      <c r="C26" s="351" t="s">
        <v>375</v>
      </c>
      <c r="D26" s="352"/>
      <c r="E26" s="352"/>
      <c r="F26" s="352"/>
      <c r="G26" s="353"/>
      <c r="H26" s="154"/>
      <c r="I26" s="354">
        <f>+I14+I16+I18+I20+I22+I24</f>
        <v>215214</v>
      </c>
      <c r="J26" s="355"/>
      <c r="K26" s="156" t="s">
        <v>40</v>
      </c>
      <c r="L26" s="59">
        <f>SUM(L14:L24)</f>
        <v>0.4</v>
      </c>
      <c r="M26" s="5"/>
    </row>
    <row r="27" spans="2:13" ht="16.2" thickBot="1" x14ac:dyDescent="0.35">
      <c r="I27" s="158"/>
      <c r="J27" s="158"/>
    </row>
    <row r="28" spans="2:13" x14ac:dyDescent="0.3">
      <c r="C28" s="388" t="s">
        <v>41</v>
      </c>
      <c r="D28" s="389"/>
      <c r="E28" s="389"/>
      <c r="F28" s="389"/>
      <c r="G28" s="390"/>
      <c r="H28" s="154"/>
      <c r="I28" s="391">
        <f>+I12+I26</f>
        <v>753249</v>
      </c>
      <c r="J28" s="392"/>
    </row>
    <row r="29" spans="2:13" ht="16.2" thickBot="1" x14ac:dyDescent="0.35">
      <c r="C29" s="395" t="s">
        <v>36</v>
      </c>
      <c r="D29" s="396"/>
      <c r="E29" s="396"/>
      <c r="F29" s="396"/>
      <c r="G29" s="397"/>
      <c r="H29" s="154"/>
      <c r="I29" s="393"/>
      <c r="J29" s="394"/>
    </row>
    <row r="30" spans="2:13" x14ac:dyDescent="0.3">
      <c r="I30" s="78"/>
    </row>
    <row r="32" spans="2:13" ht="16.2" thickBot="1" x14ac:dyDescent="0.35"/>
    <row r="33" spans="2:12" ht="16.2" thickBot="1" x14ac:dyDescent="0.35">
      <c r="B33" s="159"/>
      <c r="C33" s="160"/>
      <c r="D33" s="160"/>
      <c r="E33" s="382" t="s">
        <v>42</v>
      </c>
      <c r="F33" s="384">
        <f>+I28</f>
        <v>753249</v>
      </c>
      <c r="G33" s="384"/>
      <c r="H33" s="160"/>
      <c r="I33" s="385">
        <f>+F33/F34</f>
        <v>1.4</v>
      </c>
      <c r="J33" s="160"/>
      <c r="K33" s="161"/>
    </row>
    <row r="34" spans="2:12" ht="16.8" thickTop="1" thickBot="1" x14ac:dyDescent="0.35">
      <c r="B34" s="162"/>
      <c r="C34" s="163"/>
      <c r="D34" s="163"/>
      <c r="E34" s="383"/>
      <c r="F34" s="387">
        <f>+I12</f>
        <v>538035</v>
      </c>
      <c r="G34" s="387"/>
      <c r="H34" s="163"/>
      <c r="I34" s="386"/>
      <c r="J34" s="163"/>
      <c r="K34" s="164"/>
      <c r="L34" s="5"/>
    </row>
  </sheetData>
  <mergeCells count="31">
    <mergeCell ref="E33:E34"/>
    <mergeCell ref="F33:G33"/>
    <mergeCell ref="I33:I34"/>
    <mergeCell ref="F34:G34"/>
    <mergeCell ref="C24:G24"/>
    <mergeCell ref="I24:J24"/>
    <mergeCell ref="C26:G26"/>
    <mergeCell ref="I26:J26"/>
    <mergeCell ref="C28:G28"/>
    <mergeCell ref="I28:J29"/>
    <mergeCell ref="C29:G29"/>
    <mergeCell ref="C18:G18"/>
    <mergeCell ref="I18:J18"/>
    <mergeCell ref="C20:G20"/>
    <mergeCell ref="I20:J20"/>
    <mergeCell ref="C22:G22"/>
    <mergeCell ref="I22:J22"/>
    <mergeCell ref="C16:G16"/>
    <mergeCell ref="I16:J16"/>
    <mergeCell ref="B2:C7"/>
    <mergeCell ref="E2:K2"/>
    <mergeCell ref="E4:J4"/>
    <mergeCell ref="E5:J5"/>
    <mergeCell ref="K5:K7"/>
    <mergeCell ref="E7:J7"/>
    <mergeCell ref="B9:K10"/>
    <mergeCell ref="C12:G12"/>
    <mergeCell ref="I12:J12"/>
    <mergeCell ref="C14:G14"/>
    <mergeCell ref="I14:J14"/>
    <mergeCell ref="E6:J6"/>
  </mergeCells>
  <printOptions horizontalCentered="1" verticalCentered="1"/>
  <pageMargins left="0.59055118110236227" right="0.39370078740157483" top="0.39370078740157483" bottom="0.39370078740157483" header="0.31496062992125984" footer="0.31496062992125984"/>
  <pageSetup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Y94"/>
  <sheetViews>
    <sheetView showGridLines="0" view="pageBreakPreview" topLeftCell="A69" zoomScale="70" zoomScaleNormal="100" zoomScaleSheetLayoutView="70" workbookViewId="0">
      <selection activeCell="I97" sqref="I97"/>
    </sheetView>
  </sheetViews>
  <sheetFormatPr baseColWidth="10" defaultColWidth="11.44140625" defaultRowHeight="15.6" x14ac:dyDescent="0.3"/>
  <cols>
    <col min="1" max="1" width="11.44140625" style="2"/>
    <col min="2" max="2" width="19.21875" style="174" customWidth="1"/>
    <col min="3" max="3" width="58.6640625" style="170" customWidth="1"/>
    <col min="4" max="4" width="5.5546875" style="176" customWidth="1"/>
    <col min="5" max="16" width="8.6640625" style="169" customWidth="1"/>
    <col min="17" max="17" width="29" style="169" customWidth="1"/>
    <col min="18" max="19" width="8.6640625" style="169" customWidth="1"/>
    <col min="20" max="20" width="9.88671875" style="169" customWidth="1"/>
    <col min="21" max="24" width="8.6640625" style="169" customWidth="1"/>
    <col min="25" max="25" width="21.5546875" style="170" customWidth="1"/>
    <col min="26" max="26" width="22.6640625" style="2" customWidth="1"/>
    <col min="27" max="27" width="41.109375" style="2" customWidth="1"/>
    <col min="28" max="16384" width="11.44140625" style="2"/>
  </cols>
  <sheetData>
    <row r="1" spans="2:25" x14ac:dyDescent="0.3">
      <c r="B1" s="165"/>
      <c r="C1" s="166"/>
      <c r="D1" s="167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5"/>
    </row>
    <row r="2" spans="2:25" s="3" customFormat="1" ht="18.600000000000001" customHeight="1" x14ac:dyDescent="0.35">
      <c r="B2" s="437" t="s">
        <v>364</v>
      </c>
      <c r="C2" s="437"/>
      <c r="D2" s="437"/>
      <c r="E2" s="276"/>
      <c r="F2" s="276"/>
      <c r="G2" s="276"/>
      <c r="H2" s="276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70"/>
    </row>
    <row r="3" spans="2:25" s="3" customFormat="1" ht="18.75" customHeight="1" x14ac:dyDescent="0.35">
      <c r="B3" s="437" t="s">
        <v>362</v>
      </c>
      <c r="C3" s="437"/>
      <c r="D3" s="437"/>
      <c r="E3" s="276"/>
      <c r="F3" s="276"/>
      <c r="G3" s="276"/>
      <c r="H3" s="276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70"/>
    </row>
    <row r="4" spans="2:25" s="3" customFormat="1" ht="18.75" customHeight="1" x14ac:dyDescent="0.35">
      <c r="B4" s="437" t="s">
        <v>410</v>
      </c>
      <c r="C4" s="437"/>
      <c r="D4" s="437"/>
      <c r="E4" s="276"/>
      <c r="F4" s="276"/>
      <c r="G4" s="276"/>
      <c r="H4" s="276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70"/>
    </row>
    <row r="5" spans="2:25" s="3" customFormat="1" ht="18" customHeight="1" x14ac:dyDescent="0.35">
      <c r="B5" s="437" t="s">
        <v>365</v>
      </c>
      <c r="C5" s="437"/>
      <c r="D5" s="437"/>
      <c r="E5" s="276"/>
      <c r="F5" s="276"/>
      <c r="G5" s="276"/>
      <c r="H5" s="276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70"/>
    </row>
    <row r="6" spans="2:25" s="3" customFormat="1" ht="18" x14ac:dyDescent="0.35">
      <c r="B6" s="276"/>
      <c r="C6" s="171"/>
      <c r="D6" s="172"/>
      <c r="E6" s="173"/>
      <c r="F6" s="173"/>
      <c r="G6" s="173"/>
      <c r="H6" s="173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70"/>
    </row>
    <row r="7" spans="2:25" s="3" customFormat="1" ht="76.8" customHeight="1" x14ac:dyDescent="0.35">
      <c r="B7" s="275" t="s">
        <v>38</v>
      </c>
      <c r="C7" s="400" t="s">
        <v>641</v>
      </c>
      <c r="D7" s="400"/>
      <c r="E7" s="399" t="s">
        <v>37</v>
      </c>
      <c r="F7" s="399"/>
      <c r="G7" s="398" t="s">
        <v>605</v>
      </c>
      <c r="H7" s="398"/>
      <c r="I7" s="398"/>
      <c r="J7" s="398"/>
      <c r="K7" s="398"/>
      <c r="M7" s="278"/>
      <c r="N7" s="438" t="s">
        <v>366</v>
      </c>
      <c r="O7" s="438"/>
      <c r="P7" s="425" t="str">
        <f>CATALOGO!B2</f>
        <v>EVENTO No. UCEE-14-2022</v>
      </c>
      <c r="Q7" s="425"/>
      <c r="R7" s="280"/>
      <c r="S7" s="280"/>
    </row>
    <row r="8" spans="2:25" s="3" customFormat="1" ht="18" x14ac:dyDescent="0.35">
      <c r="B8" s="175"/>
      <c r="C8" s="170"/>
      <c r="D8" s="178"/>
      <c r="E8" s="169"/>
      <c r="F8" s="169"/>
      <c r="G8" s="169"/>
      <c r="H8" s="169"/>
      <c r="I8" s="169"/>
      <c r="J8" s="179"/>
      <c r="K8" s="435"/>
      <c r="L8" s="435"/>
      <c r="M8" s="180"/>
      <c r="N8" s="279"/>
      <c r="O8" s="279"/>
      <c r="P8" s="180"/>
      <c r="Q8" s="181"/>
      <c r="R8" s="181"/>
      <c r="S8" s="170"/>
    </row>
    <row r="9" spans="2:25" s="3" customFormat="1" ht="18.75" customHeight="1" x14ac:dyDescent="0.35">
      <c r="B9" s="436" t="s">
        <v>636</v>
      </c>
      <c r="C9" s="436"/>
      <c r="E9" s="400" t="s">
        <v>642</v>
      </c>
      <c r="F9" s="400"/>
      <c r="G9" s="400"/>
      <c r="H9" s="400"/>
      <c r="I9" s="400"/>
      <c r="J9" s="400"/>
      <c r="K9" s="400"/>
      <c r="L9" s="400"/>
      <c r="M9" s="277"/>
      <c r="N9" s="439" t="s">
        <v>363</v>
      </c>
      <c r="O9" s="439"/>
      <c r="P9" s="426">
        <f>UNITARIOS!K5</f>
        <v>44761</v>
      </c>
      <c r="Q9" s="426"/>
      <c r="R9" s="281"/>
      <c r="S9" s="281"/>
    </row>
    <row r="10" spans="2:25" s="3" customFormat="1" ht="18.75" customHeight="1" thickBot="1" x14ac:dyDescent="0.4">
      <c r="B10" s="177"/>
      <c r="C10" s="182"/>
      <c r="D10" s="187"/>
      <c r="E10" s="183"/>
      <c r="F10" s="183"/>
      <c r="G10" s="183"/>
      <c r="H10" s="183"/>
      <c r="I10" s="183"/>
      <c r="J10" s="183"/>
      <c r="K10" s="183"/>
      <c r="L10" s="183"/>
      <c r="M10" s="183"/>
      <c r="N10" s="214"/>
      <c r="O10" s="214"/>
      <c r="P10" s="183"/>
      <c r="Q10" s="214"/>
      <c r="R10" s="282"/>
      <c r="S10" s="283"/>
    </row>
    <row r="11" spans="2:25" ht="17.25" customHeight="1" thickBot="1" x14ac:dyDescent="0.35">
      <c r="B11" s="427" t="s">
        <v>44</v>
      </c>
      <c r="C11" s="433" t="s">
        <v>26</v>
      </c>
      <c r="D11" s="431"/>
      <c r="E11" s="409" t="s">
        <v>27</v>
      </c>
      <c r="F11" s="410"/>
      <c r="G11" s="410"/>
      <c r="H11" s="410"/>
      <c r="I11" s="410"/>
      <c r="J11" s="410"/>
      <c r="K11" s="410"/>
      <c r="L11" s="410"/>
      <c r="M11" s="410"/>
      <c r="N11" s="410"/>
      <c r="O11" s="410"/>
      <c r="P11" s="410"/>
      <c r="Q11" s="429" t="s">
        <v>28</v>
      </c>
      <c r="R11" s="2"/>
      <c r="S11" s="2"/>
      <c r="T11" s="2"/>
      <c r="U11" s="2"/>
      <c r="V11" s="2"/>
      <c r="W11" s="2"/>
      <c r="X11" s="2"/>
      <c r="Y11" s="2"/>
    </row>
    <row r="12" spans="2:25" ht="17.25" customHeight="1" thickBot="1" x14ac:dyDescent="0.35">
      <c r="B12" s="428"/>
      <c r="C12" s="434"/>
      <c r="D12" s="432"/>
      <c r="E12" s="411">
        <v>1</v>
      </c>
      <c r="F12" s="412"/>
      <c r="G12" s="412"/>
      <c r="H12" s="413"/>
      <c r="I12" s="411">
        <v>2</v>
      </c>
      <c r="J12" s="412"/>
      <c r="K12" s="412"/>
      <c r="L12" s="413"/>
      <c r="M12" s="411">
        <v>3</v>
      </c>
      <c r="N12" s="412"/>
      <c r="O12" s="412"/>
      <c r="P12" s="413"/>
      <c r="Q12" s="430"/>
      <c r="R12" s="2"/>
      <c r="S12" s="2"/>
      <c r="T12" s="2"/>
      <c r="U12" s="2"/>
      <c r="V12" s="2"/>
      <c r="W12" s="2"/>
      <c r="X12" s="2"/>
      <c r="Y12" s="2"/>
    </row>
    <row r="13" spans="2:25" x14ac:dyDescent="0.3">
      <c r="B13" s="271"/>
      <c r="C13" s="272" t="str">
        <f>CATALOGO!C10</f>
        <v>COCINA</v>
      </c>
      <c r="D13" s="273"/>
      <c r="E13" s="274"/>
      <c r="F13" s="254"/>
      <c r="G13" s="254"/>
      <c r="H13" s="256"/>
      <c r="I13" s="253"/>
      <c r="J13" s="254"/>
      <c r="K13" s="254"/>
      <c r="L13" s="255"/>
      <c r="M13" s="253"/>
      <c r="N13" s="254"/>
      <c r="O13" s="254"/>
      <c r="P13" s="255"/>
      <c r="Q13" s="257"/>
      <c r="R13" s="2"/>
      <c r="S13" s="2"/>
      <c r="T13" s="2"/>
      <c r="U13" s="2"/>
      <c r="V13" s="2"/>
      <c r="W13" s="2"/>
      <c r="X13" s="2"/>
      <c r="Y13" s="2"/>
    </row>
    <row r="14" spans="2:25" ht="17.25" customHeight="1" x14ac:dyDescent="0.3">
      <c r="B14" s="414" t="s">
        <v>606</v>
      </c>
      <c r="C14" s="416" t="s">
        <v>607</v>
      </c>
      <c r="D14" s="215" t="s">
        <v>608</v>
      </c>
      <c r="E14" s="405">
        <f>E15/Q14</f>
        <v>1</v>
      </c>
      <c r="F14" s="406"/>
      <c r="G14" s="184"/>
      <c r="H14" s="185"/>
      <c r="I14" s="186"/>
      <c r="J14" s="184"/>
      <c r="K14" s="184"/>
      <c r="L14" s="188"/>
      <c r="M14" s="186"/>
      <c r="N14" s="184"/>
      <c r="O14" s="184"/>
      <c r="P14" s="188"/>
      <c r="Q14" s="418">
        <f>CATALOGO!H17</f>
        <v>15459.71</v>
      </c>
      <c r="R14" s="242"/>
      <c r="S14" s="2"/>
      <c r="T14" s="2"/>
      <c r="U14" s="2"/>
      <c r="V14" s="2"/>
      <c r="W14" s="2"/>
      <c r="X14" s="2"/>
      <c r="Y14" s="2"/>
    </row>
    <row r="15" spans="2:25" ht="17.25" customHeight="1" x14ac:dyDescent="0.3">
      <c r="B15" s="420"/>
      <c r="C15" s="421"/>
      <c r="D15" s="215" t="s">
        <v>609</v>
      </c>
      <c r="E15" s="407">
        <f>Q14</f>
        <v>15459.71</v>
      </c>
      <c r="F15" s="408"/>
      <c r="G15" s="184"/>
      <c r="H15" s="185"/>
      <c r="I15" s="186"/>
      <c r="J15" s="184"/>
      <c r="K15" s="184"/>
      <c r="L15" s="188"/>
      <c r="M15" s="186"/>
      <c r="N15" s="184"/>
      <c r="O15" s="184"/>
      <c r="P15" s="188"/>
      <c r="Q15" s="422"/>
      <c r="R15" s="242"/>
      <c r="S15" s="2"/>
      <c r="T15" s="2"/>
      <c r="U15" s="2"/>
      <c r="V15" s="2"/>
      <c r="W15" s="2"/>
      <c r="X15" s="2"/>
      <c r="Y15" s="2"/>
    </row>
    <row r="16" spans="2:25" ht="17.25" customHeight="1" x14ac:dyDescent="0.3">
      <c r="B16" s="414" t="s">
        <v>610</v>
      </c>
      <c r="C16" s="416" t="s">
        <v>611</v>
      </c>
      <c r="D16" s="215" t="s">
        <v>608</v>
      </c>
      <c r="E16" s="405">
        <f>E17/Q16</f>
        <v>1</v>
      </c>
      <c r="F16" s="406"/>
      <c r="G16" s="184"/>
      <c r="H16" s="185"/>
      <c r="I16" s="186"/>
      <c r="J16" s="184"/>
      <c r="K16" s="184"/>
      <c r="L16" s="188"/>
      <c r="M16" s="186"/>
      <c r="N16" s="184"/>
      <c r="O16" s="184"/>
      <c r="P16" s="188"/>
      <c r="Q16" s="418">
        <f>CATALOGO!H23</f>
        <v>26235.719999999998</v>
      </c>
      <c r="R16" s="242"/>
      <c r="S16" s="2"/>
      <c r="T16" s="2"/>
      <c r="U16" s="2"/>
      <c r="V16" s="2"/>
      <c r="W16" s="2"/>
      <c r="X16" s="2"/>
      <c r="Y16" s="2"/>
    </row>
    <row r="17" spans="2:18" s="2" customFormat="1" ht="17.25" customHeight="1" x14ac:dyDescent="0.3">
      <c r="B17" s="420"/>
      <c r="C17" s="421"/>
      <c r="D17" s="215" t="s">
        <v>609</v>
      </c>
      <c r="E17" s="407">
        <f>Q16</f>
        <v>26235.719999999998</v>
      </c>
      <c r="F17" s="408"/>
      <c r="G17" s="184"/>
      <c r="H17" s="185"/>
      <c r="I17" s="186"/>
      <c r="J17" s="184"/>
      <c r="K17" s="184"/>
      <c r="L17" s="188"/>
      <c r="M17" s="186"/>
      <c r="N17" s="184"/>
      <c r="O17" s="184"/>
      <c r="P17" s="188"/>
      <c r="Q17" s="422"/>
      <c r="R17" s="242"/>
    </row>
    <row r="18" spans="2:18" s="2" customFormat="1" ht="17.25" customHeight="1" x14ac:dyDescent="0.3">
      <c r="B18" s="414" t="s">
        <v>612</v>
      </c>
      <c r="C18" s="416" t="s">
        <v>613</v>
      </c>
      <c r="D18" s="215" t="s">
        <v>608</v>
      </c>
      <c r="E18" s="243"/>
      <c r="F18" s="401">
        <f>F19/Q18</f>
        <v>1</v>
      </c>
      <c r="G18" s="406"/>
      <c r="H18" s="185"/>
      <c r="I18" s="186"/>
      <c r="J18" s="184"/>
      <c r="K18" s="184"/>
      <c r="L18" s="188"/>
      <c r="M18" s="186"/>
      <c r="N18" s="184"/>
      <c r="O18" s="184"/>
      <c r="P18" s="188"/>
      <c r="Q18" s="418">
        <f>CATALOGO!H27</f>
        <v>49749</v>
      </c>
      <c r="R18" s="242"/>
    </row>
    <row r="19" spans="2:18" s="2" customFormat="1" ht="17.25" customHeight="1" x14ac:dyDescent="0.3">
      <c r="B19" s="420"/>
      <c r="C19" s="421"/>
      <c r="D19" s="215" t="s">
        <v>609</v>
      </c>
      <c r="E19" s="243"/>
      <c r="F19" s="403">
        <f>Q18</f>
        <v>49749</v>
      </c>
      <c r="G19" s="408"/>
      <c r="H19" s="185"/>
      <c r="I19" s="186"/>
      <c r="J19" s="184"/>
      <c r="K19" s="184"/>
      <c r="L19" s="188"/>
      <c r="M19" s="186"/>
      <c r="N19" s="184"/>
      <c r="O19" s="184"/>
      <c r="P19" s="188"/>
      <c r="Q19" s="422"/>
      <c r="R19" s="242"/>
    </row>
    <row r="20" spans="2:18" s="2" customFormat="1" ht="17.25" customHeight="1" x14ac:dyDescent="0.3">
      <c r="B20" s="414" t="s">
        <v>614</v>
      </c>
      <c r="C20" s="416" t="s">
        <v>615</v>
      </c>
      <c r="D20" s="215" t="s">
        <v>608</v>
      </c>
      <c r="E20" s="186"/>
      <c r="F20" s="401">
        <f>F21/Q20</f>
        <v>1</v>
      </c>
      <c r="G20" s="406"/>
      <c r="H20" s="185"/>
      <c r="I20" s="186"/>
      <c r="J20" s="184"/>
      <c r="K20" s="184"/>
      <c r="L20" s="188"/>
      <c r="M20" s="186"/>
      <c r="N20" s="184"/>
      <c r="O20" s="184"/>
      <c r="P20" s="188"/>
      <c r="Q20" s="418">
        <f>CATALOGO!H39</f>
        <v>100640.46999999999</v>
      </c>
      <c r="R20" s="242"/>
    </row>
    <row r="21" spans="2:18" s="2" customFormat="1" ht="17.25" customHeight="1" x14ac:dyDescent="0.3">
      <c r="B21" s="420"/>
      <c r="C21" s="421"/>
      <c r="D21" s="215" t="s">
        <v>609</v>
      </c>
      <c r="E21" s="186"/>
      <c r="F21" s="403">
        <f>Q20</f>
        <v>100640.46999999999</v>
      </c>
      <c r="G21" s="408"/>
      <c r="H21" s="185"/>
      <c r="I21" s="186"/>
      <c r="J21" s="184"/>
      <c r="K21" s="184"/>
      <c r="L21" s="188"/>
      <c r="M21" s="186"/>
      <c r="N21" s="184"/>
      <c r="O21" s="184"/>
      <c r="P21" s="188"/>
      <c r="Q21" s="422"/>
      <c r="R21" s="242"/>
    </row>
    <row r="22" spans="2:18" s="2" customFormat="1" ht="17.25" customHeight="1" x14ac:dyDescent="0.3">
      <c r="B22" s="414" t="s">
        <v>616</v>
      </c>
      <c r="C22" s="416" t="s">
        <v>617</v>
      </c>
      <c r="D22" s="215" t="s">
        <v>608</v>
      </c>
      <c r="E22" s="186"/>
      <c r="F22" s="184"/>
      <c r="G22" s="401">
        <f>G23/Q22</f>
        <v>1</v>
      </c>
      <c r="H22" s="402"/>
      <c r="I22" s="186"/>
      <c r="J22" s="184"/>
      <c r="K22" s="184"/>
      <c r="L22" s="188"/>
      <c r="M22" s="186"/>
      <c r="N22" s="184"/>
      <c r="O22" s="184"/>
      <c r="P22" s="188"/>
      <c r="Q22" s="418">
        <f>CATALOGO!H43</f>
        <v>5572</v>
      </c>
      <c r="R22" s="242"/>
    </row>
    <row r="23" spans="2:18" s="2" customFormat="1" ht="17.25" customHeight="1" x14ac:dyDescent="0.3">
      <c r="B23" s="420"/>
      <c r="C23" s="421"/>
      <c r="D23" s="215" t="s">
        <v>609</v>
      </c>
      <c r="E23" s="186"/>
      <c r="F23" s="184"/>
      <c r="G23" s="403">
        <f>Q22</f>
        <v>5572</v>
      </c>
      <c r="H23" s="404"/>
      <c r="I23" s="186"/>
      <c r="J23" s="184"/>
      <c r="K23" s="184"/>
      <c r="L23" s="188"/>
      <c r="M23" s="186"/>
      <c r="N23" s="184"/>
      <c r="O23" s="184"/>
      <c r="P23" s="188"/>
      <c r="Q23" s="422"/>
      <c r="R23" s="242"/>
    </row>
    <row r="24" spans="2:18" s="2" customFormat="1" ht="17.25" customHeight="1" x14ac:dyDescent="0.3">
      <c r="B24" s="414" t="s">
        <v>618</v>
      </c>
      <c r="C24" s="416" t="s">
        <v>619</v>
      </c>
      <c r="D24" s="215" t="s">
        <v>608</v>
      </c>
      <c r="E24" s="186"/>
      <c r="F24" s="184"/>
      <c r="G24" s="184"/>
      <c r="H24" s="185"/>
      <c r="I24" s="405">
        <f>I25/Q24</f>
        <v>1</v>
      </c>
      <c r="J24" s="406"/>
      <c r="K24" s="184"/>
      <c r="L24" s="188"/>
      <c r="M24" s="186"/>
      <c r="N24" s="184"/>
      <c r="O24" s="184"/>
      <c r="P24" s="188"/>
      <c r="Q24" s="418">
        <f>CATALOGO!H52</f>
        <v>95412.729999999981</v>
      </c>
      <c r="R24" s="242"/>
    </row>
    <row r="25" spans="2:18" s="2" customFormat="1" ht="17.25" customHeight="1" x14ac:dyDescent="0.3">
      <c r="B25" s="420"/>
      <c r="C25" s="421"/>
      <c r="D25" s="215" t="s">
        <v>609</v>
      </c>
      <c r="E25" s="186"/>
      <c r="F25" s="184"/>
      <c r="G25" s="184"/>
      <c r="H25" s="185"/>
      <c r="I25" s="407">
        <f>Q24</f>
        <v>95412.729999999981</v>
      </c>
      <c r="J25" s="408"/>
      <c r="K25" s="184"/>
      <c r="L25" s="188"/>
      <c r="M25" s="186"/>
      <c r="N25" s="184"/>
      <c r="O25" s="184"/>
      <c r="P25" s="188"/>
      <c r="Q25" s="422"/>
      <c r="R25" s="242"/>
    </row>
    <row r="26" spans="2:18" s="2" customFormat="1" ht="17.25" customHeight="1" x14ac:dyDescent="0.3">
      <c r="B26" s="414" t="s">
        <v>620</v>
      </c>
      <c r="C26" s="416" t="s">
        <v>621</v>
      </c>
      <c r="D26" s="215" t="s">
        <v>608</v>
      </c>
      <c r="E26" s="186"/>
      <c r="F26" s="184"/>
      <c r="G26" s="184"/>
      <c r="H26" s="185"/>
      <c r="I26" s="405">
        <f>I27/Q26</f>
        <v>1</v>
      </c>
      <c r="J26" s="406"/>
      <c r="K26" s="184"/>
      <c r="L26" s="188"/>
      <c r="M26" s="186"/>
      <c r="N26" s="184"/>
      <c r="O26" s="184"/>
      <c r="P26" s="188"/>
      <c r="Q26" s="418">
        <f>CATALOGO!H54</f>
        <v>8148</v>
      </c>
      <c r="R26" s="242"/>
    </row>
    <row r="27" spans="2:18" s="2" customFormat="1" ht="17.25" customHeight="1" x14ac:dyDescent="0.3">
      <c r="B27" s="420"/>
      <c r="C27" s="421"/>
      <c r="D27" s="215" t="s">
        <v>609</v>
      </c>
      <c r="E27" s="186"/>
      <c r="F27" s="184"/>
      <c r="G27" s="184"/>
      <c r="H27" s="185"/>
      <c r="I27" s="407">
        <f>Q26</f>
        <v>8148</v>
      </c>
      <c r="J27" s="408"/>
      <c r="K27" s="184"/>
      <c r="L27" s="188"/>
      <c r="M27" s="186"/>
      <c r="N27" s="184"/>
      <c r="O27" s="184"/>
      <c r="P27" s="188"/>
      <c r="Q27" s="422"/>
      <c r="R27" s="242"/>
    </row>
    <row r="28" spans="2:18" s="2" customFormat="1" ht="17.25" customHeight="1" x14ac:dyDescent="0.3">
      <c r="B28" s="414" t="s">
        <v>622</v>
      </c>
      <c r="C28" s="416" t="s">
        <v>623</v>
      </c>
      <c r="D28" s="215" t="s">
        <v>608</v>
      </c>
      <c r="E28" s="186"/>
      <c r="F28" s="184"/>
      <c r="G28" s="184"/>
      <c r="H28" s="185"/>
      <c r="I28" s="405">
        <f>I29/Q28</f>
        <v>1</v>
      </c>
      <c r="J28" s="406"/>
      <c r="K28" s="184"/>
      <c r="L28" s="188"/>
      <c r="M28" s="186"/>
      <c r="N28" s="184"/>
      <c r="O28" s="184"/>
      <c r="P28" s="188"/>
      <c r="Q28" s="418">
        <f>CATALOGO!H56</f>
        <v>15217.999999999998</v>
      </c>
      <c r="R28" s="242"/>
    </row>
    <row r="29" spans="2:18" s="2" customFormat="1" ht="17.25" customHeight="1" x14ac:dyDescent="0.3">
      <c r="B29" s="420"/>
      <c r="C29" s="421"/>
      <c r="D29" s="215" t="s">
        <v>609</v>
      </c>
      <c r="E29" s="186"/>
      <c r="F29" s="184"/>
      <c r="G29" s="184"/>
      <c r="H29" s="185"/>
      <c r="I29" s="407">
        <f>Q28</f>
        <v>15217.999999999998</v>
      </c>
      <c r="J29" s="408"/>
      <c r="K29" s="184"/>
      <c r="L29" s="188"/>
      <c r="M29" s="186"/>
      <c r="N29" s="184"/>
      <c r="O29" s="184"/>
      <c r="P29" s="188"/>
      <c r="Q29" s="422"/>
      <c r="R29" s="242"/>
    </row>
    <row r="30" spans="2:18" s="2" customFormat="1" ht="17.25" customHeight="1" x14ac:dyDescent="0.3">
      <c r="B30" s="414" t="s">
        <v>624</v>
      </c>
      <c r="C30" s="416" t="s">
        <v>625</v>
      </c>
      <c r="D30" s="215" t="s">
        <v>608</v>
      </c>
      <c r="E30" s="186"/>
      <c r="F30" s="184"/>
      <c r="G30" s="184"/>
      <c r="H30" s="185"/>
      <c r="I30" s="186"/>
      <c r="J30" s="401">
        <f>J31/Q30</f>
        <v>1</v>
      </c>
      <c r="K30" s="406"/>
      <c r="L30" s="188"/>
      <c r="M30" s="186"/>
      <c r="N30" s="184"/>
      <c r="O30" s="184"/>
      <c r="P30" s="188"/>
      <c r="Q30" s="418">
        <f>CATALOGO!H66</f>
        <v>9550.7999999999993</v>
      </c>
      <c r="R30" s="242"/>
    </row>
    <row r="31" spans="2:18" s="2" customFormat="1" ht="17.25" customHeight="1" x14ac:dyDescent="0.3">
      <c r="B31" s="420"/>
      <c r="C31" s="421"/>
      <c r="D31" s="215" t="s">
        <v>609</v>
      </c>
      <c r="E31" s="186"/>
      <c r="F31" s="184"/>
      <c r="G31" s="184"/>
      <c r="H31" s="185"/>
      <c r="I31" s="186"/>
      <c r="J31" s="403">
        <f>Q30</f>
        <v>9550.7999999999993</v>
      </c>
      <c r="K31" s="408"/>
      <c r="L31" s="188"/>
      <c r="M31" s="186"/>
      <c r="N31" s="184"/>
      <c r="O31" s="184"/>
      <c r="P31" s="188"/>
      <c r="Q31" s="422"/>
      <c r="R31" s="242"/>
    </row>
    <row r="32" spans="2:18" s="2" customFormat="1" ht="17.25" customHeight="1" x14ac:dyDescent="0.3">
      <c r="B32" s="414" t="s">
        <v>626</v>
      </c>
      <c r="C32" s="416" t="s">
        <v>627</v>
      </c>
      <c r="D32" s="215" t="s">
        <v>608</v>
      </c>
      <c r="E32" s="186"/>
      <c r="F32" s="184"/>
      <c r="G32" s="184"/>
      <c r="H32" s="185"/>
      <c r="I32" s="186"/>
      <c r="J32" s="401">
        <f>J33/Q32</f>
        <v>1</v>
      </c>
      <c r="K32" s="406"/>
      <c r="L32" s="188"/>
      <c r="M32" s="186"/>
      <c r="N32" s="184"/>
      <c r="O32" s="184"/>
      <c r="P32" s="188"/>
      <c r="Q32" s="418">
        <f>CATALOGO!H75</f>
        <v>10150</v>
      </c>
      <c r="R32" s="242"/>
    </row>
    <row r="33" spans="2:19" s="2" customFormat="1" ht="17.25" customHeight="1" x14ac:dyDescent="0.3">
      <c r="B33" s="420"/>
      <c r="C33" s="421"/>
      <c r="D33" s="215" t="s">
        <v>609</v>
      </c>
      <c r="E33" s="186"/>
      <c r="F33" s="184"/>
      <c r="G33" s="184"/>
      <c r="H33" s="185"/>
      <c r="I33" s="186"/>
      <c r="J33" s="403">
        <f>Q32</f>
        <v>10150</v>
      </c>
      <c r="K33" s="408"/>
      <c r="L33" s="188"/>
      <c r="M33" s="186"/>
      <c r="N33" s="184"/>
      <c r="O33" s="184"/>
      <c r="P33" s="188"/>
      <c r="Q33" s="422"/>
      <c r="R33" s="242"/>
    </row>
    <row r="34" spans="2:19" s="2" customFormat="1" ht="17.25" customHeight="1" x14ac:dyDescent="0.3">
      <c r="B34" s="414" t="s">
        <v>628</v>
      </c>
      <c r="C34" s="416" t="s">
        <v>629</v>
      </c>
      <c r="D34" s="215" t="s">
        <v>608</v>
      </c>
      <c r="E34" s="186"/>
      <c r="F34" s="184"/>
      <c r="G34" s="184"/>
      <c r="H34" s="185"/>
      <c r="I34" s="186"/>
      <c r="J34" s="184"/>
      <c r="K34" s="401">
        <f>K35/Q34</f>
        <v>1</v>
      </c>
      <c r="L34" s="402"/>
      <c r="M34" s="186"/>
      <c r="N34" s="184"/>
      <c r="O34" s="184"/>
      <c r="P34" s="188"/>
      <c r="Q34" s="418">
        <f>CATALOGO!H81</f>
        <v>11389</v>
      </c>
      <c r="R34" s="242"/>
    </row>
    <row r="35" spans="2:19" s="2" customFormat="1" ht="17.25" customHeight="1" x14ac:dyDescent="0.3">
      <c r="B35" s="420"/>
      <c r="C35" s="421"/>
      <c r="D35" s="215" t="s">
        <v>609</v>
      </c>
      <c r="E35" s="186"/>
      <c r="F35" s="184"/>
      <c r="G35" s="184"/>
      <c r="H35" s="185"/>
      <c r="I35" s="186"/>
      <c r="J35" s="184"/>
      <c r="K35" s="403">
        <f>Q34</f>
        <v>11389</v>
      </c>
      <c r="L35" s="404"/>
      <c r="M35" s="186"/>
      <c r="N35" s="184"/>
      <c r="O35" s="184"/>
      <c r="P35" s="188"/>
      <c r="Q35" s="422"/>
      <c r="R35" s="242"/>
    </row>
    <row r="36" spans="2:19" s="2" customFormat="1" ht="17.25" customHeight="1" x14ac:dyDescent="0.3">
      <c r="B36" s="414" t="s">
        <v>630</v>
      </c>
      <c r="C36" s="416" t="s">
        <v>631</v>
      </c>
      <c r="D36" s="215" t="s">
        <v>608</v>
      </c>
      <c r="E36" s="186"/>
      <c r="F36" s="184"/>
      <c r="G36" s="184"/>
      <c r="H36" s="185"/>
      <c r="I36" s="186"/>
      <c r="J36" s="184"/>
      <c r="K36" s="401">
        <f>K37/Q36</f>
        <v>1</v>
      </c>
      <c r="L36" s="402"/>
      <c r="M36" s="186"/>
      <c r="N36" s="184"/>
      <c r="O36" s="184"/>
      <c r="P36" s="188"/>
      <c r="Q36" s="418">
        <f>CATALOGO!H85</f>
        <v>6429.57</v>
      </c>
      <c r="R36" s="242"/>
    </row>
    <row r="37" spans="2:19" s="2" customFormat="1" ht="17.25" customHeight="1" x14ac:dyDescent="0.3">
      <c r="B37" s="420"/>
      <c r="C37" s="421"/>
      <c r="D37" s="215" t="s">
        <v>609</v>
      </c>
      <c r="E37" s="186"/>
      <c r="F37" s="184"/>
      <c r="G37" s="184"/>
      <c r="H37" s="185"/>
      <c r="I37" s="186"/>
      <c r="J37" s="184"/>
      <c r="K37" s="403">
        <f>Q36</f>
        <v>6429.57</v>
      </c>
      <c r="L37" s="404"/>
      <c r="M37" s="186"/>
      <c r="N37" s="184"/>
      <c r="O37" s="184"/>
      <c r="P37" s="188"/>
      <c r="Q37" s="422"/>
      <c r="R37" s="242"/>
    </row>
    <row r="38" spans="2:19" s="2" customFormat="1" ht="17.25" customHeight="1" x14ac:dyDescent="0.3">
      <c r="B38" s="414" t="s">
        <v>632</v>
      </c>
      <c r="C38" s="416" t="s">
        <v>633</v>
      </c>
      <c r="D38" s="215" t="s">
        <v>608</v>
      </c>
      <c r="E38" s="186"/>
      <c r="F38" s="184"/>
      <c r="G38" s="184"/>
      <c r="H38" s="185"/>
      <c r="I38" s="186"/>
      <c r="J38" s="184"/>
      <c r="K38" s="184"/>
      <c r="L38" s="188"/>
      <c r="M38" s="405">
        <f>M39/Q38</f>
        <v>1</v>
      </c>
      <c r="N38" s="406"/>
      <c r="O38" s="184"/>
      <c r="P38" s="188"/>
      <c r="Q38" s="418">
        <f>CATALOGO!H88</f>
        <v>12537</v>
      </c>
      <c r="R38" s="242"/>
    </row>
    <row r="39" spans="2:19" s="2" customFormat="1" ht="17.25" customHeight="1" x14ac:dyDescent="0.3">
      <c r="B39" s="420"/>
      <c r="C39" s="421"/>
      <c r="D39" s="215" t="s">
        <v>609</v>
      </c>
      <c r="E39" s="186"/>
      <c r="F39" s="184"/>
      <c r="G39" s="184"/>
      <c r="H39" s="185"/>
      <c r="I39" s="186"/>
      <c r="J39" s="184"/>
      <c r="K39" s="184"/>
      <c r="L39" s="188"/>
      <c r="M39" s="407">
        <f>Q38</f>
        <v>12537</v>
      </c>
      <c r="N39" s="408"/>
      <c r="O39" s="184"/>
      <c r="P39" s="188"/>
      <c r="Q39" s="422"/>
      <c r="R39" s="242"/>
    </row>
    <row r="40" spans="2:19" s="2" customFormat="1" ht="17.25" customHeight="1" x14ac:dyDescent="0.3">
      <c r="B40" s="414" t="s">
        <v>634</v>
      </c>
      <c r="C40" s="416" t="s">
        <v>566</v>
      </c>
      <c r="D40" s="215" t="s">
        <v>608</v>
      </c>
      <c r="E40" s="186"/>
      <c r="F40" s="184"/>
      <c r="G40" s="184"/>
      <c r="H40" s="185"/>
      <c r="I40" s="186"/>
      <c r="J40" s="184"/>
      <c r="K40" s="184"/>
      <c r="L40" s="188"/>
      <c r="M40" s="186"/>
      <c r="N40" s="401">
        <f>N41/Q40</f>
        <v>1</v>
      </c>
      <c r="O40" s="406"/>
      <c r="P40" s="188"/>
      <c r="Q40" s="418">
        <f>CATALOGO!H90</f>
        <v>4508</v>
      </c>
      <c r="R40" s="242"/>
    </row>
    <row r="41" spans="2:19" s="2" customFormat="1" ht="17.25" customHeight="1" x14ac:dyDescent="0.3">
      <c r="B41" s="420"/>
      <c r="C41" s="421"/>
      <c r="D41" s="215" t="s">
        <v>609</v>
      </c>
      <c r="E41" s="186"/>
      <c r="F41" s="184"/>
      <c r="G41" s="184"/>
      <c r="H41" s="185"/>
      <c r="I41" s="186"/>
      <c r="J41" s="184"/>
      <c r="K41" s="184"/>
      <c r="L41" s="188"/>
      <c r="M41" s="186"/>
      <c r="N41" s="403">
        <f>Q40</f>
        <v>4508</v>
      </c>
      <c r="O41" s="408"/>
      <c r="P41" s="188"/>
      <c r="Q41" s="422"/>
      <c r="R41" s="242"/>
    </row>
    <row r="42" spans="2:19" s="2" customFormat="1" x14ac:dyDescent="0.3">
      <c r="B42" s="258"/>
      <c r="C42" s="259" t="s">
        <v>515</v>
      </c>
      <c r="D42" s="260"/>
      <c r="E42" s="261"/>
      <c r="F42" s="262"/>
      <c r="G42" s="263"/>
      <c r="H42" s="264"/>
      <c r="I42" s="265"/>
      <c r="J42" s="263"/>
      <c r="K42" s="263"/>
      <c r="L42" s="266"/>
      <c r="M42" s="265"/>
      <c r="N42" s="263"/>
      <c r="O42" s="263"/>
      <c r="P42" s="266"/>
      <c r="Q42" s="267"/>
      <c r="R42" s="242"/>
    </row>
    <row r="43" spans="2:19" s="2" customFormat="1" ht="17.25" customHeight="1" x14ac:dyDescent="0.3">
      <c r="B43" s="414" t="s">
        <v>606</v>
      </c>
      <c r="C43" s="416" t="s">
        <v>607</v>
      </c>
      <c r="D43" s="215" t="s">
        <v>608</v>
      </c>
      <c r="E43" s="405">
        <f>E44/Q43</f>
        <v>1</v>
      </c>
      <c r="F43" s="406"/>
      <c r="G43" s="184"/>
      <c r="H43" s="185"/>
      <c r="I43" s="186"/>
      <c r="J43" s="184"/>
      <c r="K43" s="184"/>
      <c r="L43" s="188"/>
      <c r="M43" s="186"/>
      <c r="N43" s="184"/>
      <c r="O43" s="184"/>
      <c r="P43" s="188"/>
      <c r="Q43" s="418">
        <v>1330</v>
      </c>
      <c r="R43" s="242"/>
      <c r="S43" s="242"/>
    </row>
    <row r="44" spans="2:19" s="2" customFormat="1" ht="17.25" customHeight="1" x14ac:dyDescent="0.3">
      <c r="B44" s="420"/>
      <c r="C44" s="421"/>
      <c r="D44" s="215" t="s">
        <v>609</v>
      </c>
      <c r="E44" s="407">
        <f>Q43</f>
        <v>1330</v>
      </c>
      <c r="F44" s="408"/>
      <c r="G44" s="184"/>
      <c r="H44" s="185"/>
      <c r="I44" s="186"/>
      <c r="J44" s="184"/>
      <c r="K44" s="184"/>
      <c r="L44" s="188"/>
      <c r="M44" s="186"/>
      <c r="N44" s="184"/>
      <c r="O44" s="184"/>
      <c r="P44" s="188"/>
      <c r="Q44" s="422"/>
      <c r="R44" s="242"/>
      <c r="S44" s="242"/>
    </row>
    <row r="45" spans="2:19" s="2" customFormat="1" ht="17.25" customHeight="1" x14ac:dyDescent="0.3">
      <c r="B45" s="414" t="s">
        <v>616</v>
      </c>
      <c r="C45" s="416" t="s">
        <v>617</v>
      </c>
      <c r="D45" s="215" t="s">
        <v>608</v>
      </c>
      <c r="E45" s="186"/>
      <c r="F45" s="184"/>
      <c r="G45" s="401">
        <f>G46/Q45</f>
        <v>1</v>
      </c>
      <c r="H45" s="402"/>
      <c r="I45" s="186"/>
      <c r="J45" s="184"/>
      <c r="K45" s="184"/>
      <c r="L45" s="188"/>
      <c r="M45" s="186"/>
      <c r="N45" s="184"/>
      <c r="O45" s="184"/>
      <c r="P45" s="188"/>
      <c r="Q45" s="418">
        <v>10290</v>
      </c>
      <c r="R45" s="242"/>
      <c r="S45" s="242"/>
    </row>
    <row r="46" spans="2:19" s="2" customFormat="1" ht="17.25" customHeight="1" x14ac:dyDescent="0.3">
      <c r="B46" s="420"/>
      <c r="C46" s="421"/>
      <c r="D46" s="215" t="s">
        <v>609</v>
      </c>
      <c r="E46" s="186"/>
      <c r="F46" s="184"/>
      <c r="G46" s="403">
        <f>Q45</f>
        <v>10290</v>
      </c>
      <c r="H46" s="404"/>
      <c r="I46" s="186"/>
      <c r="J46" s="184"/>
      <c r="K46" s="184"/>
      <c r="L46" s="188"/>
      <c r="M46" s="186"/>
      <c r="N46" s="184"/>
      <c r="O46" s="184"/>
      <c r="P46" s="188"/>
      <c r="Q46" s="422"/>
      <c r="R46" s="242"/>
      <c r="S46" s="242"/>
    </row>
    <row r="47" spans="2:19" s="2" customFormat="1" ht="17.25" customHeight="1" x14ac:dyDescent="0.3">
      <c r="B47" s="414" t="s">
        <v>618</v>
      </c>
      <c r="C47" s="416" t="s">
        <v>619</v>
      </c>
      <c r="D47" s="215" t="s">
        <v>608</v>
      </c>
      <c r="E47" s="186"/>
      <c r="F47" s="184"/>
      <c r="G47" s="184"/>
      <c r="H47" s="185"/>
      <c r="I47" s="405">
        <f>I48/Q47</f>
        <v>1</v>
      </c>
      <c r="J47" s="406"/>
      <c r="K47" s="184"/>
      <c r="L47" s="188"/>
      <c r="M47" s="186"/>
      <c r="N47" s="184"/>
      <c r="O47" s="184"/>
      <c r="P47" s="188"/>
      <c r="Q47" s="418">
        <f>CATALOGO!H100</f>
        <v>18305</v>
      </c>
      <c r="R47" s="242"/>
      <c r="S47" s="242"/>
    </row>
    <row r="48" spans="2:19" s="2" customFormat="1" ht="17.25" customHeight="1" x14ac:dyDescent="0.3">
      <c r="B48" s="420"/>
      <c r="C48" s="421"/>
      <c r="D48" s="215" t="s">
        <v>609</v>
      </c>
      <c r="E48" s="186"/>
      <c r="F48" s="184"/>
      <c r="G48" s="184"/>
      <c r="H48" s="185"/>
      <c r="I48" s="407">
        <f>Q47</f>
        <v>18305</v>
      </c>
      <c r="J48" s="408"/>
      <c r="K48" s="184"/>
      <c r="L48" s="188"/>
      <c r="M48" s="186"/>
      <c r="N48" s="184"/>
      <c r="O48" s="184"/>
      <c r="P48" s="188"/>
      <c r="Q48" s="422"/>
      <c r="R48" s="242"/>
      <c r="S48" s="242"/>
    </row>
    <row r="49" spans="2:19" s="2" customFormat="1" ht="17.25" customHeight="1" x14ac:dyDescent="0.3">
      <c r="B49" s="414" t="s">
        <v>620</v>
      </c>
      <c r="C49" s="416" t="s">
        <v>621</v>
      </c>
      <c r="D49" s="215" t="s">
        <v>608</v>
      </c>
      <c r="E49" s="186"/>
      <c r="F49" s="184"/>
      <c r="G49" s="184"/>
      <c r="H49" s="185"/>
      <c r="I49" s="405">
        <f>I50/Q49</f>
        <v>1</v>
      </c>
      <c r="J49" s="406"/>
      <c r="K49" s="184"/>
      <c r="L49" s="188"/>
      <c r="M49" s="186"/>
      <c r="N49" s="184"/>
      <c r="O49" s="184"/>
      <c r="P49" s="188"/>
      <c r="Q49" s="418">
        <f>CATALOGO!H102</f>
        <v>7749</v>
      </c>
      <c r="R49" s="242"/>
      <c r="S49" s="242"/>
    </row>
    <row r="50" spans="2:19" s="2" customFormat="1" ht="17.25" customHeight="1" x14ac:dyDescent="0.3">
      <c r="B50" s="420"/>
      <c r="C50" s="421"/>
      <c r="D50" s="215" t="s">
        <v>609</v>
      </c>
      <c r="E50" s="186"/>
      <c r="F50" s="184"/>
      <c r="G50" s="184"/>
      <c r="H50" s="185"/>
      <c r="I50" s="407">
        <f>Q49</f>
        <v>7749</v>
      </c>
      <c r="J50" s="408"/>
      <c r="K50" s="184"/>
      <c r="L50" s="188"/>
      <c r="M50" s="186"/>
      <c r="N50" s="184"/>
      <c r="O50" s="184"/>
      <c r="P50" s="188"/>
      <c r="Q50" s="422"/>
      <c r="R50" s="242"/>
      <c r="S50" s="242"/>
    </row>
    <row r="51" spans="2:19" s="2" customFormat="1" ht="17.25" customHeight="1" x14ac:dyDescent="0.3">
      <c r="B51" s="414" t="s">
        <v>622</v>
      </c>
      <c r="C51" s="416" t="s">
        <v>623</v>
      </c>
      <c r="D51" s="215" t="s">
        <v>608</v>
      </c>
      <c r="E51" s="186"/>
      <c r="F51" s="184"/>
      <c r="G51" s="184"/>
      <c r="H51" s="185"/>
      <c r="I51" s="405">
        <f>I52/Q51</f>
        <v>1</v>
      </c>
      <c r="J51" s="406"/>
      <c r="K51" s="184"/>
      <c r="L51" s="188"/>
      <c r="M51" s="186"/>
      <c r="N51" s="184"/>
      <c r="O51" s="184"/>
      <c r="P51" s="188"/>
      <c r="Q51" s="418">
        <f>CATALOGO!H105</f>
        <v>9590</v>
      </c>
      <c r="R51" s="242"/>
      <c r="S51" s="242"/>
    </row>
    <row r="52" spans="2:19" s="2" customFormat="1" ht="17.25" customHeight="1" x14ac:dyDescent="0.3">
      <c r="B52" s="420"/>
      <c r="C52" s="421"/>
      <c r="D52" s="215" t="s">
        <v>609</v>
      </c>
      <c r="E52" s="186"/>
      <c r="F52" s="184"/>
      <c r="G52" s="184"/>
      <c r="H52" s="185"/>
      <c r="I52" s="407">
        <f>Q51</f>
        <v>9590</v>
      </c>
      <c r="J52" s="408"/>
      <c r="K52" s="184"/>
      <c r="L52" s="188"/>
      <c r="M52" s="186"/>
      <c r="N52" s="184"/>
      <c r="O52" s="184"/>
      <c r="P52" s="188"/>
      <c r="Q52" s="422"/>
      <c r="R52" s="242"/>
      <c r="S52" s="242"/>
    </row>
    <row r="53" spans="2:19" s="2" customFormat="1" ht="17.25" customHeight="1" x14ac:dyDescent="0.3">
      <c r="B53" s="414" t="s">
        <v>628</v>
      </c>
      <c r="C53" s="416" t="s">
        <v>629</v>
      </c>
      <c r="D53" s="215" t="s">
        <v>608</v>
      </c>
      <c r="E53" s="186"/>
      <c r="F53" s="184"/>
      <c r="G53" s="184"/>
      <c r="H53" s="185"/>
      <c r="I53" s="186"/>
      <c r="J53" s="184"/>
      <c r="K53" s="401">
        <f>K54/Q53</f>
        <v>1</v>
      </c>
      <c r="L53" s="402"/>
      <c r="M53" s="186"/>
      <c r="N53" s="184"/>
      <c r="O53" s="184"/>
      <c r="P53" s="188"/>
      <c r="Q53" s="418">
        <f>CATALOGO!H108</f>
        <v>2730</v>
      </c>
      <c r="R53" s="242"/>
      <c r="S53" s="242"/>
    </row>
    <row r="54" spans="2:19" s="2" customFormat="1" ht="17.25" customHeight="1" x14ac:dyDescent="0.3">
      <c r="B54" s="420"/>
      <c r="C54" s="421"/>
      <c r="D54" s="215" t="s">
        <v>609</v>
      </c>
      <c r="E54" s="186"/>
      <c r="F54" s="184"/>
      <c r="G54" s="184"/>
      <c r="H54" s="185"/>
      <c r="I54" s="186"/>
      <c r="J54" s="184"/>
      <c r="K54" s="403">
        <f>Q53</f>
        <v>2730</v>
      </c>
      <c r="L54" s="404"/>
      <c r="M54" s="186"/>
      <c r="N54" s="184"/>
      <c r="O54" s="184"/>
      <c r="P54" s="188"/>
      <c r="Q54" s="422"/>
      <c r="R54" s="242"/>
      <c r="S54" s="242"/>
    </row>
    <row r="55" spans="2:19" s="269" customFormat="1" x14ac:dyDescent="0.3">
      <c r="B55" s="258"/>
      <c r="C55" s="259" t="s">
        <v>635</v>
      </c>
      <c r="D55" s="260"/>
      <c r="E55" s="261"/>
      <c r="F55" s="262"/>
      <c r="G55" s="263"/>
      <c r="H55" s="264"/>
      <c r="I55" s="265"/>
      <c r="J55" s="263"/>
      <c r="K55" s="263"/>
      <c r="L55" s="266"/>
      <c r="M55" s="265"/>
      <c r="N55" s="263"/>
      <c r="O55" s="263"/>
      <c r="P55" s="266"/>
      <c r="Q55" s="267"/>
      <c r="R55" s="268"/>
      <c r="S55" s="242"/>
    </row>
    <row r="56" spans="2:19" s="2" customFormat="1" ht="17.25" customHeight="1" x14ac:dyDescent="0.3">
      <c r="B56" s="414" t="s">
        <v>606</v>
      </c>
      <c r="C56" s="416" t="s">
        <v>607</v>
      </c>
      <c r="D56" s="215" t="s">
        <v>608</v>
      </c>
      <c r="E56" s="186"/>
      <c r="F56" s="184"/>
      <c r="G56" s="184"/>
      <c r="H56" s="185"/>
      <c r="I56" s="186"/>
      <c r="J56" s="184"/>
      <c r="K56" s="184"/>
      <c r="L56" s="188"/>
      <c r="M56" s="405">
        <f>M57/Q56</f>
        <v>1</v>
      </c>
      <c r="N56" s="406"/>
      <c r="O56" s="184"/>
      <c r="P56" s="188"/>
      <c r="Q56" s="418">
        <f>CATALOGO!H113</f>
        <v>6678</v>
      </c>
      <c r="R56" s="242"/>
      <c r="S56" s="242"/>
    </row>
    <row r="57" spans="2:19" s="2" customFormat="1" ht="17.25" customHeight="1" x14ac:dyDescent="0.3">
      <c r="B57" s="420"/>
      <c r="C57" s="421"/>
      <c r="D57" s="215" t="s">
        <v>609</v>
      </c>
      <c r="E57" s="186"/>
      <c r="F57" s="184"/>
      <c r="G57" s="184"/>
      <c r="H57" s="185"/>
      <c r="I57" s="186"/>
      <c r="J57" s="184"/>
      <c r="K57" s="184"/>
      <c r="L57" s="188"/>
      <c r="M57" s="407">
        <f>Q56</f>
        <v>6678</v>
      </c>
      <c r="N57" s="408"/>
      <c r="O57" s="184"/>
      <c r="P57" s="188"/>
      <c r="Q57" s="422"/>
      <c r="R57" s="242"/>
      <c r="S57" s="242"/>
    </row>
    <row r="58" spans="2:19" s="269" customFormat="1" x14ac:dyDescent="0.3">
      <c r="B58" s="258"/>
      <c r="C58" s="259" t="s">
        <v>519</v>
      </c>
      <c r="D58" s="260"/>
      <c r="E58" s="261"/>
      <c r="F58" s="262"/>
      <c r="G58" s="263"/>
      <c r="H58" s="264"/>
      <c r="I58" s="265"/>
      <c r="J58" s="263"/>
      <c r="K58" s="263"/>
      <c r="L58" s="266"/>
      <c r="M58" s="265"/>
      <c r="N58" s="263"/>
      <c r="O58" s="263"/>
      <c r="P58" s="266"/>
      <c r="Q58" s="267"/>
      <c r="R58" s="268"/>
      <c r="S58" s="242"/>
    </row>
    <row r="59" spans="2:19" s="2" customFormat="1" ht="17.25" customHeight="1" x14ac:dyDescent="0.3">
      <c r="B59" s="414" t="s">
        <v>606</v>
      </c>
      <c r="C59" s="416" t="s">
        <v>607</v>
      </c>
      <c r="D59" s="215" t="s">
        <v>608</v>
      </c>
      <c r="E59" s="186"/>
      <c r="F59" s="184"/>
      <c r="G59" s="184"/>
      <c r="H59" s="185"/>
      <c r="I59" s="186"/>
      <c r="J59" s="184"/>
      <c r="K59" s="184"/>
      <c r="L59" s="188"/>
      <c r="M59" s="405">
        <f>M60/Q59</f>
        <v>1</v>
      </c>
      <c r="N59" s="406"/>
      <c r="O59" s="184"/>
      <c r="P59" s="188"/>
      <c r="Q59" s="418">
        <f>CATALOGO!H117</f>
        <v>2128</v>
      </c>
      <c r="R59" s="242"/>
      <c r="S59" s="242"/>
    </row>
    <row r="60" spans="2:19" s="2" customFormat="1" ht="17.25" customHeight="1" x14ac:dyDescent="0.3">
      <c r="B60" s="420"/>
      <c r="C60" s="421"/>
      <c r="D60" s="215" t="s">
        <v>609</v>
      </c>
      <c r="E60" s="186"/>
      <c r="F60" s="184"/>
      <c r="G60" s="184"/>
      <c r="H60" s="185"/>
      <c r="I60" s="186"/>
      <c r="J60" s="184"/>
      <c r="K60" s="184"/>
      <c r="L60" s="188"/>
      <c r="M60" s="407">
        <f>Q59</f>
        <v>2128</v>
      </c>
      <c r="N60" s="408"/>
      <c r="O60" s="184"/>
      <c r="P60" s="188"/>
      <c r="Q60" s="422"/>
      <c r="R60" s="242"/>
      <c r="S60" s="242"/>
    </row>
    <row r="61" spans="2:19" s="2" customFormat="1" ht="17.25" customHeight="1" x14ac:dyDescent="0.3">
      <c r="B61" s="414" t="s">
        <v>616</v>
      </c>
      <c r="C61" s="416" t="s">
        <v>617</v>
      </c>
      <c r="D61" s="215" t="s">
        <v>608</v>
      </c>
      <c r="E61" s="186"/>
      <c r="F61" s="184"/>
      <c r="G61" s="184"/>
      <c r="H61" s="185"/>
      <c r="I61" s="186"/>
      <c r="J61" s="184"/>
      <c r="K61" s="184"/>
      <c r="L61" s="188"/>
      <c r="M61" s="186"/>
      <c r="N61" s="184"/>
      <c r="O61" s="401">
        <f>O62/Q61</f>
        <v>1</v>
      </c>
      <c r="P61" s="402"/>
      <c r="Q61" s="418">
        <f>CATALOGO!H119</f>
        <v>76440</v>
      </c>
      <c r="R61" s="242"/>
      <c r="S61" s="242"/>
    </row>
    <row r="62" spans="2:19" s="2" customFormat="1" ht="17.25" customHeight="1" x14ac:dyDescent="0.3">
      <c r="B62" s="420"/>
      <c r="C62" s="421"/>
      <c r="D62" s="215" t="s">
        <v>609</v>
      </c>
      <c r="E62" s="186"/>
      <c r="F62" s="184"/>
      <c r="G62" s="184"/>
      <c r="H62" s="185"/>
      <c r="I62" s="186"/>
      <c r="J62" s="184"/>
      <c r="K62" s="184"/>
      <c r="L62" s="188"/>
      <c r="M62" s="186"/>
      <c r="N62" s="184"/>
      <c r="O62" s="403">
        <f>Q61</f>
        <v>76440</v>
      </c>
      <c r="P62" s="404"/>
      <c r="Q62" s="422"/>
      <c r="R62" s="242"/>
      <c r="S62" s="242"/>
    </row>
    <row r="63" spans="2:19" s="2" customFormat="1" ht="17.25" customHeight="1" x14ac:dyDescent="0.3">
      <c r="B63" s="414" t="s">
        <v>618</v>
      </c>
      <c r="C63" s="416" t="s">
        <v>619</v>
      </c>
      <c r="D63" s="215" t="s">
        <v>608</v>
      </c>
      <c r="E63" s="186"/>
      <c r="F63" s="184"/>
      <c r="G63" s="184"/>
      <c r="H63" s="185"/>
      <c r="I63" s="186"/>
      <c r="J63" s="184"/>
      <c r="K63" s="184"/>
      <c r="L63" s="188"/>
      <c r="M63" s="186"/>
      <c r="N63" s="184"/>
      <c r="O63" s="401">
        <f>O64/Q63</f>
        <v>1</v>
      </c>
      <c r="P63" s="402"/>
      <c r="Q63" s="418">
        <f>CATALOGO!H123</f>
        <v>57540</v>
      </c>
      <c r="R63" s="242"/>
      <c r="S63" s="242"/>
    </row>
    <row r="64" spans="2:19" s="2" customFormat="1" ht="17.25" customHeight="1" x14ac:dyDescent="0.3">
      <c r="B64" s="420"/>
      <c r="C64" s="421"/>
      <c r="D64" s="215" t="s">
        <v>609</v>
      </c>
      <c r="E64" s="186"/>
      <c r="F64" s="184"/>
      <c r="G64" s="184"/>
      <c r="H64" s="185"/>
      <c r="I64" s="186"/>
      <c r="J64" s="184"/>
      <c r="K64" s="184"/>
      <c r="L64" s="188"/>
      <c r="M64" s="186"/>
      <c r="N64" s="184"/>
      <c r="O64" s="403">
        <f>Q63</f>
        <v>57540</v>
      </c>
      <c r="P64" s="404"/>
      <c r="Q64" s="422"/>
      <c r="R64" s="242"/>
      <c r="S64" s="242"/>
    </row>
    <row r="65" spans="2:19" s="2" customFormat="1" ht="17.25" customHeight="1" x14ac:dyDescent="0.3">
      <c r="B65" s="414" t="s">
        <v>620</v>
      </c>
      <c r="C65" s="416" t="s">
        <v>621</v>
      </c>
      <c r="D65" s="215" t="s">
        <v>608</v>
      </c>
      <c r="E65" s="186"/>
      <c r="F65" s="184"/>
      <c r="G65" s="184"/>
      <c r="H65" s="185"/>
      <c r="I65" s="186"/>
      <c r="J65" s="184"/>
      <c r="K65" s="184"/>
      <c r="L65" s="188"/>
      <c r="M65" s="186"/>
      <c r="N65" s="184"/>
      <c r="O65" s="401">
        <f>O66/Q65</f>
        <v>1</v>
      </c>
      <c r="P65" s="402"/>
      <c r="Q65" s="418">
        <f>CATALOGO!H125</f>
        <v>5166</v>
      </c>
      <c r="R65" s="242"/>
      <c r="S65" s="242"/>
    </row>
    <row r="66" spans="2:19" s="2" customFormat="1" ht="17.25" customHeight="1" x14ac:dyDescent="0.3">
      <c r="B66" s="420"/>
      <c r="C66" s="421"/>
      <c r="D66" s="215" t="s">
        <v>609</v>
      </c>
      <c r="E66" s="186"/>
      <c r="F66" s="184"/>
      <c r="G66" s="184"/>
      <c r="H66" s="185"/>
      <c r="I66" s="186"/>
      <c r="J66" s="184"/>
      <c r="K66" s="184"/>
      <c r="L66" s="188"/>
      <c r="M66" s="186"/>
      <c r="N66" s="184"/>
      <c r="O66" s="403">
        <f>Q65</f>
        <v>5166</v>
      </c>
      <c r="P66" s="404"/>
      <c r="Q66" s="422"/>
      <c r="R66" s="242"/>
      <c r="S66" s="242"/>
    </row>
    <row r="67" spans="2:19" s="2" customFormat="1" ht="17.25" customHeight="1" x14ac:dyDescent="0.3">
      <c r="B67" s="414" t="s">
        <v>622</v>
      </c>
      <c r="C67" s="416" t="s">
        <v>623</v>
      </c>
      <c r="D67" s="215" t="s">
        <v>608</v>
      </c>
      <c r="E67" s="186"/>
      <c r="F67" s="184"/>
      <c r="G67" s="184"/>
      <c r="H67" s="185"/>
      <c r="I67" s="186"/>
      <c r="J67" s="184"/>
      <c r="K67" s="184"/>
      <c r="L67" s="188"/>
      <c r="M67" s="186"/>
      <c r="N67" s="184"/>
      <c r="O67" s="401">
        <f>O68/Q67</f>
        <v>1</v>
      </c>
      <c r="P67" s="402"/>
      <c r="Q67" s="418">
        <f>CATALOGO!H128</f>
        <v>38360</v>
      </c>
      <c r="R67" s="242"/>
      <c r="S67" s="242"/>
    </row>
    <row r="68" spans="2:19" s="2" customFormat="1" ht="17.25" customHeight="1" x14ac:dyDescent="0.3">
      <c r="B68" s="420"/>
      <c r="C68" s="421"/>
      <c r="D68" s="215" t="s">
        <v>609</v>
      </c>
      <c r="E68" s="186"/>
      <c r="F68" s="184"/>
      <c r="G68" s="184"/>
      <c r="H68" s="185"/>
      <c r="I68" s="186"/>
      <c r="J68" s="184"/>
      <c r="K68" s="184"/>
      <c r="L68" s="188"/>
      <c r="M68" s="186"/>
      <c r="N68" s="184"/>
      <c r="O68" s="403">
        <f>Q67</f>
        <v>38360</v>
      </c>
      <c r="P68" s="404"/>
      <c r="Q68" s="422"/>
      <c r="R68" s="242"/>
      <c r="S68" s="242"/>
    </row>
    <row r="69" spans="2:19" s="2" customFormat="1" ht="17.25" customHeight="1" x14ac:dyDescent="0.3">
      <c r="B69" s="414" t="s">
        <v>628</v>
      </c>
      <c r="C69" s="416" t="s">
        <v>629</v>
      </c>
      <c r="D69" s="215" t="s">
        <v>608</v>
      </c>
      <c r="E69" s="186"/>
      <c r="F69" s="184"/>
      <c r="G69" s="184"/>
      <c r="H69" s="185"/>
      <c r="I69" s="186"/>
      <c r="J69" s="184"/>
      <c r="K69" s="184"/>
      <c r="L69" s="188"/>
      <c r="M69" s="186"/>
      <c r="N69" s="184"/>
      <c r="O69" s="401">
        <f>O70/Q69</f>
        <v>1</v>
      </c>
      <c r="P69" s="402"/>
      <c r="Q69" s="418">
        <f>CATALOGO!H132</f>
        <v>18060</v>
      </c>
      <c r="R69" s="242"/>
      <c r="S69" s="242"/>
    </row>
    <row r="70" spans="2:19" s="2" customFormat="1" ht="17.25" customHeight="1" x14ac:dyDescent="0.3">
      <c r="B70" s="420"/>
      <c r="C70" s="421"/>
      <c r="D70" s="215" t="s">
        <v>609</v>
      </c>
      <c r="E70" s="186"/>
      <c r="F70" s="184"/>
      <c r="G70" s="184"/>
      <c r="H70" s="185"/>
      <c r="I70" s="186"/>
      <c r="J70" s="184"/>
      <c r="K70" s="184"/>
      <c r="L70" s="188"/>
      <c r="M70" s="186"/>
      <c r="N70" s="184"/>
      <c r="O70" s="403">
        <f>Q69</f>
        <v>18060</v>
      </c>
      <c r="P70" s="404"/>
      <c r="Q70" s="422"/>
      <c r="R70" s="242"/>
      <c r="S70" s="242"/>
    </row>
    <row r="71" spans="2:19" s="269" customFormat="1" x14ac:dyDescent="0.3">
      <c r="B71" s="258"/>
      <c r="C71" s="259" t="s">
        <v>563</v>
      </c>
      <c r="D71" s="260"/>
      <c r="E71" s="261"/>
      <c r="F71" s="262"/>
      <c r="G71" s="263"/>
      <c r="H71" s="264"/>
      <c r="I71" s="265"/>
      <c r="J71" s="263"/>
      <c r="K71" s="263"/>
      <c r="L71" s="266"/>
      <c r="M71" s="265"/>
      <c r="N71" s="263"/>
      <c r="O71" s="263"/>
      <c r="P71" s="266"/>
      <c r="Q71" s="267"/>
      <c r="R71" s="268"/>
      <c r="S71" s="242"/>
    </row>
    <row r="72" spans="2:19" s="2" customFormat="1" ht="17.25" customHeight="1" x14ac:dyDescent="0.3">
      <c r="B72" s="414" t="s">
        <v>606</v>
      </c>
      <c r="C72" s="416" t="s">
        <v>607</v>
      </c>
      <c r="D72" s="215" t="s">
        <v>608</v>
      </c>
      <c r="E72" s="186"/>
      <c r="F72" s="184"/>
      <c r="G72" s="184"/>
      <c r="H72" s="185"/>
      <c r="I72" s="186"/>
      <c r="J72" s="184"/>
      <c r="K72" s="184"/>
      <c r="L72" s="188"/>
      <c r="M72" s="186"/>
      <c r="N72" s="184"/>
      <c r="O72" s="184"/>
      <c r="P72" s="188"/>
      <c r="Q72" s="418">
        <f>CATALOGO!H137</f>
        <v>31416</v>
      </c>
      <c r="R72" s="242"/>
      <c r="S72" s="242"/>
    </row>
    <row r="73" spans="2:19" s="2" customFormat="1" ht="17.25" customHeight="1" x14ac:dyDescent="0.3">
      <c r="B73" s="420"/>
      <c r="C73" s="421"/>
      <c r="D73" s="215" t="s">
        <v>609</v>
      </c>
      <c r="E73" s="186"/>
      <c r="F73" s="184"/>
      <c r="G73" s="184"/>
      <c r="H73" s="185"/>
      <c r="I73" s="186"/>
      <c r="J73" s="184"/>
      <c r="K73" s="184"/>
      <c r="L73" s="188"/>
      <c r="M73" s="186"/>
      <c r="N73" s="184"/>
      <c r="O73" s="184"/>
      <c r="P73" s="188"/>
      <c r="Q73" s="422"/>
      <c r="R73" s="242"/>
      <c r="S73" s="242"/>
    </row>
    <row r="74" spans="2:19" s="269" customFormat="1" x14ac:dyDescent="0.3">
      <c r="B74" s="245"/>
      <c r="C74" s="246" t="s">
        <v>521</v>
      </c>
      <c r="D74" s="247"/>
      <c r="E74" s="248"/>
      <c r="F74" s="249"/>
      <c r="G74" s="249"/>
      <c r="H74" s="250"/>
      <c r="I74" s="251"/>
      <c r="J74" s="249"/>
      <c r="K74" s="249"/>
      <c r="L74" s="252"/>
      <c r="M74" s="265"/>
      <c r="N74" s="263"/>
      <c r="O74" s="263"/>
      <c r="P74" s="266"/>
      <c r="Q74" s="257"/>
      <c r="S74" s="242"/>
    </row>
    <row r="75" spans="2:19" s="2" customFormat="1" ht="17.25" customHeight="1" x14ac:dyDescent="0.3">
      <c r="B75" s="414" t="s">
        <v>606</v>
      </c>
      <c r="C75" s="416" t="s">
        <v>607</v>
      </c>
      <c r="D75" s="215" t="s">
        <v>608</v>
      </c>
      <c r="E75" s="405">
        <f>E76/Q75</f>
        <v>1</v>
      </c>
      <c r="F75" s="406"/>
      <c r="G75" s="184"/>
      <c r="H75" s="185"/>
      <c r="I75" s="186"/>
      <c r="J75" s="184"/>
      <c r="K75" s="184"/>
      <c r="L75" s="188"/>
      <c r="M75" s="186"/>
      <c r="N75" s="184"/>
      <c r="O75" s="184"/>
      <c r="P75" s="188"/>
      <c r="Q75" s="418">
        <f>CATALOGO!H140</f>
        <v>924</v>
      </c>
      <c r="R75" s="242"/>
      <c r="S75" s="242"/>
    </row>
    <row r="76" spans="2:19" s="2" customFormat="1" ht="17.25" customHeight="1" x14ac:dyDescent="0.3">
      <c r="B76" s="420"/>
      <c r="C76" s="421"/>
      <c r="D76" s="215" t="s">
        <v>609</v>
      </c>
      <c r="E76" s="407">
        <f>Q75</f>
        <v>924</v>
      </c>
      <c r="F76" s="408"/>
      <c r="G76" s="184"/>
      <c r="H76" s="185"/>
      <c r="I76" s="186"/>
      <c r="J76" s="184"/>
      <c r="K76" s="184"/>
      <c r="L76" s="188"/>
      <c r="M76" s="186"/>
      <c r="N76" s="184"/>
      <c r="O76" s="184"/>
      <c r="P76" s="188"/>
      <c r="Q76" s="422"/>
      <c r="R76" s="242"/>
      <c r="S76" s="242"/>
    </row>
    <row r="77" spans="2:19" s="2" customFormat="1" ht="17.25" customHeight="1" x14ac:dyDescent="0.3">
      <c r="B77" s="414" t="s">
        <v>618</v>
      </c>
      <c r="C77" s="416" t="s">
        <v>619</v>
      </c>
      <c r="D77" s="215" t="s">
        <v>608</v>
      </c>
      <c r="E77" s="186"/>
      <c r="F77" s="184"/>
      <c r="G77" s="184"/>
      <c r="H77" s="185"/>
      <c r="I77" s="405">
        <f>I78/Q77</f>
        <v>1</v>
      </c>
      <c r="J77" s="406"/>
      <c r="K77" s="184"/>
      <c r="L77" s="188"/>
      <c r="M77" s="186"/>
      <c r="N77" s="184"/>
      <c r="O77" s="184"/>
      <c r="P77" s="188"/>
      <c r="Q77" s="418">
        <f>CATALOGO!H143</f>
        <v>6146</v>
      </c>
      <c r="R77" s="242"/>
      <c r="S77" s="242"/>
    </row>
    <row r="78" spans="2:19" s="2" customFormat="1" ht="17.25" customHeight="1" x14ac:dyDescent="0.3">
      <c r="B78" s="420"/>
      <c r="C78" s="421"/>
      <c r="D78" s="215" t="s">
        <v>609</v>
      </c>
      <c r="E78" s="186"/>
      <c r="F78" s="184"/>
      <c r="G78" s="184"/>
      <c r="H78" s="185"/>
      <c r="I78" s="407">
        <f>Q77</f>
        <v>6146</v>
      </c>
      <c r="J78" s="408"/>
      <c r="K78" s="184"/>
      <c r="L78" s="188"/>
      <c r="M78" s="186"/>
      <c r="N78" s="184"/>
      <c r="O78" s="184"/>
      <c r="P78" s="188"/>
      <c r="Q78" s="422"/>
      <c r="R78" s="242"/>
      <c r="S78" s="242"/>
    </row>
    <row r="79" spans="2:19" s="2" customFormat="1" ht="17.25" customHeight="1" x14ac:dyDescent="0.3">
      <c r="B79" s="414" t="s">
        <v>620</v>
      </c>
      <c r="C79" s="416" t="s">
        <v>621</v>
      </c>
      <c r="D79" s="215" t="s">
        <v>608</v>
      </c>
      <c r="E79" s="186"/>
      <c r="F79" s="184"/>
      <c r="G79" s="184"/>
      <c r="H79" s="185"/>
      <c r="I79" s="405">
        <f>I80/Q79</f>
        <v>1</v>
      </c>
      <c r="J79" s="406"/>
      <c r="K79" s="184"/>
      <c r="L79" s="188"/>
      <c r="M79" s="186"/>
      <c r="N79" s="184"/>
      <c r="O79" s="184"/>
      <c r="P79" s="188"/>
      <c r="Q79" s="418">
        <f>CATALOGO!H145</f>
        <v>7749</v>
      </c>
      <c r="R79" s="242"/>
    </row>
    <row r="80" spans="2:19" s="2" customFormat="1" ht="17.25" customHeight="1" x14ac:dyDescent="0.3">
      <c r="B80" s="420"/>
      <c r="C80" s="421"/>
      <c r="D80" s="215" t="s">
        <v>609</v>
      </c>
      <c r="E80" s="186"/>
      <c r="F80" s="184"/>
      <c r="G80" s="184"/>
      <c r="H80" s="185"/>
      <c r="I80" s="407">
        <f>Q79</f>
        <v>7749</v>
      </c>
      <c r="J80" s="408"/>
      <c r="K80" s="184"/>
      <c r="L80" s="188"/>
      <c r="M80" s="186"/>
      <c r="N80" s="184"/>
      <c r="O80" s="184"/>
      <c r="P80" s="188"/>
      <c r="Q80" s="422"/>
      <c r="R80" s="242"/>
    </row>
    <row r="81" spans="2:18" s="2" customFormat="1" ht="17.25" customHeight="1" x14ac:dyDescent="0.3">
      <c r="B81" s="414" t="s">
        <v>626</v>
      </c>
      <c r="C81" s="416" t="s">
        <v>627</v>
      </c>
      <c r="D81" s="215" t="s">
        <v>608</v>
      </c>
      <c r="E81" s="186"/>
      <c r="F81" s="184"/>
      <c r="G81" s="184"/>
      <c r="H81" s="185"/>
      <c r="I81" s="186"/>
      <c r="J81" s="401">
        <f>J82/Q81</f>
        <v>1</v>
      </c>
      <c r="K81" s="406"/>
      <c r="L81" s="188"/>
      <c r="M81" s="186"/>
      <c r="N81" s="184"/>
      <c r="O81" s="184"/>
      <c r="P81" s="188"/>
      <c r="Q81" s="418">
        <f>CATALOGO!H148</f>
        <v>10437</v>
      </c>
      <c r="R81" s="242"/>
    </row>
    <row r="82" spans="2:18" s="2" customFormat="1" ht="17.25" customHeight="1" x14ac:dyDescent="0.3">
      <c r="B82" s="420"/>
      <c r="C82" s="421"/>
      <c r="D82" s="215" t="s">
        <v>609</v>
      </c>
      <c r="E82" s="186"/>
      <c r="F82" s="184"/>
      <c r="G82" s="184"/>
      <c r="H82" s="185"/>
      <c r="I82" s="186"/>
      <c r="J82" s="403">
        <f>Q81</f>
        <v>10437</v>
      </c>
      <c r="K82" s="408"/>
      <c r="L82" s="188"/>
      <c r="M82" s="186"/>
      <c r="N82" s="184"/>
      <c r="O82" s="184"/>
      <c r="P82" s="188"/>
      <c r="Q82" s="422"/>
      <c r="R82" s="242"/>
    </row>
    <row r="83" spans="2:18" s="269" customFormat="1" x14ac:dyDescent="0.3">
      <c r="B83" s="245"/>
      <c r="C83" s="246" t="s">
        <v>565</v>
      </c>
      <c r="D83" s="247"/>
      <c r="E83" s="248"/>
      <c r="F83" s="249"/>
      <c r="G83" s="249"/>
      <c r="H83" s="250"/>
      <c r="I83" s="251"/>
      <c r="J83" s="249"/>
      <c r="K83" s="249"/>
      <c r="L83" s="252"/>
      <c r="M83" s="265"/>
      <c r="N83" s="263"/>
      <c r="O83" s="263"/>
      <c r="P83" s="266"/>
      <c r="Q83" s="257"/>
    </row>
    <row r="84" spans="2:18" s="2" customFormat="1" ht="17.25" customHeight="1" x14ac:dyDescent="0.3">
      <c r="B84" s="414" t="s">
        <v>606</v>
      </c>
      <c r="C84" s="416" t="s">
        <v>607</v>
      </c>
      <c r="D84" s="215" t="s">
        <v>608</v>
      </c>
      <c r="E84" s="405">
        <f>E85/Q84</f>
        <v>1</v>
      </c>
      <c r="F84" s="406"/>
      <c r="G84" s="184"/>
      <c r="H84" s="185"/>
      <c r="I84" s="186"/>
      <c r="J84" s="184"/>
      <c r="K84" s="184"/>
      <c r="L84" s="188"/>
      <c r="M84" s="186"/>
      <c r="N84" s="184"/>
      <c r="O84" s="184"/>
      <c r="P84" s="188"/>
      <c r="Q84" s="418">
        <f>CATALOGO!H152</f>
        <v>2940</v>
      </c>
      <c r="R84" s="242"/>
    </row>
    <row r="85" spans="2:18" s="2" customFormat="1" ht="17.25" customHeight="1" x14ac:dyDescent="0.3">
      <c r="B85" s="420"/>
      <c r="C85" s="421"/>
      <c r="D85" s="215" t="s">
        <v>609</v>
      </c>
      <c r="E85" s="407">
        <f>Q84</f>
        <v>2940</v>
      </c>
      <c r="F85" s="408"/>
      <c r="G85" s="184"/>
      <c r="H85" s="185"/>
      <c r="I85" s="186"/>
      <c r="J85" s="184"/>
      <c r="K85" s="184"/>
      <c r="L85" s="188"/>
      <c r="M85" s="186"/>
      <c r="N85" s="184"/>
      <c r="O85" s="184"/>
      <c r="P85" s="188"/>
      <c r="Q85" s="422"/>
      <c r="R85" s="242"/>
    </row>
    <row r="86" spans="2:18" s="269" customFormat="1" x14ac:dyDescent="0.3">
      <c r="B86" s="245"/>
      <c r="C86" s="246" t="s">
        <v>566</v>
      </c>
      <c r="D86" s="247"/>
      <c r="E86" s="248"/>
      <c r="F86" s="249"/>
      <c r="G86" s="249"/>
      <c r="H86" s="250"/>
      <c r="I86" s="251"/>
      <c r="J86" s="249"/>
      <c r="K86" s="249"/>
      <c r="L86" s="252"/>
      <c r="M86" s="265"/>
      <c r="N86" s="263"/>
      <c r="O86" s="263"/>
      <c r="P86" s="266"/>
      <c r="Q86" s="257"/>
    </row>
    <row r="87" spans="2:18" s="2" customFormat="1" ht="17.25" customHeight="1" x14ac:dyDescent="0.3">
      <c r="B87" s="414" t="s">
        <v>620</v>
      </c>
      <c r="C87" s="416" t="s">
        <v>621</v>
      </c>
      <c r="D87" s="215" t="s">
        <v>608</v>
      </c>
      <c r="E87" s="186"/>
      <c r="F87" s="184"/>
      <c r="G87" s="184"/>
      <c r="H87" s="185"/>
      <c r="I87" s="186"/>
      <c r="J87" s="184"/>
      <c r="K87" s="184"/>
      <c r="L87" s="188"/>
      <c r="M87" s="186"/>
      <c r="N87" s="184"/>
      <c r="O87" s="401">
        <f>O88/Q87</f>
        <v>1</v>
      </c>
      <c r="P87" s="402"/>
      <c r="Q87" s="418">
        <f>CATALOGO!H155</f>
        <v>2541</v>
      </c>
      <c r="R87" s="242"/>
    </row>
    <row r="88" spans="2:18" s="2" customFormat="1" ht="17.25" customHeight="1" x14ac:dyDescent="0.3">
      <c r="B88" s="420"/>
      <c r="C88" s="421"/>
      <c r="D88" s="215" t="s">
        <v>609</v>
      </c>
      <c r="E88" s="186"/>
      <c r="F88" s="184"/>
      <c r="G88" s="184"/>
      <c r="H88" s="185"/>
      <c r="I88" s="186"/>
      <c r="J88" s="184"/>
      <c r="K88" s="184"/>
      <c r="L88" s="188"/>
      <c r="M88" s="186"/>
      <c r="N88" s="184"/>
      <c r="O88" s="403">
        <f>Q87</f>
        <v>2541</v>
      </c>
      <c r="P88" s="404"/>
      <c r="Q88" s="422"/>
      <c r="R88" s="242"/>
    </row>
    <row r="89" spans="2:18" s="2" customFormat="1" ht="17.25" customHeight="1" x14ac:dyDescent="0.3">
      <c r="B89" s="414" t="s">
        <v>624</v>
      </c>
      <c r="C89" s="416" t="s">
        <v>625</v>
      </c>
      <c r="D89" s="215" t="s">
        <v>608</v>
      </c>
      <c r="E89" s="186"/>
      <c r="F89" s="184"/>
      <c r="G89" s="184"/>
      <c r="H89" s="185"/>
      <c r="I89" s="186"/>
      <c r="J89" s="184"/>
      <c r="K89" s="184"/>
      <c r="L89" s="188"/>
      <c r="M89" s="405">
        <f>M90/Q89</f>
        <v>1</v>
      </c>
      <c r="N89" s="406"/>
      <c r="O89" s="423"/>
      <c r="P89" s="424"/>
      <c r="Q89" s="418">
        <f>CATALOGO!H157</f>
        <v>8757</v>
      </c>
      <c r="R89" s="242"/>
    </row>
    <row r="90" spans="2:18" s="2" customFormat="1" ht="17.25" customHeight="1" x14ac:dyDescent="0.3">
      <c r="B90" s="420"/>
      <c r="C90" s="421"/>
      <c r="D90" s="215" t="s">
        <v>609</v>
      </c>
      <c r="E90" s="186"/>
      <c r="F90" s="184"/>
      <c r="G90" s="184"/>
      <c r="H90" s="185"/>
      <c r="I90" s="186"/>
      <c r="J90" s="184"/>
      <c r="K90" s="184"/>
      <c r="L90" s="188"/>
      <c r="M90" s="407">
        <f>Q89</f>
        <v>8757</v>
      </c>
      <c r="N90" s="408"/>
      <c r="O90" s="403"/>
      <c r="P90" s="404"/>
      <c r="Q90" s="422"/>
      <c r="R90" s="242"/>
    </row>
    <row r="91" spans="2:18" s="2" customFormat="1" ht="17.25" customHeight="1" x14ac:dyDescent="0.3">
      <c r="B91" s="414" t="s">
        <v>634</v>
      </c>
      <c r="C91" s="416" t="s">
        <v>566</v>
      </c>
      <c r="D91" s="215" t="s">
        <v>608</v>
      </c>
      <c r="E91" s="186"/>
      <c r="F91" s="184"/>
      <c r="G91" s="184"/>
      <c r="H91" s="185"/>
      <c r="I91" s="186"/>
      <c r="J91" s="184"/>
      <c r="K91" s="184"/>
      <c r="L91" s="188"/>
      <c r="M91" s="186"/>
      <c r="N91" s="184"/>
      <c r="O91" s="401">
        <f>O92/Q91</f>
        <v>1</v>
      </c>
      <c r="P91" s="402"/>
      <c r="Q91" s="418">
        <f>CATALOGO!H160</f>
        <v>56973</v>
      </c>
      <c r="R91" s="242"/>
    </row>
    <row r="92" spans="2:18" s="2" customFormat="1" ht="17.25" customHeight="1" thickBot="1" x14ac:dyDescent="0.35">
      <c r="B92" s="415"/>
      <c r="C92" s="417"/>
      <c r="D92" s="216" t="s">
        <v>609</v>
      </c>
      <c r="E92" s="189"/>
      <c r="F92" s="190"/>
      <c r="G92" s="190"/>
      <c r="H92" s="191"/>
      <c r="I92" s="189"/>
      <c r="J92" s="190"/>
      <c r="K92" s="190"/>
      <c r="L92" s="244"/>
      <c r="M92" s="189"/>
      <c r="N92" s="190"/>
      <c r="O92" s="403">
        <f>Q91</f>
        <v>56973</v>
      </c>
      <c r="P92" s="404"/>
      <c r="Q92" s="419"/>
      <c r="R92" s="242"/>
    </row>
    <row r="94" spans="2:18" x14ac:dyDescent="0.3">
      <c r="Q94" s="270">
        <f>SUM(Q14:Q92)</f>
        <v>753249</v>
      </c>
    </row>
  </sheetData>
  <mergeCells count="202">
    <mergeCell ref="B75:B76"/>
    <mergeCell ref="C75:C76"/>
    <mergeCell ref="E75:F75"/>
    <mergeCell ref="Q75:Q76"/>
    <mergeCell ref="E76:F76"/>
    <mergeCell ref="B79:B80"/>
    <mergeCell ref="C79:C80"/>
    <mergeCell ref="I79:J79"/>
    <mergeCell ref="Q79:Q80"/>
    <mergeCell ref="I80:J80"/>
    <mergeCell ref="Q53:Q54"/>
    <mergeCell ref="K53:L53"/>
    <mergeCell ref="K54:L54"/>
    <mergeCell ref="Q56:Q57"/>
    <mergeCell ref="B56:B57"/>
    <mergeCell ref="C56:C57"/>
    <mergeCell ref="C49:C50"/>
    <mergeCell ref="I49:J49"/>
    <mergeCell ref="Q49:Q50"/>
    <mergeCell ref="I50:J50"/>
    <mergeCell ref="B51:B52"/>
    <mergeCell ref="C51:C52"/>
    <mergeCell ref="I51:J51"/>
    <mergeCell ref="Q51:Q52"/>
    <mergeCell ref="I52:J52"/>
    <mergeCell ref="M57:N57"/>
    <mergeCell ref="Q43:Q44"/>
    <mergeCell ref="G45:H45"/>
    <mergeCell ref="G46:H46"/>
    <mergeCell ref="I47:J47"/>
    <mergeCell ref="I48:J48"/>
    <mergeCell ref="B49:B50"/>
    <mergeCell ref="B45:B46"/>
    <mergeCell ref="C45:C46"/>
    <mergeCell ref="Q45:Q46"/>
    <mergeCell ref="Q47:Q48"/>
    <mergeCell ref="B47:B48"/>
    <mergeCell ref="C47:C48"/>
    <mergeCell ref="B24:B25"/>
    <mergeCell ref="C24:C25"/>
    <mergeCell ref="B30:B31"/>
    <mergeCell ref="C30:C31"/>
    <mergeCell ref="B26:B27"/>
    <mergeCell ref="C26:C27"/>
    <mergeCell ref="Q40:Q41"/>
    <mergeCell ref="B40:B41"/>
    <mergeCell ref="C40:C41"/>
    <mergeCell ref="B2:D2"/>
    <mergeCell ref="B3:D3"/>
    <mergeCell ref="B4:D4"/>
    <mergeCell ref="B5:D5"/>
    <mergeCell ref="C7:D7"/>
    <mergeCell ref="N7:O7"/>
    <mergeCell ref="N9:O9"/>
    <mergeCell ref="Q38:Q39"/>
    <mergeCell ref="B36:B37"/>
    <mergeCell ref="C36:C37"/>
    <mergeCell ref="Q34:Q35"/>
    <mergeCell ref="Q36:Q37"/>
    <mergeCell ref="B34:B35"/>
    <mergeCell ref="C34:C35"/>
    <mergeCell ref="B18:B19"/>
    <mergeCell ref="B22:B23"/>
    <mergeCell ref="C22:C23"/>
    <mergeCell ref="Q22:Q23"/>
    <mergeCell ref="Q24:Q25"/>
    <mergeCell ref="Q30:Q31"/>
    <mergeCell ref="Q26:Q27"/>
    <mergeCell ref="Q28:Q29"/>
    <mergeCell ref="B20:B21"/>
    <mergeCell ref="C18:C19"/>
    <mergeCell ref="C38:C39"/>
    <mergeCell ref="K34:L34"/>
    <mergeCell ref="P7:Q7"/>
    <mergeCell ref="P9:Q9"/>
    <mergeCell ref="B14:B15"/>
    <mergeCell ref="C14:C15"/>
    <mergeCell ref="C20:C21"/>
    <mergeCell ref="Q20:Q21"/>
    <mergeCell ref="Q16:Q17"/>
    <mergeCell ref="B11:B12"/>
    <mergeCell ref="M12:P12"/>
    <mergeCell ref="B16:B17"/>
    <mergeCell ref="C16:C17"/>
    <mergeCell ref="E14:F14"/>
    <mergeCell ref="E15:F15"/>
    <mergeCell ref="E16:F16"/>
    <mergeCell ref="E17:F17"/>
    <mergeCell ref="Q14:Q15"/>
    <mergeCell ref="Q11:Q12"/>
    <mergeCell ref="D11:D12"/>
    <mergeCell ref="C11:C12"/>
    <mergeCell ref="K8:L8"/>
    <mergeCell ref="B9:C9"/>
    <mergeCell ref="Q18:Q19"/>
    <mergeCell ref="B53:B54"/>
    <mergeCell ref="C53:C54"/>
    <mergeCell ref="G22:H22"/>
    <mergeCell ref="G23:H23"/>
    <mergeCell ref="B32:B33"/>
    <mergeCell ref="C32:C33"/>
    <mergeCell ref="Q32:Q33"/>
    <mergeCell ref="J33:K33"/>
    <mergeCell ref="B28:B29"/>
    <mergeCell ref="C28:C29"/>
    <mergeCell ref="B43:B44"/>
    <mergeCell ref="C43:C44"/>
    <mergeCell ref="E43:F43"/>
    <mergeCell ref="E44:F44"/>
    <mergeCell ref="I24:J24"/>
    <mergeCell ref="I25:J25"/>
    <mergeCell ref="I26:J26"/>
    <mergeCell ref="I27:J27"/>
    <mergeCell ref="I28:J28"/>
    <mergeCell ref="I29:J29"/>
    <mergeCell ref="J30:K30"/>
    <mergeCell ref="J31:K31"/>
    <mergeCell ref="J32:K32"/>
    <mergeCell ref="B38:B39"/>
    <mergeCell ref="Q61:Q62"/>
    <mergeCell ref="B63:B64"/>
    <mergeCell ref="C63:C64"/>
    <mergeCell ref="Q63:Q64"/>
    <mergeCell ref="B59:B60"/>
    <mergeCell ref="C59:C60"/>
    <mergeCell ref="Q59:Q60"/>
    <mergeCell ref="B69:B70"/>
    <mergeCell ref="C69:C70"/>
    <mergeCell ref="Q69:Q70"/>
    <mergeCell ref="B61:B62"/>
    <mergeCell ref="C61:C62"/>
    <mergeCell ref="B72:B73"/>
    <mergeCell ref="C72:C73"/>
    <mergeCell ref="Q72:Q73"/>
    <mergeCell ref="B65:B66"/>
    <mergeCell ref="C65:C66"/>
    <mergeCell ref="Q65:Q66"/>
    <mergeCell ref="B67:B68"/>
    <mergeCell ref="C67:C68"/>
    <mergeCell ref="Q67:Q68"/>
    <mergeCell ref="O65:P65"/>
    <mergeCell ref="O66:P66"/>
    <mergeCell ref="O67:P67"/>
    <mergeCell ref="O68:P68"/>
    <mergeCell ref="O69:P69"/>
    <mergeCell ref="O70:P70"/>
    <mergeCell ref="C81:C82"/>
    <mergeCell ref="J81:K81"/>
    <mergeCell ref="Q81:Q82"/>
    <mergeCell ref="J82:K82"/>
    <mergeCell ref="B77:B78"/>
    <mergeCell ref="C77:C78"/>
    <mergeCell ref="I77:J77"/>
    <mergeCell ref="Q77:Q78"/>
    <mergeCell ref="I78:J78"/>
    <mergeCell ref="B81:B82"/>
    <mergeCell ref="B91:B92"/>
    <mergeCell ref="C91:C92"/>
    <mergeCell ref="Q91:Q92"/>
    <mergeCell ref="M56:N56"/>
    <mergeCell ref="M59:N59"/>
    <mergeCell ref="M60:N60"/>
    <mergeCell ref="O61:P61"/>
    <mergeCell ref="O62:P62"/>
    <mergeCell ref="O63:P63"/>
    <mergeCell ref="O64:P64"/>
    <mergeCell ref="B87:B88"/>
    <mergeCell ref="C87:C88"/>
    <mergeCell ref="Q87:Q88"/>
    <mergeCell ref="B89:B90"/>
    <mergeCell ref="C89:C90"/>
    <mergeCell ref="Q89:Q90"/>
    <mergeCell ref="B84:B85"/>
    <mergeCell ref="C84:C85"/>
    <mergeCell ref="E84:F84"/>
    <mergeCell ref="Q84:Q85"/>
    <mergeCell ref="E85:F85"/>
    <mergeCell ref="O87:P87"/>
    <mergeCell ref="O88:P88"/>
    <mergeCell ref="O89:P89"/>
    <mergeCell ref="G7:K7"/>
    <mergeCell ref="E7:F7"/>
    <mergeCell ref="E9:L9"/>
    <mergeCell ref="O91:P91"/>
    <mergeCell ref="O92:P92"/>
    <mergeCell ref="M89:N89"/>
    <mergeCell ref="M90:N90"/>
    <mergeCell ref="E11:P11"/>
    <mergeCell ref="F21:G21"/>
    <mergeCell ref="F20:G20"/>
    <mergeCell ref="F19:G19"/>
    <mergeCell ref="F18:G18"/>
    <mergeCell ref="I12:L12"/>
    <mergeCell ref="E12:H12"/>
    <mergeCell ref="O90:P90"/>
    <mergeCell ref="K35:L35"/>
    <mergeCell ref="K36:L36"/>
    <mergeCell ref="K37:L37"/>
    <mergeCell ref="M38:N38"/>
    <mergeCell ref="M39:N39"/>
    <mergeCell ref="N40:O40"/>
    <mergeCell ref="N41:O41"/>
  </mergeCells>
  <printOptions horizontalCentered="1"/>
  <pageMargins left="0.19685039370078741" right="0.19685039370078741" top="0.19685039370078741" bottom="0.98425196850393704" header="0.31496062992125984" footer="0.31496062992125984"/>
  <pageSetup paperSize="5" scale="50" fitToHeight="0" orientation="landscape" r:id="rId1"/>
  <rowBreaks count="1" manualBreakCount="1">
    <brk id="48" min="1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B1:T740"/>
  <sheetViews>
    <sheetView topLeftCell="A91" zoomScale="66" zoomScaleNormal="66" workbookViewId="0">
      <selection activeCell="D109" sqref="D109"/>
    </sheetView>
  </sheetViews>
  <sheetFormatPr baseColWidth="10" defaultRowHeight="14.4" x14ac:dyDescent="0.3"/>
  <cols>
    <col min="2" max="2" width="55.44140625" style="15" customWidth="1"/>
    <col min="3" max="3" width="11.44140625" style="15"/>
    <col min="4" max="4" width="15" style="14" customWidth="1"/>
    <col min="5" max="5" width="13.44140625" style="23" customWidth="1"/>
    <col min="6" max="6" width="15.33203125" style="16" customWidth="1"/>
    <col min="9" max="9" width="68.88671875" style="13" customWidth="1"/>
    <col min="10" max="10" width="14.33203125" style="15" customWidth="1"/>
    <col min="11" max="11" width="14" style="12" customWidth="1"/>
    <col min="12" max="12" width="15.44140625" style="19" customWidth="1"/>
    <col min="13" max="13" width="16.88671875" style="12" customWidth="1"/>
    <col min="16" max="16" width="69.109375" customWidth="1"/>
    <col min="17" max="17" width="15.33203125" customWidth="1"/>
    <col min="18" max="18" width="13.6640625" style="12" customWidth="1"/>
    <col min="19" max="19" width="13.109375" style="23" customWidth="1"/>
    <col min="20" max="20" width="16.44140625" style="12" customWidth="1"/>
  </cols>
  <sheetData>
    <row r="1" spans="2:20" s="20" customFormat="1" ht="24.75" customHeight="1" x14ac:dyDescent="0.25">
      <c r="B1" s="10" t="s">
        <v>5</v>
      </c>
      <c r="C1" s="10" t="s">
        <v>3</v>
      </c>
      <c r="D1" s="11" t="s">
        <v>168</v>
      </c>
      <c r="E1" s="10" t="s">
        <v>2</v>
      </c>
      <c r="F1" s="11" t="s">
        <v>8</v>
      </c>
      <c r="I1" s="18" t="s">
        <v>14</v>
      </c>
      <c r="J1" s="18" t="s">
        <v>3</v>
      </c>
      <c r="K1" s="11" t="s">
        <v>168</v>
      </c>
      <c r="L1" s="10" t="s">
        <v>2</v>
      </c>
      <c r="M1" s="11" t="s">
        <v>8</v>
      </c>
      <c r="P1" s="21" t="s">
        <v>174</v>
      </c>
      <c r="Q1" s="21" t="s">
        <v>3</v>
      </c>
      <c r="R1" s="22" t="s">
        <v>168</v>
      </c>
      <c r="S1" s="21" t="s">
        <v>2</v>
      </c>
      <c r="T1" s="22" t="s">
        <v>8</v>
      </c>
    </row>
    <row r="2" spans="2:20" x14ac:dyDescent="0.3">
      <c r="B2" s="8" t="s">
        <v>448</v>
      </c>
      <c r="C2" s="9" t="s">
        <v>25</v>
      </c>
      <c r="D2" s="14">
        <v>15</v>
      </c>
      <c r="E2" s="26">
        <f>ROUNDUP((+SUMIF(UNITARIOS!C:C,Tabla1[[#This Row],[MATERIALES]],UNITARIOS!E:E)),0)</f>
        <v>0</v>
      </c>
      <c r="F2" s="16">
        <f>Tabla1[[#This Row],[PRECIO]]*Tabla1[[#This Row],[CANTIDAD]]</f>
        <v>0</v>
      </c>
      <c r="I2" s="6" t="s">
        <v>397</v>
      </c>
      <c r="J2" s="9" t="s">
        <v>24</v>
      </c>
      <c r="K2" s="14">
        <v>20</v>
      </c>
      <c r="L2" s="26">
        <f>ROUNDUP((+SUMIF(UNITARIOS!C:C,Tabla2[[#This Row],[MANO DE OBRA]],UNITARIOS!E:E)),0)</f>
        <v>0</v>
      </c>
      <c r="M2" s="14">
        <f>Tabla2[[#This Row],[PRECIO]]*Tabla2[[#This Row],[CANTIDAD]]</f>
        <v>0</v>
      </c>
      <c r="P2" s="6" t="s">
        <v>209</v>
      </c>
      <c r="Q2" s="33" t="s">
        <v>210</v>
      </c>
      <c r="R2" s="34">
        <v>200</v>
      </c>
      <c r="S2" s="35">
        <f>ROUNDUP((+SUMIF(UNITARIOS!C:C,Tabla3[[#This Row],[EQUIPO]],UNITARIOS!E:E)),0)</f>
        <v>6</v>
      </c>
      <c r="T2" s="34">
        <f>Tabla3[[#This Row],[PRECIO]]*Tabla3[[#This Row],[CANTIDAD]]</f>
        <v>1200</v>
      </c>
    </row>
    <row r="3" spans="2:20" x14ac:dyDescent="0.3">
      <c r="B3" s="8" t="s">
        <v>241</v>
      </c>
      <c r="C3" s="9" t="s">
        <v>25</v>
      </c>
      <c r="D3" s="14">
        <v>10</v>
      </c>
      <c r="E3" s="26">
        <f>ROUNDUP((+SUMIF(UNITARIOS!C:C,Tabla1[[#This Row],[MATERIALES]],UNITARIOS!E:E)),0)</f>
        <v>0</v>
      </c>
      <c r="F3" s="16">
        <f>Tabla1[[#This Row],[PRECIO]]*Tabla1[[#This Row],[CANTIDAD]]</f>
        <v>0</v>
      </c>
      <c r="I3" s="6" t="s">
        <v>331</v>
      </c>
      <c r="J3" s="9" t="s">
        <v>24</v>
      </c>
      <c r="K3" s="14">
        <v>50</v>
      </c>
      <c r="L3" s="26">
        <f>ROUNDUP((+SUMIF(UNITARIOS!C:C,Tabla2[[#This Row],[MANO DE OBRA]],UNITARIOS!E:E)),0)</f>
        <v>0</v>
      </c>
      <c r="M3" s="14">
        <f>Tabla2[[#This Row],[PRECIO]]*Tabla2[[#This Row],[CANTIDAD]]</f>
        <v>0</v>
      </c>
      <c r="P3" s="6" t="s">
        <v>143</v>
      </c>
      <c r="Q3" s="7" t="s">
        <v>171</v>
      </c>
      <c r="R3" s="12">
        <v>150</v>
      </c>
      <c r="S3" s="26">
        <f>ROUNDUP((+SUMIF(UNITARIOS!C:C,Tabla3[[#This Row],[EQUIPO]],UNITARIOS!E:E)),0)</f>
        <v>0</v>
      </c>
      <c r="T3" s="12">
        <f>Tabla3[[#This Row],[PRECIO]]*Tabla3[[#This Row],[CANTIDAD]]</f>
        <v>0</v>
      </c>
    </row>
    <row r="4" spans="2:20" x14ac:dyDescent="0.3">
      <c r="B4" s="8" t="s">
        <v>260</v>
      </c>
      <c r="C4" s="9" t="s">
        <v>25</v>
      </c>
      <c r="D4" s="14">
        <v>5</v>
      </c>
      <c r="E4" s="26">
        <f>ROUNDUP((+SUMIF(UNITARIOS!C:C,Tabla1[[#This Row],[MATERIALES]],UNITARIOS!E:E)),0)</f>
        <v>144</v>
      </c>
      <c r="F4" s="16">
        <f>Tabla1[[#This Row],[PRECIO]]*Tabla1[[#This Row],[CANTIDAD]]</f>
        <v>720</v>
      </c>
      <c r="I4" s="6" t="s">
        <v>586</v>
      </c>
      <c r="J4" s="9" t="s">
        <v>24</v>
      </c>
      <c r="K4" s="14">
        <v>20</v>
      </c>
      <c r="L4" s="26">
        <f>ROUNDUP((+SUMIF(UNITARIOS!C:C,Tabla2[[#This Row],[MANO DE OBRA]],UNITARIOS!E:E)),0)</f>
        <v>183</v>
      </c>
      <c r="M4" s="14">
        <f>Tabla2[[#This Row],[PRECIO]]*Tabla2[[#This Row],[CANTIDAD]]</f>
        <v>3660</v>
      </c>
      <c r="P4" s="6" t="s">
        <v>190</v>
      </c>
      <c r="Q4" s="7" t="s">
        <v>191</v>
      </c>
      <c r="R4" s="12">
        <v>200</v>
      </c>
      <c r="S4" s="25">
        <f>ROUNDUP((+SUMIF(UNITARIOS!C:C,Tabla3[[#This Row],[EQUIPO]],UNITARIOS!E:E)),0)</f>
        <v>20</v>
      </c>
      <c r="T4" s="12">
        <f>Tabla3[[#This Row],[PRECIO]]*Tabla3[[#This Row],[CANTIDAD]]</f>
        <v>4000</v>
      </c>
    </row>
    <row r="5" spans="2:20" x14ac:dyDescent="0.3">
      <c r="B5" s="8" t="s">
        <v>434</v>
      </c>
      <c r="C5" s="9" t="s">
        <v>25</v>
      </c>
      <c r="D5" s="14">
        <v>10</v>
      </c>
      <c r="E5" s="26">
        <f>ROUNDUP((+SUMIF(UNITARIOS!C:C,Tabla1[[#This Row],[MATERIALES]],UNITARIOS!E:E)),0)</f>
        <v>0</v>
      </c>
      <c r="F5" s="16">
        <f>Tabla1[[#This Row],[PRECIO]]*Tabla1[[#This Row],[CANTIDAD]]</f>
        <v>0</v>
      </c>
      <c r="I5" s="6" t="s">
        <v>187</v>
      </c>
      <c r="J5" s="9" t="s">
        <v>24</v>
      </c>
      <c r="K5" s="14">
        <v>10</v>
      </c>
      <c r="L5" s="26">
        <f>ROUNDUP((+SUMIF(UNITARIOS!C:C,Tabla2[[#This Row],[MANO DE OBRA]],UNITARIOS!E:E)),0)</f>
        <v>569</v>
      </c>
      <c r="M5" s="14">
        <f>Tabla2[[#This Row],[PRECIO]]*Tabla2[[#This Row],[CANTIDAD]]</f>
        <v>5690</v>
      </c>
      <c r="P5" s="6" t="s">
        <v>173</v>
      </c>
      <c r="Q5" s="7" t="s">
        <v>171</v>
      </c>
      <c r="R5" s="12">
        <v>450</v>
      </c>
      <c r="S5" s="25">
        <f>ROUNDUP((+SUMIF(UNITARIOS!C:C,Tabla3[[#This Row],[EQUIPO]],UNITARIOS!E:E)),0)</f>
        <v>0</v>
      </c>
      <c r="T5" s="12">
        <f>Tabla3[[#This Row],[PRECIO]]*Tabla3[[#This Row],[CANTIDAD]]</f>
        <v>0</v>
      </c>
    </row>
    <row r="6" spans="2:20" x14ac:dyDescent="0.3">
      <c r="B6" s="8" t="s">
        <v>432</v>
      </c>
      <c r="C6" s="9" t="s">
        <v>25</v>
      </c>
      <c r="D6" s="14">
        <v>50</v>
      </c>
      <c r="E6" s="26">
        <f>ROUNDUP((+SUMIF(UNITARIOS!C:C,Tabla1[[#This Row],[MATERIALES]],UNITARIOS!E:E)),0)</f>
        <v>0</v>
      </c>
      <c r="F6" s="16">
        <f>Tabla1[[#This Row],[PRECIO]]*Tabla1[[#This Row],[CANTIDAD]]</f>
        <v>0</v>
      </c>
      <c r="I6" s="6" t="s">
        <v>578</v>
      </c>
      <c r="J6" s="9" t="s">
        <v>72</v>
      </c>
      <c r="K6" s="14">
        <v>100</v>
      </c>
      <c r="L6" s="26">
        <f>ROUNDUP((+SUMIF(UNITARIOS!C:C,Tabla2[[#This Row],[MANO DE OBRA]],UNITARIOS!E:E)),0)</f>
        <v>14</v>
      </c>
      <c r="M6" s="14">
        <f>Tabla2[[#This Row],[PRECIO]]*Tabla2[[#This Row],[CANTIDAD]]</f>
        <v>1400</v>
      </c>
      <c r="P6" s="6" t="s">
        <v>70</v>
      </c>
      <c r="Q6" s="7" t="s">
        <v>171</v>
      </c>
      <c r="R6" s="12">
        <v>200</v>
      </c>
      <c r="S6" s="25">
        <f>ROUNDUP((+SUMIF(UNITARIOS!C:C,Tabla3[[#This Row],[EQUIPO]],UNITARIOS!E:E)),0)</f>
        <v>0</v>
      </c>
      <c r="T6" s="12">
        <f>Tabla3[[#This Row],[PRECIO]]*Tabla3[[#This Row],[CANTIDAD]]</f>
        <v>0</v>
      </c>
    </row>
    <row r="7" spans="2:20" x14ac:dyDescent="0.3">
      <c r="B7" s="8" t="s">
        <v>169</v>
      </c>
      <c r="C7" s="9" t="s">
        <v>62</v>
      </c>
      <c r="D7" s="14">
        <v>40</v>
      </c>
      <c r="E7" s="26">
        <f>ROUNDUP((+SUMIF(UNITARIOS!C:C,Tabla1[[#This Row],[MATERIALES]],UNITARIOS!E:E)),0)</f>
        <v>319</v>
      </c>
      <c r="F7" s="16">
        <f>Tabla1[[#This Row],[PRECIO]]*Tabla1[[#This Row],[CANTIDAD]]</f>
        <v>12760</v>
      </c>
      <c r="I7" s="6" t="s">
        <v>451</v>
      </c>
      <c r="J7" s="9" t="s">
        <v>25</v>
      </c>
      <c r="K7" s="14">
        <v>75</v>
      </c>
      <c r="L7" s="26">
        <f>ROUNDUP((+SUMIF(UNITARIOS!C:C,Tabla2[[#This Row],[MANO DE OBRA]],UNITARIOS!E:E)),0)</f>
        <v>39</v>
      </c>
      <c r="M7" s="14">
        <f>Tabla2[[#This Row],[PRECIO]]*Tabla2[[#This Row],[CANTIDAD]]</f>
        <v>2925</v>
      </c>
      <c r="P7" s="6" t="s">
        <v>185</v>
      </c>
      <c r="Q7" s="7" t="s">
        <v>171</v>
      </c>
      <c r="R7" s="12">
        <v>500</v>
      </c>
      <c r="S7" s="25">
        <f>ROUNDUP((+SUMIF(UNITARIOS!C:C,Tabla3[[#This Row],[EQUIPO]],UNITARIOS!E:E)),0)</f>
        <v>0</v>
      </c>
      <c r="T7" s="12">
        <f>Tabla3[[#This Row],[PRECIO]]*Tabla3[[#This Row],[CANTIDAD]]</f>
        <v>0</v>
      </c>
    </row>
    <row r="8" spans="2:20" x14ac:dyDescent="0.3">
      <c r="B8" s="8" t="s">
        <v>170</v>
      </c>
      <c r="C8" s="9" t="s">
        <v>62</v>
      </c>
      <c r="D8" s="14">
        <v>70</v>
      </c>
      <c r="E8" s="26">
        <f>ROUNDUP((+SUMIF(UNITARIOS!C:C,Tabla1[[#This Row],[MATERIALES]],UNITARIOS!E:E)),0)</f>
        <v>6</v>
      </c>
      <c r="F8" s="16">
        <f>Tabla1[[#This Row],[PRECIO]]*Tabla1[[#This Row],[CANTIDAD]]</f>
        <v>420</v>
      </c>
      <c r="I8" s="6" t="s">
        <v>421</v>
      </c>
      <c r="J8" s="62" t="s">
        <v>72</v>
      </c>
      <c r="K8" s="63">
        <v>100</v>
      </c>
      <c r="L8" s="64">
        <f>ROUNDUP((+SUMIF(UNITARIOS!C:C,Tabla2[[#This Row],[MANO DE OBRA]],UNITARIOS!E:E)),0)</f>
        <v>53</v>
      </c>
      <c r="M8" s="63">
        <f>Tabla2[[#This Row],[PRECIO]]*Tabla2[[#This Row],[CANTIDAD]]</f>
        <v>5300</v>
      </c>
      <c r="P8" s="6" t="s">
        <v>172</v>
      </c>
      <c r="Q8" s="7" t="s">
        <v>171</v>
      </c>
      <c r="R8" s="12">
        <v>650</v>
      </c>
      <c r="S8" s="25">
        <f>ROUNDUP((+SUMIF(UNITARIOS!C:C,Tabla3[[#This Row],[EQUIPO]],UNITARIOS!E:E)),0)</f>
        <v>0</v>
      </c>
      <c r="T8" s="12">
        <f>Tabla3[[#This Row],[PRECIO]]*Tabla3[[#This Row],[CANTIDAD]]</f>
        <v>0</v>
      </c>
    </row>
    <row r="9" spans="2:20" x14ac:dyDescent="0.3">
      <c r="B9" s="65" t="s">
        <v>401</v>
      </c>
      <c r="C9" s="62" t="s">
        <v>62</v>
      </c>
      <c r="D9" s="63">
        <v>100</v>
      </c>
      <c r="E9" s="64">
        <f>ROUNDUP((+SUMIF(UNITARIOS!C:C,Tabla1[[#This Row],[MATERIALES]],UNITARIOS!E:E)),0)</f>
        <v>17</v>
      </c>
      <c r="F9" s="66">
        <f>Tabla1[[#This Row],[PRECIO]]*Tabla1[[#This Row],[CANTIDAD]]</f>
        <v>1700</v>
      </c>
      <c r="I9" s="6" t="s">
        <v>577</v>
      </c>
      <c r="J9" s="9" t="s">
        <v>24</v>
      </c>
      <c r="K9" s="14">
        <v>120</v>
      </c>
      <c r="L9" s="26">
        <f>ROUNDUP((+SUMIF(UNITARIOS!C:C,Tabla2[[#This Row],[MANO DE OBRA]],UNITARIOS!E:E)),0)</f>
        <v>33</v>
      </c>
      <c r="M9" s="14">
        <f>Tabla2[[#This Row],[PRECIO]]*Tabla2[[#This Row],[CANTIDAD]]</f>
        <v>3960</v>
      </c>
      <c r="P9" s="6" t="s">
        <v>128</v>
      </c>
      <c r="Q9" s="7" t="s">
        <v>171</v>
      </c>
      <c r="R9" s="12">
        <v>200</v>
      </c>
      <c r="S9" s="25">
        <f>ROUNDUP((+SUMIF(UNITARIOS!C:C,Tabla3[[#This Row],[EQUIPO]],UNITARIOS!E:E)),0)</f>
        <v>0</v>
      </c>
      <c r="T9" s="12">
        <f>Tabla3[[#This Row],[PRECIO]]*Tabla3[[#This Row],[CANTIDAD]]</f>
        <v>0</v>
      </c>
    </row>
    <row r="10" spans="2:20" x14ac:dyDescent="0.3">
      <c r="B10" s="8" t="s">
        <v>313</v>
      </c>
      <c r="C10" s="9" t="s">
        <v>62</v>
      </c>
      <c r="D10" s="14">
        <v>20</v>
      </c>
      <c r="E10" s="26">
        <f>ROUNDUP((+SUMIF(UNITARIOS!C:C,Tabla1[[#This Row],[MATERIALES]],UNITARIOS!E:E)),0)</f>
        <v>775</v>
      </c>
      <c r="F10" s="16">
        <f>Tabla1[[#This Row],[PRECIO]]*Tabla1[[#This Row],[CANTIDAD]]</f>
        <v>15500</v>
      </c>
      <c r="I10" s="61" t="s">
        <v>400</v>
      </c>
      <c r="J10" s="62" t="s">
        <v>72</v>
      </c>
      <c r="K10" s="63">
        <v>50</v>
      </c>
      <c r="L10" s="64">
        <f>ROUNDUP((+SUMIF(UNITARIOS!C:C,Tabla2[[#This Row],[MANO DE OBRA]],UNITARIOS!E:E)),0)</f>
        <v>0</v>
      </c>
      <c r="M10" s="63">
        <f>Tabla2[[#This Row],[PRECIO]]*Tabla2[[#This Row],[CANTIDAD]]</f>
        <v>0</v>
      </c>
      <c r="P10" s="6" t="s">
        <v>572</v>
      </c>
      <c r="Q10" s="7" t="s">
        <v>25</v>
      </c>
      <c r="R10" s="12">
        <v>150</v>
      </c>
      <c r="S10" s="25">
        <f>ROUNDUP((+SUMIF(UNITARIOS!C:C,Tabla3[[#This Row],[EQUIPO]],UNITARIOS!E:E)),0)</f>
        <v>0</v>
      </c>
      <c r="T10" s="12">
        <f>Tabla3[[#This Row],[PRECIO]]*Tabla3[[#This Row],[CANTIDAD]]</f>
        <v>0</v>
      </c>
    </row>
    <row r="11" spans="2:20" x14ac:dyDescent="0.3">
      <c r="B11" s="8" t="s">
        <v>68</v>
      </c>
      <c r="C11" s="9" t="s">
        <v>63</v>
      </c>
      <c r="D11" s="14">
        <v>30</v>
      </c>
      <c r="E11" s="26">
        <f>ROUNDUP((+SUMIF(UNITARIOS!C:C,Tabla1[[#This Row],[MATERIALES]],UNITARIOS!E:E)),0)</f>
        <v>0</v>
      </c>
      <c r="F11" s="16">
        <f>Tabla1[[#This Row],[PRECIO]]*Tabla1[[#This Row],[CANTIDAD]]</f>
        <v>0</v>
      </c>
      <c r="I11" s="6" t="s">
        <v>424</v>
      </c>
      <c r="J11" s="9" t="s">
        <v>72</v>
      </c>
      <c r="K11" s="14">
        <v>50</v>
      </c>
      <c r="L11" s="26">
        <f>ROUNDUP((+SUMIF(UNITARIOS!C:C,Tabla2[[#This Row],[MANO DE OBRA]],UNITARIOS!E:E)),0)</f>
        <v>113</v>
      </c>
      <c r="M11" s="14">
        <f>Tabla2[[#This Row],[PRECIO]]*Tabla2[[#This Row],[CANTIDAD]]</f>
        <v>5650</v>
      </c>
      <c r="P11" s="6"/>
      <c r="Q11" s="7"/>
    </row>
    <row r="12" spans="2:20" x14ac:dyDescent="0.3">
      <c r="B12" s="8" t="s">
        <v>117</v>
      </c>
      <c r="C12" s="9" t="s">
        <v>25</v>
      </c>
      <c r="D12" s="14">
        <v>20</v>
      </c>
      <c r="E12" s="26">
        <f>ROUNDUP((+SUMIF(UNITARIOS!C:C,Tabla1[[#This Row],[MATERIALES]],UNITARIOS!E:E)),0)</f>
        <v>0</v>
      </c>
      <c r="F12" s="16">
        <f>Tabla1[[#This Row],[PRECIO]]*Tabla1[[#This Row],[CANTIDAD]]</f>
        <v>0</v>
      </c>
      <c r="I12" s="6" t="s">
        <v>576</v>
      </c>
      <c r="J12" s="9" t="s">
        <v>72</v>
      </c>
      <c r="K12" s="14">
        <v>70</v>
      </c>
      <c r="L12" s="26">
        <f>ROUNDUP((+SUMIF(UNITARIOS!C:C,Tabla2[[#This Row],[MANO DE OBRA]],UNITARIOS!E:E)),0)</f>
        <v>37</v>
      </c>
      <c r="M12" s="14">
        <f>Tabla2[[#This Row],[PRECIO]]*Tabla2[[#This Row],[CANTIDAD]]</f>
        <v>2590</v>
      </c>
      <c r="P12" s="6"/>
      <c r="Q12" s="7"/>
    </row>
    <row r="13" spans="2:20" x14ac:dyDescent="0.3">
      <c r="B13" s="8" t="s">
        <v>107</v>
      </c>
      <c r="C13" s="9" t="s">
        <v>25</v>
      </c>
      <c r="D13" s="14">
        <v>5</v>
      </c>
      <c r="E13" s="26">
        <f>ROUNDUP((+SUMIF(UNITARIOS!C:C,Tabla1[[#This Row],[MATERIALES]],UNITARIOS!E:E)),0)</f>
        <v>0</v>
      </c>
      <c r="F13" s="16">
        <f>Tabla1[[#This Row],[PRECIO]]*Tabla1[[#This Row],[CANTIDAD]]</f>
        <v>0</v>
      </c>
      <c r="I13" s="61" t="s">
        <v>398</v>
      </c>
      <c r="J13" s="62" t="s">
        <v>25</v>
      </c>
      <c r="K13" s="63">
        <v>66</v>
      </c>
      <c r="L13" s="64">
        <f>ROUNDUP((+SUMIF(UNITARIOS!C:C,Tabla2[[#This Row],[MANO DE OBRA]],UNITARIOS!E:E)),0)</f>
        <v>0</v>
      </c>
      <c r="M13" s="63">
        <f>Tabla2[[#This Row],[PRECIO]]*Tabla2[[#This Row],[CANTIDAD]]</f>
        <v>0</v>
      </c>
      <c r="P13" s="6"/>
      <c r="Q13" s="7"/>
    </row>
    <row r="14" spans="2:20" x14ac:dyDescent="0.3">
      <c r="B14" s="8" t="s">
        <v>110</v>
      </c>
      <c r="C14" s="9" t="s">
        <v>25</v>
      </c>
      <c r="D14" s="14">
        <v>4</v>
      </c>
      <c r="E14" s="26">
        <f>ROUNDUP((+SUMIF(UNITARIOS!C:C,Tabla1[[#This Row],[MATERIALES]],UNITARIOS!E:E)),0)</f>
        <v>0</v>
      </c>
      <c r="F14" s="16">
        <f>Tabla1[[#This Row],[PRECIO]]*Tabla1[[#This Row],[CANTIDAD]]</f>
        <v>0</v>
      </c>
      <c r="I14" s="27" t="s">
        <v>350</v>
      </c>
      <c r="J14" s="9" t="s">
        <v>24</v>
      </c>
      <c r="K14" s="14">
        <v>20</v>
      </c>
      <c r="L14" s="30">
        <f>ROUNDUP((+SUMIF(UNITARIOS!C:C,Tabla2[[#This Row],[MANO DE OBRA]],UNITARIOS!E:E)),0)</f>
        <v>0</v>
      </c>
      <c r="M14" s="29">
        <f>Tabla2[[#This Row],[PRECIO]]*Tabla2[[#This Row],[CANTIDAD]]</f>
        <v>0</v>
      </c>
      <c r="P14" s="6"/>
      <c r="Q14" s="7"/>
    </row>
    <row r="15" spans="2:20" x14ac:dyDescent="0.3">
      <c r="B15" s="8" t="s">
        <v>139</v>
      </c>
      <c r="C15" s="9" t="s">
        <v>25</v>
      </c>
      <c r="D15" s="14">
        <v>5</v>
      </c>
      <c r="E15" s="26">
        <f>ROUNDUP((+SUMIF(UNITARIOS!C:C,Tabla1[[#This Row],[MATERIALES]],UNITARIOS!E:E)),0)</f>
        <v>0</v>
      </c>
      <c r="F15" s="16">
        <f>Tabla1[[#This Row],[PRECIO]]*Tabla1[[#This Row],[CANTIDAD]]</f>
        <v>0</v>
      </c>
      <c r="I15" s="238" t="s">
        <v>599</v>
      </c>
      <c r="J15" s="9" t="s">
        <v>24</v>
      </c>
      <c r="K15" s="235">
        <v>100</v>
      </c>
      <c r="L15" s="236">
        <f>ROUNDUP((+SUMIF(UNITARIOS!C:C,Tabla2[[#This Row],[MANO DE OBRA]],UNITARIOS!E:E)),0)</f>
        <v>177</v>
      </c>
      <c r="M15" s="235">
        <f>Tabla2[[#This Row],[PRECIO]]*Tabla2[[#This Row],[CANTIDAD]]</f>
        <v>17700</v>
      </c>
      <c r="P15" s="6"/>
      <c r="Q15" s="7"/>
    </row>
    <row r="16" spans="2:20" x14ac:dyDescent="0.3">
      <c r="B16" s="8" t="s">
        <v>146</v>
      </c>
      <c r="C16" s="9" t="s">
        <v>25</v>
      </c>
      <c r="D16" s="14">
        <v>2</v>
      </c>
      <c r="E16" s="26">
        <f>ROUNDUP((+SUMIF(UNITARIOS!C:C,Tabla1[[#This Row],[MATERIALES]],UNITARIOS!E:E)),0)</f>
        <v>0</v>
      </c>
      <c r="F16" s="16">
        <f>Tabla1[[#This Row],[PRECIO]]*Tabla1[[#This Row],[CANTIDAD]]</f>
        <v>0</v>
      </c>
      <c r="I16" s="6" t="s">
        <v>359</v>
      </c>
      <c r="J16" s="9" t="s">
        <v>25</v>
      </c>
      <c r="K16" s="14">
        <v>300</v>
      </c>
      <c r="L16" s="26">
        <f>ROUNDUP((+SUMIF(UNITARIOS!C:C,Tabla2[[#This Row],[MANO DE OBRA]],UNITARIOS!E:E)),0)</f>
        <v>0</v>
      </c>
      <c r="M16" s="14">
        <f>Tabla2[[#This Row],[PRECIO]]*Tabla2[[#This Row],[CANTIDAD]]</f>
        <v>0</v>
      </c>
      <c r="P16" s="6"/>
      <c r="Q16" s="7"/>
    </row>
    <row r="17" spans="2:17" x14ac:dyDescent="0.3">
      <c r="B17" s="8" t="s">
        <v>108</v>
      </c>
      <c r="C17" s="9" t="s">
        <v>25</v>
      </c>
      <c r="D17" s="14">
        <v>2.5</v>
      </c>
      <c r="E17" s="26">
        <f>ROUNDUP((+SUMIF(UNITARIOS!C:C,Tabla1[[#This Row],[MATERIALES]],UNITARIOS!E:E)),0)</f>
        <v>0</v>
      </c>
      <c r="F17" s="16">
        <f>Tabla1[[#This Row],[PRECIO]]*Tabla1[[#This Row],[CANTIDAD]]</f>
        <v>0</v>
      </c>
      <c r="I17" s="6" t="s">
        <v>216</v>
      </c>
      <c r="J17" s="9" t="s">
        <v>24</v>
      </c>
      <c r="K17" s="14">
        <v>100</v>
      </c>
      <c r="L17" s="26">
        <f>ROUNDUP((+SUMIF(UNITARIOS!C:C,Tabla2[[#This Row],[MANO DE OBRA]],UNITARIOS!E:E)),0)</f>
        <v>246</v>
      </c>
      <c r="M17" s="14">
        <f>Tabla2[[#This Row],[PRECIO]]*Tabla2[[#This Row],[CANTIDAD]]</f>
        <v>24600</v>
      </c>
      <c r="P17" s="6"/>
      <c r="Q17" s="7"/>
    </row>
    <row r="18" spans="2:17" x14ac:dyDescent="0.3">
      <c r="B18" s="8" t="s">
        <v>129</v>
      </c>
      <c r="C18" s="9" t="s">
        <v>25</v>
      </c>
      <c r="D18" s="14">
        <v>6</v>
      </c>
      <c r="E18" s="26">
        <f>ROUNDUP((+SUMIF(UNITARIOS!C:C,Tabla1[[#This Row],[MATERIALES]],UNITARIOS!E:E)),0)</f>
        <v>0</v>
      </c>
      <c r="F18" s="16">
        <f>Tabla1[[#This Row],[PRECIO]]*Tabla1[[#This Row],[CANTIDAD]]</f>
        <v>0</v>
      </c>
      <c r="I18" s="6" t="s">
        <v>585</v>
      </c>
      <c r="J18" s="9" t="s">
        <v>72</v>
      </c>
      <c r="K18" s="14">
        <v>60</v>
      </c>
      <c r="L18" s="26">
        <f>ROUNDUP((+SUMIF(UNITARIOS!C:C,Tabla2[[#This Row],[MANO DE OBRA]],UNITARIOS!E:E)),0)</f>
        <v>6</v>
      </c>
      <c r="M18" s="14">
        <f>Tabla2[[#This Row],[PRECIO]]*Tabla2[[#This Row],[CANTIDAD]]</f>
        <v>360</v>
      </c>
      <c r="P18" s="6"/>
      <c r="Q18" s="7"/>
    </row>
    <row r="19" spans="2:17" x14ac:dyDescent="0.3">
      <c r="B19" s="8" t="s">
        <v>135</v>
      </c>
      <c r="C19" s="9" t="s">
        <v>25</v>
      </c>
      <c r="D19" s="14">
        <v>5.5</v>
      </c>
      <c r="E19" s="26">
        <f>ROUNDUP((+SUMIF(UNITARIOS!C:C,Tabla1[[#This Row],[MATERIALES]],UNITARIOS!E:E)),0)</f>
        <v>0</v>
      </c>
      <c r="F19" s="16">
        <f>Tabla1[[#This Row],[PRECIO]]*Tabla1[[#This Row],[CANTIDAD]]</f>
        <v>0</v>
      </c>
      <c r="I19" s="6" t="s">
        <v>574</v>
      </c>
      <c r="J19" s="9" t="s">
        <v>24</v>
      </c>
      <c r="K19" s="14">
        <v>40</v>
      </c>
      <c r="L19" s="26">
        <f>ROUNDUP((+SUMIF(UNITARIOS!C:C,Tabla2[[#This Row],[MANO DE OBRA]],UNITARIOS!E:E)),0)</f>
        <v>7</v>
      </c>
      <c r="M19" s="14">
        <f>Tabla2[[#This Row],[PRECIO]]*Tabla2[[#This Row],[CANTIDAD]]</f>
        <v>280</v>
      </c>
      <c r="P19" s="6"/>
      <c r="Q19" s="7"/>
    </row>
    <row r="20" spans="2:17" x14ac:dyDescent="0.3">
      <c r="B20" s="8" t="s">
        <v>167</v>
      </c>
      <c r="C20" s="9" t="s">
        <v>65</v>
      </c>
      <c r="D20" s="14">
        <v>50</v>
      </c>
      <c r="E20" s="26">
        <f>ROUNDUP((+SUMIF(UNITARIOS!C:C,Tabla1[[#This Row],[MATERIALES]],UNITARIOS!E:E)),0)</f>
        <v>0</v>
      </c>
      <c r="F20" s="16">
        <f>Tabla1[[#This Row],[PRECIO]]*Tabla1[[#This Row],[CANTIDAD]]</f>
        <v>0</v>
      </c>
      <c r="I20" s="6" t="s">
        <v>396</v>
      </c>
      <c r="J20" s="9" t="s">
        <v>24</v>
      </c>
      <c r="K20" s="14">
        <v>100</v>
      </c>
      <c r="L20" s="26">
        <f>ROUNDUP((+SUMIF(UNITARIOS!C:C,Tabla2[[#This Row],[MANO DE OBRA]],UNITARIOS!E:E)),0)</f>
        <v>37</v>
      </c>
      <c r="M20" s="14">
        <f>Tabla2[[#This Row],[PRECIO]]*Tabla2[[#This Row],[CANTIDAD]]</f>
        <v>3700</v>
      </c>
      <c r="P20" s="6"/>
      <c r="Q20" s="7"/>
    </row>
    <row r="21" spans="2:17" x14ac:dyDescent="0.3">
      <c r="B21" s="8" t="s">
        <v>369</v>
      </c>
      <c r="C21" s="9" t="s">
        <v>67</v>
      </c>
      <c r="D21" s="14">
        <v>8</v>
      </c>
      <c r="E21" s="26">
        <f>ROUNDUP((+SUMIF(UNITARIOS!C:C,Tabla1[[#This Row],[MATERIALES]],UNITARIOS!E:E)),0)</f>
        <v>136</v>
      </c>
      <c r="F21" s="16">
        <f>Tabla1[[#This Row],[PRECIO]]*Tabla1[[#This Row],[CANTIDAD]]</f>
        <v>1088</v>
      </c>
      <c r="I21" s="61" t="s">
        <v>407</v>
      </c>
      <c r="J21" s="62" t="s">
        <v>25</v>
      </c>
      <c r="K21" s="63">
        <v>700</v>
      </c>
      <c r="L21" s="64">
        <f>ROUNDUP((+SUMIF(UNITARIOS!C:C,Tabla2[[#This Row],[MANO DE OBRA]],UNITARIOS!E:E)),0)</f>
        <v>1</v>
      </c>
      <c r="M21" s="63">
        <f>Tabla2[[#This Row],[PRECIO]]*Tabla2[[#This Row],[CANTIDAD]]</f>
        <v>700</v>
      </c>
      <c r="P21" s="6"/>
      <c r="Q21" s="7"/>
    </row>
    <row r="22" spans="2:17" x14ac:dyDescent="0.3">
      <c r="B22" s="8" t="s">
        <v>104</v>
      </c>
      <c r="C22" s="9" t="s">
        <v>67</v>
      </c>
      <c r="D22" s="14">
        <v>12</v>
      </c>
      <c r="E22" s="26">
        <f>ROUNDUP((+SUMIF(UNITARIOS!C:C,Tabla1[[#This Row],[MATERIALES]],UNITARIOS!E:E)),0)</f>
        <v>0</v>
      </c>
      <c r="F22" s="16">
        <f>Tabla1[[#This Row],[PRECIO]]*Tabla1[[#This Row],[CANTIDAD]]</f>
        <v>0</v>
      </c>
      <c r="I22" s="27" t="s">
        <v>348</v>
      </c>
      <c r="J22" s="28" t="s">
        <v>25</v>
      </c>
      <c r="K22" s="29">
        <v>19592.400000000001</v>
      </c>
      <c r="L22" s="30">
        <f>ROUNDUP((+SUMIF(UNITARIOS!C:C,Tabla2[[#This Row],[MANO DE OBRA]],UNITARIOS!E:E)),0)</f>
        <v>0</v>
      </c>
      <c r="M22" s="29">
        <f>Tabla2[[#This Row],[PRECIO]]*Tabla2[[#This Row],[CANTIDAD]]</f>
        <v>0</v>
      </c>
      <c r="P22" s="6"/>
      <c r="Q22" s="7"/>
    </row>
    <row r="23" spans="2:17" x14ac:dyDescent="0.3">
      <c r="B23" s="8" t="s">
        <v>99</v>
      </c>
      <c r="C23" s="9" t="s">
        <v>25</v>
      </c>
      <c r="D23" s="14">
        <v>35</v>
      </c>
      <c r="E23" s="26">
        <f>ROUNDUP((+SUMIF(UNITARIOS!C:C,Tabla1[[#This Row],[MATERIALES]],UNITARIOS!E:E)),0)</f>
        <v>0</v>
      </c>
      <c r="F23" s="16">
        <f>Tabla1[[#This Row],[PRECIO]]*Tabla1[[#This Row],[CANTIDAD]]</f>
        <v>0</v>
      </c>
      <c r="I23" s="6" t="s">
        <v>340</v>
      </c>
      <c r="J23" s="9" t="s">
        <v>25</v>
      </c>
      <c r="K23" s="14">
        <v>15000</v>
      </c>
      <c r="L23" s="26">
        <f>ROUNDUP((+SUMIF(UNITARIOS!C:C,Tabla2[[#This Row],[MANO DE OBRA]],UNITARIOS!E:E)),0)</f>
        <v>0</v>
      </c>
      <c r="M23" s="14">
        <f>Tabla2[[#This Row],[PRECIO]]*Tabla2[[#This Row],[CANTIDAD]]</f>
        <v>0</v>
      </c>
      <c r="P23" s="6"/>
      <c r="Q23" s="7"/>
    </row>
    <row r="24" spans="2:17" x14ac:dyDescent="0.3">
      <c r="B24" s="8" t="s">
        <v>100</v>
      </c>
      <c r="C24" s="9" t="s">
        <v>25</v>
      </c>
      <c r="D24" s="14">
        <v>60</v>
      </c>
      <c r="E24" s="26">
        <f>ROUNDUP((+SUMIF(UNITARIOS!C:C,Tabla1[[#This Row],[MATERIALES]],UNITARIOS!E:E)),0)</f>
        <v>0</v>
      </c>
      <c r="F24" s="16">
        <f>Tabla1[[#This Row],[PRECIO]]*Tabla1[[#This Row],[CANTIDAD]]</f>
        <v>0</v>
      </c>
      <c r="I24" s="6" t="s">
        <v>276</v>
      </c>
      <c r="J24" s="28" t="s">
        <v>25</v>
      </c>
      <c r="K24" s="29">
        <v>500</v>
      </c>
      <c r="L24" s="30">
        <f>ROUNDUP((+SUMIF(UNITARIOS!C:C,Tabla2[[#This Row],[MANO DE OBRA]],UNITARIOS!E:E)),0)</f>
        <v>1</v>
      </c>
      <c r="M24" s="29">
        <f>Tabla2[[#This Row],[PRECIO]]*Tabla2[[#This Row],[CANTIDAD]]</f>
        <v>500</v>
      </c>
      <c r="P24" s="6"/>
      <c r="Q24" s="7"/>
    </row>
    <row r="25" spans="2:17" x14ac:dyDescent="0.3">
      <c r="B25" s="8" t="s">
        <v>409</v>
      </c>
      <c r="C25" s="9" t="s">
        <v>25</v>
      </c>
      <c r="D25" s="14">
        <v>150</v>
      </c>
      <c r="E25" s="26">
        <f>ROUNDUP((+SUMIF(UNITARIOS!C:C,Tabla1[[#This Row],[MATERIALES]],UNITARIOS!E:E)),0)</f>
        <v>0</v>
      </c>
      <c r="F25" s="16">
        <f>Tabla1[[#This Row],[PRECIO]]*Tabla1[[#This Row],[CANTIDAD]]</f>
        <v>0</v>
      </c>
      <c r="I25" s="6" t="s">
        <v>485</v>
      </c>
      <c r="J25" s="9" t="s">
        <v>25</v>
      </c>
      <c r="K25" s="14">
        <v>8000</v>
      </c>
      <c r="L25" s="26">
        <f>ROUNDUP((+SUMIF(UNITARIOS!C:C,Tabla2[[#This Row],[MANO DE OBRA]],UNITARIOS!E:E)),0)</f>
        <v>0</v>
      </c>
      <c r="M25" s="14">
        <f>Tabla2[[#This Row],[PRECIO]]*Tabla2[[#This Row],[CANTIDAD]]</f>
        <v>0</v>
      </c>
      <c r="P25" s="6"/>
      <c r="Q25" s="7"/>
    </row>
    <row r="26" spans="2:17" x14ac:dyDescent="0.3">
      <c r="B26" s="8" t="s">
        <v>76</v>
      </c>
      <c r="C26" s="9" t="s">
        <v>24</v>
      </c>
      <c r="D26" s="14">
        <v>12</v>
      </c>
      <c r="E26" s="26">
        <f>ROUNDUP((+SUMIF(UNITARIOS!C:C,Tabla1[[#This Row],[MATERIALES]],UNITARIOS!E:E)),0)</f>
        <v>0</v>
      </c>
      <c r="F26" s="16">
        <f>Tabla1[[#This Row],[PRECIO]]*Tabla1[[#This Row],[CANTIDAD]]</f>
        <v>0</v>
      </c>
      <c r="I26" s="27" t="s">
        <v>327</v>
      </c>
      <c r="J26" s="28" t="s">
        <v>25</v>
      </c>
      <c r="K26" s="29">
        <v>500</v>
      </c>
      <c r="L26" s="30">
        <f>ROUNDUP((+SUMIF(UNITARIOS!C:C,Tabla2[[#This Row],[MANO DE OBRA]],UNITARIOS!E:E)),0)</f>
        <v>0</v>
      </c>
      <c r="M26" s="29">
        <f>Tabla2[[#This Row],[PRECIO]]*Tabla2[[#This Row],[CANTIDAD]]</f>
        <v>0</v>
      </c>
      <c r="P26" s="6"/>
      <c r="Q26" s="7"/>
    </row>
    <row r="27" spans="2:17" x14ac:dyDescent="0.3">
      <c r="B27" s="8" t="s">
        <v>77</v>
      </c>
      <c r="C27" s="9" t="s">
        <v>24</v>
      </c>
      <c r="D27" s="14">
        <v>18.75</v>
      </c>
      <c r="E27" s="26">
        <f>ROUNDUP((+SUMIF(UNITARIOS!C:C,Tabla1[[#This Row],[MATERIALES]],UNITARIOS!E:E)),0)</f>
        <v>0</v>
      </c>
      <c r="F27" s="16">
        <f>Tabla1[[#This Row],[PRECIO]]*Tabla1[[#This Row],[CANTIDAD]]</f>
        <v>0</v>
      </c>
      <c r="I27" s="6" t="s">
        <v>391</v>
      </c>
      <c r="J27" s="9" t="s">
        <v>25</v>
      </c>
      <c r="K27" s="14">
        <v>391.2</v>
      </c>
      <c r="L27" s="26">
        <f>ROUNDUP((+SUMIF(UNITARIOS!C:C,Tabla2[[#This Row],[MANO DE OBRA]],UNITARIOS!E:E)),0)</f>
        <v>0</v>
      </c>
      <c r="M27" s="14">
        <f>Tabla2[[#This Row],[PRECIO]]*Tabla2[[#This Row],[CANTIDAD]]</f>
        <v>0</v>
      </c>
      <c r="P27" s="6"/>
      <c r="Q27" s="7"/>
    </row>
    <row r="28" spans="2:17" x14ac:dyDescent="0.3">
      <c r="B28" s="8" t="s">
        <v>133</v>
      </c>
      <c r="C28" s="9" t="s">
        <v>25</v>
      </c>
      <c r="D28" s="14">
        <v>80</v>
      </c>
      <c r="E28" s="26">
        <f>ROUNDUP((+SUMIF(UNITARIOS!C:C,Tabla1[[#This Row],[MATERIALES]],UNITARIOS!E:E)),0)</f>
        <v>0</v>
      </c>
      <c r="F28" s="16">
        <f>Tabla1[[#This Row],[PRECIO]]*Tabla1[[#This Row],[CANTIDAD]]</f>
        <v>0</v>
      </c>
      <c r="I28" s="6" t="s">
        <v>393</v>
      </c>
      <c r="J28" s="9" t="s">
        <v>25</v>
      </c>
      <c r="K28" s="14">
        <v>500</v>
      </c>
      <c r="L28" s="26">
        <f>ROUNDUP((+SUMIF(UNITARIOS!C:C,Tabla2[[#This Row],[MANO DE OBRA]],UNITARIOS!E:E)),0)</f>
        <v>0</v>
      </c>
      <c r="M28" s="14">
        <f>Tabla2[[#This Row],[PRECIO]]*Tabla2[[#This Row],[CANTIDAD]]</f>
        <v>0</v>
      </c>
      <c r="P28" s="6"/>
      <c r="Q28" s="7"/>
    </row>
    <row r="29" spans="2:17" x14ac:dyDescent="0.3">
      <c r="B29" s="8" t="s">
        <v>201</v>
      </c>
      <c r="C29" s="9" t="s">
        <v>25</v>
      </c>
      <c r="D29" s="14">
        <v>0.2</v>
      </c>
      <c r="E29" s="26">
        <f>ROUNDUP((+SUMIF(UNITARIOS!C:C,Tabla1[[#This Row],[MATERIALES]],UNITARIOS!E:E)),0)</f>
        <v>0</v>
      </c>
      <c r="F29" s="16">
        <f>Tabla1[[#This Row],[PRECIO]]*Tabla1[[#This Row],[CANTIDAD]]</f>
        <v>0</v>
      </c>
      <c r="I29" s="6" t="s">
        <v>490</v>
      </c>
      <c r="J29" s="9" t="s">
        <v>72</v>
      </c>
      <c r="K29" s="14">
        <v>400</v>
      </c>
      <c r="L29" s="26">
        <f>ROUNDUP((+SUMIF(UNITARIOS!C:C,Tabla2[[#This Row],[MANO DE OBRA]],UNITARIOS!E:E)),0)</f>
        <v>30</v>
      </c>
      <c r="M29" s="14">
        <f>Tabla2[[#This Row],[PRECIO]]*Tabla2[[#This Row],[CANTIDAD]]</f>
        <v>12000</v>
      </c>
      <c r="P29" s="6"/>
      <c r="Q29" s="7"/>
    </row>
    <row r="30" spans="2:17" x14ac:dyDescent="0.3">
      <c r="B30" s="8" t="s">
        <v>75</v>
      </c>
      <c r="C30" s="9" t="s">
        <v>61</v>
      </c>
      <c r="D30" s="14">
        <v>200</v>
      </c>
      <c r="E30" s="26">
        <f>ROUNDUP((+SUMIF(UNITARIOS!C:C,Tabla1[[#This Row],[MATERIALES]],UNITARIOS!E:E)),0)</f>
        <v>0</v>
      </c>
      <c r="F30" s="16">
        <f>Tabla1[[#This Row],[PRECIO]]*Tabla1[[#This Row],[CANTIDAD]]</f>
        <v>0</v>
      </c>
      <c r="I30" s="27" t="s">
        <v>356</v>
      </c>
      <c r="J30" s="28" t="s">
        <v>25</v>
      </c>
      <c r="K30" s="29">
        <v>500</v>
      </c>
      <c r="L30" s="30">
        <f>ROUNDUP((+SUMIF(UNITARIOS!C:C,Tabla2[[#This Row],[MANO DE OBRA]],UNITARIOS!E:E)),0)</f>
        <v>0</v>
      </c>
      <c r="M30" s="29">
        <f>Tabla2[[#This Row],[PRECIO]]*Tabla2[[#This Row],[CANTIDAD]]</f>
        <v>0</v>
      </c>
      <c r="P30" s="6"/>
      <c r="Q30" s="7"/>
    </row>
    <row r="31" spans="2:17" x14ac:dyDescent="0.3">
      <c r="B31" s="8" t="s">
        <v>124</v>
      </c>
      <c r="C31" s="9" t="s">
        <v>61</v>
      </c>
      <c r="D31" s="14">
        <v>200</v>
      </c>
      <c r="E31" s="26">
        <f>ROUNDUP((+SUMIF(UNITARIOS!C:C,Tabla1[[#This Row],[MATERIALES]],UNITARIOS!E:E)),0)</f>
        <v>0</v>
      </c>
      <c r="F31" s="16">
        <f>Tabla1[[#This Row],[PRECIO]]*Tabla1[[#This Row],[CANTIDAD]]</f>
        <v>0</v>
      </c>
      <c r="I31" s="6" t="s">
        <v>489</v>
      </c>
      <c r="J31" s="9" t="s">
        <v>25</v>
      </c>
      <c r="K31" s="14">
        <v>1500</v>
      </c>
      <c r="L31" s="26">
        <f>ROUNDUP((+SUMIF(UNITARIOS!C:C,Tabla2[[#This Row],[MANO DE OBRA]],UNITARIOS!E:E)),0)</f>
        <v>0</v>
      </c>
      <c r="M31" s="14">
        <f>Tabla2[[#This Row],[PRECIO]]*Tabla2[[#This Row],[CANTIDAD]]</f>
        <v>0</v>
      </c>
      <c r="P31" s="6"/>
      <c r="Q31" s="7"/>
    </row>
    <row r="32" spans="2:17" x14ac:dyDescent="0.3">
      <c r="B32" s="8" t="s">
        <v>73</v>
      </c>
      <c r="C32" s="9" t="s">
        <v>61</v>
      </c>
      <c r="D32" s="14">
        <v>250</v>
      </c>
      <c r="E32" s="26">
        <f>ROUNDUP((+SUMIF(UNITARIOS!C:C,Tabla1[[#This Row],[MATERIALES]],UNITARIOS!E:E)),0)</f>
        <v>77</v>
      </c>
      <c r="F32" s="16">
        <f>Tabla1[[#This Row],[PRECIO]]*Tabla1[[#This Row],[CANTIDAD]]</f>
        <v>19250</v>
      </c>
      <c r="I32" s="61" t="s">
        <v>417</v>
      </c>
      <c r="J32" s="62" t="s">
        <v>25</v>
      </c>
      <c r="K32" s="63">
        <v>300</v>
      </c>
      <c r="L32" s="64">
        <f>ROUNDUP((+SUMIF(UNITARIOS!C:C,Tabla2[[#This Row],[MANO DE OBRA]],UNITARIOS!E:E)),0)</f>
        <v>0</v>
      </c>
      <c r="M32" s="63">
        <f>Tabla2[[#This Row],[PRECIO]]*Tabla2[[#This Row],[CANTIDAD]]</f>
        <v>0</v>
      </c>
      <c r="P32" s="6"/>
      <c r="Q32" s="7"/>
    </row>
    <row r="33" spans="2:20" x14ac:dyDescent="0.3">
      <c r="B33" s="8" t="s">
        <v>154</v>
      </c>
      <c r="C33" s="9" t="s">
        <v>25</v>
      </c>
      <c r="D33" s="14">
        <v>475.5</v>
      </c>
      <c r="E33" s="26">
        <f>ROUNDUP((+SUMIF(UNITARIOS!C:C,Tabla1[[#This Row],[MATERIALES]],UNITARIOS!E:E)),0)</f>
        <v>0</v>
      </c>
      <c r="F33" s="16">
        <f>Tabla1[[#This Row],[PRECIO]]*Tabla1[[#This Row],[CANTIDAD]]</f>
        <v>0</v>
      </c>
      <c r="I33" s="27" t="s">
        <v>351</v>
      </c>
      <c r="J33" s="28" t="s">
        <v>72</v>
      </c>
      <c r="K33" s="29">
        <v>50</v>
      </c>
      <c r="L33" s="30">
        <f>ROUNDUP((+SUMIF(UNITARIOS!C:C,Tabla2[[#This Row],[MANO DE OBRA]],UNITARIOS!E:E)),0)</f>
        <v>0</v>
      </c>
      <c r="M33" s="29">
        <f>Tabla2[[#This Row],[PRECIO]]*Tabla2[[#This Row],[CANTIDAD]]</f>
        <v>0</v>
      </c>
      <c r="P33" s="6"/>
      <c r="Q33" s="7"/>
    </row>
    <row r="34" spans="2:20" x14ac:dyDescent="0.3">
      <c r="B34" s="8" t="s">
        <v>470</v>
      </c>
      <c r="C34" s="9" t="s">
        <v>24</v>
      </c>
      <c r="D34" s="14">
        <v>120</v>
      </c>
      <c r="E34" s="26">
        <f>ROUNDUP((+SUMIF(UNITARIOS!C:C,Tabla1[[#This Row],[MATERIALES]],UNITARIOS!E:E)),0)</f>
        <v>46</v>
      </c>
      <c r="F34" s="16">
        <f>Tabla1[[#This Row],[PRECIO]]*Tabla1[[#This Row],[CANTIDAD]]</f>
        <v>5520</v>
      </c>
      <c r="I34" s="6" t="s">
        <v>445</v>
      </c>
      <c r="J34" s="9" t="s">
        <v>24</v>
      </c>
      <c r="K34" s="14">
        <v>130</v>
      </c>
      <c r="L34" s="26">
        <f>ROUNDUP((+SUMIF(UNITARIOS!C:C,Tabla2[[#This Row],[MANO DE OBRA]],UNITARIOS!E:E)),0)</f>
        <v>0</v>
      </c>
      <c r="M34" s="14">
        <f>Tabla2[[#This Row],[PRECIO]]*Tabla2[[#This Row],[CANTIDAD]]</f>
        <v>0</v>
      </c>
      <c r="P34" s="6"/>
      <c r="Q34" s="7"/>
    </row>
    <row r="35" spans="2:20" x14ac:dyDescent="0.3">
      <c r="B35" s="8" t="s">
        <v>286</v>
      </c>
      <c r="C35" s="9" t="s">
        <v>24</v>
      </c>
      <c r="D35" s="14">
        <v>175</v>
      </c>
      <c r="E35" s="26">
        <f>ROUNDUP((+SUMIF(UNITARIOS!C:C,Tabla1[[#This Row],[MATERIALES]],UNITARIOS!E:E)),0)</f>
        <v>0</v>
      </c>
      <c r="F35" s="16">
        <f>Tabla1[[#This Row],[PRECIO]]*Tabla1[[#This Row],[CANTIDAD]]</f>
        <v>0</v>
      </c>
      <c r="I35" s="6" t="s">
        <v>383</v>
      </c>
      <c r="J35" s="9" t="s">
        <v>24</v>
      </c>
      <c r="K35" s="14">
        <v>80</v>
      </c>
      <c r="L35" s="26">
        <f>ROUNDUP((+SUMIF(UNITARIOS!C:C,Tabla2[[#This Row],[MANO DE OBRA]],UNITARIOS!E:E)),0)</f>
        <v>0</v>
      </c>
      <c r="M35" s="14">
        <f>Tabla2[[#This Row],[PRECIO]]*Tabla2[[#This Row],[CANTIDAD]]</f>
        <v>0</v>
      </c>
      <c r="P35" s="6"/>
      <c r="Q35" s="7"/>
    </row>
    <row r="36" spans="2:20" x14ac:dyDescent="0.3">
      <c r="B36" s="8" t="s">
        <v>221</v>
      </c>
      <c r="C36" s="9" t="s">
        <v>25</v>
      </c>
      <c r="D36" s="14">
        <v>50</v>
      </c>
      <c r="E36" s="26">
        <f>ROUNDUP((+SUMIF(UNITARIOS!C:C,Tabla1[[#This Row],[MATERIALES]],UNITARIOS!E:E)),0)</f>
        <v>13</v>
      </c>
      <c r="F36" s="16">
        <f>Tabla1[[#This Row],[PRECIO]]*Tabla1[[#This Row],[CANTIDAD]]</f>
        <v>650</v>
      </c>
      <c r="I36" s="27" t="s">
        <v>195</v>
      </c>
      <c r="J36" s="28" t="s">
        <v>24</v>
      </c>
      <c r="K36" s="29">
        <v>90</v>
      </c>
      <c r="L36" s="30">
        <f>ROUNDUP((+SUMIF(UNITARIOS!C:C,Tabla2[[#This Row],[MANO DE OBRA]],UNITARIOS!E:E)),0)</f>
        <v>246</v>
      </c>
      <c r="M36" s="29">
        <f>Tabla2[[#This Row],[PRECIO]]*Tabla2[[#This Row],[CANTIDAD]]</f>
        <v>22140</v>
      </c>
      <c r="P36" s="6"/>
      <c r="Q36" s="7"/>
    </row>
    <row r="37" spans="2:20" ht="27.6" x14ac:dyDescent="0.3">
      <c r="B37" s="8" t="s">
        <v>261</v>
      </c>
      <c r="C37" s="9" t="s">
        <v>25</v>
      </c>
      <c r="D37" s="14">
        <v>50</v>
      </c>
      <c r="E37" s="26">
        <f>ROUNDUP((+SUMIF(UNITARIOS!C:C,Tabla1[[#This Row],[MATERIALES]],UNITARIOS!E:E)),0)</f>
        <v>0</v>
      </c>
      <c r="F37" s="16">
        <f>Tabla1[[#This Row],[PRECIO]]*Tabla1[[#This Row],[CANTIDAD]]</f>
        <v>0</v>
      </c>
      <c r="I37" s="6" t="s">
        <v>329</v>
      </c>
      <c r="J37" s="9" t="s">
        <v>25</v>
      </c>
      <c r="K37" s="14">
        <v>140</v>
      </c>
      <c r="L37" s="26">
        <f>ROUNDUP((+SUMIF(UNITARIOS!C:C,Tabla2[[#This Row],[MANO DE OBRA]],UNITARIOS!E:E)),0)</f>
        <v>9</v>
      </c>
      <c r="M37" s="14">
        <f>Tabla2[[#This Row],[PRECIO]]*Tabla2[[#This Row],[CANTIDAD]]</f>
        <v>1260</v>
      </c>
      <c r="P37" s="6"/>
      <c r="Q37" s="7"/>
    </row>
    <row r="38" spans="2:20" x14ac:dyDescent="0.3">
      <c r="B38" s="8" t="s">
        <v>439</v>
      </c>
      <c r="C38" s="9" t="s">
        <v>162</v>
      </c>
      <c r="D38" s="14">
        <v>50</v>
      </c>
      <c r="E38" s="26">
        <f>ROUNDUP((+SUMIF(UNITARIOS!C:C,Tabla1[[#This Row],[MATERIALES]],UNITARIOS!E:E)),0)</f>
        <v>0</v>
      </c>
      <c r="F38" s="16">
        <f>Tabla1[[#This Row],[PRECIO]]*Tabla1[[#This Row],[CANTIDAD]]</f>
        <v>0</v>
      </c>
      <c r="I38" s="27" t="s">
        <v>49</v>
      </c>
      <c r="J38" s="28" t="s">
        <v>24</v>
      </c>
      <c r="K38" s="29">
        <v>60</v>
      </c>
      <c r="L38" s="30">
        <f>ROUNDUP((+SUMIF(UNITARIOS!C:C,Tabla2[[#This Row],[MANO DE OBRA]],UNITARIOS!E:E)),0)</f>
        <v>0</v>
      </c>
      <c r="M38" s="29">
        <f>Tabla2[[#This Row],[PRECIO]]*Tabla2[[#This Row],[CANTIDAD]]</f>
        <v>0</v>
      </c>
      <c r="P38" s="6"/>
      <c r="Q38" s="7"/>
    </row>
    <row r="39" spans="2:20" x14ac:dyDescent="0.3">
      <c r="B39" s="8" t="s">
        <v>144</v>
      </c>
      <c r="C39" s="9" t="s">
        <v>25</v>
      </c>
      <c r="D39" s="14">
        <v>55000</v>
      </c>
      <c r="E39" s="26">
        <f>ROUNDUP((+SUMIF(UNITARIOS!C:C,Tabla1[[#This Row],[MATERIALES]],UNITARIOS!E:E)),0)</f>
        <v>0</v>
      </c>
      <c r="F39" s="16">
        <f>Tabla1[[#This Row],[PRECIO]]*Tabla1[[#This Row],[CANTIDAD]]</f>
        <v>0</v>
      </c>
      <c r="I39" s="6" t="s">
        <v>463</v>
      </c>
      <c r="J39" s="9" t="s">
        <v>24</v>
      </c>
      <c r="K39" s="14">
        <v>50</v>
      </c>
      <c r="L39" s="26">
        <f>ROUNDUP((+SUMIF(UNITARIOS!C:C,Tabla2[[#This Row],[MANO DE OBRA]],UNITARIOS!E:E)),0)</f>
        <v>0</v>
      </c>
      <c r="M39" s="14">
        <f>Tabla2[[#This Row],[PRECIO]]*Tabla2[[#This Row],[CANTIDAD]]</f>
        <v>0</v>
      </c>
      <c r="P39" s="6"/>
      <c r="Q39" s="7"/>
    </row>
    <row r="40" spans="2:20" x14ac:dyDescent="0.3">
      <c r="B40" s="8" t="s">
        <v>212</v>
      </c>
      <c r="C40" s="9" t="s">
        <v>25</v>
      </c>
      <c r="D40" s="14">
        <v>7</v>
      </c>
      <c r="E40" s="26">
        <f>ROUNDUP((+SUMIF(UNITARIOS!C:C,Tabla1[[#This Row],[MATERIALES]],UNITARIOS!E:E)),0)</f>
        <v>50</v>
      </c>
      <c r="F40" s="16">
        <f>Tabla1[[#This Row],[PRECIO]]*Tabla1[[#This Row],[CANTIDAD]]</f>
        <v>350</v>
      </c>
      <c r="I40" s="6" t="s">
        <v>378</v>
      </c>
      <c r="J40" s="9" t="s">
        <v>24</v>
      </c>
      <c r="K40" s="14">
        <v>40</v>
      </c>
      <c r="L40" s="26">
        <f>ROUNDUP((+SUMIF(UNITARIOS!C:C,Tabla2[[#This Row],[MANO DE OBRA]],UNITARIOS!E:E)),0)</f>
        <v>0</v>
      </c>
      <c r="M40" s="14">
        <f>Tabla2[[#This Row],[PRECIO]]*Tabla2[[#This Row],[CANTIDAD]]</f>
        <v>0</v>
      </c>
      <c r="P40" s="6"/>
      <c r="Q40" s="7"/>
    </row>
    <row r="41" spans="2:20" x14ac:dyDescent="0.3">
      <c r="B41" s="8" t="s">
        <v>211</v>
      </c>
      <c r="C41" s="9" t="s">
        <v>25</v>
      </c>
      <c r="D41" s="14">
        <v>7</v>
      </c>
      <c r="E41" s="26">
        <f>ROUNDUP((+SUMIF(UNITARIOS!C:C,Tabla1[[#This Row],[MATERIALES]],UNITARIOS!E:E)),0)</f>
        <v>3</v>
      </c>
      <c r="F41" s="16">
        <f>Tabla1[[#This Row],[PRECIO]]*Tabla1[[#This Row],[CANTIDAD]]</f>
        <v>21</v>
      </c>
      <c r="I41" s="6" t="s">
        <v>277</v>
      </c>
      <c r="J41" s="9" t="s">
        <v>24</v>
      </c>
      <c r="K41" s="29">
        <v>60</v>
      </c>
      <c r="L41" s="30">
        <f>ROUNDUP((+SUMIF(UNITARIOS!C:C,Tabla2[[#This Row],[MANO DE OBRA]],UNITARIOS!E:E)),0)</f>
        <v>183</v>
      </c>
      <c r="M41" s="29">
        <f>Tabla2[[#This Row],[PRECIO]]*Tabla2[[#This Row],[CANTIDAD]]</f>
        <v>10980</v>
      </c>
      <c r="P41" s="6"/>
      <c r="Q41" s="7"/>
    </row>
    <row r="42" spans="2:20" x14ac:dyDescent="0.3">
      <c r="B42" s="8" t="s">
        <v>275</v>
      </c>
      <c r="C42" s="28" t="s">
        <v>25</v>
      </c>
      <c r="D42" s="29">
        <v>8</v>
      </c>
      <c r="E42" s="30">
        <f>ROUNDUP((+SUMIF(UNITARIOS!C:C,Tabla1[[#This Row],[MATERIALES]],UNITARIOS!E:E)),0)</f>
        <v>910</v>
      </c>
      <c r="F42" s="50">
        <f>Tabla1[[#This Row],[PRECIO]]*Tabla1[[#This Row],[CANTIDAD]]</f>
        <v>7280</v>
      </c>
      <c r="I42" s="6" t="s">
        <v>48</v>
      </c>
      <c r="J42" s="28" t="s">
        <v>24</v>
      </c>
      <c r="K42" s="29">
        <v>160</v>
      </c>
      <c r="L42" s="30">
        <f>ROUNDUP((+SUMIF(UNITARIOS!C:C,Tabla2[[#This Row],[MANO DE OBRA]],UNITARIOS!E:E)),0)</f>
        <v>0</v>
      </c>
      <c r="M42" s="29">
        <f>Tabla2[[#This Row],[PRECIO]]*Tabla2[[#This Row],[CANTIDAD]]</f>
        <v>0</v>
      </c>
      <c r="P42" s="6"/>
      <c r="Q42" s="7"/>
    </row>
    <row r="43" spans="2:20" x14ac:dyDescent="0.3">
      <c r="B43" s="8" t="s">
        <v>213</v>
      </c>
      <c r="C43" s="9" t="s">
        <v>25</v>
      </c>
      <c r="D43" s="14">
        <v>8</v>
      </c>
      <c r="E43" s="26">
        <f>ROUNDUP((+SUMIF(UNITARIOS!C:C,Tabla1[[#This Row],[MATERIALES]],UNITARIOS!E:E)),0)</f>
        <v>0</v>
      </c>
      <c r="F43" s="16">
        <f>Tabla1[[#This Row],[PRECIO]]*Tabla1[[#This Row],[CANTIDAD]]</f>
        <v>0</v>
      </c>
      <c r="I43" s="27" t="s">
        <v>278</v>
      </c>
      <c r="J43" s="9" t="s">
        <v>24</v>
      </c>
      <c r="K43" s="29">
        <v>80</v>
      </c>
      <c r="L43" s="30">
        <f>ROUNDUP((+SUMIF(UNITARIOS!C:C,Tabla2[[#This Row],[MANO DE OBRA]],UNITARIOS!E:E)),0)</f>
        <v>0</v>
      </c>
      <c r="M43" s="29">
        <f>Tabla2[[#This Row],[PRECIO]]*Tabla2[[#This Row],[CANTIDAD]]</f>
        <v>0</v>
      </c>
      <c r="P43" s="6"/>
      <c r="Q43" s="7"/>
    </row>
    <row r="44" spans="2:20" s="31" customFormat="1" x14ac:dyDescent="0.3">
      <c r="B44" s="8" t="s">
        <v>575</v>
      </c>
      <c r="C44" s="9" t="s">
        <v>25</v>
      </c>
      <c r="D44" s="14">
        <v>9</v>
      </c>
      <c r="E44" s="26">
        <f>ROUNDUP((+SUMIF(UNITARIOS!C:C,Tabla1[[#This Row],[MATERIALES]],UNITARIOS!E:E)),0)</f>
        <v>1274</v>
      </c>
      <c r="F44" s="16">
        <f>Tabla1[[#This Row],[PRECIO]]*Tabla1[[#This Row],[CANTIDAD]]</f>
        <v>11466</v>
      </c>
      <c r="I44" s="6" t="s">
        <v>282</v>
      </c>
      <c r="J44" s="9" t="s">
        <v>25</v>
      </c>
      <c r="K44" s="14">
        <v>300</v>
      </c>
      <c r="L44" s="26">
        <f>ROUNDUP((+SUMIF(UNITARIOS!C:C,Tabla2[[#This Row],[MANO DE OBRA]],UNITARIOS!E:E)),0)</f>
        <v>0</v>
      </c>
      <c r="M44" s="14">
        <f>Tabla2[[#This Row],[PRECIO]]*Tabla2[[#This Row],[CANTIDAD]]</f>
        <v>0</v>
      </c>
      <c r="P44" s="9"/>
      <c r="Q44" s="9"/>
      <c r="R44" s="16"/>
      <c r="S44" s="19"/>
      <c r="T44" s="16"/>
    </row>
    <row r="45" spans="2:20" x14ac:dyDescent="0.3">
      <c r="B45" s="8" t="s">
        <v>238</v>
      </c>
      <c r="C45" s="9" t="s">
        <v>25</v>
      </c>
      <c r="D45" s="14">
        <v>50</v>
      </c>
      <c r="E45" s="26">
        <f>ROUNDUP((+SUMIF(UNITARIOS!C:C,Tabla1[[#This Row],[MATERIALES]],UNITARIOS!E:E)),0)</f>
        <v>3</v>
      </c>
      <c r="F45" s="16">
        <f>Tabla1[[#This Row],[PRECIO]]*Tabla1[[#This Row],[CANTIDAD]]</f>
        <v>150</v>
      </c>
      <c r="I45" s="6" t="s">
        <v>386</v>
      </c>
      <c r="J45" s="62" t="s">
        <v>25</v>
      </c>
      <c r="K45" s="63">
        <v>300</v>
      </c>
      <c r="L45" s="64">
        <f>ROUNDUP((+SUMIF(UNITARIOS!C:C,Tabla2[[#This Row],[MANO DE OBRA]],UNITARIOS!E:E)),0)</f>
        <v>0</v>
      </c>
      <c r="M45" s="63">
        <f>Tabla2[[#This Row],[PRECIO]]*Tabla2[[#This Row],[CANTIDAD]]</f>
        <v>0</v>
      </c>
      <c r="P45" s="6"/>
      <c r="Q45" s="7"/>
    </row>
    <row r="46" spans="2:20" x14ac:dyDescent="0.3">
      <c r="B46" s="8" t="s">
        <v>477</v>
      </c>
      <c r="C46" s="9" t="s">
        <v>25</v>
      </c>
      <c r="D46" s="14">
        <v>50</v>
      </c>
      <c r="E46" s="26">
        <f>ROUNDUP((+SUMIF(UNITARIOS!C:C,Tabla1[[#This Row],[MATERIALES]],UNITARIOS!E:E)),0)</f>
        <v>0</v>
      </c>
      <c r="F46" s="16">
        <f>Tabla1[[#This Row],[PRECIO]]*Tabla1[[#This Row],[CANTIDAD]]</f>
        <v>0</v>
      </c>
      <c r="I46" s="6" t="s">
        <v>352</v>
      </c>
      <c r="J46" s="28" t="s">
        <v>25</v>
      </c>
      <c r="K46" s="29">
        <v>315</v>
      </c>
      <c r="L46" s="30">
        <f>ROUNDUP((+SUMIF(UNITARIOS!C:C,Tabla2[[#This Row],[MANO DE OBRA]],UNITARIOS!E:E)),0)</f>
        <v>1</v>
      </c>
      <c r="M46" s="29">
        <f>Tabla2[[#This Row],[PRECIO]]*Tabla2[[#This Row],[CANTIDAD]]</f>
        <v>315</v>
      </c>
      <c r="P46" s="6"/>
      <c r="Q46" s="7"/>
    </row>
    <row r="47" spans="2:20" x14ac:dyDescent="0.3">
      <c r="B47" s="8" t="s">
        <v>334</v>
      </c>
      <c r="C47" s="9" t="s">
        <v>25</v>
      </c>
      <c r="D47" s="14">
        <v>4000</v>
      </c>
      <c r="E47" s="26">
        <f>ROUNDUP((+SUMIF(UNITARIOS!C:C,Tabla1[[#This Row],[MATERIALES]],UNITARIOS!E:E)),0)</f>
        <v>0</v>
      </c>
      <c r="F47" s="16">
        <f>Tabla1[[#This Row],[PRECIO]]*Tabla1[[#This Row],[CANTIDAD]]</f>
        <v>0</v>
      </c>
      <c r="I47" s="6" t="s">
        <v>284</v>
      </c>
      <c r="J47" s="9" t="s">
        <v>25</v>
      </c>
      <c r="K47" s="14">
        <v>160</v>
      </c>
      <c r="L47" s="26">
        <f>ROUNDUP((+SUMIF(UNITARIOS!C:C,Tabla2[[#This Row],[MANO DE OBRA]],UNITARIOS!E:E)),0)</f>
        <v>0</v>
      </c>
      <c r="M47" s="14">
        <f>Tabla2[[#This Row],[PRECIO]]*Tabla2[[#This Row],[CANTIDAD]]</f>
        <v>0</v>
      </c>
      <c r="P47" s="6"/>
      <c r="Q47" s="7"/>
    </row>
    <row r="48" spans="2:20" x14ac:dyDescent="0.3">
      <c r="B48" s="8" t="s">
        <v>328</v>
      </c>
      <c r="C48" s="9" t="s">
        <v>25</v>
      </c>
      <c r="D48" s="14">
        <v>50</v>
      </c>
      <c r="E48" s="26">
        <f>ROUNDUP((+SUMIF(UNITARIOS!C:C,Tabla1[[#This Row],[MATERIALES]],UNITARIOS!E:E)),0)</f>
        <v>0</v>
      </c>
      <c r="F48" s="16">
        <f>Tabla1[[#This Row],[PRECIO]]*Tabla1[[#This Row],[CANTIDAD]]</f>
        <v>0</v>
      </c>
      <c r="I48" s="6" t="s">
        <v>225</v>
      </c>
      <c r="J48" s="9" t="s">
        <v>25</v>
      </c>
      <c r="K48" s="14">
        <v>250</v>
      </c>
      <c r="L48" s="26">
        <f>ROUNDUP((+SUMIF(UNITARIOS!C:C,Tabla2[[#This Row],[MANO DE OBRA]],UNITARIOS!E:E)),0)</f>
        <v>0</v>
      </c>
      <c r="M48" s="14">
        <f>Tabla2[[#This Row],[PRECIO]]*Tabla2[[#This Row],[CANTIDAD]]</f>
        <v>0</v>
      </c>
      <c r="P48" s="6"/>
      <c r="Q48" s="7"/>
    </row>
    <row r="49" spans="2:20" x14ac:dyDescent="0.3">
      <c r="B49" s="8" t="s">
        <v>120</v>
      </c>
      <c r="C49" s="9" t="s">
        <v>65</v>
      </c>
      <c r="D49" s="14">
        <v>50</v>
      </c>
      <c r="E49" s="26">
        <f>ROUNDUP((+SUMIF(UNITARIOS!C:C,Tabla1[[#This Row],[MATERIALES]],UNITARIOS!E:E)),0)</f>
        <v>0</v>
      </c>
      <c r="F49" s="16">
        <f>Tabla1[[#This Row],[PRECIO]]*Tabla1[[#This Row],[CANTIDAD]]</f>
        <v>0</v>
      </c>
      <c r="I49" s="6" t="s">
        <v>394</v>
      </c>
      <c r="J49" s="9" t="s">
        <v>25</v>
      </c>
      <c r="K49" s="14">
        <v>220</v>
      </c>
      <c r="L49" s="26">
        <f>ROUNDUP((+SUMIF(UNITARIOS!C:C,Tabla2[[#This Row],[MANO DE OBRA]],UNITARIOS!E:E)),0)</f>
        <v>8</v>
      </c>
      <c r="M49" s="14">
        <f>Tabla2[[#This Row],[PRECIO]]*Tabla2[[#This Row],[CANTIDAD]]</f>
        <v>1760</v>
      </c>
      <c r="P49" s="6"/>
      <c r="Q49" s="7"/>
    </row>
    <row r="50" spans="2:20" x14ac:dyDescent="0.3">
      <c r="B50" s="32" t="s">
        <v>354</v>
      </c>
      <c r="C50" s="28" t="s">
        <v>25</v>
      </c>
      <c r="D50" s="29">
        <v>150</v>
      </c>
      <c r="E50" s="30">
        <f>ROUNDUP((+SUMIF(UNITARIOS!C:C,Tabla1[[#This Row],[MATERIALES]],UNITARIOS!E:E)),0)</f>
        <v>0</v>
      </c>
      <c r="F50" s="50">
        <f>Tabla1[[#This Row],[PRECIO]]*Tabla1[[#This Row],[CANTIDAD]]</f>
        <v>0</v>
      </c>
      <c r="I50" s="6" t="s">
        <v>389</v>
      </c>
      <c r="J50" s="9" t="s">
        <v>24</v>
      </c>
      <c r="K50" s="14">
        <v>30</v>
      </c>
      <c r="L50" s="26">
        <f>ROUNDUP((+SUMIF(UNITARIOS!C:C,Tabla2[[#This Row],[MANO DE OBRA]],UNITARIOS!E:E)),0)</f>
        <v>0</v>
      </c>
      <c r="M50" s="14">
        <f>Tabla2[[#This Row],[PRECIO]]*Tabla2[[#This Row],[CANTIDAD]]</f>
        <v>0</v>
      </c>
      <c r="P50" s="6"/>
      <c r="Q50" s="7"/>
    </row>
    <row r="51" spans="2:20" s="4" customFormat="1" x14ac:dyDescent="0.3">
      <c r="B51" s="32" t="s">
        <v>319</v>
      </c>
      <c r="C51" s="28" t="s">
        <v>25</v>
      </c>
      <c r="D51" s="29">
        <v>25</v>
      </c>
      <c r="E51" s="30">
        <f>ROUNDUP((+SUMIF(UNITARIOS!C:C,Tabla1[[#This Row],[MATERIALES]],UNITARIOS!E:E)),0)</f>
        <v>3</v>
      </c>
      <c r="F51" s="50">
        <f>Tabla1[[#This Row],[PRECIO]]*Tabla1[[#This Row],[CANTIDAD]]</f>
        <v>75</v>
      </c>
      <c r="I51" s="6" t="s">
        <v>382</v>
      </c>
      <c r="J51" s="9" t="s">
        <v>25</v>
      </c>
      <c r="K51" s="14">
        <v>50</v>
      </c>
      <c r="L51" s="26">
        <f>ROUNDUP((+SUMIF(UNITARIOS!C:C,Tabla2[[#This Row],[MANO DE OBRA]],UNITARIOS!E:E)),0)</f>
        <v>0</v>
      </c>
      <c r="M51" s="14">
        <f>Tabla2[[#This Row],[PRECIO]]*Tabla2[[#This Row],[CANTIDAD]]</f>
        <v>0</v>
      </c>
      <c r="P51" s="8"/>
      <c r="Q51" s="9"/>
      <c r="R51" s="14"/>
      <c r="S51" s="19"/>
      <c r="T51" s="14"/>
    </row>
    <row r="52" spans="2:20" x14ac:dyDescent="0.3">
      <c r="B52" s="8" t="s">
        <v>78</v>
      </c>
      <c r="C52" s="9" t="s">
        <v>25</v>
      </c>
      <c r="D52" s="14">
        <v>25</v>
      </c>
      <c r="E52" s="26">
        <f>ROUNDUP((+SUMIF(UNITARIOS!C:C,Tabla1[[#This Row],[MATERIALES]],UNITARIOS!E:E)),0)</f>
        <v>25</v>
      </c>
      <c r="F52" s="16">
        <f>Tabla1[[#This Row],[PRECIO]]*Tabla1[[#This Row],[CANTIDAD]]</f>
        <v>625</v>
      </c>
      <c r="I52" s="6" t="s">
        <v>379</v>
      </c>
      <c r="J52" s="9" t="s">
        <v>24</v>
      </c>
      <c r="K52" s="14">
        <v>120</v>
      </c>
      <c r="L52" s="26">
        <f>ROUNDUP((+SUMIF(UNITARIOS!C:C,Tabla2[[#This Row],[MANO DE OBRA]],UNITARIOS!E:E)),0)</f>
        <v>0</v>
      </c>
      <c r="M52" s="14">
        <f>Tabla2[[#This Row],[PRECIO]]*Tabla2[[#This Row],[CANTIDAD]]</f>
        <v>0</v>
      </c>
      <c r="P52" s="6"/>
      <c r="Q52" s="7"/>
    </row>
    <row r="53" spans="2:20" x14ac:dyDescent="0.3">
      <c r="B53" s="8" t="s">
        <v>79</v>
      </c>
      <c r="C53" s="9" t="s">
        <v>25</v>
      </c>
      <c r="D53" s="14">
        <v>50</v>
      </c>
      <c r="E53" s="26">
        <f>ROUNDUP((+SUMIF(UNITARIOS!C:C,Tabla1[[#This Row],[MATERIALES]],UNITARIOS!E:E)),0)</f>
        <v>13</v>
      </c>
      <c r="F53" s="16">
        <f>Tabla1[[#This Row],[PRECIO]]*Tabla1[[#This Row],[CANTIDAD]]</f>
        <v>650</v>
      </c>
      <c r="I53" s="6" t="s">
        <v>380</v>
      </c>
      <c r="J53" s="9" t="s">
        <v>25</v>
      </c>
      <c r="K53" s="14">
        <v>120</v>
      </c>
      <c r="L53" s="26">
        <f>ROUNDUP((+SUMIF(UNITARIOS!C:C,Tabla2[[#This Row],[MANO DE OBRA]],UNITARIOS!E:E)),0)</f>
        <v>0</v>
      </c>
      <c r="M53" s="14">
        <f>Tabla2[[#This Row],[PRECIO]]*Tabla2[[#This Row],[CANTIDAD]]</f>
        <v>0</v>
      </c>
      <c r="P53" s="6"/>
      <c r="Q53" s="7"/>
    </row>
    <row r="54" spans="2:20" x14ac:dyDescent="0.3">
      <c r="B54" s="24" t="s">
        <v>206</v>
      </c>
      <c r="C54" s="9" t="s">
        <v>25</v>
      </c>
      <c r="D54" s="16">
        <v>250</v>
      </c>
      <c r="E54" s="26">
        <f>ROUNDUP((+SUMIF(UNITARIOS!C:C,Tabla1[[#This Row],[MATERIALES]],UNITARIOS!E:E)),0)</f>
        <v>1</v>
      </c>
      <c r="F54" s="16">
        <f>Tabla1[[#This Row],[PRECIO]]*Tabla1[[#This Row],[CANTIDAD]]</f>
        <v>250</v>
      </c>
      <c r="I54" s="6" t="s">
        <v>464</v>
      </c>
      <c r="J54" s="9" t="s">
        <v>25</v>
      </c>
      <c r="K54" s="14">
        <v>60</v>
      </c>
      <c r="L54" s="26">
        <f>ROUNDUP((+SUMIF(UNITARIOS!C:C,Tabla2[[#This Row],[MANO DE OBRA]],UNITARIOS!E:E)),0)</f>
        <v>24</v>
      </c>
      <c r="M54" s="14">
        <f>Tabla2[[#This Row],[PRECIO]]*Tabla2[[#This Row],[CANTIDAD]]</f>
        <v>1440</v>
      </c>
      <c r="P54" s="6"/>
      <c r="Q54" s="7"/>
    </row>
    <row r="55" spans="2:20" x14ac:dyDescent="0.3">
      <c r="B55" s="8" t="s">
        <v>250</v>
      </c>
      <c r="C55" s="9" t="s">
        <v>72</v>
      </c>
      <c r="D55" s="14">
        <v>5</v>
      </c>
      <c r="E55" s="26">
        <f>ROUNDUP((+SUMIF(UNITARIOS!C:C,Tabla1[[#This Row],[MATERIALES]],UNITARIOS!E:E)),0)</f>
        <v>1164</v>
      </c>
      <c r="F55" s="16">
        <f>Tabla1[[#This Row],[PRECIO]]*Tabla1[[#This Row],[CANTIDAD]]</f>
        <v>5820</v>
      </c>
      <c r="I55" s="6" t="s">
        <v>399</v>
      </c>
      <c r="J55" s="62" t="s">
        <v>61</v>
      </c>
      <c r="K55" s="63">
        <v>50</v>
      </c>
      <c r="L55" s="64">
        <f>ROUNDUP((+SUMIF(UNITARIOS!C:C,Tabla2[[#This Row],[MANO DE OBRA]],UNITARIOS!E:E)),0)</f>
        <v>18</v>
      </c>
      <c r="M55" s="63">
        <f>Tabla2[[#This Row],[PRECIO]]*Tabla2[[#This Row],[CANTIDAD]]</f>
        <v>900</v>
      </c>
      <c r="P55" s="6"/>
      <c r="Q55" s="7"/>
    </row>
    <row r="56" spans="2:20" x14ac:dyDescent="0.3">
      <c r="B56" s="8" t="s">
        <v>251</v>
      </c>
      <c r="C56" s="9" t="s">
        <v>72</v>
      </c>
      <c r="D56" s="14">
        <v>5</v>
      </c>
      <c r="E56" s="26">
        <f>ROUNDUP((+SUMIF(UNITARIOS!C:C,Tabla1[[#This Row],[MATERIALES]],UNITARIOS!E:E)),0)</f>
        <v>0</v>
      </c>
      <c r="F56" s="16">
        <f>Tabla1[[#This Row],[PRECIO]]*Tabla1[[#This Row],[CANTIDAD]]</f>
        <v>0</v>
      </c>
      <c r="I56" s="27" t="s">
        <v>314</v>
      </c>
      <c r="J56" s="28" t="s">
        <v>25</v>
      </c>
      <c r="K56" s="29">
        <v>150</v>
      </c>
      <c r="L56" s="30">
        <f>ROUNDUP((+SUMIF(UNITARIOS!C:C,Tabla2[[#This Row],[MANO DE OBRA]],UNITARIOS!E:E)),0)</f>
        <v>2</v>
      </c>
      <c r="M56" s="29">
        <f>Tabla2[[#This Row],[PRECIO]]*Tabla2[[#This Row],[CANTIDAD]]</f>
        <v>300</v>
      </c>
      <c r="P56" s="6"/>
      <c r="Q56" s="7"/>
    </row>
    <row r="57" spans="2:20" x14ac:dyDescent="0.3">
      <c r="B57" s="8" t="s">
        <v>437</v>
      </c>
      <c r="C57" s="9" t="s">
        <v>72</v>
      </c>
      <c r="D57" s="14">
        <v>8</v>
      </c>
      <c r="E57" s="26">
        <f>ROUNDUP((+SUMIF(UNITARIOS!C:C,Tabla1[[#This Row],[MATERIALES]],UNITARIOS!E:E)),0)</f>
        <v>0</v>
      </c>
      <c r="F57" s="16">
        <f>Tabla1[[#This Row],[PRECIO]]*Tabla1[[#This Row],[CANTIDAD]]</f>
        <v>0</v>
      </c>
      <c r="I57" s="6" t="s">
        <v>236</v>
      </c>
      <c r="J57" s="9" t="s">
        <v>25</v>
      </c>
      <c r="K57" s="14">
        <v>300</v>
      </c>
      <c r="L57" s="26">
        <f>ROUNDUP((+SUMIF(UNITARIOS!C:C,Tabla2[[#This Row],[MANO DE OBRA]],UNITARIOS!E:E)),0)</f>
        <v>1</v>
      </c>
      <c r="M57" s="14">
        <f>Tabla2[[#This Row],[PRECIO]]*Tabla2[[#This Row],[CANTIDAD]]</f>
        <v>300</v>
      </c>
      <c r="P57" s="6"/>
      <c r="Q57" s="7"/>
    </row>
    <row r="58" spans="2:20" x14ac:dyDescent="0.3">
      <c r="B58" s="8" t="s">
        <v>443</v>
      </c>
      <c r="C58" s="9" t="s">
        <v>72</v>
      </c>
      <c r="D58" s="14">
        <v>10</v>
      </c>
      <c r="E58" s="26">
        <f>ROUNDUP((+SUMIF(UNITARIOS!C:C,Tabla1[[#This Row],[MATERIALES]],UNITARIOS!E:E)),0)</f>
        <v>0</v>
      </c>
      <c r="F58" s="16">
        <f>Tabla1[[#This Row],[PRECIO]]*Tabla1[[#This Row],[CANTIDAD]]</f>
        <v>0</v>
      </c>
      <c r="I58" s="6" t="s">
        <v>481</v>
      </c>
      <c r="J58" s="9" t="s">
        <v>25</v>
      </c>
      <c r="K58" s="14">
        <v>300</v>
      </c>
      <c r="L58" s="26">
        <f>ROUNDUP((+SUMIF(UNITARIOS!C:C,Tabla2[[#This Row],[MANO DE OBRA]],UNITARIOS!E:E)),0)</f>
        <v>0</v>
      </c>
      <c r="M58" s="14">
        <f>Tabla2[[#This Row],[PRECIO]]*Tabla2[[#This Row],[CANTIDAD]]</f>
        <v>0</v>
      </c>
      <c r="P58" s="6"/>
      <c r="Q58" s="7"/>
    </row>
    <row r="59" spans="2:20" x14ac:dyDescent="0.3">
      <c r="B59" s="8" t="s">
        <v>252</v>
      </c>
      <c r="C59" s="9" t="s">
        <v>72</v>
      </c>
      <c r="D59" s="14">
        <v>10</v>
      </c>
      <c r="E59" s="26">
        <f>ROUNDUP((+SUMIF(UNITARIOS!C:C,Tabla1[[#This Row],[MATERIALES]],UNITARIOS!E:E)),0)</f>
        <v>240</v>
      </c>
      <c r="F59" s="16">
        <f>Tabla1[[#This Row],[PRECIO]]*Tabla1[[#This Row],[CANTIDAD]]</f>
        <v>2400</v>
      </c>
      <c r="I59" s="6" t="s">
        <v>426</v>
      </c>
      <c r="J59" s="9" t="s">
        <v>24</v>
      </c>
      <c r="K59" s="14">
        <v>1000</v>
      </c>
      <c r="L59" s="26">
        <f>ROUNDUP((+SUMIF(UNITARIOS!C:C,Tabla2[[#This Row],[MANO DE OBRA]],UNITARIOS!E:E)),0)</f>
        <v>0</v>
      </c>
      <c r="M59" s="14">
        <f>Tabla2[[#This Row],[PRECIO]]*Tabla2[[#This Row],[CANTIDAD]]</f>
        <v>0</v>
      </c>
      <c r="P59" s="6"/>
      <c r="Q59" s="7"/>
    </row>
    <row r="60" spans="2:20" x14ac:dyDescent="0.3">
      <c r="B60" s="8" t="s">
        <v>89</v>
      </c>
      <c r="C60" s="9" t="s">
        <v>25</v>
      </c>
      <c r="D60" s="14">
        <v>7</v>
      </c>
      <c r="E60" s="26">
        <f>ROUNDUP((+SUMIF(UNITARIOS!C:C,Tabla1[[#This Row],[MATERIALES]],UNITARIOS!E:E)),0)</f>
        <v>0</v>
      </c>
      <c r="F60" s="16">
        <f>Tabla1[[#This Row],[PRECIO]]*Tabla1[[#This Row],[CANTIDAD]]</f>
        <v>0</v>
      </c>
      <c r="I60" s="6" t="s">
        <v>345</v>
      </c>
      <c r="J60" s="9" t="s">
        <v>72</v>
      </c>
      <c r="K60" s="14">
        <v>200</v>
      </c>
      <c r="L60" s="26">
        <f>ROUNDUP((+SUMIF(UNITARIOS!C:C,Tabla2[[#This Row],[MANO DE OBRA]],UNITARIOS!E:E)),0)</f>
        <v>0</v>
      </c>
      <c r="M60" s="16">
        <f>Tabla2[[#This Row],[PRECIO]]*Tabla2[[#This Row],[CANTIDAD]]</f>
        <v>0</v>
      </c>
      <c r="P60" s="6"/>
      <c r="Q60" s="7"/>
    </row>
    <row r="61" spans="2:20" ht="27.6" x14ac:dyDescent="0.3">
      <c r="B61" s="8" t="s">
        <v>428</v>
      </c>
      <c r="C61" s="9" t="s">
        <v>25</v>
      </c>
      <c r="D61" s="14">
        <v>1000</v>
      </c>
      <c r="E61" s="26">
        <f>ROUNDUP((+SUMIF(UNITARIOS!C:C,Tabla1[[#This Row],[MATERIALES]],UNITARIOS!E:E)),0)</f>
        <v>0</v>
      </c>
      <c r="F61" s="16">
        <f>Tabla1[[#This Row],[PRECIO]]*Tabla1[[#This Row],[CANTIDAD]]</f>
        <v>0</v>
      </c>
      <c r="I61" s="6" t="s">
        <v>447</v>
      </c>
      <c r="J61" s="9" t="s">
        <v>25</v>
      </c>
      <c r="K61" s="14">
        <v>30000</v>
      </c>
      <c r="L61" s="26">
        <f>ROUNDUP((+SUMIF(UNITARIOS!C:C,Tabla2[[#This Row],[MANO DE OBRA]],UNITARIOS!E:E)),0)</f>
        <v>0</v>
      </c>
      <c r="M61" s="14">
        <f>Tabla2[[#This Row],[PRECIO]]*Tabla2[[#This Row],[CANTIDAD]]</f>
        <v>0</v>
      </c>
      <c r="P61" s="6"/>
      <c r="Q61" s="7"/>
    </row>
    <row r="62" spans="2:20" x14ac:dyDescent="0.3">
      <c r="B62" s="8" t="s">
        <v>85</v>
      </c>
      <c r="C62" s="9" t="s">
        <v>25</v>
      </c>
      <c r="D62" s="14">
        <v>8</v>
      </c>
      <c r="E62" s="26">
        <f>ROUNDUP((+SUMIF(UNITARIOS!C:C,Tabla1[[#This Row],[MATERIALES]],UNITARIOS!E:E)),0)</f>
        <v>0</v>
      </c>
      <c r="F62" s="16">
        <f>Tabla1[[#This Row],[PRECIO]]*Tabla1[[#This Row],[CANTIDAD]]</f>
        <v>0</v>
      </c>
      <c r="I62" s="6" t="s">
        <v>452</v>
      </c>
      <c r="J62" s="9" t="s">
        <v>72</v>
      </c>
      <c r="K62" s="14">
        <v>200</v>
      </c>
      <c r="L62" s="26">
        <f>ROUNDUP((+SUMIF(UNITARIOS!C:C,Tabla2[[#This Row],[MANO DE OBRA]],UNITARIOS!E:E)),0)</f>
        <v>0</v>
      </c>
      <c r="M62" s="14">
        <f>Tabla2[[#This Row],[PRECIO]]*Tabla2[[#This Row],[CANTIDAD]]</f>
        <v>0</v>
      </c>
      <c r="P62" s="6"/>
      <c r="Q62" s="7"/>
    </row>
    <row r="63" spans="2:20" ht="27.6" x14ac:dyDescent="0.3">
      <c r="B63" s="8" t="s">
        <v>147</v>
      </c>
      <c r="C63" s="9" t="s">
        <v>25</v>
      </c>
      <c r="D63" s="14">
        <v>100</v>
      </c>
      <c r="E63" s="26">
        <f>ROUNDUP((+SUMIF(UNITARIOS!C:C,Tabla1[[#This Row],[MATERIALES]],UNITARIOS!E:E)),0)</f>
        <v>0</v>
      </c>
      <c r="F63" s="16">
        <f>Tabla1[[#This Row],[PRECIO]]*Tabla1[[#This Row],[CANTIDAD]]</f>
        <v>0</v>
      </c>
      <c r="I63" s="27" t="s">
        <v>360</v>
      </c>
      <c r="J63" s="28" t="s">
        <v>25</v>
      </c>
      <c r="K63" s="29">
        <v>3000</v>
      </c>
      <c r="L63" s="26">
        <f>ROUNDUP((+SUMIF(UNITARIOS!C:C,Tabla2[[#This Row],[MANO DE OBRA]],UNITARIOS!E:E)),0)</f>
        <v>0</v>
      </c>
      <c r="M63" s="14">
        <f>Tabla2[[#This Row],[PRECIO]]*Tabla2[[#This Row],[CANTIDAD]]</f>
        <v>0</v>
      </c>
      <c r="P63" s="6"/>
      <c r="Q63" s="7"/>
    </row>
    <row r="64" spans="2:20" x14ac:dyDescent="0.3">
      <c r="B64" s="8" t="s">
        <v>87</v>
      </c>
      <c r="C64" s="9" t="s">
        <v>25</v>
      </c>
      <c r="D64" s="14">
        <v>10</v>
      </c>
      <c r="E64" s="26">
        <f>ROUNDUP((+SUMIF(UNITARIOS!C:C,Tabla1[[#This Row],[MATERIALES]],UNITARIOS!E:E)),0)</f>
        <v>13</v>
      </c>
      <c r="F64" s="16">
        <f>Tabla1[[#This Row],[PRECIO]]*Tabla1[[#This Row],[CANTIDAD]]</f>
        <v>130</v>
      </c>
      <c r="I64" s="6" t="s">
        <v>353</v>
      </c>
      <c r="J64" s="28" t="s">
        <v>25</v>
      </c>
      <c r="K64" s="29">
        <v>10000</v>
      </c>
      <c r="L64" s="30">
        <f>ROUNDUP((+SUMIF(UNITARIOS!C:C,Tabla2[[#This Row],[MANO DE OBRA]],UNITARIOS!E:E)),0)</f>
        <v>0</v>
      </c>
      <c r="M64" s="29">
        <f>Tabla2[[#This Row],[PRECIO]]*Tabla2[[#This Row],[CANTIDAD]]</f>
        <v>0</v>
      </c>
      <c r="P64" s="6"/>
      <c r="Q64" s="7"/>
    </row>
    <row r="65" spans="2:17" x14ac:dyDescent="0.3">
      <c r="B65" s="8" t="s">
        <v>215</v>
      </c>
      <c r="C65" s="9" t="s">
        <v>65</v>
      </c>
      <c r="D65" s="14">
        <v>50</v>
      </c>
      <c r="E65" s="26">
        <f>ROUNDUP((+SUMIF(UNITARIOS!C:C,Tabla1[[#This Row],[MATERIALES]],UNITARIOS!E:E)),0)</f>
        <v>22</v>
      </c>
      <c r="F65" s="16">
        <f>Tabla1[[#This Row],[PRECIO]]*Tabla1[[#This Row],[CANTIDAD]]</f>
        <v>1100</v>
      </c>
      <c r="I65" s="6" t="s">
        <v>453</v>
      </c>
      <c r="J65" s="28" t="s">
        <v>25</v>
      </c>
      <c r="K65" s="29">
        <v>8019.7</v>
      </c>
      <c r="L65" s="64">
        <f>ROUNDUP((+SUMIF(UNITARIOS!C:C,Tabla2[[#This Row],[MANO DE OBRA]],UNITARIOS!E:E)),0)</f>
        <v>0</v>
      </c>
      <c r="M65" s="63">
        <f>Tabla2[[#This Row],[PRECIO]]*Tabla2[[#This Row],[CANTIDAD]]</f>
        <v>0</v>
      </c>
      <c r="P65" s="6"/>
      <c r="Q65" s="7"/>
    </row>
    <row r="66" spans="2:17" x14ac:dyDescent="0.3">
      <c r="B66" s="8" t="s">
        <v>57</v>
      </c>
      <c r="C66" s="9" t="s">
        <v>25</v>
      </c>
      <c r="D66" s="14">
        <v>2000</v>
      </c>
      <c r="E66" s="26">
        <f>ROUNDUP((+SUMIF(UNITARIOS!C:C,Tabla1[[#This Row],[MATERIALES]],UNITARIOS!E:E)),0)</f>
        <v>1</v>
      </c>
      <c r="F66" s="16">
        <f>Tabla1[[#This Row],[PRECIO]]*Tabla1[[#This Row],[CANTIDAD]]</f>
        <v>2000</v>
      </c>
      <c r="I66" s="6" t="s">
        <v>224</v>
      </c>
      <c r="J66" s="9" t="s">
        <v>25</v>
      </c>
      <c r="K66" s="14">
        <v>1845</v>
      </c>
      <c r="L66" s="30">
        <f>ROUNDUP((+SUMIF(UNITARIOS!C:C,Tabla2[[#This Row],[MANO DE OBRA]],UNITARIOS!E:E)),0)</f>
        <v>8</v>
      </c>
      <c r="M66" s="29">
        <f>Tabla2[[#This Row],[PRECIO]]*Tabla2[[#This Row],[CANTIDAD]]</f>
        <v>14760</v>
      </c>
      <c r="P66" s="6"/>
      <c r="Q66" s="7"/>
    </row>
    <row r="67" spans="2:17" x14ac:dyDescent="0.3">
      <c r="B67" s="8" t="s">
        <v>237</v>
      </c>
      <c r="C67" s="9" t="s">
        <v>72</v>
      </c>
      <c r="D67" s="14">
        <v>300</v>
      </c>
      <c r="E67" s="26">
        <f>ROUNDUP((+SUMIF(UNITARIOS!C:C,Tabla1[[#This Row],[MATERIALES]],UNITARIOS!E:E)),0)</f>
        <v>1</v>
      </c>
      <c r="F67" s="16">
        <f>Tabla1[[#This Row],[PRECIO]]*Tabla1[[#This Row],[CANTIDAD]]</f>
        <v>300</v>
      </c>
      <c r="I67" s="6" t="s">
        <v>446</v>
      </c>
      <c r="J67" s="9" t="s">
        <v>25</v>
      </c>
      <c r="K67" s="14">
        <v>1200</v>
      </c>
      <c r="L67" s="26">
        <f>ROUNDUP((+SUMIF(UNITARIOS!C:C,Tabla2[[#This Row],[MANO DE OBRA]],UNITARIOS!E:E)),0)</f>
        <v>0</v>
      </c>
      <c r="M67" s="14">
        <f>Tabla2[[#This Row],[PRECIO]]*Tabla2[[#This Row],[CANTIDAD]]</f>
        <v>0</v>
      </c>
      <c r="P67" s="6"/>
      <c r="Q67" s="7"/>
    </row>
    <row r="68" spans="2:17" ht="27.6" x14ac:dyDescent="0.3">
      <c r="B68" s="8" t="s">
        <v>475</v>
      </c>
      <c r="C68" s="9" t="s">
        <v>72</v>
      </c>
      <c r="D68" s="14">
        <v>100</v>
      </c>
      <c r="E68" s="26">
        <f>ROUNDUP((+SUMIF(UNITARIOS!C:C,Tabla1[[#This Row],[MATERIALES]],UNITARIOS!E:E)),0)</f>
        <v>0</v>
      </c>
      <c r="F68" s="16">
        <f>Tabla1[[#This Row],[PRECIO]]*Tabla1[[#This Row],[CANTIDAD]]</f>
        <v>0</v>
      </c>
      <c r="I68" s="145" t="s">
        <v>471</v>
      </c>
      <c r="J68" s="141" t="s">
        <v>25</v>
      </c>
      <c r="K68" s="142">
        <v>2440</v>
      </c>
      <c r="L68" s="143">
        <f>ROUNDUP((+SUMIF(UNITARIOS!C:C,Tabla2[[#This Row],[MANO DE OBRA]],UNITARIOS!E:E)),0)</f>
        <v>0</v>
      </c>
      <c r="M68" s="142">
        <f>Tabla2[[#This Row],[PRECIO]]*Tabla2[[#This Row],[CANTIDAD]]</f>
        <v>0</v>
      </c>
      <c r="P68" s="6"/>
      <c r="Q68" s="7"/>
    </row>
    <row r="69" spans="2:17" ht="27.6" x14ac:dyDescent="0.3">
      <c r="B69" s="8" t="s">
        <v>156</v>
      </c>
      <c r="C69" s="9" t="s">
        <v>25</v>
      </c>
      <c r="D69" s="14">
        <v>75</v>
      </c>
      <c r="E69" s="26">
        <f>ROUNDUP((+SUMIF(UNITARIOS!C:C,Tabla1[[#This Row],[MATERIALES]],UNITARIOS!E:E)),0)</f>
        <v>0</v>
      </c>
      <c r="F69" s="16">
        <f>Tabla1[[#This Row],[PRECIO]]*Tabla1[[#This Row],[CANTIDAD]]</f>
        <v>0</v>
      </c>
      <c r="I69" s="6" t="s">
        <v>587</v>
      </c>
      <c r="J69" s="9" t="s">
        <v>25</v>
      </c>
      <c r="K69" s="14">
        <v>1940</v>
      </c>
      <c r="L69" s="26">
        <f>ROUNDUP((+SUMIF(UNITARIOS!C:C,Tabla2[[#This Row],[MANO DE OBRA]],UNITARIOS!E:E)),0)</f>
        <v>3</v>
      </c>
      <c r="M69" s="14">
        <f>Tabla2[[#This Row],[PRECIO]]*Tabla2[[#This Row],[CANTIDAD]]</f>
        <v>5820</v>
      </c>
      <c r="P69" s="6"/>
      <c r="Q69" s="7"/>
    </row>
    <row r="70" spans="2:17" x14ac:dyDescent="0.3">
      <c r="B70" s="8" t="s">
        <v>214</v>
      </c>
      <c r="C70" s="9" t="s">
        <v>162</v>
      </c>
      <c r="D70" s="14">
        <v>80</v>
      </c>
      <c r="E70" s="26">
        <f>ROUNDUP((+SUMIF(UNITARIOS!C:C,Tabla1[[#This Row],[MATERIALES]],UNITARIOS!E:E)),0)</f>
        <v>865</v>
      </c>
      <c r="F70" s="16">
        <f>Tabla1[[#This Row],[PRECIO]]*Tabla1[[#This Row],[CANTIDAD]]</f>
        <v>69200</v>
      </c>
      <c r="I70" s="6" t="s">
        <v>287</v>
      </c>
      <c r="J70" s="9" t="s">
        <v>25</v>
      </c>
      <c r="K70" s="14">
        <v>1000</v>
      </c>
      <c r="L70" s="26">
        <f>ROUNDUP((+SUMIF(UNITARIOS!C:C,Tabla2[[#This Row],[MANO DE OBRA]],UNITARIOS!E:E)),0)</f>
        <v>0</v>
      </c>
      <c r="M70" s="14">
        <f>Tabla2[[#This Row],[PRECIO]]*Tabla2[[#This Row],[CANTIDAD]]</f>
        <v>0</v>
      </c>
      <c r="P70" s="6"/>
      <c r="Q70" s="7"/>
    </row>
    <row r="71" spans="2:17" x14ac:dyDescent="0.3">
      <c r="B71" s="8" t="s">
        <v>151</v>
      </c>
      <c r="C71" s="9" t="s">
        <v>25</v>
      </c>
      <c r="D71" s="14">
        <v>20</v>
      </c>
      <c r="E71" s="26">
        <f>ROUNDUP((+SUMIF(UNITARIOS!C:C,Tabla1[[#This Row],[MATERIALES]],UNITARIOS!E:E)),0)</f>
        <v>0</v>
      </c>
      <c r="F71" s="16">
        <f>Tabla1[[#This Row],[PRECIO]]*Tabla1[[#This Row],[CANTIDAD]]</f>
        <v>0</v>
      </c>
      <c r="I71" s="6" t="s">
        <v>480</v>
      </c>
      <c r="J71" s="9" t="s">
        <v>25</v>
      </c>
      <c r="K71" s="14">
        <v>600</v>
      </c>
      <c r="L71" s="26">
        <f>ROUNDUP((+SUMIF(UNITARIOS!C:C,Tabla2[[#This Row],[MANO DE OBRA]],UNITARIOS!E:E)),0)</f>
        <v>0</v>
      </c>
      <c r="M71" s="14">
        <f>Tabla2[[#This Row],[PRECIO]]*Tabla2[[#This Row],[CANTIDAD]]</f>
        <v>0</v>
      </c>
      <c r="P71" s="6"/>
      <c r="Q71" s="7"/>
    </row>
    <row r="72" spans="2:17" x14ac:dyDescent="0.3">
      <c r="B72" s="65" t="s">
        <v>420</v>
      </c>
      <c r="C72" s="62" t="s">
        <v>25</v>
      </c>
      <c r="D72" s="63">
        <v>2000</v>
      </c>
      <c r="E72" s="64">
        <f>ROUNDUP((+SUMIF(UNITARIOS!C:C,Tabla1[[#This Row],[MATERIALES]],UNITARIOS!E:E)),0)</f>
        <v>0</v>
      </c>
      <c r="F72" s="66">
        <f>Tabla1[[#This Row],[PRECIO]]*Tabla1[[#This Row],[CANTIDAD]]</f>
        <v>0</v>
      </c>
      <c r="I72" s="27" t="s">
        <v>357</v>
      </c>
      <c r="J72" s="28" t="s">
        <v>25</v>
      </c>
      <c r="K72" s="29">
        <v>3000</v>
      </c>
      <c r="L72" s="30">
        <f>ROUNDUP((+SUMIF(UNITARIOS!C:C,Tabla2[[#This Row],[MANO DE OBRA]],UNITARIOS!E:E)),0)</f>
        <v>0</v>
      </c>
      <c r="M72" s="29">
        <f>Tabla2[[#This Row],[PRECIO]]*Tabla2[[#This Row],[CANTIDAD]]</f>
        <v>0</v>
      </c>
      <c r="P72" s="6"/>
      <c r="Q72" s="7"/>
    </row>
    <row r="73" spans="2:17" x14ac:dyDescent="0.3">
      <c r="B73" s="8" t="s">
        <v>155</v>
      </c>
      <c r="C73" s="9" t="s">
        <v>25</v>
      </c>
      <c r="D73" s="14">
        <v>185</v>
      </c>
      <c r="E73" s="26">
        <f>ROUNDUP((+SUMIF(UNITARIOS!C:C,Tabla1[[#This Row],[MATERIALES]],UNITARIOS!E:E)),0)</f>
        <v>0</v>
      </c>
      <c r="F73" s="16">
        <f>Tabla1[[#This Row],[PRECIO]]*Tabla1[[#This Row],[CANTIDAD]]</f>
        <v>0</v>
      </c>
      <c r="I73" s="27" t="s">
        <v>358</v>
      </c>
      <c r="J73" s="28" t="s">
        <v>25</v>
      </c>
      <c r="K73" s="29">
        <v>1520</v>
      </c>
      <c r="L73" s="30">
        <f>ROUNDUP((+SUMIF(UNITARIOS!C:C,Tabla2[[#This Row],[MANO DE OBRA]],UNITARIOS!E:E)),0)</f>
        <v>0</v>
      </c>
      <c r="M73" s="29">
        <f>Tabla2[[#This Row],[PRECIO]]*Tabla2[[#This Row],[CANTIDAD]]</f>
        <v>0</v>
      </c>
      <c r="P73" s="6"/>
      <c r="Q73" s="7"/>
    </row>
    <row r="74" spans="2:17" x14ac:dyDescent="0.3">
      <c r="B74" s="8" t="s">
        <v>101</v>
      </c>
      <c r="C74" s="9" t="s">
        <v>25</v>
      </c>
      <c r="D74" s="14">
        <v>800</v>
      </c>
      <c r="E74" s="26">
        <f>ROUNDUP((+SUMIF(UNITARIOS!C:C,Tabla1[[#This Row],[MATERIALES]],UNITARIOS!E:E)),0)</f>
        <v>0</v>
      </c>
      <c r="F74" s="16">
        <f>Tabla1[[#This Row],[PRECIO]]*Tabla1[[#This Row],[CANTIDAD]]</f>
        <v>0</v>
      </c>
      <c r="I74" s="6" t="s">
        <v>226</v>
      </c>
      <c r="J74" s="9" t="s">
        <v>24</v>
      </c>
      <c r="K74" s="14">
        <v>1000</v>
      </c>
      <c r="L74" s="26">
        <f>ROUNDUP((+SUMIF(UNITARIOS!C:C,Tabla2[[#This Row],[MANO DE OBRA]],UNITARIOS!E:E)),0)</f>
        <v>11</v>
      </c>
      <c r="M74" s="14">
        <f>Tabla2[[#This Row],[PRECIO]]*Tabla2[[#This Row],[CANTIDAD]]</f>
        <v>11000</v>
      </c>
      <c r="P74" s="6"/>
      <c r="Q74" s="7"/>
    </row>
    <row r="75" spans="2:17" x14ac:dyDescent="0.3">
      <c r="B75" s="8" t="s">
        <v>138</v>
      </c>
      <c r="C75" s="9" t="s">
        <v>25</v>
      </c>
      <c r="D75" s="14">
        <v>100</v>
      </c>
      <c r="E75" s="26">
        <f>ROUNDUP((+SUMIF(UNITARIOS!C:C,Tabla1[[#This Row],[MATERIALES]],UNITARIOS!E:E)),0)</f>
        <v>0</v>
      </c>
      <c r="F75" s="16">
        <f>Tabla1[[#This Row],[PRECIO]]*Tabla1[[#This Row],[CANTIDAD]]</f>
        <v>0</v>
      </c>
      <c r="I75" s="6" t="s">
        <v>414</v>
      </c>
      <c r="J75" s="9" t="s">
        <v>24</v>
      </c>
      <c r="K75" s="14">
        <v>1100</v>
      </c>
      <c r="L75" s="26">
        <f>ROUNDUP((+SUMIF(UNITARIOS!C:C,Tabla2[[#This Row],[MANO DE OBRA]],UNITARIOS!E:E)),0)</f>
        <v>0</v>
      </c>
      <c r="M75" s="14">
        <f>Tabla2[[#This Row],[PRECIO]]*Tabla2[[#This Row],[CANTIDAD]]</f>
        <v>0</v>
      </c>
      <c r="P75" s="6"/>
      <c r="Q75" s="7"/>
    </row>
    <row r="76" spans="2:17" ht="27.6" x14ac:dyDescent="0.3">
      <c r="B76" s="8" t="s">
        <v>217</v>
      </c>
      <c r="C76" s="9" t="s">
        <v>24</v>
      </c>
      <c r="D76" s="14">
        <v>100</v>
      </c>
      <c r="E76" s="26">
        <f>ROUNDUP((+SUMIF(UNITARIOS!C:C,Tabla1[[#This Row],[MATERIALES]],UNITARIOS!E:E)),0)</f>
        <v>0</v>
      </c>
      <c r="F76" s="16">
        <f>Tabla1[[#This Row],[PRECIO]]*Tabla1[[#This Row],[CANTIDAD]]</f>
        <v>0</v>
      </c>
      <c r="I76" s="145" t="s">
        <v>472</v>
      </c>
      <c r="J76" s="9" t="s">
        <v>24</v>
      </c>
      <c r="K76" s="142">
        <v>1100</v>
      </c>
      <c r="L76" s="143">
        <f>ROUNDUP((+SUMIF(UNITARIOS!C:C,Tabla2[[#This Row],[MANO DE OBRA]],UNITARIOS!E:E)),0)</f>
        <v>0</v>
      </c>
      <c r="M76" s="142">
        <f>Tabla2[[#This Row],[PRECIO]]*Tabla2[[#This Row],[CANTIDAD]]</f>
        <v>0</v>
      </c>
      <c r="P76" s="6"/>
      <c r="Q76" s="7"/>
    </row>
    <row r="77" spans="2:17" x14ac:dyDescent="0.3">
      <c r="B77" s="8" t="s">
        <v>249</v>
      </c>
      <c r="C77" s="9" t="s">
        <v>25</v>
      </c>
      <c r="D77" s="14">
        <v>50</v>
      </c>
      <c r="E77" s="26">
        <f>ROUNDUP((+SUMIF(UNITARIOS!C:C,Tabla1[[#This Row],[MATERIALES]],UNITARIOS!E:E)),0)</f>
        <v>0</v>
      </c>
      <c r="F77" s="16">
        <f>Tabla1[[#This Row],[PRECIO]]*Tabla1[[#This Row],[CANTIDAD]]</f>
        <v>0</v>
      </c>
      <c r="I77" s="27" t="s">
        <v>316</v>
      </c>
      <c r="J77" s="28" t="s">
        <v>25</v>
      </c>
      <c r="K77" s="29">
        <v>20000</v>
      </c>
      <c r="L77" s="30">
        <f>ROUNDUP((+SUMIF(UNITARIOS!C:C,Tabla2[[#This Row],[MANO DE OBRA]],UNITARIOS!E:E)),0)</f>
        <v>0</v>
      </c>
      <c r="M77" s="29">
        <f>Tabla2[[#This Row],[PRECIO]]*Tabla2[[#This Row],[CANTIDAD]]</f>
        <v>0</v>
      </c>
      <c r="P77" s="6"/>
      <c r="Q77" s="7"/>
    </row>
    <row r="78" spans="2:17" x14ac:dyDescent="0.3">
      <c r="B78" s="8" t="s">
        <v>218</v>
      </c>
      <c r="C78" s="9" t="s">
        <v>67</v>
      </c>
      <c r="D78" s="14">
        <v>5</v>
      </c>
      <c r="E78" s="26">
        <f>ROUNDUP((+SUMIF(UNITARIOS!C:C,Tabla1[[#This Row],[MATERIALES]],UNITARIOS!E:E)),0)</f>
        <v>0</v>
      </c>
      <c r="F78" s="16">
        <f>Tabla1[[#This Row],[PRECIO]]*Tabla1[[#This Row],[CANTIDAD]]</f>
        <v>0</v>
      </c>
      <c r="I78" s="6" t="s">
        <v>368</v>
      </c>
      <c r="J78" s="9" t="s">
        <v>61</v>
      </c>
      <c r="K78" s="16">
        <v>500</v>
      </c>
      <c r="L78" s="26">
        <f>ROUNDUP((+SUMIF(UNITARIOS!C:C,Tabla2[[#This Row],[MANO DE OBRA]],UNITARIOS!E:E)),0)</f>
        <v>32</v>
      </c>
      <c r="M78" s="14">
        <f>Tabla2[[#This Row],[PRECIO]]*Tabla2[[#This Row],[CANTIDAD]]</f>
        <v>16000</v>
      </c>
      <c r="P78" s="6"/>
      <c r="Q78" s="7"/>
    </row>
    <row r="79" spans="2:17" x14ac:dyDescent="0.3">
      <c r="B79" s="8" t="s">
        <v>175</v>
      </c>
      <c r="C79" s="9" t="s">
        <v>67</v>
      </c>
      <c r="D79" s="14">
        <v>10</v>
      </c>
      <c r="E79" s="26">
        <f>ROUNDUP((+SUMIF(UNITARIOS!C:C,Tabla1[[#This Row],[MATERIALES]],UNITARIOS!E:E)),0)</f>
        <v>32</v>
      </c>
      <c r="F79" s="16">
        <f>Tabla1[[#This Row],[PRECIO]]*Tabla1[[#This Row],[CANTIDAD]]</f>
        <v>320</v>
      </c>
      <c r="I79" s="61" t="s">
        <v>415</v>
      </c>
      <c r="J79" s="62" t="s">
        <v>61</v>
      </c>
      <c r="K79" s="63">
        <v>100</v>
      </c>
      <c r="L79" s="64">
        <f>ROUNDUP((+SUMIF(UNITARIOS!C:C,Tabla2[[#This Row],[MANO DE OBRA]],UNITARIOS!E:E)),0)</f>
        <v>6</v>
      </c>
      <c r="M79" s="63">
        <f>Tabla2[[#This Row],[PRECIO]]*Tabla2[[#This Row],[CANTIDAD]]</f>
        <v>600</v>
      </c>
      <c r="P79" s="6"/>
      <c r="Q79" s="7"/>
    </row>
    <row r="80" spans="2:17" x14ac:dyDescent="0.3">
      <c r="B80" s="8" t="s">
        <v>588</v>
      </c>
      <c r="C80" s="9" t="s">
        <v>25</v>
      </c>
      <c r="D80" s="14">
        <v>60</v>
      </c>
      <c r="E80" s="26">
        <f>ROUNDUP((+SUMIF(UNITARIOS!C:C,Tabla1[[#This Row],[MATERIALES]],UNITARIOS!E:E)),0)</f>
        <v>2</v>
      </c>
      <c r="F80" s="16">
        <f>Tabla1[[#This Row],[PRECIO]]*Tabla1[[#This Row],[CANTIDAD]]</f>
        <v>120</v>
      </c>
      <c r="I80" s="27" t="s">
        <v>312</v>
      </c>
      <c r="J80" s="28" t="s">
        <v>25</v>
      </c>
      <c r="K80" s="29">
        <v>150</v>
      </c>
      <c r="L80" s="30">
        <f>ROUNDUP((+SUMIF(UNITARIOS!C:C,Tabla2[[#This Row],[MANO DE OBRA]],UNITARIOS!E:E)),0)</f>
        <v>0</v>
      </c>
      <c r="M80" s="29">
        <f>Tabla2[[#This Row],[PRECIO]]*Tabla2[[#This Row],[CANTIDAD]]</f>
        <v>0</v>
      </c>
      <c r="P80" s="6"/>
      <c r="Q80" s="7"/>
    </row>
    <row r="81" spans="2:17" x14ac:dyDescent="0.3">
      <c r="B81" s="32" t="s">
        <v>304</v>
      </c>
      <c r="C81" s="28" t="s">
        <v>25</v>
      </c>
      <c r="D81" s="29">
        <v>15</v>
      </c>
      <c r="E81" s="30">
        <f>ROUNDUP((+SUMIF(UNITARIOS!C:C,Tabla1[[#This Row],[MATERIALES]],UNITARIOS!E:E)),0)</f>
        <v>1</v>
      </c>
      <c r="F81" s="50">
        <f>Tabla1[[#This Row],[PRECIO]]*Tabla1[[#This Row],[CANTIDAD]]</f>
        <v>15</v>
      </c>
      <c r="I81" s="6" t="s">
        <v>219</v>
      </c>
      <c r="J81" s="9" t="s">
        <v>24</v>
      </c>
      <c r="K81" s="14">
        <v>100</v>
      </c>
      <c r="L81" s="26">
        <f>ROUNDUP((+SUMIF(UNITARIOS!C:C,Tabla2[[#This Row],[MANO DE OBRA]],UNITARIOS!E:E)),0)</f>
        <v>0</v>
      </c>
      <c r="M81" s="14">
        <f>Tabla2[[#This Row],[PRECIO]]*Tabla2[[#This Row],[CANTIDAD]]</f>
        <v>0</v>
      </c>
      <c r="P81" s="6"/>
      <c r="Q81" s="7"/>
    </row>
    <row r="82" spans="2:17" x14ac:dyDescent="0.3">
      <c r="B82" s="8" t="s">
        <v>332</v>
      </c>
      <c r="C82" s="9" t="s">
        <v>25</v>
      </c>
      <c r="D82" s="14">
        <v>10</v>
      </c>
      <c r="E82" s="26">
        <f>ROUNDUP((+SUMIF(UNITARIOS!C:C,Tabla1[[#This Row],[MATERIALES]],UNITARIOS!E:E)),0)</f>
        <v>0</v>
      </c>
      <c r="F82" s="16">
        <f>Tabla1[[#This Row],[PRECIO]]*Tabla1[[#This Row],[CANTIDAD]]</f>
        <v>0</v>
      </c>
      <c r="I82" s="6" t="s">
        <v>436</v>
      </c>
      <c r="J82" s="9" t="s">
        <v>25</v>
      </c>
      <c r="K82" s="14">
        <v>150</v>
      </c>
      <c r="L82" s="26">
        <f>ROUNDUP((+SUMIF(UNITARIOS!C:C,Tabla2[[#This Row],[MANO DE OBRA]],UNITARIOS!E:E)),0)</f>
        <v>0</v>
      </c>
      <c r="M82" s="14">
        <f>Tabla2[[#This Row],[PRECIO]]*Tabla2[[#This Row],[CANTIDAD]]</f>
        <v>0</v>
      </c>
      <c r="P82" s="6"/>
      <c r="Q82" s="7"/>
    </row>
    <row r="83" spans="2:17" x14ac:dyDescent="0.3">
      <c r="B83" s="8" t="s">
        <v>242</v>
      </c>
      <c r="C83" s="9" t="s">
        <v>25</v>
      </c>
      <c r="D83" s="14">
        <v>75</v>
      </c>
      <c r="E83" s="26">
        <f>ROUNDUP((+SUMIF(UNITARIOS!C:C,Tabla1[[#This Row],[MATERIALES]],UNITARIOS!E:E)),0)</f>
        <v>2</v>
      </c>
      <c r="F83" s="16">
        <f>Tabla1[[#This Row],[PRECIO]]*Tabla1[[#This Row],[CANTIDAD]]</f>
        <v>150</v>
      </c>
      <c r="I83" s="145" t="s">
        <v>469</v>
      </c>
      <c r="J83" s="141" t="s">
        <v>24</v>
      </c>
      <c r="K83" s="142">
        <v>48</v>
      </c>
      <c r="L83" s="143">
        <f>ROUNDUP((+SUMIF(UNITARIOS!C:C,Tabla2[[#This Row],[MANO DE OBRA]],UNITARIOS!E:E)),0)</f>
        <v>17</v>
      </c>
      <c r="M83" s="142">
        <f>Tabla2[[#This Row],[PRECIO]]*Tabla2[[#This Row],[CANTIDAD]]</f>
        <v>816</v>
      </c>
      <c r="P83" s="6"/>
      <c r="Q83" s="7"/>
    </row>
    <row r="84" spans="2:17" x14ac:dyDescent="0.3">
      <c r="B84" s="8" t="s">
        <v>290</v>
      </c>
      <c r="C84" s="9" t="s">
        <v>25</v>
      </c>
      <c r="D84" s="14">
        <v>5</v>
      </c>
      <c r="E84" s="26">
        <f>ROUNDUP((+SUMIF(UNITARIOS!C:C,Tabla1[[#This Row],[MATERIALES]],UNITARIOS!E:E)),0)</f>
        <v>37</v>
      </c>
      <c r="F84" s="16">
        <f>Tabla1[[#This Row],[PRECIO]]*Tabla1[[#This Row],[CANTIDAD]]</f>
        <v>185</v>
      </c>
      <c r="I84" s="238" t="s">
        <v>604</v>
      </c>
      <c r="J84" s="234" t="s">
        <v>24</v>
      </c>
      <c r="K84" s="235">
        <v>80</v>
      </c>
      <c r="L84" s="236">
        <f>ROUNDUP((+SUMIF(UNITARIOS!C:C,Tabla2[[#This Row],[MANO DE OBRA]],UNITARIOS!E:E)),0)</f>
        <v>25</v>
      </c>
      <c r="M84" s="235">
        <f>Tabla2[[#This Row],[PRECIO]]*Tabla2[[#This Row],[CANTIDAD]]</f>
        <v>2000</v>
      </c>
      <c r="P84" s="6"/>
      <c r="Q84" s="7"/>
    </row>
    <row r="85" spans="2:17" x14ac:dyDescent="0.3">
      <c r="B85" s="8" t="s">
        <v>291</v>
      </c>
      <c r="C85" s="9" t="s">
        <v>25</v>
      </c>
      <c r="D85" s="14">
        <v>5</v>
      </c>
      <c r="E85" s="26">
        <f>ROUNDUP((+SUMIF(UNITARIOS!C:C,Tabla1[[#This Row],[MATERIALES]],UNITARIOS!E:E)),0)</f>
        <v>0</v>
      </c>
      <c r="F85" s="16">
        <f>Tabla1[[#This Row],[PRECIO]]*Tabla1[[#This Row],[CANTIDAD]]</f>
        <v>0</v>
      </c>
      <c r="I85" s="6" t="s">
        <v>590</v>
      </c>
      <c r="J85" s="9" t="s">
        <v>72</v>
      </c>
      <c r="K85" s="14">
        <v>15</v>
      </c>
      <c r="L85" s="26">
        <f>ROUNDUP((+SUMIF(UNITARIOS!C:C,Tabla2[[#This Row],[MANO DE OBRA]],UNITARIOS!E:E)),0)</f>
        <v>3</v>
      </c>
      <c r="M85" s="14">
        <f>Tabla2[[#This Row],[PRECIO]]*Tabla2[[#This Row],[CANTIDAD]]</f>
        <v>45</v>
      </c>
      <c r="P85" s="6"/>
      <c r="Q85" s="7"/>
    </row>
    <row r="86" spans="2:17" x14ac:dyDescent="0.3">
      <c r="B86" s="8" t="s">
        <v>292</v>
      </c>
      <c r="C86" s="9" t="s">
        <v>25</v>
      </c>
      <c r="D86" s="14">
        <v>5</v>
      </c>
      <c r="E86" s="26">
        <f>ROUNDUP((+SUMIF(UNITARIOS!C:C,Tabla1[[#This Row],[MATERIALES]],UNITARIOS!E:E)),0)</f>
        <v>25</v>
      </c>
      <c r="F86" s="16">
        <f>Tabla1[[#This Row],[PRECIO]]*Tabla1[[#This Row],[CANTIDAD]]</f>
        <v>125</v>
      </c>
      <c r="I86" s="24" t="s">
        <v>315</v>
      </c>
      <c r="J86" s="9" t="s">
        <v>25</v>
      </c>
      <c r="K86" s="16">
        <v>2000</v>
      </c>
      <c r="L86" s="26">
        <f>ROUNDUP((+SUMIF(UNITARIOS!C:C,Tabla2[[#This Row],[MANO DE OBRA]],UNITARIOS!E:E)),0)</f>
        <v>0</v>
      </c>
      <c r="M86" s="16">
        <f>Tabla2[[#This Row],[PRECIO]]*Tabla2[[#This Row],[CANTIDAD]]</f>
        <v>0</v>
      </c>
      <c r="P86" s="6"/>
      <c r="Q86" s="7"/>
    </row>
    <row r="87" spans="2:17" x14ac:dyDescent="0.3">
      <c r="B87" s="8" t="s">
        <v>293</v>
      </c>
      <c r="C87" s="9" t="s">
        <v>25</v>
      </c>
      <c r="D87" s="14">
        <v>5</v>
      </c>
      <c r="E87" s="26">
        <f>ROUNDUP((+SUMIF(UNITARIOS!C:C,Tabla1[[#This Row],[MATERIALES]],UNITARIOS!E:E)),0)</f>
        <v>0</v>
      </c>
      <c r="F87" s="16">
        <f>Tabla1[[#This Row],[PRECIO]]*Tabla1[[#This Row],[CANTIDAD]]</f>
        <v>0</v>
      </c>
      <c r="I87" s="13" t="s">
        <v>339</v>
      </c>
      <c r="J87" s="9" t="s">
        <v>25</v>
      </c>
      <c r="K87" s="14">
        <v>500</v>
      </c>
      <c r="L87" s="26">
        <f>ROUNDUP((+SUMIF(UNITARIOS!C:C,Tabla2[[#This Row],[MANO DE OBRA]],UNITARIOS!E:E)),0)</f>
        <v>0</v>
      </c>
      <c r="M87" s="14">
        <f>Tabla2[[#This Row],[PRECIO]]*Tabla2[[#This Row],[CANTIDAD]]</f>
        <v>0</v>
      </c>
      <c r="P87" s="6"/>
      <c r="Q87" s="7"/>
    </row>
    <row r="88" spans="2:17" x14ac:dyDescent="0.3">
      <c r="B88" s="8" t="s">
        <v>294</v>
      </c>
      <c r="C88" s="9" t="s">
        <v>25</v>
      </c>
      <c r="D88" s="14">
        <v>10</v>
      </c>
      <c r="E88" s="26">
        <f>ROUNDUP((+SUMIF(UNITARIOS!C:C,Tabla1[[#This Row],[MATERIALES]],UNITARIOS!E:E)),0)</f>
        <v>0</v>
      </c>
      <c r="F88" s="16">
        <f>Tabla1[[#This Row],[PRECIO]]*Tabla1[[#This Row],[CANTIDAD]]</f>
        <v>0</v>
      </c>
      <c r="I88" s="6" t="s">
        <v>186</v>
      </c>
      <c r="J88" s="9" t="s">
        <v>25</v>
      </c>
      <c r="K88" s="14">
        <v>58</v>
      </c>
      <c r="L88" s="26">
        <f>ROUNDUP((+SUMIF(UNITARIOS!C:C,Tabla2[[#This Row],[MANO DE OBRA]],UNITARIOS!E:E)),0)</f>
        <v>1</v>
      </c>
      <c r="M88" s="14">
        <f>Tabla2[[#This Row],[PRECIO]]*Tabla2[[#This Row],[CANTIDAD]]</f>
        <v>58</v>
      </c>
      <c r="P88" s="6"/>
      <c r="Q88" s="7"/>
    </row>
    <row r="89" spans="2:17" x14ac:dyDescent="0.3">
      <c r="B89" s="8" t="s">
        <v>295</v>
      </c>
      <c r="C89" s="9" t="s">
        <v>25</v>
      </c>
      <c r="D89" s="14">
        <v>15</v>
      </c>
      <c r="E89" s="26">
        <f>ROUNDUP((+SUMIF(UNITARIOS!C:C,Tabla1[[#This Row],[MATERIALES]],UNITARIOS!E:E)),0)</f>
        <v>0</v>
      </c>
      <c r="F89" s="16">
        <f>Tabla1[[#This Row],[PRECIO]]*Tabla1[[#This Row],[CANTIDAD]]</f>
        <v>0</v>
      </c>
      <c r="I89" s="6" t="s">
        <v>474</v>
      </c>
      <c r="J89" s="9" t="s">
        <v>72</v>
      </c>
      <c r="K89" s="14">
        <v>50</v>
      </c>
      <c r="L89" s="26">
        <f>ROUNDUP((+SUMIF(UNITARIOS!C:C,Tabla2[[#This Row],[MANO DE OBRA]],UNITARIOS!E:E)),0)</f>
        <v>0</v>
      </c>
      <c r="M89" s="14">
        <f>Tabla2[[#This Row],[PRECIO]]*Tabla2[[#This Row],[CANTIDAD]]</f>
        <v>0</v>
      </c>
      <c r="P89" s="6"/>
      <c r="Q89" s="7"/>
    </row>
    <row r="90" spans="2:17" x14ac:dyDescent="0.3">
      <c r="B90" s="8" t="s">
        <v>134</v>
      </c>
      <c r="C90" s="9" t="s">
        <v>25</v>
      </c>
      <c r="D90" s="14">
        <v>300</v>
      </c>
      <c r="E90" s="26">
        <f>ROUNDUP((+SUMIF(UNITARIOS!C:C,Tabla1[[#This Row],[MATERIALES]],UNITARIOS!E:E)),0)</f>
        <v>0</v>
      </c>
      <c r="F90" s="16">
        <f>Tabla1[[#This Row],[PRECIO]]*Tabla1[[#This Row],[CANTIDAD]]</f>
        <v>0</v>
      </c>
      <c r="I90" s="61" t="s">
        <v>404</v>
      </c>
      <c r="J90" s="62" t="s">
        <v>72</v>
      </c>
      <c r="K90" s="63">
        <v>150</v>
      </c>
      <c r="L90" s="64">
        <f>ROUNDUP((+SUMIF(UNITARIOS!C:C,Tabla2[[#This Row],[MANO DE OBRA]],UNITARIOS!E:E)),0)</f>
        <v>0</v>
      </c>
      <c r="M90" s="63">
        <f>Tabla2[[#This Row],[PRECIO]]*Tabla2[[#This Row],[CANTIDAD]]</f>
        <v>0</v>
      </c>
      <c r="P90" s="6"/>
      <c r="Q90" s="7"/>
    </row>
    <row r="91" spans="2:17" x14ac:dyDescent="0.3">
      <c r="B91" s="8" t="s">
        <v>113</v>
      </c>
      <c r="C91" s="9" t="s">
        <v>25</v>
      </c>
      <c r="D91" s="14">
        <v>50</v>
      </c>
      <c r="E91" s="26">
        <f>ROUNDUP((+SUMIF(UNITARIOS!C:C,Tabla1[[#This Row],[MATERIALES]],UNITARIOS!E:E)),0)</f>
        <v>0</v>
      </c>
      <c r="F91" s="16">
        <f>Tabla1[[#This Row],[PRECIO]]*Tabla1[[#This Row],[CANTIDAD]]</f>
        <v>0</v>
      </c>
      <c r="I91" s="6" t="s">
        <v>93</v>
      </c>
      <c r="J91" s="9" t="s">
        <v>25</v>
      </c>
      <c r="K91" s="14">
        <v>50</v>
      </c>
      <c r="L91" s="26">
        <f>ROUNDUP((+SUMIF(UNITARIOS!C:C,Tabla2[[#This Row],[MANO DE OBRA]],UNITARIOS!E:E)),0)</f>
        <v>2</v>
      </c>
      <c r="M91" s="14">
        <f>Tabla2[[#This Row],[PRECIO]]*Tabla2[[#This Row],[CANTIDAD]]</f>
        <v>100</v>
      </c>
      <c r="P91" s="6"/>
      <c r="Q91" s="7"/>
    </row>
    <row r="92" spans="2:17" x14ac:dyDescent="0.3">
      <c r="B92" s="8" t="s">
        <v>97</v>
      </c>
      <c r="C92" s="9" t="s">
        <v>25</v>
      </c>
      <c r="D92" s="14">
        <v>250</v>
      </c>
      <c r="E92" s="26">
        <f>ROUNDUP((+SUMIF(UNITARIOS!C:C,Tabla1[[#This Row],[MATERIALES]],UNITARIOS!E:E)),0)</f>
        <v>0</v>
      </c>
      <c r="F92" s="16">
        <f>Tabla1[[#This Row],[PRECIO]]*Tabla1[[#This Row],[CANTIDAD]]</f>
        <v>0</v>
      </c>
      <c r="I92" s="27" t="s">
        <v>324</v>
      </c>
      <c r="J92" s="28" t="s">
        <v>25</v>
      </c>
      <c r="K92" s="29">
        <v>50</v>
      </c>
      <c r="L92" s="30">
        <f>ROUNDUP((+SUMIF(UNITARIOS!C:C,Tabla2[[#This Row],[MANO DE OBRA]],UNITARIOS!E:E)),0)</f>
        <v>1</v>
      </c>
      <c r="M92" s="29">
        <f>Tabla2[[#This Row],[PRECIO]]*Tabla2[[#This Row],[CANTIDAD]]</f>
        <v>50</v>
      </c>
      <c r="P92" s="6"/>
      <c r="Q92" s="7"/>
    </row>
    <row r="93" spans="2:17" x14ac:dyDescent="0.3">
      <c r="B93" s="8" t="s">
        <v>198</v>
      </c>
      <c r="C93" s="9" t="s">
        <v>25</v>
      </c>
      <c r="D93" s="14">
        <v>300</v>
      </c>
      <c r="E93" s="26">
        <f>ROUNDUP((+SUMIF(UNITARIOS!C:C,Tabla1[[#This Row],[MATERIALES]],UNITARIOS!E:E)),0)</f>
        <v>1</v>
      </c>
      <c r="F93" s="16">
        <f>Tabla1[[#This Row],[PRECIO]]*Tabla1[[#This Row],[CANTIDAD]]</f>
        <v>300</v>
      </c>
      <c r="I93" s="6" t="s">
        <v>321</v>
      </c>
      <c r="J93" s="9" t="s">
        <v>25</v>
      </c>
      <c r="K93" s="29">
        <v>50</v>
      </c>
      <c r="L93" s="26">
        <f>ROUNDUP((+SUMIF(UNITARIOS!C:C,Tabla2[[#This Row],[MANO DE OBRA]],UNITARIOS!E:E)),0)</f>
        <v>2</v>
      </c>
      <c r="M93" s="14">
        <f>Tabla2[[#This Row],[PRECIO]]*Tabla2[[#This Row],[CANTIDAD]]</f>
        <v>100</v>
      </c>
      <c r="P93" s="6"/>
      <c r="Q93" s="7"/>
    </row>
    <row r="94" spans="2:17" x14ac:dyDescent="0.3">
      <c r="B94" s="8" t="s">
        <v>197</v>
      </c>
      <c r="C94" s="9" t="s">
        <v>25</v>
      </c>
      <c r="D94" s="14">
        <v>300</v>
      </c>
      <c r="E94" s="26">
        <f>ROUNDUP((+SUMIF(UNITARIOS!C:C,Tabla1[[#This Row],[MATERIALES]],UNITARIOS!E:E)),0)</f>
        <v>0</v>
      </c>
      <c r="F94" s="16">
        <f>Tabla1[[#This Row],[PRECIO]]*Tabla1[[#This Row],[CANTIDAD]]</f>
        <v>0</v>
      </c>
      <c r="I94" s="6" t="s">
        <v>593</v>
      </c>
      <c r="J94" s="9" t="s">
        <v>24</v>
      </c>
      <c r="K94" s="14">
        <v>50</v>
      </c>
      <c r="L94" s="26">
        <f>ROUNDUP((+SUMIF(UNITARIOS!C:C,Tabla2[[#This Row],[MANO DE OBRA]],UNITARIOS!E:E)),0)</f>
        <v>2</v>
      </c>
      <c r="M94" s="14">
        <f>Tabla2[[#This Row],[PRECIO]]*Tabla2[[#This Row],[CANTIDAD]]</f>
        <v>100</v>
      </c>
      <c r="P94" s="6"/>
      <c r="Q94" s="7"/>
    </row>
    <row r="95" spans="2:17" x14ac:dyDescent="0.3">
      <c r="B95" s="8" t="s">
        <v>425</v>
      </c>
      <c r="C95" s="9" t="s">
        <v>25</v>
      </c>
      <c r="D95" s="14">
        <v>350</v>
      </c>
      <c r="E95" s="26">
        <f>ROUNDUP((+SUMIF(UNITARIOS!C:C,Tabla1[[#This Row],[MATERIALES]],UNITARIOS!E:E)),0)</f>
        <v>0</v>
      </c>
      <c r="F95" s="16">
        <f>Tabla1[[#This Row],[PRECIO]]*Tabla1[[#This Row],[CANTIDAD]]</f>
        <v>0</v>
      </c>
      <c r="I95" s="6" t="s">
        <v>579</v>
      </c>
      <c r="J95" s="9" t="s">
        <v>72</v>
      </c>
      <c r="K95" s="14">
        <v>75</v>
      </c>
      <c r="L95" s="26">
        <f>ROUNDUP((+SUMIF(UNITARIOS!C:C,Tabla2[[#This Row],[MANO DE OBRA]],UNITARIOS!E:E)),0)</f>
        <v>10</v>
      </c>
      <c r="M95" s="14">
        <f>Tabla2[[#This Row],[PRECIO]]*Tabla2[[#This Row],[CANTIDAD]]</f>
        <v>750</v>
      </c>
      <c r="P95" s="6"/>
      <c r="Q95" s="7"/>
    </row>
    <row r="96" spans="2:17" x14ac:dyDescent="0.3">
      <c r="B96" s="8" t="s">
        <v>121</v>
      </c>
      <c r="C96" s="9" t="s">
        <v>65</v>
      </c>
      <c r="D96" s="14">
        <v>25</v>
      </c>
      <c r="E96" s="26">
        <f>ROUNDUP((+SUMIF(UNITARIOS!C:C,Tabla1[[#This Row],[MATERIALES]],UNITARIOS!E:E)),0)</f>
        <v>0</v>
      </c>
      <c r="F96" s="16">
        <f>Tabla1[[#This Row],[PRECIO]]*Tabla1[[#This Row],[CANTIDAD]]</f>
        <v>0</v>
      </c>
      <c r="I96" s="27" t="s">
        <v>272</v>
      </c>
      <c r="J96" s="28" t="s">
        <v>25</v>
      </c>
      <c r="K96" s="29">
        <v>50</v>
      </c>
      <c r="L96" s="30">
        <f>ROUNDUP((+SUMIF(UNITARIOS!C:C,Tabla2[[#This Row],[MANO DE OBRA]],UNITARIOS!E:E)),0)</f>
        <v>1</v>
      </c>
      <c r="M96" s="29">
        <f>Tabla2[[#This Row],[PRECIO]]*Tabla2[[#This Row],[CANTIDAD]]</f>
        <v>50</v>
      </c>
      <c r="P96" s="6"/>
      <c r="Q96" s="7"/>
    </row>
    <row r="97" spans="2:20" x14ac:dyDescent="0.3">
      <c r="B97" s="8" t="s">
        <v>92</v>
      </c>
      <c r="C97" s="9" t="s">
        <v>25</v>
      </c>
      <c r="D97" s="14">
        <v>225</v>
      </c>
      <c r="E97" s="26">
        <f>ROUNDUP((+SUMIF(UNITARIOS!C:C,Tabla1[[#This Row],[MATERIALES]],UNITARIOS!E:E)),0)</f>
        <v>2</v>
      </c>
      <c r="F97" s="16">
        <f>Tabla1[[#This Row],[PRECIO]]*Tabla1[[#This Row],[CANTIDAD]]</f>
        <v>450</v>
      </c>
      <c r="I97" s="6" t="s">
        <v>595</v>
      </c>
      <c r="J97" s="9" t="s">
        <v>25</v>
      </c>
      <c r="K97" s="14">
        <v>50</v>
      </c>
      <c r="L97" s="26">
        <f>ROUNDUP((+SUMIF(UNITARIOS!C:C,Tabla2[[#This Row],[MANO DE OBRA]],UNITARIOS!E:E)),0)</f>
        <v>1</v>
      </c>
      <c r="M97" s="14">
        <f>Tabla2[[#This Row],[PRECIO]]*Tabla2[[#This Row],[CANTIDAD]]</f>
        <v>50</v>
      </c>
      <c r="P97" s="6"/>
      <c r="Q97" s="7"/>
    </row>
    <row r="98" spans="2:20" x14ac:dyDescent="0.3">
      <c r="B98" s="8" t="s">
        <v>320</v>
      </c>
      <c r="C98" s="9" t="s">
        <v>25</v>
      </c>
      <c r="D98" s="14">
        <v>620</v>
      </c>
      <c r="E98" s="26">
        <f>ROUNDUP((+SUMIF(UNITARIOS!C:C,Tabla1[[#This Row],[MATERIALES]],UNITARIOS!E:E)),0)</f>
        <v>1</v>
      </c>
      <c r="F98" s="16">
        <f>Tabla1[[#This Row],[PRECIO]]*Tabla1[[#This Row],[CANTIDAD]]</f>
        <v>620</v>
      </c>
      <c r="I98" s="6" t="s">
        <v>333</v>
      </c>
      <c r="J98" s="9" t="s">
        <v>25</v>
      </c>
      <c r="K98" s="14">
        <v>50</v>
      </c>
      <c r="L98" s="26">
        <f>ROUNDUP((+SUMIF(UNITARIOS!C:C,Tabla2[[#This Row],[MANO DE OBRA]],UNITARIOS!E:E)),0)</f>
        <v>0</v>
      </c>
      <c r="M98" s="14">
        <f>Tabla2[[#This Row],[PRECIO]]*Tabla2[[#This Row],[CANTIDAD]]</f>
        <v>0</v>
      </c>
      <c r="P98" s="6"/>
      <c r="Q98" s="7"/>
    </row>
    <row r="99" spans="2:20" x14ac:dyDescent="0.3">
      <c r="B99" s="8" t="s">
        <v>322</v>
      </c>
      <c r="C99" s="9" t="s">
        <v>25</v>
      </c>
      <c r="D99" s="14">
        <v>620</v>
      </c>
      <c r="E99" s="26">
        <f>ROUNDUP((+SUMIF(UNITARIOS!C:C,Tabla1[[#This Row],[MATERIALES]],UNITARIOS!E:E)),0)</f>
        <v>1</v>
      </c>
      <c r="F99" s="16">
        <f>Tabla1[[#This Row],[PRECIO]]*Tabla1[[#This Row],[CANTIDAD]]</f>
        <v>620</v>
      </c>
      <c r="I99" s="27" t="s">
        <v>318</v>
      </c>
      <c r="J99" s="28" t="s">
        <v>25</v>
      </c>
      <c r="K99" s="29">
        <v>50</v>
      </c>
      <c r="L99" s="30">
        <f>ROUNDUP((+SUMIF(UNITARIOS!C:C,Tabla2[[#This Row],[MANO DE OBRA]],UNITARIOS!E:E)),0)</f>
        <v>4</v>
      </c>
      <c r="M99" s="29">
        <f>Tabla2[[#This Row],[PRECIO]]*Tabla2[[#This Row],[CANTIDAD]]</f>
        <v>200</v>
      </c>
      <c r="P99" s="6"/>
      <c r="Q99" s="7"/>
    </row>
    <row r="100" spans="2:20" x14ac:dyDescent="0.3">
      <c r="B100" s="8" t="s">
        <v>323</v>
      </c>
      <c r="C100" s="9" t="s">
        <v>25</v>
      </c>
      <c r="D100" s="14">
        <v>1040</v>
      </c>
      <c r="E100" s="26">
        <f>ROUNDUP((+SUMIF(UNITARIOS!C:C,Tabla1[[#This Row],[MATERIALES]],UNITARIOS!E:E)),0)</f>
        <v>1</v>
      </c>
      <c r="F100" s="16">
        <f>Tabla1[[#This Row],[PRECIO]]*Tabla1[[#This Row],[CANTIDAD]]</f>
        <v>1040</v>
      </c>
      <c r="I100" s="6" t="s">
        <v>267</v>
      </c>
      <c r="J100" s="9" t="s">
        <v>25</v>
      </c>
      <c r="K100" s="14">
        <v>100</v>
      </c>
      <c r="L100" s="26">
        <f>ROUNDUP((+SUMIF(UNITARIOS!C:C,Tabla2[[#This Row],[MANO DE OBRA]],UNITARIOS!E:E)),0)</f>
        <v>3</v>
      </c>
      <c r="M100" s="14">
        <f>Tabla2[[#This Row],[PRECIO]]*Tabla2[[#This Row],[CANTIDAD]]</f>
        <v>300</v>
      </c>
      <c r="P100" s="6"/>
      <c r="Q100" s="7"/>
    </row>
    <row r="101" spans="2:20" x14ac:dyDescent="0.3">
      <c r="B101" s="8" t="s">
        <v>200</v>
      </c>
      <c r="C101" s="9" t="s">
        <v>67</v>
      </c>
      <c r="D101" s="14">
        <v>20</v>
      </c>
      <c r="E101" s="26">
        <f>ROUNDUP((+SUMIF(UNITARIOS!C:C,Tabla1[[#This Row],[MATERIALES]],UNITARIOS!E:E)),0)</f>
        <v>3</v>
      </c>
      <c r="F101" s="16">
        <f>Tabla1[[#This Row],[PRECIO]]*Tabla1[[#This Row],[CANTIDAD]]</f>
        <v>60</v>
      </c>
      <c r="I101" s="32" t="s">
        <v>208</v>
      </c>
      <c r="J101" s="28" t="s">
        <v>24</v>
      </c>
      <c r="K101" s="29">
        <v>100</v>
      </c>
      <c r="L101" s="30">
        <f>ROUNDUP((+SUMIF(UNITARIOS!C:C,Tabla2[[#This Row],[MANO DE OBRA]],UNITARIOS!E:E)),0)</f>
        <v>6</v>
      </c>
      <c r="M101" s="29">
        <f>Tabla2[[#This Row],[PRECIO]]*Tabla2[[#This Row],[CANTIDAD]]</f>
        <v>600</v>
      </c>
      <c r="P101" s="6"/>
      <c r="Q101" s="7"/>
    </row>
    <row r="102" spans="2:20" x14ac:dyDescent="0.3">
      <c r="B102" s="8" t="s">
        <v>232</v>
      </c>
      <c r="C102" s="9" t="s">
        <v>25</v>
      </c>
      <c r="D102" s="14">
        <v>500</v>
      </c>
      <c r="E102" s="26">
        <f>ROUNDUP((+SUMIF(UNITARIOS!C:C,Tabla1[[#This Row],[MATERIALES]],UNITARIOS!E:E)),0)</f>
        <v>0</v>
      </c>
      <c r="F102" s="16">
        <f>Tabla1[[#This Row],[PRECIO]]*Tabla1[[#This Row],[CANTIDAD]]</f>
        <v>0</v>
      </c>
      <c r="I102" s="6" t="s">
        <v>86</v>
      </c>
      <c r="J102" s="9" t="s">
        <v>25</v>
      </c>
      <c r="K102" s="14">
        <v>120</v>
      </c>
      <c r="L102" s="26">
        <f>ROUNDUP((+SUMIF(UNITARIOS!C:C,Tabla2[[#This Row],[MANO DE OBRA]],UNITARIOS!E:E)),0)</f>
        <v>24</v>
      </c>
      <c r="M102" s="14">
        <f>Tabla2[[#This Row],[PRECIO]]*Tabla2[[#This Row],[CANTIDAD]]</f>
        <v>2880</v>
      </c>
      <c r="P102" s="6"/>
      <c r="Q102" s="7"/>
    </row>
    <row r="103" spans="2:20" x14ac:dyDescent="0.3">
      <c r="B103" s="8" t="s">
        <v>233</v>
      </c>
      <c r="C103" s="9" t="s">
        <v>25</v>
      </c>
      <c r="D103" s="14">
        <v>300</v>
      </c>
      <c r="E103" s="26">
        <f>ROUNDUP((+SUMIF(UNITARIOS!C:C,Tabla1[[#This Row],[MATERIALES]],UNITARIOS!E:E)),0)</f>
        <v>1</v>
      </c>
      <c r="F103" s="16">
        <f>Tabla1[[#This Row],[PRECIO]]*Tabla1[[#This Row],[CANTIDAD]]</f>
        <v>300</v>
      </c>
      <c r="I103" s="6" t="s">
        <v>412</v>
      </c>
      <c r="J103" s="9" t="s">
        <v>25</v>
      </c>
      <c r="K103" s="14">
        <v>1000</v>
      </c>
      <c r="L103" s="26">
        <f>ROUNDUP((+SUMIF(UNITARIOS!C:C,Tabla2[[#This Row],[MANO DE OBRA]],UNITARIOS!E:E)),0)</f>
        <v>0</v>
      </c>
      <c r="M103" s="14">
        <f>Tabla2[[#This Row],[PRECIO]]*Tabla2[[#This Row],[CANTIDAD]]</f>
        <v>0</v>
      </c>
      <c r="P103" s="6"/>
      <c r="Q103" s="7"/>
    </row>
    <row r="104" spans="2:20" x14ac:dyDescent="0.3">
      <c r="B104" s="8" t="s">
        <v>231</v>
      </c>
      <c r="C104" s="9" t="s">
        <v>25</v>
      </c>
      <c r="D104" s="14">
        <v>450</v>
      </c>
      <c r="E104" s="26">
        <f>ROUNDUP((+SUMIF(UNITARIOS!C:C,Tabla1[[#This Row],[MATERIALES]],UNITARIOS!E:E)),0)</f>
        <v>0</v>
      </c>
      <c r="F104" s="16">
        <f>Tabla1[[#This Row],[PRECIO]]*Tabla1[[#This Row],[CANTIDAD]]</f>
        <v>0</v>
      </c>
      <c r="I104" s="27" t="s">
        <v>344</v>
      </c>
      <c r="J104" s="28" t="s">
        <v>25</v>
      </c>
      <c r="K104" s="29">
        <v>60</v>
      </c>
      <c r="L104" s="30">
        <f>ROUNDUP((+SUMIF(UNITARIOS!C:C,Tabla2[[#This Row],[MANO DE OBRA]],UNITARIOS!E:E)),0)</f>
        <v>5</v>
      </c>
      <c r="M104" s="29">
        <f>Tabla2[[#This Row],[PRECIO]]*Tabla2[[#This Row],[CANTIDAD]]</f>
        <v>300</v>
      </c>
      <c r="P104" s="6"/>
      <c r="Q104" s="7"/>
    </row>
    <row r="105" spans="2:20" x14ac:dyDescent="0.3">
      <c r="B105" s="8" t="s">
        <v>114</v>
      </c>
      <c r="C105" s="9" t="s">
        <v>25</v>
      </c>
      <c r="D105" s="14">
        <v>15</v>
      </c>
      <c r="E105" s="26">
        <f>ROUNDUP((+SUMIF(UNITARIOS!C:C,Tabla1[[#This Row],[MATERIALES]],UNITARIOS!E:E)),0)</f>
        <v>0</v>
      </c>
      <c r="F105" s="16">
        <f>Tabla1[[#This Row],[PRECIO]]*Tabla1[[#This Row],[CANTIDAD]]</f>
        <v>0</v>
      </c>
      <c r="I105" s="6" t="s">
        <v>273</v>
      </c>
      <c r="J105" s="9" t="s">
        <v>25</v>
      </c>
      <c r="K105" s="14">
        <v>500</v>
      </c>
      <c r="L105" s="26">
        <f>ROUNDUP((+SUMIF(UNITARIOS!C:C,Tabla2[[#This Row],[MANO DE OBRA]],UNITARIOS!E:E)),0)</f>
        <v>1</v>
      </c>
      <c r="M105" s="14">
        <f>Tabla2[[#This Row],[PRECIO]]*Tabla2[[#This Row],[CANTIDAD]]</f>
        <v>500</v>
      </c>
      <c r="P105" s="6"/>
      <c r="Q105" s="7"/>
    </row>
    <row r="106" spans="2:20" x14ac:dyDescent="0.3">
      <c r="B106" s="8" t="s">
        <v>592</v>
      </c>
      <c r="C106" s="9" t="s">
        <v>24</v>
      </c>
      <c r="D106" s="14">
        <v>295</v>
      </c>
      <c r="E106" s="26">
        <f>ROUNDUP((+SUMIF(UNITARIOS!C:C,Tabla1[[#This Row],[MATERIALES]],UNITARIOS!E:E)),0)</f>
        <v>2</v>
      </c>
      <c r="F106" s="16">
        <f>Tabla1[[#This Row],[PRECIO]]*Tabla1[[#This Row],[CANTIDAD]]</f>
        <v>590</v>
      </c>
      <c r="I106" s="6" t="s">
        <v>406</v>
      </c>
      <c r="J106" s="62" t="s">
        <v>25</v>
      </c>
      <c r="K106" s="63">
        <v>250</v>
      </c>
      <c r="L106" s="64">
        <f>ROUNDUP((+SUMIF(UNITARIOS!C:C,Tabla2[[#This Row],[MANO DE OBRA]],UNITARIOS!E:E)),0)</f>
        <v>0</v>
      </c>
      <c r="M106" s="63">
        <f>Tabla2[[#This Row],[PRECIO]]*Tabla2[[#This Row],[CANTIDAD]]</f>
        <v>0</v>
      </c>
      <c r="P106" s="6"/>
      <c r="Q106" s="7"/>
    </row>
    <row r="107" spans="2:20" x14ac:dyDescent="0.3">
      <c r="B107" s="8" t="s">
        <v>570</v>
      </c>
      <c r="C107" s="9" t="s">
        <v>25</v>
      </c>
      <c r="D107" s="14">
        <v>10</v>
      </c>
      <c r="E107" s="26">
        <f>ROUNDUP((+SUMIF(UNITARIOS!C:C,Tabla1[[#This Row],[MATERIALES]],UNITARIOS!E:E)),0)</f>
        <v>24</v>
      </c>
      <c r="F107" s="16">
        <f>Tabla1[[#This Row],[PRECIO]]*Tabla1[[#This Row],[CANTIDAD]]</f>
        <v>240</v>
      </c>
      <c r="I107" s="61" t="s">
        <v>408</v>
      </c>
      <c r="J107" s="62" t="s">
        <v>72</v>
      </c>
      <c r="K107" s="63">
        <v>100</v>
      </c>
      <c r="L107" s="64">
        <f>ROUNDUP((+SUMIF(UNITARIOS!C:C,Tabla2[[#This Row],[MANO DE OBRA]],UNITARIOS!E:E)),0)</f>
        <v>0</v>
      </c>
      <c r="M107" s="63">
        <f>Tabla2[[#This Row],[PRECIO]]*Tabla2[[#This Row],[CANTIDAD]]</f>
        <v>0</v>
      </c>
      <c r="P107" s="6"/>
      <c r="Q107" s="7"/>
    </row>
    <row r="108" spans="2:20" x14ac:dyDescent="0.3">
      <c r="B108" s="8" t="s">
        <v>91</v>
      </c>
      <c r="C108" s="9" t="s">
        <v>25</v>
      </c>
      <c r="D108" s="14">
        <v>1324.55</v>
      </c>
      <c r="E108" s="26">
        <f>ROUNDUP((+SUMIF(UNITARIOS!C:C,Tabla1[[#This Row],[MATERIALES]],UNITARIOS!E:E)),0)</f>
        <v>1</v>
      </c>
      <c r="F108" s="16">
        <f>Tabla1[[#This Row],[PRECIO]]*Tabla1[[#This Row],[CANTIDAD]]</f>
        <v>1324.55</v>
      </c>
      <c r="I108" s="6" t="s">
        <v>265</v>
      </c>
      <c r="J108" s="9" t="s">
        <v>25</v>
      </c>
      <c r="K108" s="14">
        <v>100</v>
      </c>
      <c r="L108" s="26">
        <f>ROUNDUP((+SUMIF(UNITARIOS!C:C,Tabla2[[#This Row],[MANO DE OBRA]],UNITARIOS!E:E)),0)</f>
        <v>0</v>
      </c>
      <c r="M108" s="14">
        <f>Tabla2[[#This Row],[PRECIO]]*Tabla2[[#This Row],[CANTIDAD]]</f>
        <v>0</v>
      </c>
      <c r="P108" s="6"/>
      <c r="Q108" s="7"/>
    </row>
    <row r="109" spans="2:20" x14ac:dyDescent="0.3">
      <c r="B109" s="8" t="s">
        <v>115</v>
      </c>
      <c r="C109" s="9" t="s">
        <v>25</v>
      </c>
      <c r="D109" s="14">
        <v>150</v>
      </c>
      <c r="E109" s="26">
        <f>ROUNDUP((+SUMIF(UNITARIOS!C:C,Tabla1[[#This Row],[MATERIALES]],UNITARIOS!E:E)),0)</f>
        <v>4</v>
      </c>
      <c r="F109" s="16">
        <f>Tabla1[[#This Row],[PRECIO]]*Tabla1[[#This Row],[CANTIDAD]]</f>
        <v>600</v>
      </c>
      <c r="I109" s="6" t="s">
        <v>390</v>
      </c>
      <c r="J109" s="9" t="s">
        <v>24</v>
      </c>
      <c r="K109" s="14">
        <v>180</v>
      </c>
      <c r="L109" s="26">
        <f>ROUNDUP((+SUMIF(UNITARIOS!C:C,Tabla2[[#This Row],[MANO DE OBRA]],UNITARIOS!E:E)),0)</f>
        <v>0</v>
      </c>
      <c r="M109" s="14">
        <f>Tabla2[[#This Row],[PRECIO]]*Tabla2[[#This Row],[CANTIDAD]]</f>
        <v>0</v>
      </c>
      <c r="P109" s="6"/>
      <c r="Q109" s="7"/>
    </row>
    <row r="110" spans="2:20" x14ac:dyDescent="0.3">
      <c r="B110" s="8" t="s">
        <v>243</v>
      </c>
      <c r="C110" s="9" t="s">
        <v>25</v>
      </c>
      <c r="D110" s="14">
        <v>50</v>
      </c>
      <c r="E110" s="26">
        <f>ROUNDUP((+SUMIF(UNITARIOS!C:C,Tabla1[[#This Row],[MATERIALES]],UNITARIOS!E:E)),0)</f>
        <v>0</v>
      </c>
      <c r="F110" s="16">
        <f>Tabla1[[#This Row],[PRECIO]]*Tabla1[[#This Row],[CANTIDAD]]</f>
        <v>0</v>
      </c>
      <c r="I110" s="6" t="s">
        <v>253</v>
      </c>
      <c r="J110" s="9" t="s">
        <v>25</v>
      </c>
      <c r="K110" s="14">
        <v>250</v>
      </c>
      <c r="L110" s="26">
        <f>ROUNDUP((+SUMIF(UNITARIOS!C:C,Tabla2[[#This Row],[MANO DE OBRA]],UNITARIOS!E:E)),0)</f>
        <v>3</v>
      </c>
      <c r="M110" s="14">
        <f>Tabla2[[#This Row],[PRECIO]]*Tabla2[[#This Row],[CANTIDAD]]</f>
        <v>750</v>
      </c>
      <c r="P110" s="6"/>
      <c r="Q110" s="7"/>
      <c r="R110" s="14"/>
      <c r="S110" s="19"/>
      <c r="T110" s="14"/>
    </row>
    <row r="111" spans="2:20" s="4" customFormat="1" x14ac:dyDescent="0.25">
      <c r="B111" s="8" t="s">
        <v>244</v>
      </c>
      <c r="C111" s="9" t="s">
        <v>25</v>
      </c>
      <c r="D111" s="14">
        <v>50</v>
      </c>
      <c r="E111" s="26">
        <f>ROUNDUP((+SUMIF(UNITARIOS!C:C,Tabla1[[#This Row],[MATERIALES]],UNITARIOS!E:E)),0)</f>
        <v>24</v>
      </c>
      <c r="F111" s="16">
        <f>Tabla1[[#This Row],[PRECIO]]*Tabla1[[#This Row],[CANTIDAD]]</f>
        <v>1200</v>
      </c>
      <c r="I111" s="24" t="s">
        <v>342</v>
      </c>
      <c r="J111" s="9" t="s">
        <v>25</v>
      </c>
      <c r="K111" s="16">
        <v>100</v>
      </c>
      <c r="L111" s="26">
        <f>ROUNDUP((+SUMIF(UNITARIOS!C:C,Tabla2[[#This Row],[MANO DE OBRA]],UNITARIOS!E:E)),0)</f>
        <v>1</v>
      </c>
      <c r="M111" s="16">
        <f>Tabla2[[#This Row],[PRECIO]]*Tabla2[[#This Row],[CANTIDAD]]</f>
        <v>100</v>
      </c>
      <c r="P111" s="6"/>
      <c r="Q111" s="7"/>
      <c r="R111" s="12"/>
      <c r="S111" s="23"/>
      <c r="T111" s="12"/>
    </row>
    <row r="112" spans="2:20" x14ac:dyDescent="0.3">
      <c r="B112" s="8" t="s">
        <v>245</v>
      </c>
      <c r="C112" s="9" t="s">
        <v>25</v>
      </c>
      <c r="D112" s="14">
        <v>50</v>
      </c>
      <c r="E112" s="26">
        <f>ROUNDUP((+SUMIF(UNITARIOS!C:C,Tabla1[[#This Row],[MATERIALES]],UNITARIOS!E:E)),0)</f>
        <v>0</v>
      </c>
      <c r="F112" s="16">
        <f>Tabla1[[#This Row],[PRECIO]]*Tabla1[[#This Row],[CANTIDAD]]</f>
        <v>0</v>
      </c>
      <c r="I112" s="6" t="s">
        <v>268</v>
      </c>
      <c r="J112" s="9" t="s">
        <v>25</v>
      </c>
      <c r="K112" s="14">
        <v>115</v>
      </c>
      <c r="L112" s="26">
        <f>ROUNDUP((+SUMIF(UNITARIOS!C:C,Tabla2[[#This Row],[MANO DE OBRA]],UNITARIOS!E:E)),0)</f>
        <v>7</v>
      </c>
      <c r="M112" s="14">
        <f>Tabla2[[#This Row],[PRECIO]]*Tabla2[[#This Row],[CANTIDAD]]</f>
        <v>805</v>
      </c>
      <c r="P112" s="6"/>
      <c r="Q112" s="7"/>
    </row>
    <row r="113" spans="2:17" x14ac:dyDescent="0.3">
      <c r="B113" s="8" t="s">
        <v>246</v>
      </c>
      <c r="C113" s="9" t="s">
        <v>25</v>
      </c>
      <c r="D113" s="14">
        <v>60</v>
      </c>
      <c r="E113" s="26">
        <f>ROUNDUP((+SUMIF(UNITARIOS!C:C,Tabla1[[#This Row],[MATERIALES]],UNITARIOS!E:E)),0)</f>
        <v>0</v>
      </c>
      <c r="F113" s="16">
        <f>Tabla1[[#This Row],[PRECIO]]*Tabla1[[#This Row],[CANTIDAD]]</f>
        <v>0</v>
      </c>
      <c r="I113" s="6" t="s">
        <v>603</v>
      </c>
      <c r="J113" s="9" t="s">
        <v>25</v>
      </c>
      <c r="K113" s="14">
        <v>105</v>
      </c>
      <c r="L113" s="26">
        <f>ROUNDUP((+SUMIF(UNITARIOS!C:C,Tabla2[[#This Row],[MANO DE OBRA]],UNITARIOS!E:E)),0)</f>
        <v>3</v>
      </c>
      <c r="M113" s="14">
        <f>Tabla2[[#This Row],[PRECIO]]*Tabla2[[#This Row],[CANTIDAD]]</f>
        <v>315</v>
      </c>
      <c r="P113" s="6"/>
      <c r="Q113" s="7"/>
    </row>
    <row r="114" spans="2:17" x14ac:dyDescent="0.3">
      <c r="B114" s="8" t="s">
        <v>247</v>
      </c>
      <c r="C114" s="9" t="s">
        <v>25</v>
      </c>
      <c r="D114" s="14">
        <v>60</v>
      </c>
      <c r="E114" s="26">
        <f>ROUNDUP((+SUMIF(UNITARIOS!C:C,Tabla1[[#This Row],[MATERIALES]],UNITARIOS!E:E)),0)</f>
        <v>0</v>
      </c>
      <c r="F114" s="16">
        <f>Tabla1[[#This Row],[PRECIO]]*Tabla1[[#This Row],[CANTIDAD]]</f>
        <v>0</v>
      </c>
      <c r="I114" s="6" t="s">
        <v>438</v>
      </c>
      <c r="J114" s="9" t="s">
        <v>72</v>
      </c>
      <c r="K114" s="14">
        <v>35</v>
      </c>
      <c r="L114" s="26">
        <f>ROUNDUP((+SUMIF(UNITARIOS!C:C,Tabla2[[#This Row],[MANO DE OBRA]],UNITARIOS!E:E)),0)</f>
        <v>0</v>
      </c>
      <c r="M114" s="14">
        <f>Tabla2[[#This Row],[PRECIO]]*Tabla2[[#This Row],[CANTIDAD]]</f>
        <v>0</v>
      </c>
      <c r="P114" s="6"/>
      <c r="Q114" s="7"/>
    </row>
    <row r="115" spans="2:17" x14ac:dyDescent="0.3">
      <c r="B115" s="8" t="s">
        <v>248</v>
      </c>
      <c r="C115" s="9" t="s">
        <v>25</v>
      </c>
      <c r="D115" s="14">
        <v>100</v>
      </c>
      <c r="E115" s="26">
        <f>ROUNDUP((+SUMIF(UNITARIOS!C:C,Tabla1[[#This Row],[MATERIALES]],UNITARIOS!E:E)),0)</f>
        <v>0</v>
      </c>
      <c r="F115" s="16">
        <f>Tabla1[[#This Row],[PRECIO]]*Tabla1[[#This Row],[CANTIDAD]]</f>
        <v>0</v>
      </c>
      <c r="I115" s="6" t="s">
        <v>288</v>
      </c>
      <c r="J115" s="9" t="s">
        <v>72</v>
      </c>
      <c r="K115" s="14">
        <v>35</v>
      </c>
      <c r="L115" s="26">
        <f>ROUNDUP((+SUMIF(UNITARIOS!C:C,Tabla2[[#This Row],[MANO DE OBRA]],UNITARIOS!E:E)),0)</f>
        <v>48</v>
      </c>
      <c r="M115" s="14">
        <f>Tabla2[[#This Row],[PRECIO]]*Tabla2[[#This Row],[CANTIDAD]]</f>
        <v>1680</v>
      </c>
      <c r="P115" s="6"/>
      <c r="Q115" s="7"/>
    </row>
    <row r="116" spans="2:17" x14ac:dyDescent="0.3">
      <c r="B116" s="8" t="s">
        <v>262</v>
      </c>
      <c r="C116" s="9" t="s">
        <v>25</v>
      </c>
      <c r="D116" s="14">
        <v>250</v>
      </c>
      <c r="E116" s="26">
        <f>ROUNDUP((+SUMIF(UNITARIOS!C:C,Tabla1[[#This Row],[MATERIALES]],UNITARIOS!E:E)),0)</f>
        <v>0</v>
      </c>
      <c r="F116" s="16">
        <f>Tabla1[[#This Row],[PRECIO]]*Tabla1[[#This Row],[CANTIDAD]]</f>
        <v>0</v>
      </c>
      <c r="I116" s="6" t="s">
        <v>289</v>
      </c>
      <c r="J116" s="9" t="s">
        <v>72</v>
      </c>
      <c r="K116" s="14">
        <v>75</v>
      </c>
      <c r="L116" s="26">
        <f>ROUNDUP((+SUMIF(UNITARIOS!C:C,Tabla2[[#This Row],[MANO DE OBRA]],UNITARIOS!E:E)),0)</f>
        <v>0</v>
      </c>
      <c r="M116" s="14">
        <f>Tabla2[[#This Row],[PRECIO]]*Tabla2[[#This Row],[CANTIDAD]]</f>
        <v>0</v>
      </c>
      <c r="P116" s="6"/>
      <c r="Q116" s="7"/>
    </row>
    <row r="117" spans="2:17" x14ac:dyDescent="0.3">
      <c r="B117" s="8" t="s">
        <v>435</v>
      </c>
      <c r="C117" s="9" t="s">
        <v>25</v>
      </c>
      <c r="D117" s="14">
        <v>5</v>
      </c>
      <c r="E117" s="26">
        <f>ROUNDUP((+SUMIF(UNITARIOS!C:C,Tabla1[[#This Row],[MATERIALES]],UNITARIOS!E:E)),0)</f>
        <v>0</v>
      </c>
      <c r="F117" s="16">
        <f>Tabla1[[#This Row],[PRECIO]]*Tabla1[[#This Row],[CANTIDAD]]</f>
        <v>0</v>
      </c>
      <c r="I117" s="27" t="s">
        <v>300</v>
      </c>
      <c r="J117" s="28" t="s">
        <v>72</v>
      </c>
      <c r="K117" s="29">
        <v>70</v>
      </c>
      <c r="L117" s="30">
        <f>ROUNDUP((+SUMIF(UNITARIOS!C:C,Tabla2[[#This Row],[MANO DE OBRA]],UNITARIOS!E:E)),0)</f>
        <v>2</v>
      </c>
      <c r="M117" s="29">
        <f>Tabla2[[#This Row],[PRECIO]]*Tabla2[[#This Row],[CANTIDAD]]</f>
        <v>140</v>
      </c>
      <c r="P117" s="6"/>
      <c r="Q117" s="7"/>
    </row>
    <row r="118" spans="2:17" x14ac:dyDescent="0.3">
      <c r="B118" s="8" t="s">
        <v>127</v>
      </c>
      <c r="C118" s="9" t="s">
        <v>63</v>
      </c>
      <c r="D118" s="14">
        <v>35</v>
      </c>
      <c r="E118" s="26">
        <f>ROUNDUP((+SUMIF(UNITARIOS!C:C,Tabla1[[#This Row],[MATERIALES]],UNITARIOS!E:E)),0)</f>
        <v>0</v>
      </c>
      <c r="F118" s="16">
        <f>Tabla1[[#This Row],[PRECIO]]*Tabla1[[#This Row],[CANTIDAD]]</f>
        <v>0</v>
      </c>
      <c r="I118" s="27" t="s">
        <v>305</v>
      </c>
      <c r="J118" s="28" t="s">
        <v>72</v>
      </c>
      <c r="K118" s="29">
        <v>100</v>
      </c>
      <c r="L118" s="30">
        <f>ROUNDUP((+SUMIF(UNITARIOS!C:C,Tabla2[[#This Row],[MANO DE OBRA]],UNITARIOS!E:E)),0)</f>
        <v>11</v>
      </c>
      <c r="M118" s="29">
        <f>Tabla2[[#This Row],[PRECIO]]*Tabla2[[#This Row],[CANTIDAD]]</f>
        <v>1100</v>
      </c>
      <c r="P118" s="6"/>
      <c r="Q118" s="7"/>
    </row>
    <row r="119" spans="2:17" x14ac:dyDescent="0.3">
      <c r="B119" s="8" t="s">
        <v>157</v>
      </c>
      <c r="C119" s="9" t="s">
        <v>25</v>
      </c>
      <c r="D119" s="14">
        <v>680</v>
      </c>
      <c r="E119" s="26">
        <f>ROUNDUP((+SUMIF(UNITARIOS!C:C,Tabla1[[#This Row],[MATERIALES]],UNITARIOS!E:E)),0)</f>
        <v>0</v>
      </c>
      <c r="F119" s="16">
        <f>Tabla1[[#This Row],[PRECIO]]*Tabla1[[#This Row],[CANTIDAD]]</f>
        <v>0</v>
      </c>
      <c r="I119" s="6" t="s">
        <v>90</v>
      </c>
      <c r="J119" s="9" t="s">
        <v>25</v>
      </c>
      <c r="K119" s="14">
        <v>150</v>
      </c>
      <c r="L119" s="26">
        <f>ROUNDUP((+SUMIF(UNITARIOS!C:C,Tabla2[[#This Row],[MANO DE OBRA]],UNITARIOS!E:E)),0)</f>
        <v>0</v>
      </c>
      <c r="M119" s="14">
        <f>Tabla2[[#This Row],[PRECIO]]*Tabla2[[#This Row],[CANTIDAD]]</f>
        <v>0</v>
      </c>
      <c r="P119" s="6"/>
      <c r="Q119" s="7"/>
    </row>
    <row r="120" spans="2:17" x14ac:dyDescent="0.3">
      <c r="B120" s="8" t="s">
        <v>370</v>
      </c>
      <c r="C120" s="28" t="s">
        <v>25</v>
      </c>
      <c r="D120" s="29">
        <v>200</v>
      </c>
      <c r="E120" s="30">
        <f>ROUNDUP((+SUMIF(UNITARIOS!C:C,Tabla1[[#This Row],[MATERIALES]],UNITARIOS!E:E)),0)</f>
        <v>0</v>
      </c>
      <c r="F120" s="50">
        <f>Tabla1[[#This Row],[PRECIO]]*Tabla1[[#This Row],[CANTIDAD]]</f>
        <v>0</v>
      </c>
      <c r="I120" s="6" t="s">
        <v>440</v>
      </c>
      <c r="J120" s="9" t="s">
        <v>25</v>
      </c>
      <c r="K120" s="14">
        <v>500</v>
      </c>
      <c r="L120" s="26">
        <f>ROUNDUP((+SUMIF(UNITARIOS!C:C,Tabla2[[#This Row],[MANO DE OBRA]],UNITARIOS!E:E)),0)</f>
        <v>0</v>
      </c>
      <c r="M120" s="14">
        <f>Tabla2[[#This Row],[PRECIO]]*Tabla2[[#This Row],[CANTIDAD]]</f>
        <v>0</v>
      </c>
      <c r="P120" s="6"/>
      <c r="Q120" s="7"/>
    </row>
    <row r="121" spans="2:17" x14ac:dyDescent="0.3">
      <c r="B121" s="8" t="s">
        <v>199</v>
      </c>
      <c r="C121" s="9" t="s">
        <v>25</v>
      </c>
      <c r="D121" s="14">
        <v>25</v>
      </c>
      <c r="E121" s="26">
        <f>ROUNDUP((+SUMIF(UNITARIOS!C:C,Tabla1[[#This Row],[MATERIALES]],UNITARIOS!E:E)),0)</f>
        <v>0</v>
      </c>
      <c r="F121" s="16">
        <f>Tabla1[[#This Row],[PRECIO]]*Tabla1[[#This Row],[CANTIDAD]]</f>
        <v>0</v>
      </c>
      <c r="I121" s="6" t="s">
        <v>466</v>
      </c>
      <c r="J121" s="141" t="s">
        <v>24</v>
      </c>
      <c r="K121" s="142">
        <v>49</v>
      </c>
      <c r="L121" s="143">
        <f>ROUNDUP((+SUMIF(UNITARIOS!C:C,Tabla2[[#This Row],[MANO DE OBRA]],UNITARIOS!E:E)),0)</f>
        <v>69</v>
      </c>
      <c r="M121" s="142">
        <f>Tabla2[[#This Row],[PRECIO]]*Tabla2[[#This Row],[CANTIDAD]]</f>
        <v>3381</v>
      </c>
      <c r="P121" s="6"/>
      <c r="Q121" s="7"/>
    </row>
    <row r="122" spans="2:17" x14ac:dyDescent="0.3">
      <c r="B122" s="8" t="s">
        <v>103</v>
      </c>
      <c r="C122" s="9" t="s">
        <v>25</v>
      </c>
      <c r="D122" s="14">
        <v>1730</v>
      </c>
      <c r="E122" s="26">
        <f>ROUNDUP((+SUMIF(UNITARIOS!C:C,Tabla1[[#This Row],[MATERIALES]],UNITARIOS!E:E)),0)</f>
        <v>1</v>
      </c>
      <c r="F122" s="16">
        <f>Tabla1[[#This Row],[PRECIO]]*Tabla1[[#This Row],[CANTIDAD]]</f>
        <v>1730</v>
      </c>
      <c r="I122" s="6" t="s">
        <v>422</v>
      </c>
      <c r="J122" s="9" t="s">
        <v>61</v>
      </c>
      <c r="K122" s="14">
        <v>200</v>
      </c>
      <c r="L122" s="26">
        <f>ROUNDUP((+SUMIF(UNITARIOS!C:C,Tabla2[[#This Row],[MANO DE OBRA]],UNITARIOS!E:E)),0)</f>
        <v>0</v>
      </c>
      <c r="M122" s="14">
        <f>Tabla2[[#This Row],[PRECIO]]*Tabla2[[#This Row],[CANTIDAD]]</f>
        <v>0</v>
      </c>
      <c r="P122" s="6"/>
      <c r="Q122" s="7"/>
    </row>
    <row r="123" spans="2:17" x14ac:dyDescent="0.3">
      <c r="B123" s="8" t="s">
        <v>371</v>
      </c>
      <c r="C123" s="28" t="s">
        <v>25</v>
      </c>
      <c r="D123" s="29">
        <v>150</v>
      </c>
      <c r="E123" s="30">
        <f>ROUNDUP((+SUMIF(UNITARIOS!C:C,Tabla1[[#This Row],[MATERIALES]],UNITARIOS!E:E)),0)</f>
        <v>0</v>
      </c>
      <c r="F123" s="50">
        <f>Tabla1[[#This Row],[PRECIO]]*Tabla1[[#This Row],[CANTIDAD]]</f>
        <v>0</v>
      </c>
      <c r="I123" s="6" t="s">
        <v>188</v>
      </c>
      <c r="J123" s="9" t="s">
        <v>24</v>
      </c>
      <c r="K123" s="14">
        <v>20</v>
      </c>
      <c r="L123" s="26">
        <f>ROUNDUP((+SUMIF(UNITARIOS!C:C,Tabla2[[#This Row],[MANO DE OBRA]],UNITARIOS!E:E)),0)</f>
        <v>48</v>
      </c>
      <c r="M123" s="14">
        <f>Tabla2[[#This Row],[PRECIO]]*Tabla2[[#This Row],[CANTIDAD]]</f>
        <v>960</v>
      </c>
      <c r="P123" s="6"/>
      <c r="Q123" s="7"/>
    </row>
    <row r="124" spans="2:17" x14ac:dyDescent="0.3">
      <c r="B124" s="140" t="s">
        <v>465</v>
      </c>
      <c r="C124" s="141" t="s">
        <v>166</v>
      </c>
      <c r="D124" s="142">
        <v>30</v>
      </c>
      <c r="E124" s="143">
        <f>ROUNDUP((+SUMIF(UNITARIOS!C:C,Tabla1[[#This Row],[MATERIALES]],UNITARIOS!E:E)),0)</f>
        <v>8</v>
      </c>
      <c r="F124" s="144">
        <f>Tabla1[[#This Row],[PRECIO]]*Tabla1[[#This Row],[CANTIDAD]]</f>
        <v>240</v>
      </c>
      <c r="I124" s="27" t="s">
        <v>349</v>
      </c>
      <c r="J124" s="28" t="s">
        <v>25</v>
      </c>
      <c r="K124" s="29">
        <v>500</v>
      </c>
      <c r="L124" s="30">
        <f>ROUNDUP((+SUMIF(UNITARIOS!C:C,Tabla2[[#This Row],[MANO DE OBRA]],UNITARIOS!E:E)),0)</f>
        <v>0</v>
      </c>
      <c r="M124" s="29">
        <f>Tabla2[[#This Row],[PRECIO]]*Tabla2[[#This Row],[CANTIDAD]]</f>
        <v>0</v>
      </c>
      <c r="P124" s="6"/>
      <c r="Q124" s="7"/>
    </row>
    <row r="125" spans="2:17" x14ac:dyDescent="0.3">
      <c r="B125" s="8" t="s">
        <v>317</v>
      </c>
      <c r="C125" s="9" t="s">
        <v>25</v>
      </c>
      <c r="D125" s="14">
        <v>1265</v>
      </c>
      <c r="E125" s="26">
        <f>ROUNDUP((+SUMIF(UNITARIOS!C:C,Tabla1[[#This Row],[MATERIALES]],UNITARIOS!E:E)),0)</f>
        <v>4</v>
      </c>
      <c r="F125" s="16">
        <f>Tabla1[[#This Row],[PRECIO]]*Tabla1[[#This Row],[CANTIDAD]]</f>
        <v>5060</v>
      </c>
      <c r="I125" s="6" t="s">
        <v>441</v>
      </c>
      <c r="J125" s="9" t="s">
        <v>25</v>
      </c>
      <c r="K125" s="14">
        <v>300</v>
      </c>
      <c r="L125" s="26">
        <f>ROUNDUP((+SUMIF(UNITARIOS!C:C,Tabla2[[#This Row],[MANO DE OBRA]],UNITARIOS!E:E)),0)</f>
        <v>0</v>
      </c>
      <c r="M125" s="14">
        <f>Tabla2[[#This Row],[PRECIO]]*Tabla2[[#This Row],[CANTIDAD]]</f>
        <v>0</v>
      </c>
      <c r="P125" s="6"/>
      <c r="Q125" s="7"/>
    </row>
    <row r="126" spans="2:17" x14ac:dyDescent="0.3">
      <c r="B126" s="8" t="s">
        <v>335</v>
      </c>
      <c r="C126" s="9" t="s">
        <v>25</v>
      </c>
      <c r="D126" s="14">
        <v>250</v>
      </c>
      <c r="E126" s="30">
        <f>ROUNDUP((+SUMIF(UNITARIOS!C:C,Tabla1[[#This Row],[MATERIALES]],UNITARIOS!E:E)),0)</f>
        <v>0</v>
      </c>
      <c r="F126" s="50">
        <f>Tabla1[[#This Row],[PRECIO]]*Tabla1[[#This Row],[CANTIDAD]]</f>
        <v>0</v>
      </c>
      <c r="I126" s="6" t="s">
        <v>444</v>
      </c>
      <c r="J126" s="9" t="s">
        <v>25</v>
      </c>
      <c r="K126" s="14">
        <v>2000</v>
      </c>
      <c r="L126" s="26">
        <f>ROUNDUP((+SUMIF(UNITARIOS!C:C,Tabla2[[#This Row],[MANO DE OBRA]],UNITARIOS!E:E)),0)</f>
        <v>0</v>
      </c>
      <c r="M126" s="14">
        <f>Tabla2[[#This Row],[PRECIO]]*Tabla2[[#This Row],[CANTIDAD]]</f>
        <v>0</v>
      </c>
      <c r="P126" s="6"/>
      <c r="Q126" s="7"/>
    </row>
    <row r="127" spans="2:17" x14ac:dyDescent="0.3">
      <c r="B127" s="8" t="s">
        <v>269</v>
      </c>
      <c r="C127" s="9" t="s">
        <v>25</v>
      </c>
      <c r="D127" s="14">
        <v>50</v>
      </c>
      <c r="E127" s="26">
        <f>ROUNDUP((+SUMIF(UNITARIOS!C:C,Tabla1[[#This Row],[MATERIALES]],UNITARIOS!E:E)),0)</f>
        <v>4</v>
      </c>
      <c r="F127" s="16">
        <f>Tabla1[[#This Row],[PRECIO]]*Tabla1[[#This Row],[CANTIDAD]]</f>
        <v>200</v>
      </c>
      <c r="I127" s="6" t="s">
        <v>573</v>
      </c>
      <c r="J127" s="9" t="s">
        <v>24</v>
      </c>
      <c r="K127" s="14">
        <v>20</v>
      </c>
      <c r="L127" s="26">
        <f>ROUNDUP((+SUMIF(UNITARIOS!C:C,Tabla2[[#This Row],[MANO DE OBRA]],UNITARIOS!E:E)),0)</f>
        <v>7</v>
      </c>
      <c r="M127" s="14">
        <f>Tabla2[[#This Row],[PRECIO]]*Tabla2[[#This Row],[CANTIDAD]]</f>
        <v>140</v>
      </c>
      <c r="P127" s="6"/>
      <c r="Q127" s="7"/>
    </row>
    <row r="128" spans="2:17" x14ac:dyDescent="0.3">
      <c r="B128" s="8" t="s">
        <v>158</v>
      </c>
      <c r="C128" s="9" t="s">
        <v>25</v>
      </c>
      <c r="D128" s="14">
        <v>100</v>
      </c>
      <c r="E128" s="26">
        <f>ROUNDUP((+SUMIF(UNITARIOS!C:C,Tabla1[[#This Row],[MATERIALES]],UNITARIOS!E:E)),0)</f>
        <v>0</v>
      </c>
      <c r="F128" s="16">
        <f>Tabla1[[#This Row],[PRECIO]]*Tabla1[[#This Row],[CANTIDAD]]</f>
        <v>0</v>
      </c>
      <c r="I128" s="6" t="s">
        <v>517</v>
      </c>
      <c r="J128" s="9" t="s">
        <v>24</v>
      </c>
      <c r="K128" s="14">
        <v>185</v>
      </c>
      <c r="L128" s="26">
        <f>ROUNDUP((+SUMIF(UNITARIOS!C:C,Tabla2[[#This Row],[MANO DE OBRA]],UNITARIOS!E:E)),0)</f>
        <v>50</v>
      </c>
      <c r="M128" s="14">
        <f>Tabla2[[#This Row],[PRECIO]]*Tabla2[[#This Row],[CANTIDAD]]</f>
        <v>9250</v>
      </c>
      <c r="P128" s="6"/>
      <c r="Q128" s="7"/>
    </row>
    <row r="129" spans="2:17" x14ac:dyDescent="0.3">
      <c r="B129" s="8" t="s">
        <v>235</v>
      </c>
      <c r="C129" s="9" t="s">
        <v>25</v>
      </c>
      <c r="D129" s="14">
        <v>7</v>
      </c>
      <c r="E129" s="26">
        <f>ROUNDUP((+SUMIF(UNITARIOS!C:C,Tabla1[[#This Row],[MATERIALES]],UNITARIOS!E:E)),0)</f>
        <v>350</v>
      </c>
      <c r="F129" s="16">
        <f>Tabla1[[#This Row],[PRECIO]]*Tabla1[[#This Row],[CANTIDAD]]</f>
        <v>2450</v>
      </c>
      <c r="I129" s="6" t="s">
        <v>491</v>
      </c>
      <c r="J129" s="9" t="s">
        <v>24</v>
      </c>
      <c r="K129" s="14">
        <v>15</v>
      </c>
      <c r="L129" s="26">
        <f>ROUNDUP((+SUMIF(UNITARIOS!C:C,Tabla2[[#This Row],[MANO DE OBRA]],UNITARIOS!E:E)),0)</f>
        <v>0</v>
      </c>
      <c r="M129" s="14">
        <f>Tabla2[[#This Row],[PRECIO]]*Tabla2[[#This Row],[CANTIDAD]]</f>
        <v>0</v>
      </c>
      <c r="P129" s="6"/>
      <c r="Q129" s="7"/>
    </row>
    <row r="130" spans="2:17" x14ac:dyDescent="0.3">
      <c r="B130" s="8" t="s">
        <v>234</v>
      </c>
      <c r="C130" s="9" t="s">
        <v>25</v>
      </c>
      <c r="D130" s="14">
        <v>7</v>
      </c>
      <c r="E130" s="26">
        <f>ROUNDUP((+SUMIF(UNITARIOS!C:C,Tabla1[[#This Row],[MATERIALES]],UNITARIOS!E:E)),0)</f>
        <v>0</v>
      </c>
      <c r="F130" s="16">
        <f>Tabla1[[#This Row],[PRECIO]]*Tabla1[[#This Row],[CANTIDAD]]</f>
        <v>0</v>
      </c>
      <c r="I130" s="238" t="s">
        <v>567</v>
      </c>
      <c r="J130" s="234" t="s">
        <v>25</v>
      </c>
      <c r="K130" s="235">
        <v>1500</v>
      </c>
      <c r="L130" s="236">
        <f>ROUNDUP((+SUMIF(UNITARIOS!C:C,Tabla2[[#This Row],[MANO DE OBRA]],UNITARIOS!E:E)),0)</f>
        <v>1</v>
      </c>
      <c r="M130" s="235">
        <f>Tabla2[[#This Row],[PRECIO]]*Tabla2[[#This Row],[CANTIDAD]]</f>
        <v>1500</v>
      </c>
      <c r="P130" s="6"/>
      <c r="Q130" s="7"/>
    </row>
    <row r="131" spans="2:17" x14ac:dyDescent="0.3">
      <c r="B131" s="8" t="s">
        <v>176</v>
      </c>
      <c r="C131" s="9" t="s">
        <v>25</v>
      </c>
      <c r="D131" s="14">
        <v>75</v>
      </c>
      <c r="E131" s="26">
        <f>ROUNDUP((+SUMIF(UNITARIOS!C:C,Tabla1[[#This Row],[MATERIALES]],UNITARIOS!E:E)),0)</f>
        <v>0</v>
      </c>
      <c r="F131" s="16">
        <f>Tabla1[[#This Row],[PRECIO]]*Tabla1[[#This Row],[CANTIDAD]]</f>
        <v>0</v>
      </c>
      <c r="I131" s="61" t="s">
        <v>418</v>
      </c>
      <c r="J131" s="62" t="s">
        <v>25</v>
      </c>
      <c r="K131" s="63">
        <v>1000</v>
      </c>
      <c r="L131" s="64">
        <f>ROUNDUP((+SUMIF(UNITARIOS!C:C,Tabla2[[#This Row],[MANO DE OBRA]],UNITARIOS!E:E)),0)</f>
        <v>0</v>
      </c>
      <c r="M131" s="63">
        <f>Tabla2[[#This Row],[PRECIO]]*Tabla2[[#This Row],[CANTIDAD]]</f>
        <v>0</v>
      </c>
      <c r="P131" s="6"/>
      <c r="Q131" s="7"/>
    </row>
    <row r="132" spans="2:17" x14ac:dyDescent="0.3">
      <c r="B132" s="8" t="s">
        <v>372</v>
      </c>
      <c r="C132" s="9" t="s">
        <v>25</v>
      </c>
      <c r="D132" s="14">
        <v>1100</v>
      </c>
      <c r="E132" s="26">
        <f>ROUNDUP((+SUMIF(UNITARIOS!C:C,Tabla1[[#This Row],[MATERIALES]],UNITARIOS!E:E)),0)</f>
        <v>0</v>
      </c>
      <c r="F132" s="16">
        <f>Tabla1[[#This Row],[PRECIO]]*Tabla1[[#This Row],[CANTIDAD]]</f>
        <v>0</v>
      </c>
      <c r="I132" s="6" t="s">
        <v>602</v>
      </c>
      <c r="J132" s="9" t="s">
        <v>24</v>
      </c>
      <c r="K132" s="14">
        <v>500</v>
      </c>
      <c r="L132" s="26">
        <f>ROUNDUP((+SUMIF(UNITARIOS!C:C,Tabla2[[#This Row],[MANO DE OBRA]],UNITARIOS!E:E)),0)</f>
        <v>50</v>
      </c>
      <c r="M132" s="14">
        <f>Tabla2[[#This Row],[PRECIO]]*Tabla2[[#This Row],[CANTIDAD]]</f>
        <v>25000</v>
      </c>
      <c r="P132" s="6"/>
      <c r="Q132" s="7"/>
    </row>
    <row r="133" spans="2:17" x14ac:dyDescent="0.3">
      <c r="B133" s="8" t="s">
        <v>205</v>
      </c>
      <c r="C133" s="9" t="s">
        <v>24</v>
      </c>
      <c r="D133" s="14">
        <v>150</v>
      </c>
      <c r="E133" s="26">
        <f>ROUNDUP((+SUMIF(UNITARIOS!C:C,Tabla1[[#This Row],[MATERIALES]],UNITARIOS!E:E)),0)</f>
        <v>3</v>
      </c>
      <c r="F133" s="16">
        <f>Tabla1[[#This Row],[PRECIO]]*Tabla1[[#This Row],[CANTIDAD]]</f>
        <v>450</v>
      </c>
      <c r="I133" s="6" t="s">
        <v>229</v>
      </c>
      <c r="J133" s="9" t="s">
        <v>25</v>
      </c>
      <c r="K133" s="14">
        <v>100</v>
      </c>
      <c r="L133" s="26">
        <f>ROUNDUP((+SUMIF(UNITARIOS!C:C,Tabla2[[#This Row],[MANO DE OBRA]],UNITARIOS!E:E)),0)</f>
        <v>0</v>
      </c>
      <c r="M133" s="14">
        <f>Tabla2[[#This Row],[PRECIO]]*Tabla2[[#This Row],[CANTIDAD]]</f>
        <v>0</v>
      </c>
      <c r="P133" s="6"/>
      <c r="Q133" s="7"/>
    </row>
    <row r="134" spans="2:17" x14ac:dyDescent="0.3">
      <c r="B134" s="8" t="s">
        <v>263</v>
      </c>
      <c r="C134" s="9" t="s">
        <v>25</v>
      </c>
      <c r="D134" s="14">
        <v>325</v>
      </c>
      <c r="E134" s="26">
        <f>ROUNDUP((+SUMIF(UNITARIOS!C:C,Tabla1[[#This Row],[MATERIALES]],UNITARIOS!E:E)),0)</f>
        <v>0</v>
      </c>
      <c r="F134" s="16">
        <f>Tabla1[[#This Row],[PRECIO]]*Tabla1[[#This Row],[CANTIDAD]]</f>
        <v>0</v>
      </c>
      <c r="I134" s="6" t="s">
        <v>228</v>
      </c>
      <c r="J134" s="9" t="s">
        <v>24</v>
      </c>
      <c r="K134" s="14">
        <v>200</v>
      </c>
      <c r="L134" s="26">
        <f>ROUNDUP((+SUMIF(UNITARIOS!C:C,Tabla2[[#This Row],[MANO DE OBRA]],UNITARIOS!E:E)),0)</f>
        <v>0</v>
      </c>
      <c r="M134" s="14">
        <f>Tabla2[[#This Row],[PRECIO]]*Tabla2[[#This Row],[CANTIDAD]]</f>
        <v>0</v>
      </c>
      <c r="P134" s="6"/>
      <c r="Q134" s="7"/>
    </row>
    <row r="135" spans="2:17" x14ac:dyDescent="0.3">
      <c r="B135" s="8" t="s">
        <v>411</v>
      </c>
      <c r="C135" s="9" t="s">
        <v>25</v>
      </c>
      <c r="D135" s="14">
        <v>1700</v>
      </c>
      <c r="E135" s="26">
        <f>ROUNDUP((+SUMIF(UNITARIOS!C:C,Tabla1[[#This Row],[MATERIALES]],UNITARIOS!E:E)),0)</f>
        <v>0</v>
      </c>
      <c r="F135" s="16">
        <f>Tabla1[[#This Row],[PRECIO]]*Tabla1[[#This Row],[CANTIDAD]]</f>
        <v>0</v>
      </c>
      <c r="I135" s="6" t="s">
        <v>478</v>
      </c>
      <c r="J135" s="9" t="s">
        <v>24</v>
      </c>
      <c r="K135" s="14">
        <v>100</v>
      </c>
      <c r="L135" s="26">
        <f>ROUNDUP((+SUMIF(UNITARIOS!C:C,Tabla2[[#This Row],[MANO DE OBRA]],UNITARIOS!E:E)),0)</f>
        <v>0</v>
      </c>
      <c r="M135" s="14">
        <f>Tabla2[[#This Row],[PRECIO]]*Tabla2[[#This Row],[CANTIDAD]]</f>
        <v>0</v>
      </c>
      <c r="P135" s="6"/>
      <c r="Q135" s="7"/>
    </row>
    <row r="136" spans="2:17" x14ac:dyDescent="0.3">
      <c r="B136" s="8" t="s">
        <v>258</v>
      </c>
      <c r="C136" s="9" t="s">
        <v>25</v>
      </c>
      <c r="D136" s="14">
        <v>75</v>
      </c>
      <c r="E136" s="26">
        <f>ROUNDUP((+SUMIF(UNITARIOS!C:C,Tabla1[[#This Row],[MATERIALES]],UNITARIOS!E:E)),0)</f>
        <v>24</v>
      </c>
      <c r="F136" s="16">
        <f>Tabla1[[#This Row],[PRECIO]]*Tabla1[[#This Row],[CANTIDAD]]</f>
        <v>1800</v>
      </c>
      <c r="I136" s="61" t="s">
        <v>427</v>
      </c>
      <c r="J136" s="62" t="s">
        <v>72</v>
      </c>
      <c r="K136" s="63">
        <v>20</v>
      </c>
      <c r="L136" s="64">
        <f>ROUNDUP((+SUMIF(UNITARIOS!C:C,Tabla2[[#This Row],[MANO DE OBRA]],UNITARIOS!E:E)),0)</f>
        <v>0</v>
      </c>
      <c r="M136" s="63">
        <f>Tabla2[[#This Row],[PRECIO]]*Tabla2[[#This Row],[CANTIDAD]]</f>
        <v>0</v>
      </c>
      <c r="P136" s="6"/>
      <c r="Q136" s="7"/>
    </row>
    <row r="137" spans="2:17" x14ac:dyDescent="0.3">
      <c r="B137" s="8" t="s">
        <v>392</v>
      </c>
      <c r="C137" s="9" t="s">
        <v>25</v>
      </c>
      <c r="D137" s="14">
        <v>700</v>
      </c>
      <c r="E137" s="26">
        <f>ROUNDUP((+SUMIF(UNITARIOS!C:C,Tabla1[[#This Row],[MATERIALES]],UNITARIOS!E:E)),0)</f>
        <v>5</v>
      </c>
      <c r="F137" s="16">
        <f>Tabla1[[#This Row],[PRECIO]]*Tabla1[[#This Row],[CANTIDAD]]</f>
        <v>3500</v>
      </c>
      <c r="I137" s="6" t="s">
        <v>492</v>
      </c>
      <c r="J137" s="9" t="s">
        <v>24</v>
      </c>
      <c r="K137" s="14">
        <v>25.5</v>
      </c>
      <c r="L137" s="26">
        <f>ROUNDUP((+SUMIF(UNITARIOS!C:C,Tabla2[[#This Row],[MANO DE OBRA]],UNITARIOS!E:E)),0)</f>
        <v>39</v>
      </c>
      <c r="M137" s="14">
        <f>Tabla2[[#This Row],[PRECIO]]*Tabla2[[#This Row],[CANTIDAD]]</f>
        <v>994.5</v>
      </c>
      <c r="P137" s="6"/>
      <c r="Q137" s="7"/>
    </row>
    <row r="138" spans="2:17" ht="27.6" x14ac:dyDescent="0.3">
      <c r="B138" s="8" t="s">
        <v>343</v>
      </c>
      <c r="C138" s="9" t="s">
        <v>25</v>
      </c>
      <c r="D138" s="14">
        <v>650</v>
      </c>
      <c r="E138" s="26">
        <f>ROUNDUP((+SUMIF(UNITARIOS!C:C,Tabla1[[#This Row],[MATERIALES]],UNITARIOS!E:E)),0)</f>
        <v>0</v>
      </c>
      <c r="F138" s="16">
        <f>Tabla1[[#This Row],[PRECIO]]*Tabla1[[#This Row],[CANTIDAD]]</f>
        <v>0</v>
      </c>
      <c r="P138" s="6"/>
      <c r="Q138" s="7"/>
    </row>
    <row r="139" spans="2:17" ht="27.6" x14ac:dyDescent="0.3">
      <c r="B139" s="8" t="s">
        <v>94</v>
      </c>
      <c r="C139" s="9" t="s">
        <v>25</v>
      </c>
      <c r="D139" s="14">
        <v>2000</v>
      </c>
      <c r="E139" s="26">
        <f>ROUNDUP((+SUMIF(UNITARIOS!C:C,Tabla1[[#This Row],[MATERIALES]],UNITARIOS!E:E)),0)</f>
        <v>1</v>
      </c>
      <c r="F139" s="16">
        <f>Tabla1[[#This Row],[PRECIO]]*Tabla1[[#This Row],[CANTIDAD]]</f>
        <v>2000</v>
      </c>
      <c r="P139" s="6"/>
      <c r="Q139" s="7"/>
    </row>
    <row r="140" spans="2:17" x14ac:dyDescent="0.3">
      <c r="B140" s="8" t="s">
        <v>66</v>
      </c>
      <c r="C140" s="9" t="s">
        <v>177</v>
      </c>
      <c r="D140" s="14">
        <v>5</v>
      </c>
      <c r="E140" s="26">
        <f>ROUNDUP((+SUMIF(UNITARIOS!C:C,Tabla1[[#This Row],[MATERIALES]],UNITARIOS!E:E)),0)</f>
        <v>0</v>
      </c>
      <c r="F140" s="16">
        <f>Tabla1[[#This Row],[PRECIO]]*Tabla1[[#This Row],[CANTIDAD]]</f>
        <v>0</v>
      </c>
      <c r="P140" s="6"/>
      <c r="Q140" s="7"/>
    </row>
    <row r="141" spans="2:17" x14ac:dyDescent="0.3">
      <c r="B141" s="8" t="s">
        <v>178</v>
      </c>
      <c r="C141" s="9" t="s">
        <v>25</v>
      </c>
      <c r="D141" s="14">
        <v>350</v>
      </c>
      <c r="E141" s="26">
        <f>ROUNDUP((+SUMIF(UNITARIOS!C:C,Tabla1[[#This Row],[MATERIALES]],UNITARIOS!E:E)),0)</f>
        <v>0</v>
      </c>
      <c r="F141" s="16">
        <f>Tabla1[[#This Row],[PRECIO]]*Tabla1[[#This Row],[CANTIDAD]]</f>
        <v>0</v>
      </c>
      <c r="P141" s="6"/>
      <c r="Q141" s="7"/>
    </row>
    <row r="142" spans="2:17" x14ac:dyDescent="0.3">
      <c r="B142" s="8" t="s">
        <v>179</v>
      </c>
      <c r="C142" s="9" t="s">
        <v>25</v>
      </c>
      <c r="D142" s="14">
        <v>60</v>
      </c>
      <c r="E142" s="26">
        <f>ROUNDUP((+SUMIF(UNITARIOS!C:C,Tabla1[[#This Row],[MATERIALES]],UNITARIOS!E:E)),0)</f>
        <v>0</v>
      </c>
      <c r="F142" s="16">
        <f>Tabla1[[#This Row],[PRECIO]]*Tabla1[[#This Row],[CANTIDAD]]</f>
        <v>0</v>
      </c>
      <c r="P142" s="6"/>
      <c r="Q142" s="7"/>
    </row>
    <row r="143" spans="2:17" x14ac:dyDescent="0.3">
      <c r="B143" s="8" t="s">
        <v>591</v>
      </c>
      <c r="C143" s="28" t="s">
        <v>25</v>
      </c>
      <c r="D143" s="14">
        <v>250</v>
      </c>
      <c r="E143" s="26">
        <f>ROUNDUP((+SUMIF(UNITARIOS!C:C,Tabla1[[#This Row],[MATERIALES]],UNITARIOS!E:E)),0)</f>
        <v>5</v>
      </c>
      <c r="F143" s="16">
        <f>Tabla1[[#This Row],[PRECIO]]*Tabla1[[#This Row],[CANTIDAD]]</f>
        <v>1250</v>
      </c>
      <c r="P143" s="6"/>
      <c r="Q143" s="7"/>
    </row>
    <row r="144" spans="2:17" x14ac:dyDescent="0.3">
      <c r="B144" s="8" t="s">
        <v>180</v>
      </c>
      <c r="C144" s="9" t="s">
        <v>163</v>
      </c>
      <c r="D144" s="14">
        <v>9</v>
      </c>
      <c r="E144" s="26">
        <f>ROUNDUP((+SUMIF(UNITARIOS!C:C,Tabla1[[#This Row],[MATERIALES]],UNITARIOS!E:E)),0)</f>
        <v>2625</v>
      </c>
      <c r="F144" s="16">
        <f>Tabla1[[#This Row],[PRECIO]]*Tabla1[[#This Row],[CANTIDAD]]</f>
        <v>23625</v>
      </c>
      <c r="P144" s="6"/>
      <c r="Q144" s="7"/>
    </row>
    <row r="145" spans="2:17" x14ac:dyDescent="0.3">
      <c r="B145" s="8" t="s">
        <v>450</v>
      </c>
      <c r="C145" s="9" t="s">
        <v>166</v>
      </c>
      <c r="D145" s="14">
        <v>3000</v>
      </c>
      <c r="E145" s="26">
        <f>ROUNDUP((+SUMIF(UNITARIOS!C:C,Tabla1[[#This Row],[MATERIALES]],UNITARIOS!E:E)),0)</f>
        <v>0</v>
      </c>
      <c r="F145" s="16">
        <f>Tabla1[[#This Row],[PRECIO]]*Tabla1[[#This Row],[CANTIDAD]]</f>
        <v>0</v>
      </c>
      <c r="P145" s="6"/>
      <c r="Q145" s="7"/>
    </row>
    <row r="146" spans="2:17" x14ac:dyDescent="0.3">
      <c r="B146" s="8" t="s">
        <v>223</v>
      </c>
      <c r="C146" s="9" t="s">
        <v>25</v>
      </c>
      <c r="D146" s="14">
        <v>50</v>
      </c>
      <c r="E146" s="26">
        <f>ROUNDUP((+SUMIF(UNITARIOS!C:C,Tabla1[[#This Row],[MATERIALES]],UNITARIOS!E:E)),0)</f>
        <v>13</v>
      </c>
      <c r="F146" s="16">
        <f>Tabla1[[#This Row],[PRECIO]]*Tabla1[[#This Row],[CANTIDAD]]</f>
        <v>650</v>
      </c>
      <c r="P146" s="6"/>
      <c r="Q146" s="7"/>
    </row>
    <row r="147" spans="2:17" x14ac:dyDescent="0.3">
      <c r="B147" s="32" t="s">
        <v>336</v>
      </c>
      <c r="C147" s="28" t="s">
        <v>25</v>
      </c>
      <c r="D147" s="29">
        <v>100</v>
      </c>
      <c r="E147" s="30">
        <f>ROUNDUP((+SUMIF(UNITARIOS!C:C,Tabla1[[#This Row],[MATERIALES]],UNITARIOS!E:E)),0)</f>
        <v>0</v>
      </c>
      <c r="F147" s="50">
        <f>Tabla1[[#This Row],[PRECIO]]*Tabla1[[#This Row],[CANTIDAD]]</f>
        <v>0</v>
      </c>
      <c r="P147" s="6"/>
      <c r="Q147" s="7"/>
    </row>
    <row r="148" spans="2:17" x14ac:dyDescent="0.3">
      <c r="B148" s="8" t="s">
        <v>274</v>
      </c>
      <c r="C148" s="9" t="s">
        <v>25</v>
      </c>
      <c r="D148" s="14">
        <v>500</v>
      </c>
      <c r="E148" s="26">
        <f>ROUNDUP((+SUMIF(UNITARIOS!C:C,Tabla1[[#This Row],[MATERIALES]],UNITARIOS!E:E)),0)</f>
        <v>3</v>
      </c>
      <c r="F148" s="16">
        <f>Tabla1[[#This Row],[PRECIO]]*Tabla1[[#This Row],[CANTIDAD]]</f>
        <v>1500</v>
      </c>
      <c r="P148" s="6"/>
      <c r="Q148" s="7"/>
    </row>
    <row r="149" spans="2:17" x14ac:dyDescent="0.3">
      <c r="B149" s="32" t="s">
        <v>347</v>
      </c>
      <c r="C149" s="28" t="s">
        <v>25</v>
      </c>
      <c r="D149" s="29">
        <v>70</v>
      </c>
      <c r="E149" s="30">
        <f>ROUNDUP((+SUMIF(UNITARIOS!C:C,Tabla1[[#This Row],[MATERIALES]],UNITARIOS!E:E)),0)</f>
        <v>0</v>
      </c>
      <c r="F149" s="50">
        <f>Tabla1[[#This Row],[PRECIO]]*Tabla1[[#This Row],[CANTIDAD]]</f>
        <v>0</v>
      </c>
      <c r="P149" s="6"/>
      <c r="Q149" s="7"/>
    </row>
    <row r="150" spans="2:17" x14ac:dyDescent="0.3">
      <c r="B150" s="32" t="s">
        <v>346</v>
      </c>
      <c r="C150" s="28" t="s">
        <v>25</v>
      </c>
      <c r="D150" s="29">
        <v>50</v>
      </c>
      <c r="E150" s="30">
        <f>ROUNDUP((+SUMIF(UNITARIOS!C:C,Tabla1[[#This Row],[MATERIALES]],UNITARIOS!E:E)),0)</f>
        <v>0</v>
      </c>
      <c r="F150" s="50">
        <f>Tabla1[[#This Row],[PRECIO]]*Tabla1[[#This Row],[CANTIDAD]]</f>
        <v>0</v>
      </c>
      <c r="P150" s="6"/>
      <c r="Q150" s="7"/>
    </row>
    <row r="151" spans="2:17" x14ac:dyDescent="0.3">
      <c r="B151" s="8" t="s">
        <v>256</v>
      </c>
      <c r="C151" s="9" t="s">
        <v>25</v>
      </c>
      <c r="D151" s="14">
        <v>10</v>
      </c>
      <c r="E151" s="26">
        <f>ROUNDUP((+SUMIF(UNITARIOS!C:C,Tabla1[[#This Row],[MATERIALES]],UNITARIOS!E:E)),0)</f>
        <v>3</v>
      </c>
      <c r="F151" s="16">
        <f>Tabla1[[#This Row],[PRECIO]]*Tabla1[[#This Row],[CANTIDAD]]</f>
        <v>30</v>
      </c>
      <c r="P151" s="6"/>
      <c r="Q151" s="7"/>
    </row>
    <row r="152" spans="2:17" x14ac:dyDescent="0.3">
      <c r="B152" s="8" t="s">
        <v>377</v>
      </c>
      <c r="C152" s="9" t="s">
        <v>25</v>
      </c>
      <c r="D152" s="14">
        <v>5</v>
      </c>
      <c r="E152" s="26">
        <f>ROUNDUP((+SUMIF(UNITARIOS!C:C,Tabla1[[#This Row],[MATERIALES]],UNITARIOS!E:E)),0)</f>
        <v>0</v>
      </c>
      <c r="F152" s="16">
        <f>Tabla1[[#This Row],[PRECIO]]*Tabla1[[#This Row],[CANTIDAD]]</f>
        <v>0</v>
      </c>
      <c r="P152" s="6"/>
      <c r="Q152" s="7"/>
    </row>
    <row r="153" spans="2:17" x14ac:dyDescent="0.3">
      <c r="B153" s="8" t="s">
        <v>376</v>
      </c>
      <c r="C153" s="9" t="s">
        <v>25</v>
      </c>
      <c r="D153" s="14">
        <v>580</v>
      </c>
      <c r="E153" s="26">
        <f>ROUNDUP((+SUMIF(UNITARIOS!C:C,Tabla1[[#This Row],[MATERIALES]],UNITARIOS!E:E)),0)</f>
        <v>0</v>
      </c>
      <c r="F153" s="16">
        <f>Tabla1[[#This Row],[PRECIO]]*Tabla1[[#This Row],[CANTIDAD]]</f>
        <v>0</v>
      </c>
      <c r="P153" s="6"/>
      <c r="Q153" s="7"/>
    </row>
    <row r="154" spans="2:17" x14ac:dyDescent="0.3">
      <c r="B154" s="8" t="s">
        <v>159</v>
      </c>
      <c r="C154" s="9" t="s">
        <v>25</v>
      </c>
      <c r="D154" s="14">
        <v>25</v>
      </c>
      <c r="E154" s="26">
        <f>ROUNDUP((+SUMIF(UNITARIOS!C:C,Tabla1[[#This Row],[MATERIALES]],UNITARIOS!E:E)),0)</f>
        <v>0</v>
      </c>
      <c r="F154" s="16">
        <f>Tabla1[[#This Row],[PRECIO]]*Tabla1[[#This Row],[CANTIDAD]]</f>
        <v>0</v>
      </c>
      <c r="P154" s="6"/>
      <c r="Q154" s="7"/>
    </row>
    <row r="155" spans="2:17" x14ac:dyDescent="0.3">
      <c r="B155" s="8" t="s">
        <v>130</v>
      </c>
      <c r="C155" s="9" t="s">
        <v>63</v>
      </c>
      <c r="D155" s="14">
        <v>400</v>
      </c>
      <c r="E155" s="26">
        <f>ROUNDUP((+SUMIF(UNITARIOS!C:C,Tabla1[[#This Row],[MATERIALES]],UNITARIOS!E:E)),0)</f>
        <v>1</v>
      </c>
      <c r="F155" s="16">
        <f>Tabla1[[#This Row],[PRECIO]]*Tabla1[[#This Row],[CANTIDAD]]</f>
        <v>400</v>
      </c>
      <c r="P155" s="6"/>
      <c r="Q155" s="7"/>
    </row>
    <row r="156" spans="2:17" x14ac:dyDescent="0.3">
      <c r="B156" s="8" t="s">
        <v>484</v>
      </c>
      <c r="C156" s="9" t="s">
        <v>25</v>
      </c>
      <c r="D156" s="14">
        <v>150</v>
      </c>
      <c r="E156" s="26">
        <f>ROUNDUP((+SUMIF(UNITARIOS!C:C,Tabla1[[#This Row],[MATERIALES]],UNITARIOS!E:E)),0)</f>
        <v>0</v>
      </c>
      <c r="F156" s="16">
        <f>Tabla1[[#This Row],[PRECIO]]*Tabla1[[#This Row],[CANTIDAD]]</f>
        <v>0</v>
      </c>
      <c r="P156" s="6"/>
      <c r="Q156" s="7"/>
    </row>
    <row r="157" spans="2:17" x14ac:dyDescent="0.3">
      <c r="B157" s="8" t="s">
        <v>285</v>
      </c>
      <c r="C157" s="9" t="s">
        <v>65</v>
      </c>
      <c r="D157" s="14">
        <v>50</v>
      </c>
      <c r="E157" s="26">
        <f>ROUNDUP((+SUMIF(UNITARIOS!C:C,Tabla1[[#This Row],[MATERIALES]],UNITARIOS!E:E)),0)</f>
        <v>8</v>
      </c>
      <c r="F157" s="16">
        <f>Tabla1[[#This Row],[PRECIO]]*Tabla1[[#This Row],[CANTIDAD]]</f>
        <v>400</v>
      </c>
      <c r="P157" s="6"/>
      <c r="Q157" s="7"/>
    </row>
    <row r="158" spans="2:17" x14ac:dyDescent="0.3">
      <c r="B158" s="8" t="s">
        <v>82</v>
      </c>
      <c r="C158" s="9" t="s">
        <v>24</v>
      </c>
      <c r="D158" s="14">
        <v>300</v>
      </c>
      <c r="E158" s="26">
        <f>ROUNDUP((+SUMIF(UNITARIOS!C:C,Tabla1[[#This Row],[MATERIALES]],UNITARIOS!E:E)),0)</f>
        <v>0</v>
      </c>
      <c r="F158" s="16">
        <f>Tabla1[[#This Row],[PRECIO]]*Tabla1[[#This Row],[CANTIDAD]]</f>
        <v>0</v>
      </c>
      <c r="P158" s="6"/>
      <c r="Q158" s="7"/>
    </row>
    <row r="159" spans="2:17" x14ac:dyDescent="0.3">
      <c r="B159" s="8" t="s">
        <v>374</v>
      </c>
      <c r="C159" s="9" t="s">
        <v>25</v>
      </c>
      <c r="D159" s="14">
        <v>10</v>
      </c>
      <c r="E159" s="26">
        <f>ROUNDUP((+SUMIF(UNITARIOS!C:C,Tabla1[[#This Row],[MATERIALES]],UNITARIOS!E:E)),0)</f>
        <v>0</v>
      </c>
      <c r="F159" s="16">
        <f>Tabla1[[#This Row],[PRECIO]]*Tabla1[[#This Row],[CANTIDAD]]</f>
        <v>0</v>
      </c>
      <c r="P159" s="6"/>
      <c r="Q159" s="7"/>
    </row>
    <row r="160" spans="2:17" x14ac:dyDescent="0.3">
      <c r="B160" s="8" t="s">
        <v>581</v>
      </c>
      <c r="C160" s="9" t="s">
        <v>25</v>
      </c>
      <c r="D160" s="14">
        <v>325</v>
      </c>
      <c r="E160" s="26">
        <f>ROUNDUP((+SUMIF(UNITARIOS!C:C,Tabla1[[#This Row],[MATERIALES]],UNITARIOS!E:E)),0)</f>
        <v>0</v>
      </c>
      <c r="F160" s="16">
        <f>Tabla1[[#This Row],[PRECIO]]*Tabla1[[#This Row],[CANTIDAD]]</f>
        <v>0</v>
      </c>
      <c r="P160" s="6"/>
      <c r="Q160" s="7"/>
    </row>
    <row r="161" spans="2:20" x14ac:dyDescent="0.3">
      <c r="B161" s="8" t="s">
        <v>487</v>
      </c>
      <c r="C161" s="9" t="s">
        <v>25</v>
      </c>
      <c r="D161" s="14">
        <v>50</v>
      </c>
      <c r="E161" s="26">
        <f>ROUNDUP((+SUMIF(UNITARIOS!C:C,Tabla1[[#This Row],[MATERIALES]],UNITARIOS!E:E)),0)</f>
        <v>0</v>
      </c>
      <c r="F161" s="16">
        <f>Tabla1[[#This Row],[PRECIO]]*Tabla1[[#This Row],[CANTIDAD]]</f>
        <v>0</v>
      </c>
      <c r="I161" s="15"/>
      <c r="K161" s="14"/>
      <c r="M161" s="14"/>
      <c r="P161" s="6"/>
      <c r="Q161" s="7"/>
    </row>
    <row r="162" spans="2:20" x14ac:dyDescent="0.3">
      <c r="B162" s="65" t="s">
        <v>403</v>
      </c>
      <c r="C162" s="62" t="s">
        <v>25</v>
      </c>
      <c r="D162" s="63">
        <v>50</v>
      </c>
      <c r="E162" s="64">
        <f>ROUNDUP((+SUMIF(UNITARIOS!C:C,Tabla1[[#This Row],[MATERIALES]],UNITARIOS!E:E)),0)</f>
        <v>0</v>
      </c>
      <c r="F162" s="66">
        <f>Tabla1[[#This Row],[PRECIO]]*Tabla1[[#This Row],[CANTIDAD]]</f>
        <v>0</v>
      </c>
      <c r="I162" s="15"/>
      <c r="K162" s="14"/>
      <c r="M162" s="14"/>
      <c r="P162" s="6"/>
      <c r="Q162" s="7"/>
    </row>
    <row r="163" spans="2:20" ht="27.6" x14ac:dyDescent="0.3">
      <c r="B163" s="8" t="s">
        <v>202</v>
      </c>
      <c r="C163" s="9" t="s">
        <v>25</v>
      </c>
      <c r="D163" s="14">
        <v>5</v>
      </c>
      <c r="E163" s="26">
        <f>ROUNDUP((+SUMIF(UNITARIOS!C:C,Tabla1[[#This Row],[MATERIALES]],UNITARIOS!E:E)),0)</f>
        <v>0</v>
      </c>
      <c r="F163" s="16">
        <f>Tabla1[[#This Row],[PRECIO]]*Tabla1[[#This Row],[CANTIDAD]]</f>
        <v>0</v>
      </c>
      <c r="P163" s="6"/>
      <c r="Q163" s="7"/>
    </row>
    <row r="164" spans="2:20" x14ac:dyDescent="0.3">
      <c r="B164" s="8" t="s">
        <v>119</v>
      </c>
      <c r="C164" s="9" t="s">
        <v>25</v>
      </c>
      <c r="D164" s="14">
        <v>6</v>
      </c>
      <c r="E164" s="26">
        <f>ROUNDUP((+SUMIF(UNITARIOS!C:C,Tabla1[[#This Row],[MATERIALES]],UNITARIOS!E:E)),0)</f>
        <v>0</v>
      </c>
      <c r="F164" s="16">
        <f>Tabla1[[#This Row],[PRECIO]]*Tabla1[[#This Row],[CANTIDAD]]</f>
        <v>0</v>
      </c>
      <c r="P164" s="6"/>
      <c r="Q164" s="7"/>
    </row>
    <row r="165" spans="2:20" x14ac:dyDescent="0.3">
      <c r="B165" s="8" t="s">
        <v>160</v>
      </c>
      <c r="C165" s="9" t="s">
        <v>61</v>
      </c>
      <c r="D165" s="14">
        <v>190</v>
      </c>
      <c r="E165" s="26">
        <f>ROUNDUP((+SUMIF(UNITARIOS!C:C,Tabla1[[#This Row],[MATERIALES]],UNITARIOS!E:E)),0)</f>
        <v>0</v>
      </c>
      <c r="F165" s="16">
        <f>Tabla1[[#This Row],[PRECIO]]*Tabla1[[#This Row],[CANTIDAD]]</f>
        <v>0</v>
      </c>
      <c r="P165" s="6"/>
      <c r="Q165" s="7"/>
    </row>
    <row r="166" spans="2:20" x14ac:dyDescent="0.3">
      <c r="B166" s="8" t="s">
        <v>74</v>
      </c>
      <c r="C166" s="9" t="s">
        <v>61</v>
      </c>
      <c r="D166" s="14">
        <v>250</v>
      </c>
      <c r="E166" s="26">
        <f>ROUNDUP((+SUMIF(UNITARIOS!C:C,Tabla1[[#This Row],[MATERIALES]],UNITARIOS!E:E)),0)</f>
        <v>2</v>
      </c>
      <c r="F166" s="16">
        <f>Tabla1[[#This Row],[PRECIO]]*Tabla1[[#This Row],[CANTIDAD]]</f>
        <v>500</v>
      </c>
      <c r="P166" s="6"/>
      <c r="Q166" s="7"/>
    </row>
    <row r="167" spans="2:20" x14ac:dyDescent="0.3">
      <c r="B167" s="8" t="s">
        <v>230</v>
      </c>
      <c r="C167" s="9" t="s">
        <v>61</v>
      </c>
      <c r="D167" s="14">
        <v>250</v>
      </c>
      <c r="E167" s="26">
        <f>ROUNDUP((+SUMIF(UNITARIOS!C:C,Tabla1[[#This Row],[MATERIALES]],UNITARIOS!E:E)),0)</f>
        <v>24</v>
      </c>
      <c r="F167" s="16">
        <f>Tabla1[[#This Row],[PRECIO]]*Tabla1[[#This Row],[CANTIDAD]]</f>
        <v>6000</v>
      </c>
      <c r="P167" s="6"/>
      <c r="Q167" s="7"/>
    </row>
    <row r="168" spans="2:20" x14ac:dyDescent="0.3">
      <c r="B168" s="65" t="s">
        <v>405</v>
      </c>
      <c r="C168" s="62" t="s">
        <v>25</v>
      </c>
      <c r="D168" s="63">
        <v>600</v>
      </c>
      <c r="E168" s="64">
        <f>ROUNDUP((+SUMIF(UNITARIOS!C:C,Tabla1[[#This Row],[MATERIALES]],UNITARIOS!E:E)),0)</f>
        <v>0</v>
      </c>
      <c r="F168" s="66">
        <f>Tabla1[[#This Row],[PRECIO]]*Tabla1[[#This Row],[CANTIDAD]]</f>
        <v>0</v>
      </c>
      <c r="P168" s="6"/>
      <c r="Q168" s="7"/>
    </row>
    <row r="169" spans="2:20" x14ac:dyDescent="0.3">
      <c r="B169" s="8" t="s">
        <v>196</v>
      </c>
      <c r="C169" s="9" t="s">
        <v>63</v>
      </c>
      <c r="D169" s="14">
        <v>200</v>
      </c>
      <c r="E169" s="26">
        <f>ROUNDUP((+SUMIF(UNITARIOS!C:C,Tabla1[[#This Row],[MATERIALES]],UNITARIOS!E:E)),0)</f>
        <v>2</v>
      </c>
      <c r="F169" s="16">
        <f>Tabla1[[#This Row],[PRECIO]]*Tabla1[[#This Row],[CANTIDAD]]</f>
        <v>400</v>
      </c>
      <c r="P169" s="6"/>
      <c r="Q169" s="7"/>
    </row>
    <row r="170" spans="2:20" x14ac:dyDescent="0.3">
      <c r="B170" s="8" t="s">
        <v>64</v>
      </c>
      <c r="C170" s="9" t="s">
        <v>63</v>
      </c>
      <c r="D170" s="14">
        <v>200</v>
      </c>
      <c r="E170" s="26">
        <f>ROUNDUP((+SUMIF(UNITARIOS!C:C,Tabla1[[#This Row],[MATERIALES]],UNITARIOS!E:E)),0)</f>
        <v>1</v>
      </c>
      <c r="F170" s="16">
        <f>Tabla1[[#This Row],[PRECIO]]*Tabla1[[#This Row],[CANTIDAD]]</f>
        <v>200</v>
      </c>
      <c r="P170" s="6"/>
      <c r="Q170" s="7"/>
    </row>
    <row r="171" spans="2:20" s="4" customFormat="1" x14ac:dyDescent="0.25">
      <c r="B171" s="8" t="s">
        <v>220</v>
      </c>
      <c r="C171" s="9" t="s">
        <v>164</v>
      </c>
      <c r="D171" s="14">
        <v>1500</v>
      </c>
      <c r="E171" s="26">
        <f>ROUNDUP((+SUMIF(UNITARIOS!C:C,Tabla1[[#This Row],[MATERIALES]],UNITARIOS!E:E)),0)</f>
        <v>6</v>
      </c>
      <c r="F171" s="16">
        <f>Tabla1[[#This Row],[PRECIO]]*Tabla1[[#This Row],[CANTIDAD]]</f>
        <v>9000</v>
      </c>
      <c r="I171" s="13"/>
      <c r="J171" s="15"/>
      <c r="K171" s="12"/>
      <c r="L171" s="19"/>
      <c r="M171" s="12"/>
      <c r="P171" s="8"/>
      <c r="Q171" s="9"/>
      <c r="R171" s="14"/>
      <c r="S171" s="19"/>
      <c r="T171" s="14"/>
    </row>
    <row r="172" spans="2:20" s="4" customFormat="1" x14ac:dyDescent="0.25">
      <c r="B172" s="8" t="s">
        <v>161</v>
      </c>
      <c r="C172" s="9" t="s">
        <v>63</v>
      </c>
      <c r="D172" s="14">
        <v>500</v>
      </c>
      <c r="E172" s="26">
        <f>ROUNDUP((+SUMIF(UNITARIOS!C:C,Tabla1[[#This Row],[MATERIALES]],UNITARIOS!E:E)),0)</f>
        <v>0</v>
      </c>
      <c r="F172" s="16">
        <f>Tabla1[[#This Row],[PRECIO]]*Tabla1[[#This Row],[CANTIDAD]]</f>
        <v>0</v>
      </c>
      <c r="I172" s="13"/>
      <c r="J172" s="15"/>
      <c r="K172" s="12"/>
      <c r="L172" s="19"/>
      <c r="M172" s="12"/>
      <c r="P172" s="8"/>
      <c r="Q172" s="9"/>
      <c r="R172" s="14"/>
      <c r="S172" s="19"/>
      <c r="T172" s="14"/>
    </row>
    <row r="173" spans="2:20" x14ac:dyDescent="0.3">
      <c r="B173" s="8" t="s">
        <v>95</v>
      </c>
      <c r="C173" s="9" t="s">
        <v>164</v>
      </c>
      <c r="D173" s="14">
        <v>1650</v>
      </c>
      <c r="E173" s="26">
        <f>ROUNDUP((+SUMIF(UNITARIOS!C:C,Tabla1[[#This Row],[MATERIALES]],UNITARIOS!E:E)),0)</f>
        <v>0</v>
      </c>
      <c r="F173" s="16">
        <f>Tabla1[[#This Row],[PRECIO]]*Tabla1[[#This Row],[CANTIDAD]]</f>
        <v>0</v>
      </c>
      <c r="P173" s="6"/>
      <c r="Q173" s="7"/>
    </row>
    <row r="174" spans="2:20" x14ac:dyDescent="0.3">
      <c r="B174" s="8" t="s">
        <v>467</v>
      </c>
      <c r="C174" s="9" t="s">
        <v>24</v>
      </c>
      <c r="D174" s="14">
        <v>125</v>
      </c>
      <c r="E174" s="26">
        <f>ROUNDUP((+SUMIF(UNITARIOS!C:C,Tabla1[[#This Row],[MATERIALES]],UNITARIOS!E:E)),0)</f>
        <v>67</v>
      </c>
      <c r="F174" s="16">
        <f>Tabla1[[#This Row],[PRECIO]]*Tabla1[[#This Row],[CANTIDAD]]</f>
        <v>8375</v>
      </c>
      <c r="P174" s="6"/>
      <c r="Q174" s="7"/>
    </row>
    <row r="175" spans="2:20" x14ac:dyDescent="0.3">
      <c r="B175" s="8" t="s">
        <v>468</v>
      </c>
      <c r="C175" s="9" t="s">
        <v>24</v>
      </c>
      <c r="D175" s="14">
        <v>125</v>
      </c>
      <c r="E175" s="26">
        <f>ROUNDUP((+SUMIF(UNITARIOS!C:C,Tabla1[[#This Row],[MATERIALES]],UNITARIOS!E:E)),0)</f>
        <v>0</v>
      </c>
      <c r="F175" s="16">
        <f>Tabla1[[#This Row],[PRECIO]]*Tabla1[[#This Row],[CANTIDAD]]</f>
        <v>0</v>
      </c>
      <c r="P175" s="6"/>
      <c r="Q175" s="7"/>
    </row>
    <row r="176" spans="2:20" x14ac:dyDescent="0.3">
      <c r="B176" s="32" t="s">
        <v>281</v>
      </c>
      <c r="C176" s="28" t="s">
        <v>25</v>
      </c>
      <c r="D176" s="29">
        <v>40</v>
      </c>
      <c r="E176" s="30">
        <f>ROUNDUP((+SUMIF(UNITARIOS!C:C,Tabla1[[#This Row],[MATERIALES]],UNITARIOS!E:E)),0)</f>
        <v>3</v>
      </c>
      <c r="F176" s="50">
        <f>Tabla1[[#This Row],[PRECIO]]*Tabla1[[#This Row],[CANTIDAD]]</f>
        <v>120</v>
      </c>
      <c r="P176" s="6"/>
      <c r="Q176" s="7"/>
    </row>
    <row r="177" spans="2:17" x14ac:dyDescent="0.3">
      <c r="B177" s="8" t="s">
        <v>266</v>
      </c>
      <c r="C177" s="9" t="s">
        <v>25</v>
      </c>
      <c r="D177" s="14">
        <v>40</v>
      </c>
      <c r="E177" s="26">
        <f>ROUNDUP((+SUMIF(UNITARIOS!C:C,Tabla1[[#This Row],[MATERIALES]],UNITARIOS!E:E)),0)</f>
        <v>10</v>
      </c>
      <c r="F177" s="16">
        <f>Tabla1[[#This Row],[PRECIO]]*Tabla1[[#This Row],[CANTIDAD]]</f>
        <v>400</v>
      </c>
      <c r="P177" s="6"/>
      <c r="Q177" s="7"/>
    </row>
    <row r="178" spans="2:17" x14ac:dyDescent="0.3">
      <c r="B178" s="8" t="s">
        <v>413</v>
      </c>
      <c r="C178" s="9" t="s">
        <v>25</v>
      </c>
      <c r="D178" s="14">
        <v>40</v>
      </c>
      <c r="E178" s="26">
        <f>ROUNDUP((+SUMIF(UNITARIOS!C:C,Tabla1[[#This Row],[MATERIALES]],UNITARIOS!E:E)),0)</f>
        <v>0</v>
      </c>
      <c r="F178" s="16">
        <f>Tabla1[[#This Row],[PRECIO]]*Tabla1[[#This Row],[CANTIDAD]]</f>
        <v>0</v>
      </c>
      <c r="P178" s="6"/>
      <c r="Q178" s="7"/>
    </row>
    <row r="179" spans="2:17" x14ac:dyDescent="0.3">
      <c r="B179" s="8" t="s">
        <v>355</v>
      </c>
      <c r="C179" s="9" t="s">
        <v>25</v>
      </c>
      <c r="D179" s="14">
        <v>6000</v>
      </c>
      <c r="E179" s="26">
        <f>ROUNDUP((+SUMIF(UNITARIOS!C:C,Tabla1[[#This Row],[MATERIALES]],UNITARIOS!E:E)),0)</f>
        <v>0</v>
      </c>
      <c r="F179" s="16">
        <f>Tabla1[[#This Row],[PRECIO]]*Tabla1[[#This Row],[CANTIDAD]]</f>
        <v>0</v>
      </c>
      <c r="P179" s="6"/>
      <c r="Q179" s="7"/>
    </row>
    <row r="180" spans="2:17" x14ac:dyDescent="0.3">
      <c r="B180" s="8" t="s">
        <v>122</v>
      </c>
      <c r="C180" s="9" t="s">
        <v>25</v>
      </c>
      <c r="D180" s="14">
        <v>15</v>
      </c>
      <c r="E180" s="26">
        <f>ROUNDUP((+SUMIF(UNITARIOS!C:C,Tabla1[[#This Row],[MATERIALES]],UNITARIOS!E:E)),0)</f>
        <v>0</v>
      </c>
      <c r="F180" s="16">
        <f>Tabla1[[#This Row],[PRECIO]]*Tabla1[[#This Row],[CANTIDAD]]</f>
        <v>0</v>
      </c>
      <c r="P180" s="6"/>
      <c r="Q180" s="7"/>
    </row>
    <row r="181" spans="2:17" x14ac:dyDescent="0.3">
      <c r="B181" s="8" t="s">
        <v>580</v>
      </c>
      <c r="C181" s="9" t="s">
        <v>25</v>
      </c>
      <c r="D181" s="14">
        <v>1100</v>
      </c>
      <c r="E181" s="26">
        <f>ROUNDUP((+SUMIF(UNITARIOS!C:C,Tabla1[[#This Row],[MATERIALES]],UNITARIOS!E:E)),0)</f>
        <v>0</v>
      </c>
      <c r="F181" s="16">
        <f>Tabla1[[#This Row],[PRECIO]]*Tabla1[[#This Row],[CANTIDAD]]</f>
        <v>0</v>
      </c>
      <c r="P181" s="6"/>
      <c r="Q181" s="7"/>
    </row>
    <row r="182" spans="2:17" x14ac:dyDescent="0.3">
      <c r="B182" s="8" t="s">
        <v>69</v>
      </c>
      <c r="C182" s="9" t="s">
        <v>25</v>
      </c>
      <c r="D182" s="14">
        <v>5</v>
      </c>
      <c r="E182" s="26">
        <f>ROUNDUP((+SUMIF(UNITARIOS!C:C,Tabla1[[#This Row],[MATERIALES]],UNITARIOS!E:E)),0)</f>
        <v>0</v>
      </c>
      <c r="F182" s="16">
        <f>Tabla1[[#This Row],[PRECIO]]*Tabla1[[#This Row],[CANTIDAD]]</f>
        <v>0</v>
      </c>
      <c r="P182" s="6"/>
      <c r="Q182" s="7"/>
    </row>
    <row r="183" spans="2:17" x14ac:dyDescent="0.3">
      <c r="B183" s="8" t="s">
        <v>96</v>
      </c>
      <c r="C183" s="9" t="s">
        <v>67</v>
      </c>
      <c r="D183" s="14">
        <v>20</v>
      </c>
      <c r="E183" s="26">
        <f>ROUNDUP((+SUMIF(UNITARIOS!C:C,Tabla1[[#This Row],[MATERIALES]],UNITARIOS!E:E)),0)</f>
        <v>23</v>
      </c>
      <c r="F183" s="16">
        <f>Tabla1[[#This Row],[PRECIO]]*Tabla1[[#This Row],[CANTIDAD]]</f>
        <v>460</v>
      </c>
      <c r="P183" s="6"/>
      <c r="Q183" s="7"/>
    </row>
    <row r="184" spans="2:17" x14ac:dyDescent="0.3">
      <c r="B184" s="8" t="s">
        <v>126</v>
      </c>
      <c r="C184" s="9" t="s">
        <v>25</v>
      </c>
      <c r="D184" s="14">
        <v>1600</v>
      </c>
      <c r="E184" s="26">
        <f>ROUNDUP((+SUMIF(UNITARIOS!C:C,Tabla1[[#This Row],[MATERIALES]],UNITARIOS!E:E)),0)</f>
        <v>0</v>
      </c>
      <c r="F184" s="16">
        <f>Tabla1[[#This Row],[PRECIO]]*Tabla1[[#This Row],[CANTIDAD]]</f>
        <v>0</v>
      </c>
      <c r="P184" s="6"/>
      <c r="Q184" s="7"/>
    </row>
    <row r="185" spans="2:17" x14ac:dyDescent="0.3">
      <c r="B185" s="8" t="s">
        <v>140</v>
      </c>
      <c r="C185" s="9" t="s">
        <v>25</v>
      </c>
      <c r="D185" s="14">
        <v>1000</v>
      </c>
      <c r="E185" s="26">
        <f>ROUNDUP((+SUMIF(UNITARIOS!C:C,Tabla1[[#This Row],[MATERIALES]],UNITARIOS!E:E)),0)</f>
        <v>0</v>
      </c>
      <c r="F185" s="16">
        <f>Tabla1[[#This Row],[PRECIO]]*Tabla1[[#This Row],[CANTIDAD]]</f>
        <v>0</v>
      </c>
      <c r="P185" s="6"/>
      <c r="Q185" s="7"/>
    </row>
    <row r="186" spans="2:17" x14ac:dyDescent="0.3">
      <c r="B186" s="8" t="s">
        <v>81</v>
      </c>
      <c r="C186" s="9" t="s">
        <v>25</v>
      </c>
      <c r="D186" s="14">
        <v>1700</v>
      </c>
      <c r="E186" s="26">
        <f>ROUNDUP((+SUMIF(UNITARIOS!C:C,Tabla1[[#This Row],[MATERIALES]],UNITARIOS!E:E)),0)</f>
        <v>0</v>
      </c>
      <c r="F186" s="16">
        <f>Tabla1[[#This Row],[PRECIO]]*Tabla1[[#This Row],[CANTIDAD]]</f>
        <v>0</v>
      </c>
      <c r="P186" s="6"/>
      <c r="Q186" s="7"/>
    </row>
    <row r="187" spans="2:17" x14ac:dyDescent="0.3">
      <c r="B187" s="65" t="s">
        <v>388</v>
      </c>
      <c r="C187" s="62" t="s">
        <v>166</v>
      </c>
      <c r="D187" s="63">
        <v>200</v>
      </c>
      <c r="E187" s="64">
        <f>ROUNDUP((+SUMIF(UNITARIOS!C:C,Tabla1[[#This Row],[MATERIALES]],UNITARIOS!E:E)),0)</f>
        <v>0</v>
      </c>
      <c r="F187" s="66">
        <f>Tabla1[[#This Row],[PRECIO]]*Tabla1[[#This Row],[CANTIDAD]]</f>
        <v>0</v>
      </c>
      <c r="P187" s="6"/>
      <c r="Q187" s="7"/>
    </row>
    <row r="188" spans="2:17" x14ac:dyDescent="0.3">
      <c r="B188" s="8" t="s">
        <v>152</v>
      </c>
      <c r="C188" s="9" t="s">
        <v>25</v>
      </c>
      <c r="D188" s="14">
        <v>500</v>
      </c>
      <c r="E188" s="26">
        <f>ROUNDUP((+SUMIF(UNITARIOS!C:C,Tabla1[[#This Row],[MATERIALES]],UNITARIOS!E:E)),0)</f>
        <v>0</v>
      </c>
      <c r="F188" s="16">
        <f>Tabla1[[#This Row],[PRECIO]]*Tabla1[[#This Row],[CANTIDAD]]</f>
        <v>0</v>
      </c>
      <c r="P188" s="6"/>
      <c r="Q188" s="7"/>
    </row>
    <row r="189" spans="2:17" x14ac:dyDescent="0.3">
      <c r="B189" s="8" t="s">
        <v>153</v>
      </c>
      <c r="C189" s="9" t="s">
        <v>25</v>
      </c>
      <c r="D189" s="14">
        <v>500</v>
      </c>
      <c r="E189" s="26">
        <f>ROUNDUP((+SUMIF(UNITARIOS!C:C,Tabla1[[#This Row],[MATERIALES]],UNITARIOS!E:E)),0)</f>
        <v>0</v>
      </c>
      <c r="F189" s="16">
        <f>Tabla1[[#This Row],[PRECIO]]*Tabla1[[#This Row],[CANTIDAD]]</f>
        <v>0</v>
      </c>
      <c r="P189" s="6"/>
      <c r="Q189" s="7"/>
    </row>
    <row r="190" spans="2:17" x14ac:dyDescent="0.3">
      <c r="B190" s="8" t="s">
        <v>302</v>
      </c>
      <c r="C190" s="9" t="s">
        <v>25</v>
      </c>
      <c r="D190" s="14">
        <v>8</v>
      </c>
      <c r="E190" s="26">
        <f>ROUNDUP((+SUMIF(UNITARIOS!C:C,Tabla1[[#This Row],[MATERIALES]],UNITARIOS!E:E)),0)</f>
        <v>0</v>
      </c>
      <c r="F190" s="16">
        <f>Tabla1[[#This Row],[PRECIO]]*Tabla1[[#This Row],[CANTIDAD]]</f>
        <v>0</v>
      </c>
      <c r="P190" s="6"/>
      <c r="Q190" s="7"/>
    </row>
    <row r="191" spans="2:17" x14ac:dyDescent="0.3">
      <c r="B191" s="8" t="s">
        <v>303</v>
      </c>
      <c r="C191" s="9" t="s">
        <v>25</v>
      </c>
      <c r="D191" s="14">
        <v>5</v>
      </c>
      <c r="E191" s="26">
        <f>ROUNDUP((+SUMIF(UNITARIOS!C:C,Tabla1[[#This Row],[MATERIALES]],UNITARIOS!E:E)),0)</f>
        <v>0</v>
      </c>
      <c r="F191" s="16">
        <f>Tabla1[[#This Row],[PRECIO]]*Tabla1[[#This Row],[CANTIDAD]]</f>
        <v>0</v>
      </c>
      <c r="P191" s="6"/>
      <c r="Q191" s="7"/>
    </row>
    <row r="192" spans="2:17" x14ac:dyDescent="0.3">
      <c r="B192" s="8" t="s">
        <v>301</v>
      </c>
      <c r="C192" s="9" t="s">
        <v>25</v>
      </c>
      <c r="D192" s="14">
        <v>4</v>
      </c>
      <c r="E192" s="26">
        <f>ROUNDUP((+SUMIF(UNITARIOS!C:C,Tabla1[[#This Row],[MATERIALES]],UNITARIOS!E:E)),0)</f>
        <v>0</v>
      </c>
      <c r="F192" s="16">
        <f>Tabla1[[#This Row],[PRECIO]]*Tabla1[[#This Row],[CANTIDAD]]</f>
        <v>0</v>
      </c>
      <c r="P192" s="6"/>
      <c r="Q192" s="7"/>
    </row>
    <row r="193" spans="2:17" x14ac:dyDescent="0.3">
      <c r="B193" s="8" t="s">
        <v>264</v>
      </c>
      <c r="C193" s="9" t="s">
        <v>25</v>
      </c>
      <c r="D193" s="14">
        <v>60</v>
      </c>
      <c r="E193" s="26">
        <f>ROUNDUP((+SUMIF(UNITARIOS!C:C,Tabla1[[#This Row],[MATERIALES]],UNITARIOS!E:E)),0)</f>
        <v>0</v>
      </c>
      <c r="F193" s="16">
        <f>Tabla1[[#This Row],[PRECIO]]*Tabla1[[#This Row],[CANTIDAD]]</f>
        <v>0</v>
      </c>
      <c r="P193" s="6"/>
      <c r="Q193" s="7"/>
    </row>
    <row r="194" spans="2:17" x14ac:dyDescent="0.3">
      <c r="B194" s="8" t="s">
        <v>486</v>
      </c>
      <c r="C194" s="9" t="s">
        <v>25</v>
      </c>
      <c r="D194" s="14">
        <v>1500</v>
      </c>
      <c r="E194" s="26">
        <f>ROUNDUP((+SUMIF(UNITARIOS!C:C,Tabla1[[#This Row],[MATERIALES]],UNITARIOS!E:E)),0)</f>
        <v>0</v>
      </c>
      <c r="F194" s="16">
        <f>Tabla1[[#This Row],[PRECIO]]*Tabla1[[#This Row],[CANTIDAD]]</f>
        <v>0</v>
      </c>
      <c r="P194" s="6"/>
      <c r="Q194" s="7"/>
    </row>
    <row r="195" spans="2:17" x14ac:dyDescent="0.3">
      <c r="B195" s="8" t="s">
        <v>325</v>
      </c>
      <c r="C195" s="9" t="s">
        <v>25</v>
      </c>
      <c r="D195" s="14">
        <v>100</v>
      </c>
      <c r="E195" s="26">
        <f>ROUNDUP((+SUMIF(UNITARIOS!C:C,Tabla1[[#This Row],[MATERIALES]],UNITARIOS!E:E)),0)</f>
        <v>0</v>
      </c>
      <c r="F195" s="16">
        <f>Tabla1[[#This Row],[PRECIO]]*Tabla1[[#This Row],[CANTIDAD]]</f>
        <v>0</v>
      </c>
      <c r="P195" s="6"/>
      <c r="Q195" s="7"/>
    </row>
    <row r="196" spans="2:17" x14ac:dyDescent="0.3">
      <c r="B196" s="8" t="s">
        <v>222</v>
      </c>
      <c r="C196" s="9" t="s">
        <v>25</v>
      </c>
      <c r="D196" s="14">
        <v>100</v>
      </c>
      <c r="E196" s="26">
        <f>ROUNDUP((+SUMIF(UNITARIOS!C:C,Tabla1[[#This Row],[MATERIALES]],UNITARIOS!E:E)),0)</f>
        <v>0</v>
      </c>
      <c r="F196" s="16">
        <f>Tabla1[[#This Row],[PRECIO]]*Tabla1[[#This Row],[CANTIDAD]]</f>
        <v>0</v>
      </c>
      <c r="P196" s="6"/>
      <c r="Q196" s="7"/>
    </row>
    <row r="197" spans="2:17" x14ac:dyDescent="0.3">
      <c r="B197" s="8" t="s">
        <v>80</v>
      </c>
      <c r="C197" s="9" t="s">
        <v>25</v>
      </c>
      <c r="D197" s="14">
        <v>100</v>
      </c>
      <c r="E197" s="26">
        <f>ROUNDUP((+SUMIF(UNITARIOS!C:C,Tabla1[[#This Row],[MATERIALES]],UNITARIOS!E:E)),0)</f>
        <v>23</v>
      </c>
      <c r="F197" s="16">
        <f>Tabla1[[#This Row],[PRECIO]]*Tabla1[[#This Row],[CANTIDAD]]</f>
        <v>2300</v>
      </c>
      <c r="P197" s="6"/>
      <c r="Q197" s="7"/>
    </row>
    <row r="198" spans="2:17" x14ac:dyDescent="0.3">
      <c r="B198" s="8" t="s">
        <v>583</v>
      </c>
      <c r="C198" s="9" t="s">
        <v>25</v>
      </c>
      <c r="D198" s="14">
        <v>10</v>
      </c>
      <c r="E198" s="26">
        <f>ROUNDUP((+SUMIF(UNITARIOS!C:C,Tabla1[[#This Row],[MATERIALES]],UNITARIOS!E:E)),0)</f>
        <v>1</v>
      </c>
      <c r="F198" s="16">
        <f>Tabla1[[#This Row],[PRECIO]]*Tabla1[[#This Row],[CANTIDAD]]</f>
        <v>10</v>
      </c>
      <c r="P198" s="6"/>
      <c r="Q198" s="7"/>
    </row>
    <row r="199" spans="2:17" ht="27.6" x14ac:dyDescent="0.3">
      <c r="B199" s="8" t="s">
        <v>150</v>
      </c>
      <c r="C199" s="9" t="s">
        <v>25</v>
      </c>
      <c r="D199" s="14">
        <v>200</v>
      </c>
      <c r="E199" s="26">
        <f>ROUNDUP((+SUMIF(UNITARIOS!C:C,Tabla1[[#This Row],[MATERIALES]],UNITARIOS!E:E)),0)</f>
        <v>0</v>
      </c>
      <c r="F199" s="16">
        <f>Tabla1[[#This Row],[PRECIO]]*Tabla1[[#This Row],[CANTIDAD]]</f>
        <v>0</v>
      </c>
      <c r="P199" s="6"/>
      <c r="Q199" s="7"/>
    </row>
    <row r="200" spans="2:17" x14ac:dyDescent="0.3">
      <c r="B200" s="8" t="s">
        <v>102</v>
      </c>
      <c r="C200" s="9" t="s">
        <v>61</v>
      </c>
      <c r="D200" s="14">
        <v>300</v>
      </c>
      <c r="E200" s="26">
        <f>ROUNDUP((+SUMIF(UNITARIOS!C:C,Tabla1[[#This Row],[MATERIALES]],UNITARIOS!E:E)),0)</f>
        <v>6</v>
      </c>
      <c r="F200" s="16">
        <f>Tabla1[[#This Row],[PRECIO]]*Tabla1[[#This Row],[CANTIDAD]]</f>
        <v>1800</v>
      </c>
      <c r="P200" s="6"/>
      <c r="Q200" s="7"/>
    </row>
    <row r="201" spans="2:17" ht="27.6" x14ac:dyDescent="0.3">
      <c r="B201" s="8" t="s">
        <v>181</v>
      </c>
      <c r="C201" s="9" t="s">
        <v>207</v>
      </c>
      <c r="D201" s="16">
        <v>75</v>
      </c>
      <c r="E201" s="26">
        <f>ROUNDUP((+SUMIF(UNITARIOS!C:C,Tabla1[[#This Row],[MATERIALES]],UNITARIOS!E:E)),0)</f>
        <v>0</v>
      </c>
      <c r="F201" s="16">
        <f>Tabla1[[#This Row],[PRECIO]]*Tabla1[[#This Row],[CANTIDAD]]</f>
        <v>0</v>
      </c>
      <c r="P201" s="6"/>
      <c r="Q201" s="7"/>
    </row>
    <row r="202" spans="2:17" x14ac:dyDescent="0.3">
      <c r="B202" s="8" t="s">
        <v>395</v>
      </c>
      <c r="C202" s="9" t="s">
        <v>164</v>
      </c>
      <c r="D202" s="14">
        <v>1500</v>
      </c>
      <c r="E202" s="26">
        <f>ROUNDUP((+SUMIF(UNITARIOS!C:C,Tabla1[[#This Row],[MATERIALES]],UNITARIOS!E:E)),0)</f>
        <v>0</v>
      </c>
      <c r="F202" s="16">
        <f>Tabla1[[#This Row],[PRECIO]]*Tabla1[[#This Row],[CANTIDAD]]</f>
        <v>0</v>
      </c>
      <c r="P202" s="6"/>
      <c r="Q202" s="7"/>
    </row>
    <row r="203" spans="2:17" x14ac:dyDescent="0.3">
      <c r="B203" s="8" t="s">
        <v>330</v>
      </c>
      <c r="C203" s="9" t="s">
        <v>63</v>
      </c>
      <c r="D203" s="14">
        <v>250</v>
      </c>
      <c r="E203" s="26">
        <f>ROUNDUP((+SUMIF(UNITARIOS!C:C,Tabla1[[#This Row],[MATERIALES]],UNITARIOS!E:E)),0)</f>
        <v>0</v>
      </c>
      <c r="F203" s="16">
        <f>Tabla1[[#This Row],[PRECIO]]*Tabla1[[#This Row],[CANTIDAD]]</f>
        <v>0</v>
      </c>
      <c r="P203" s="6"/>
      <c r="Q203" s="7"/>
    </row>
    <row r="204" spans="2:17" x14ac:dyDescent="0.3">
      <c r="B204" s="8" t="s">
        <v>88</v>
      </c>
      <c r="C204" s="9" t="s">
        <v>25</v>
      </c>
      <c r="D204" s="14">
        <v>25</v>
      </c>
      <c r="E204" s="26">
        <f>ROUNDUP((+SUMIF(UNITARIOS!C:C,Tabla1[[#This Row],[MATERIALES]],UNITARIOS!E:E)),0)</f>
        <v>0</v>
      </c>
      <c r="F204" s="16">
        <f>Tabla1[[#This Row],[PRECIO]]*Tabla1[[#This Row],[CANTIDAD]]</f>
        <v>0</v>
      </c>
      <c r="P204" s="6"/>
      <c r="Q204" s="7"/>
    </row>
    <row r="205" spans="2:17" x14ac:dyDescent="0.3">
      <c r="B205" s="8" t="s">
        <v>106</v>
      </c>
      <c r="C205" s="9" t="s">
        <v>25</v>
      </c>
      <c r="D205" s="14">
        <v>25</v>
      </c>
      <c r="E205" s="26">
        <f>ROUNDUP((+SUMIF(UNITARIOS!C:C,Tabla1[[#This Row],[MATERIALES]],UNITARIOS!E:E)),0)</f>
        <v>0</v>
      </c>
      <c r="F205" s="16">
        <f>Tabla1[[#This Row],[PRECIO]]*Tabla1[[#This Row],[CANTIDAD]]</f>
        <v>0</v>
      </c>
      <c r="P205" s="6"/>
      <c r="Q205" s="7"/>
    </row>
    <row r="206" spans="2:17" ht="27.6" x14ac:dyDescent="0.3">
      <c r="B206" s="8" t="s">
        <v>137</v>
      </c>
      <c r="C206" s="9" t="s">
        <v>25</v>
      </c>
      <c r="D206" s="14">
        <v>50</v>
      </c>
      <c r="E206" s="26">
        <f>ROUNDUP((+SUMIF(UNITARIOS!C:C,Tabla1[[#This Row],[MATERIALES]],UNITARIOS!E:E)),0)</f>
        <v>0</v>
      </c>
      <c r="F206" s="16">
        <f>Tabla1[[#This Row],[PRECIO]]*Tabla1[[#This Row],[CANTIDAD]]</f>
        <v>0</v>
      </c>
      <c r="P206" s="6"/>
      <c r="Q206" s="7"/>
    </row>
    <row r="207" spans="2:17" x14ac:dyDescent="0.3">
      <c r="B207" s="8" t="s">
        <v>105</v>
      </c>
      <c r="C207" s="9" t="s">
        <v>25</v>
      </c>
      <c r="D207" s="14">
        <v>550</v>
      </c>
      <c r="E207" s="26">
        <f>ROUNDUP((+SUMIF(UNITARIOS!C:C,Tabla1[[#This Row],[MATERIALES]],UNITARIOS!E:E)),0)</f>
        <v>0</v>
      </c>
      <c r="F207" s="16">
        <f>Tabla1[[#This Row],[PRECIO]]*Tabla1[[#This Row],[CANTIDAD]]</f>
        <v>0</v>
      </c>
      <c r="P207" s="6"/>
      <c r="Q207" s="7"/>
    </row>
    <row r="208" spans="2:17" x14ac:dyDescent="0.3">
      <c r="B208" s="8" t="s">
        <v>279</v>
      </c>
      <c r="C208" s="28" t="s">
        <v>25</v>
      </c>
      <c r="D208" s="29">
        <v>750</v>
      </c>
      <c r="E208" s="26">
        <f>ROUNDUP((+SUMIF(UNITARIOS!C:C,Tabla1[[#This Row],[MATERIALES]],UNITARIOS!E:E)),0)</f>
        <v>0</v>
      </c>
      <c r="F208" s="16">
        <f>Tabla1[[#This Row],[PRECIO]]*Tabla1[[#This Row],[CANTIDAD]]</f>
        <v>0</v>
      </c>
      <c r="P208" s="6"/>
      <c r="Q208" s="7"/>
    </row>
    <row r="209" spans="2:17" x14ac:dyDescent="0.3">
      <c r="B209" s="65" t="s">
        <v>419</v>
      </c>
      <c r="C209" s="62" t="s">
        <v>25</v>
      </c>
      <c r="D209" s="63">
        <v>800</v>
      </c>
      <c r="E209" s="64">
        <f>ROUNDUP((+SUMIF(UNITARIOS!C:C,Tabla1[[#This Row],[MATERIALES]],UNITARIOS!E:E)),0)</f>
        <v>0</v>
      </c>
      <c r="F209" s="66">
        <f>Tabla1[[#This Row],[PRECIO]]*Tabla1[[#This Row],[CANTIDAD]]</f>
        <v>0</v>
      </c>
      <c r="P209" s="6"/>
      <c r="Q209" s="7"/>
    </row>
    <row r="210" spans="2:17" x14ac:dyDescent="0.3">
      <c r="B210" s="8" t="s">
        <v>473</v>
      </c>
      <c r="C210" s="9" t="s">
        <v>25</v>
      </c>
      <c r="D210" s="14">
        <v>250</v>
      </c>
      <c r="E210" s="26">
        <f>ROUNDUP((+SUMIF(UNITARIOS!C:C,Tabla1[[#This Row],[MATERIALES]],UNITARIOS!E:E)),0)</f>
        <v>2</v>
      </c>
      <c r="F210" s="16">
        <f>Tabla1[[#This Row],[PRECIO]]*Tabla1[[#This Row],[CANTIDAD]]</f>
        <v>500</v>
      </c>
      <c r="P210" s="6"/>
      <c r="Q210" s="7"/>
    </row>
    <row r="211" spans="2:17" x14ac:dyDescent="0.3">
      <c r="B211" s="8" t="s">
        <v>479</v>
      </c>
      <c r="C211" s="9" t="s">
        <v>25</v>
      </c>
      <c r="D211" s="14">
        <v>250</v>
      </c>
      <c r="E211" s="26">
        <f>ROUNDUP((+SUMIF(UNITARIOS!C:C,Tabla1[[#This Row],[MATERIALES]],UNITARIOS!E:E)),0)</f>
        <v>0</v>
      </c>
      <c r="F211" s="16">
        <f>Tabla1[[#This Row],[PRECIO]]*Tabla1[[#This Row],[CANTIDAD]]</f>
        <v>0</v>
      </c>
      <c r="P211" s="6"/>
      <c r="Q211" s="7"/>
    </row>
    <row r="212" spans="2:17" x14ac:dyDescent="0.3">
      <c r="B212" s="8" t="s">
        <v>123</v>
      </c>
      <c r="C212" s="9" t="s">
        <v>25</v>
      </c>
      <c r="D212" s="14">
        <v>350</v>
      </c>
      <c r="E212" s="26">
        <f>ROUNDUP((+SUMIF(UNITARIOS!C:C,Tabla1[[#This Row],[MATERIALES]],UNITARIOS!E:E)),0)</f>
        <v>1</v>
      </c>
      <c r="F212" s="16">
        <f>Tabla1[[#This Row],[PRECIO]]*Tabla1[[#This Row],[CANTIDAD]]</f>
        <v>350</v>
      </c>
      <c r="P212" s="6"/>
      <c r="Q212" s="7"/>
    </row>
    <row r="213" spans="2:17" x14ac:dyDescent="0.3">
      <c r="B213" s="8" t="s">
        <v>429</v>
      </c>
      <c r="C213" s="9" t="s">
        <v>25</v>
      </c>
      <c r="D213" s="14">
        <v>300</v>
      </c>
      <c r="E213" s="26">
        <f>ROUNDUP((+SUMIF(UNITARIOS!C:C,Tabla1[[#This Row],[MATERIALES]],UNITARIOS!E:E)),0)</f>
        <v>0</v>
      </c>
      <c r="F213" s="16">
        <f>Tabla1[[#This Row],[PRECIO]]*Tabla1[[#This Row],[CANTIDAD]]</f>
        <v>0</v>
      </c>
      <c r="P213" s="6"/>
      <c r="Q213" s="7"/>
    </row>
    <row r="214" spans="2:17" x14ac:dyDescent="0.3">
      <c r="B214" s="8" t="s">
        <v>84</v>
      </c>
      <c r="C214" s="9" t="s">
        <v>25</v>
      </c>
      <c r="D214" s="14">
        <v>600</v>
      </c>
      <c r="E214" s="26">
        <f>ROUNDUP((+SUMIF(UNITARIOS!C:C,Tabla1[[#This Row],[MATERIALES]],UNITARIOS!E:E)),0)</f>
        <v>0</v>
      </c>
      <c r="F214" s="16">
        <f>Tabla1[[#This Row],[PRECIO]]*Tabla1[[#This Row],[CANTIDAD]]</f>
        <v>0</v>
      </c>
      <c r="P214" s="6"/>
      <c r="Q214" s="7"/>
    </row>
    <row r="215" spans="2:17" x14ac:dyDescent="0.3">
      <c r="B215" s="8" t="s">
        <v>338</v>
      </c>
      <c r="C215" s="9" t="s">
        <v>25</v>
      </c>
      <c r="D215" s="14">
        <v>7000</v>
      </c>
      <c r="E215" s="26">
        <f>ROUNDUP((+SUMIF(UNITARIOS!C:C,Tabla1[[#This Row],[MATERIALES]],UNITARIOS!E:E)),0)</f>
        <v>0</v>
      </c>
      <c r="F215" s="16">
        <f>Tabla1[[#This Row],[PRECIO]]*Tabla1[[#This Row],[CANTIDAD]]</f>
        <v>0</v>
      </c>
      <c r="P215" s="6"/>
      <c r="Q215" s="7"/>
    </row>
    <row r="216" spans="2:17" x14ac:dyDescent="0.3">
      <c r="B216" s="8" t="s">
        <v>449</v>
      </c>
      <c r="C216" s="9" t="s">
        <v>25</v>
      </c>
      <c r="D216" s="14">
        <v>15</v>
      </c>
      <c r="E216" s="26">
        <f>ROUNDUP((+SUMIF(UNITARIOS!C:C,Tabla1[[#This Row],[MATERIALES]],UNITARIOS!E:E)),0)</f>
        <v>0</v>
      </c>
      <c r="F216" s="16">
        <f>Tabla1[[#This Row],[PRECIO]]*Tabla1[[#This Row],[CANTIDAD]]</f>
        <v>0</v>
      </c>
      <c r="P216" s="6"/>
      <c r="Q216" s="7"/>
    </row>
    <row r="217" spans="2:17" x14ac:dyDescent="0.3">
      <c r="B217" s="8" t="s">
        <v>296</v>
      </c>
      <c r="C217" s="9" t="s">
        <v>25</v>
      </c>
      <c r="D217" s="14">
        <v>5</v>
      </c>
      <c r="E217" s="26">
        <f>ROUNDUP((+SUMIF(UNITARIOS!C:C,Tabla1[[#This Row],[MATERIALES]],UNITARIOS!E:E)),0)</f>
        <v>0</v>
      </c>
      <c r="F217" s="16">
        <f>Tabla1[[#This Row],[PRECIO]]*Tabla1[[#This Row],[CANTIDAD]]</f>
        <v>0</v>
      </c>
      <c r="P217" s="6"/>
      <c r="Q217" s="7"/>
    </row>
    <row r="218" spans="2:17" x14ac:dyDescent="0.3">
      <c r="B218" s="8" t="s">
        <v>297</v>
      </c>
      <c r="C218" s="9" t="s">
        <v>25</v>
      </c>
      <c r="D218" s="14">
        <v>15</v>
      </c>
      <c r="E218" s="26">
        <f>ROUNDUP((+SUMIF(UNITARIOS!C:C,Tabla1[[#This Row],[MATERIALES]],UNITARIOS!E:E)),0)</f>
        <v>0</v>
      </c>
      <c r="F218" s="16">
        <f>Tabla1[[#This Row],[PRECIO]]*Tabla1[[#This Row],[CANTIDAD]]</f>
        <v>0</v>
      </c>
      <c r="P218" s="6"/>
      <c r="Q218" s="7"/>
    </row>
    <row r="219" spans="2:17" x14ac:dyDescent="0.3">
      <c r="B219" s="32" t="s">
        <v>299</v>
      </c>
      <c r="C219" s="28" t="s">
        <v>25</v>
      </c>
      <c r="D219" s="29">
        <v>5</v>
      </c>
      <c r="E219" s="30">
        <f>ROUNDUP((+SUMIF(UNITARIOS!C:C,Tabla1[[#This Row],[MATERIALES]],UNITARIOS!E:E)),0)</f>
        <v>37</v>
      </c>
      <c r="F219" s="50">
        <f>Tabla1[[#This Row],[PRECIO]]*Tabla1[[#This Row],[CANTIDAD]]</f>
        <v>185</v>
      </c>
      <c r="P219" s="6"/>
      <c r="Q219" s="7"/>
    </row>
    <row r="220" spans="2:17" x14ac:dyDescent="0.3">
      <c r="B220" s="8" t="s">
        <v>298</v>
      </c>
      <c r="C220" s="9" t="s">
        <v>25</v>
      </c>
      <c r="D220" s="14">
        <v>900</v>
      </c>
      <c r="E220" s="26">
        <f>ROUNDUP((+SUMIF(UNITARIOS!C:C,Tabla1[[#This Row],[MATERIALES]],UNITARIOS!E:E)),0)</f>
        <v>0</v>
      </c>
      <c r="F220" s="16">
        <f>Tabla1[[#This Row],[PRECIO]]*Tabla1[[#This Row],[CANTIDAD]]</f>
        <v>0</v>
      </c>
      <c r="P220" s="6"/>
      <c r="Q220" s="7"/>
    </row>
    <row r="221" spans="2:17" x14ac:dyDescent="0.3">
      <c r="B221" s="8" t="s">
        <v>483</v>
      </c>
      <c r="C221" s="9" t="s">
        <v>25</v>
      </c>
      <c r="D221" s="14">
        <v>60</v>
      </c>
      <c r="E221" s="26">
        <f>ROUNDUP((+SUMIF(UNITARIOS!C:C,Tabla1[[#This Row],[MATERIALES]],UNITARIOS!E:E)),0)</f>
        <v>0</v>
      </c>
      <c r="F221" s="16">
        <f>Tabla1[[#This Row],[PRECIO]]*Tabla1[[#This Row],[CANTIDAD]]</f>
        <v>0</v>
      </c>
      <c r="P221" s="6"/>
      <c r="Q221" s="7"/>
    </row>
    <row r="222" spans="2:17" x14ac:dyDescent="0.3">
      <c r="B222" s="8" t="s">
        <v>165</v>
      </c>
      <c r="C222" s="9" t="s">
        <v>166</v>
      </c>
      <c r="D222" s="14">
        <v>5</v>
      </c>
      <c r="E222" s="26">
        <f>ROUNDUP((+SUMIF(UNITARIOS!C:C,Tabla1[[#This Row],[MATERIALES]],UNITARIOS!E:E)),0)</f>
        <v>0</v>
      </c>
      <c r="F222" s="16">
        <f>Tabla1[[#This Row],[PRECIO]]*Tabla1[[#This Row],[CANTIDAD]]</f>
        <v>0</v>
      </c>
      <c r="P222" s="6"/>
      <c r="Q222" s="7"/>
    </row>
    <row r="223" spans="2:17" x14ac:dyDescent="0.3">
      <c r="B223" s="8" t="s">
        <v>182</v>
      </c>
      <c r="C223" s="9" t="s">
        <v>63</v>
      </c>
      <c r="D223" s="14">
        <v>50</v>
      </c>
      <c r="E223" s="26">
        <f>ROUNDUP((+SUMIF(UNITARIOS!C:C,Tabla1[[#This Row],[MATERIALES]],UNITARIOS!E:E)),0)</f>
        <v>1</v>
      </c>
      <c r="F223" s="16">
        <f>Tabla1[[#This Row],[PRECIO]]*Tabla1[[#This Row],[CANTIDAD]]</f>
        <v>50</v>
      </c>
      <c r="P223" s="6"/>
      <c r="Q223" s="7"/>
    </row>
    <row r="224" spans="2:17" x14ac:dyDescent="0.3">
      <c r="B224" s="8" t="s">
        <v>482</v>
      </c>
      <c r="C224" s="9" t="s">
        <v>25</v>
      </c>
      <c r="D224" s="14">
        <v>6155</v>
      </c>
      <c r="E224" s="26">
        <f>ROUNDUP((+SUMIF(UNITARIOS!C:C,Tabla1[[#This Row],[MATERIALES]],UNITARIOS!E:E)),0)</f>
        <v>1</v>
      </c>
      <c r="F224" s="16">
        <f>Tabla1[[#This Row],[PRECIO]]*Tabla1[[#This Row],[CANTIDAD]]</f>
        <v>6155</v>
      </c>
      <c r="P224" s="6"/>
      <c r="Q224" s="7"/>
    </row>
    <row r="225" spans="2:17" x14ac:dyDescent="0.3">
      <c r="B225" s="65" t="s">
        <v>416</v>
      </c>
      <c r="C225" s="62" t="s">
        <v>25</v>
      </c>
      <c r="D225" s="63">
        <v>7000</v>
      </c>
      <c r="E225" s="64">
        <f>ROUNDUP((+SUMIF(UNITARIOS!C:C,Tabla1[[#This Row],[MATERIALES]],UNITARIOS!E:E)),0)</f>
        <v>0</v>
      </c>
      <c r="F225" s="66">
        <f>Tabla1[[#This Row],[PRECIO]]*Tabla1[[#This Row],[CANTIDAD]]</f>
        <v>0</v>
      </c>
      <c r="P225" s="6"/>
      <c r="Q225" s="7"/>
    </row>
    <row r="226" spans="2:17" x14ac:dyDescent="0.3">
      <c r="B226" s="32" t="s">
        <v>341</v>
      </c>
      <c r="C226" s="28" t="s">
        <v>25</v>
      </c>
      <c r="D226" s="29">
        <v>12000</v>
      </c>
      <c r="E226" s="30">
        <f>ROUNDUP((+SUMIF(UNITARIOS!C:C,Tabla1[[#This Row],[MATERIALES]],UNITARIOS!E:E)),0)</f>
        <v>0</v>
      </c>
      <c r="F226" s="50">
        <f>Tabla1[[#This Row],[PRECIO]]*Tabla1[[#This Row],[CANTIDAD]]</f>
        <v>0</v>
      </c>
      <c r="P226" s="6"/>
      <c r="Q226" s="7"/>
    </row>
    <row r="227" spans="2:17" x14ac:dyDescent="0.3">
      <c r="B227" s="8" t="s">
        <v>270</v>
      </c>
      <c r="C227" s="9" t="s">
        <v>25</v>
      </c>
      <c r="D227" s="14">
        <v>40</v>
      </c>
      <c r="E227" s="26">
        <f>ROUNDUP((+SUMIF(UNITARIOS!C:C,Tabla1[[#This Row],[MATERIALES]],UNITARIOS!E:E)),0)</f>
        <v>10</v>
      </c>
      <c r="F227" s="16">
        <f>Tabla1[[#This Row],[PRECIO]]*Tabla1[[#This Row],[CANTIDAD]]</f>
        <v>400</v>
      </c>
      <c r="P227" s="6"/>
      <c r="Q227" s="7"/>
    </row>
    <row r="228" spans="2:17" x14ac:dyDescent="0.3">
      <c r="B228" s="32" t="s">
        <v>239</v>
      </c>
      <c r="C228" s="28" t="s">
        <v>25</v>
      </c>
      <c r="D228" s="29">
        <v>25</v>
      </c>
      <c r="E228" s="30">
        <f>ROUNDUP((+SUMIF(UNITARIOS!C:C,Tabla1[[#This Row],[MATERIALES]],UNITARIOS!E:E)),0)</f>
        <v>1</v>
      </c>
      <c r="F228" s="50">
        <f>Tabla1[[#This Row],[PRECIO]]*Tabla1[[#This Row],[CANTIDAD]]</f>
        <v>25</v>
      </c>
      <c r="P228" s="6"/>
      <c r="Q228" s="7"/>
    </row>
    <row r="229" spans="2:17" x14ac:dyDescent="0.3">
      <c r="B229" s="8" t="s">
        <v>476</v>
      </c>
      <c r="C229" s="9" t="s">
        <v>25</v>
      </c>
      <c r="D229" s="14">
        <v>25</v>
      </c>
      <c r="E229" s="26">
        <f>ROUNDUP((+SUMIF(UNITARIOS!C:C,Tabla1[[#This Row],[MATERIALES]],UNITARIOS!E:E)),0)</f>
        <v>0</v>
      </c>
      <c r="F229" s="16">
        <f>Tabla1[[#This Row],[PRECIO]]*Tabla1[[#This Row],[CANTIDAD]]</f>
        <v>0</v>
      </c>
      <c r="P229" s="6"/>
      <c r="Q229" s="7"/>
    </row>
    <row r="230" spans="2:17" x14ac:dyDescent="0.3">
      <c r="B230" s="8" t="s">
        <v>227</v>
      </c>
      <c r="C230" s="9" t="s">
        <v>25</v>
      </c>
      <c r="D230" s="14">
        <v>4</v>
      </c>
      <c r="E230" s="26">
        <f>ROUNDUP((+SUMIF(UNITARIOS!C:C,Tabla1[[#This Row],[MATERIALES]],UNITARIOS!E:E)),0)</f>
        <v>15</v>
      </c>
      <c r="F230" s="16">
        <f>Tabla1[[#This Row],[PRECIO]]*Tabla1[[#This Row],[CANTIDAD]]</f>
        <v>60</v>
      </c>
      <c r="P230" s="6"/>
      <c r="Q230" s="7"/>
    </row>
    <row r="231" spans="2:17" x14ac:dyDescent="0.3">
      <c r="B231" s="8" t="s">
        <v>203</v>
      </c>
      <c r="C231" s="9" t="s">
        <v>25</v>
      </c>
      <c r="D231" s="14">
        <v>1</v>
      </c>
      <c r="E231" s="26">
        <f>ROUNDUP((+SUMIF(UNITARIOS!C:C,Tabla1[[#This Row],[MATERIALES]],UNITARIOS!E:E)),0)</f>
        <v>0</v>
      </c>
      <c r="F231" s="16">
        <f>Tabla1[[#This Row],[PRECIO]]*Tabla1[[#This Row],[CANTIDAD]]</f>
        <v>0</v>
      </c>
      <c r="P231" s="6"/>
      <c r="Q231" s="7"/>
    </row>
    <row r="232" spans="2:17" x14ac:dyDescent="0.3">
      <c r="B232" s="8" t="s">
        <v>204</v>
      </c>
      <c r="C232" s="9" t="s">
        <v>25</v>
      </c>
      <c r="D232" s="14">
        <v>2</v>
      </c>
      <c r="E232" s="26">
        <f>ROUNDUP((+SUMIF(UNITARIOS!C:C,Tabla1[[#This Row],[MATERIALES]],UNITARIOS!E:E)),0)</f>
        <v>0</v>
      </c>
      <c r="F232" s="16">
        <f>Tabla1[[#This Row],[PRECIO]]*Tabla1[[#This Row],[CANTIDAD]]</f>
        <v>0</v>
      </c>
      <c r="P232" s="6"/>
      <c r="Q232" s="7"/>
    </row>
    <row r="233" spans="2:17" ht="27.6" x14ac:dyDescent="0.3">
      <c r="B233" s="8" t="s">
        <v>442</v>
      </c>
      <c r="C233" s="9" t="s">
        <v>162</v>
      </c>
      <c r="D233" s="14">
        <v>300</v>
      </c>
      <c r="E233" s="26">
        <f>ROUNDUP((+SUMIF(UNITARIOS!C:C,Tabla1[[#This Row],[MATERIALES]],UNITARIOS!E:E)),0)</f>
        <v>0</v>
      </c>
      <c r="F233" s="16">
        <f>Tabla1[[#This Row],[PRECIO]]*Tabla1[[#This Row],[CANTIDAD]]</f>
        <v>0</v>
      </c>
      <c r="P233" s="6"/>
      <c r="Q233" s="7"/>
    </row>
    <row r="234" spans="2:17" x14ac:dyDescent="0.3">
      <c r="B234" s="8" t="s">
        <v>433</v>
      </c>
      <c r="C234" s="9" t="s">
        <v>25</v>
      </c>
      <c r="D234" s="14">
        <v>200</v>
      </c>
      <c r="E234" s="26">
        <f>ROUNDUP((+SUMIF(UNITARIOS!C:C,Tabla1[[#This Row],[MATERIALES]],UNITARIOS!E:E)),0)</f>
        <v>0</v>
      </c>
      <c r="F234" s="16">
        <f>Tabla1[[#This Row],[PRECIO]]*Tabla1[[#This Row],[CANTIDAD]]</f>
        <v>0</v>
      </c>
      <c r="P234" s="6"/>
      <c r="Q234" s="7"/>
    </row>
    <row r="235" spans="2:17" x14ac:dyDescent="0.3">
      <c r="B235" s="8" t="s">
        <v>402</v>
      </c>
      <c r="C235" s="62" t="s">
        <v>25</v>
      </c>
      <c r="D235" s="63">
        <v>550</v>
      </c>
      <c r="E235" s="64">
        <f>ROUNDUP((+SUMIF(UNITARIOS!C:C,Tabla1[[#This Row],[MATERIALES]],UNITARIOS!E:E)),0)</f>
        <v>2</v>
      </c>
      <c r="F235" s="66">
        <f>Tabla1[[#This Row],[PRECIO]]*Tabla1[[#This Row],[CANTIDAD]]</f>
        <v>1100</v>
      </c>
      <c r="P235" s="6"/>
      <c r="Q235" s="7"/>
    </row>
    <row r="236" spans="2:17" x14ac:dyDescent="0.3">
      <c r="B236" s="8" t="s">
        <v>116</v>
      </c>
      <c r="C236" s="9" t="s">
        <v>25</v>
      </c>
      <c r="D236" s="14">
        <v>40</v>
      </c>
      <c r="E236" s="26">
        <f>ROUNDUP((+SUMIF(UNITARIOS!C:C,Tabla1[[#This Row],[MATERIALES]],UNITARIOS!E:E)),0)</f>
        <v>0</v>
      </c>
      <c r="F236" s="16">
        <f>Tabla1[[#This Row],[PRECIO]]*Tabla1[[#This Row],[CANTIDAD]]</f>
        <v>0</v>
      </c>
      <c r="P236" s="6"/>
      <c r="Q236" s="7"/>
    </row>
    <row r="237" spans="2:17" x14ac:dyDescent="0.3">
      <c r="B237" s="8" t="s">
        <v>98</v>
      </c>
      <c r="C237" s="9" t="s">
        <v>25</v>
      </c>
      <c r="D237" s="14">
        <v>65</v>
      </c>
      <c r="E237" s="26">
        <f>ROUNDUP((+SUMIF(UNITARIOS!C:C,Tabla1[[#This Row],[MATERIALES]],UNITARIOS!E:E)),0)</f>
        <v>0</v>
      </c>
      <c r="F237" s="16">
        <f>Tabla1[[#This Row],[PRECIO]]*Tabla1[[#This Row],[CANTIDAD]]</f>
        <v>0</v>
      </c>
      <c r="P237" s="6"/>
      <c r="Q237" s="7"/>
    </row>
    <row r="238" spans="2:17" x14ac:dyDescent="0.3">
      <c r="B238" s="8" t="s">
        <v>373</v>
      </c>
      <c r="C238" s="9" t="s">
        <v>25</v>
      </c>
      <c r="D238" s="14">
        <v>500</v>
      </c>
      <c r="E238" s="26">
        <f>ROUNDUP((+SUMIF(UNITARIOS!C:C,Tabla1[[#This Row],[MATERIALES]],UNITARIOS!E:E)),0)</f>
        <v>0</v>
      </c>
      <c r="F238" s="16">
        <f>Tabla1[[#This Row],[PRECIO]]*Tabla1[[#This Row],[CANTIDAD]]</f>
        <v>0</v>
      </c>
      <c r="P238" s="6"/>
      <c r="Q238" s="7"/>
    </row>
    <row r="239" spans="2:17" x14ac:dyDescent="0.3">
      <c r="B239" s="8" t="s">
        <v>488</v>
      </c>
      <c r="C239" s="9" t="s">
        <v>25</v>
      </c>
      <c r="D239" s="14">
        <v>1000</v>
      </c>
      <c r="E239" s="26">
        <f>ROUNDUP((+SUMIF(UNITARIOS!C:C,Tabla1[[#This Row],[MATERIALES]],UNITARIOS!E:E)),0)</f>
        <v>0</v>
      </c>
      <c r="F239" s="16">
        <f>Tabla1[[#This Row],[PRECIO]]*Tabla1[[#This Row],[CANTIDAD]]</f>
        <v>0</v>
      </c>
      <c r="P239" s="6"/>
      <c r="Q239" s="7"/>
    </row>
    <row r="240" spans="2:17" x14ac:dyDescent="0.3">
      <c r="B240" s="8" t="s">
        <v>118</v>
      </c>
      <c r="C240" s="9" t="s">
        <v>25</v>
      </c>
      <c r="D240" s="14">
        <v>550</v>
      </c>
      <c r="E240" s="26">
        <f>ROUNDUP((+SUMIF(UNITARIOS!C:C,Tabla1[[#This Row],[MATERIALES]],UNITARIOS!E:E)),0)</f>
        <v>1</v>
      </c>
      <c r="F240" s="16">
        <f>Tabla1[[#This Row],[PRECIO]]*Tabla1[[#This Row],[CANTIDAD]]</f>
        <v>550</v>
      </c>
      <c r="P240" s="6"/>
      <c r="Q240" s="7"/>
    </row>
    <row r="241" spans="2:17" x14ac:dyDescent="0.3">
      <c r="B241" s="8" t="s">
        <v>259</v>
      </c>
      <c r="C241" s="9" t="s">
        <v>25</v>
      </c>
      <c r="D241" s="14">
        <v>40</v>
      </c>
      <c r="E241" s="26">
        <f>ROUNDUP((+SUMIF(UNITARIOS!C:C,Tabla1[[#This Row],[MATERIALES]],UNITARIOS!E:E)),0)</f>
        <v>48</v>
      </c>
      <c r="F241" s="16">
        <f>Tabla1[[#This Row],[PRECIO]]*Tabla1[[#This Row],[CANTIDAD]]</f>
        <v>1920</v>
      </c>
      <c r="P241" s="6"/>
      <c r="Q241" s="7"/>
    </row>
    <row r="242" spans="2:17" x14ac:dyDescent="0.3">
      <c r="B242" s="8" t="s">
        <v>430</v>
      </c>
      <c r="C242" s="9" t="s">
        <v>25</v>
      </c>
      <c r="D242" s="14">
        <v>20</v>
      </c>
      <c r="E242" s="26">
        <f>ROUNDUP((+SUMIF(UNITARIOS!C:C,Tabla1[[#This Row],[MATERIALES]],UNITARIOS!E:E)),0)</f>
        <v>0</v>
      </c>
      <c r="F242" s="16">
        <f>Tabla1[[#This Row],[PRECIO]]*Tabla1[[#This Row],[CANTIDAD]]</f>
        <v>0</v>
      </c>
      <c r="P242" s="6"/>
      <c r="Q242" s="7"/>
    </row>
    <row r="243" spans="2:17" x14ac:dyDescent="0.3">
      <c r="B243" s="8" t="s">
        <v>254</v>
      </c>
      <c r="C243" s="9" t="s">
        <v>25</v>
      </c>
      <c r="D243" s="14">
        <v>20</v>
      </c>
      <c r="E243" s="26">
        <f>ROUNDUP((+SUMIF(UNITARIOS!C:C,Tabla1[[#This Row],[MATERIALES]],UNITARIOS!E:E)),0)</f>
        <v>75</v>
      </c>
      <c r="F243" s="16">
        <f>Tabla1[[#This Row],[PRECIO]]*Tabla1[[#This Row],[CANTIDAD]]</f>
        <v>1500</v>
      </c>
      <c r="P243" s="6"/>
      <c r="Q243" s="7"/>
    </row>
    <row r="244" spans="2:17" x14ac:dyDescent="0.3">
      <c r="B244" s="8" t="s">
        <v>142</v>
      </c>
      <c r="C244" s="9" t="s">
        <v>25</v>
      </c>
      <c r="D244" s="14">
        <v>1600</v>
      </c>
      <c r="E244" s="26">
        <f>ROUNDUP((+SUMIF(UNITARIOS!C:C,Tabla1[[#This Row],[MATERIALES]],UNITARIOS!E:E)),0)</f>
        <v>0</v>
      </c>
      <c r="F244" s="16">
        <f>Tabla1[[#This Row],[PRECIO]]*Tabla1[[#This Row],[CANTIDAD]]</f>
        <v>0</v>
      </c>
      <c r="P244" s="6"/>
      <c r="Q244" s="7"/>
    </row>
    <row r="245" spans="2:17" x14ac:dyDescent="0.3">
      <c r="B245" s="8" t="s">
        <v>111</v>
      </c>
      <c r="C245" s="9" t="s">
        <v>25</v>
      </c>
      <c r="D245" s="14">
        <v>40</v>
      </c>
      <c r="E245" s="26">
        <f>ROUNDUP((+SUMIF(UNITARIOS!C:C,Tabla1[[#This Row],[MATERIALES]],UNITARIOS!E:E)),0)</f>
        <v>6</v>
      </c>
      <c r="F245" s="16">
        <f>Tabla1[[#This Row],[PRECIO]]*Tabla1[[#This Row],[CANTIDAD]]</f>
        <v>240</v>
      </c>
      <c r="P245" s="6"/>
      <c r="Q245" s="7"/>
    </row>
    <row r="246" spans="2:17" x14ac:dyDescent="0.3">
      <c r="B246" s="8" t="s">
        <v>109</v>
      </c>
      <c r="C246" s="9" t="s">
        <v>25</v>
      </c>
      <c r="D246" s="14">
        <v>50</v>
      </c>
      <c r="E246" s="26">
        <f>ROUNDUP((+SUMIF(UNITARIOS!C:C,Tabla1[[#This Row],[MATERIALES]],UNITARIOS!E:E)),0)</f>
        <v>3</v>
      </c>
      <c r="F246" s="16">
        <f>Tabla1[[#This Row],[PRECIO]]*Tabla1[[#This Row],[CANTIDAD]]</f>
        <v>150</v>
      </c>
      <c r="P246" s="6"/>
      <c r="Q246" s="7"/>
    </row>
    <row r="247" spans="2:17" x14ac:dyDescent="0.3">
      <c r="B247" s="8" t="s">
        <v>131</v>
      </c>
      <c r="C247" s="9" t="s">
        <v>25</v>
      </c>
      <c r="D247" s="14">
        <v>165</v>
      </c>
      <c r="E247" s="26">
        <f>ROUNDUP((+SUMIF(UNITARIOS!C:C,Tabla1[[#This Row],[MATERIALES]],UNITARIOS!E:E)),0)</f>
        <v>0</v>
      </c>
      <c r="F247" s="16">
        <f>Tabla1[[#This Row],[PRECIO]]*Tabla1[[#This Row],[CANTIDAD]]</f>
        <v>0</v>
      </c>
      <c r="P247" s="6"/>
      <c r="Q247" s="7"/>
    </row>
    <row r="248" spans="2:17" x14ac:dyDescent="0.3">
      <c r="B248" s="8" t="s">
        <v>141</v>
      </c>
      <c r="C248" s="9" t="s">
        <v>25</v>
      </c>
      <c r="D248" s="14">
        <v>150</v>
      </c>
      <c r="E248" s="26">
        <f>ROUNDUP((+SUMIF(UNITARIOS!C:C,Tabla1[[#This Row],[MATERIALES]],UNITARIOS!E:E)),0)</f>
        <v>0</v>
      </c>
      <c r="F248" s="16">
        <f>Tabla1[[#This Row],[PRECIO]]*Tabla1[[#This Row],[CANTIDAD]]</f>
        <v>0</v>
      </c>
      <c r="P248" s="6"/>
      <c r="Q248" s="7"/>
    </row>
    <row r="249" spans="2:17" x14ac:dyDescent="0.3">
      <c r="B249" s="8" t="s">
        <v>148</v>
      </c>
      <c r="C249" s="9" t="s">
        <v>25</v>
      </c>
      <c r="D249" s="14">
        <v>175</v>
      </c>
      <c r="E249" s="26">
        <f>ROUNDUP((+SUMIF(UNITARIOS!C:C,Tabla1[[#This Row],[MATERIALES]],UNITARIOS!E:E)),0)</f>
        <v>1</v>
      </c>
      <c r="F249" s="16">
        <f>Tabla1[[#This Row],[PRECIO]]*Tabla1[[#This Row],[CANTIDAD]]</f>
        <v>175</v>
      </c>
      <c r="P249" s="6"/>
      <c r="Q249" s="7"/>
    </row>
    <row r="250" spans="2:17" x14ac:dyDescent="0.3">
      <c r="B250" s="8" t="s">
        <v>71</v>
      </c>
      <c r="C250" s="9" t="s">
        <v>25</v>
      </c>
      <c r="D250" s="14">
        <v>350</v>
      </c>
      <c r="E250" s="26">
        <f>ROUNDUP((+SUMIF(UNITARIOS!C:C,Tabla1[[#This Row],[MATERIALES]],UNITARIOS!E:E)),0)</f>
        <v>0</v>
      </c>
      <c r="F250" s="16">
        <f>Tabla1[[#This Row],[PRECIO]]*Tabla1[[#This Row],[CANTIDAD]]</f>
        <v>0</v>
      </c>
      <c r="P250" s="6"/>
      <c r="Q250" s="7"/>
    </row>
    <row r="251" spans="2:17" x14ac:dyDescent="0.3">
      <c r="B251" s="8" t="s">
        <v>589</v>
      </c>
      <c r="C251" s="9" t="s">
        <v>25</v>
      </c>
      <c r="D251" s="14">
        <v>380</v>
      </c>
      <c r="E251" s="26">
        <f>ROUNDUP((+SUMIF(UNITARIOS!C:C,Tabla1[[#This Row],[MATERIALES]],UNITARIOS!E:E)),0)</f>
        <v>2</v>
      </c>
      <c r="F251" s="16">
        <f>Tabla1[[#This Row],[PRECIO]]*Tabla1[[#This Row],[CANTIDAD]]</f>
        <v>760</v>
      </c>
      <c r="P251" s="6"/>
      <c r="Q251" s="7"/>
    </row>
    <row r="252" spans="2:17" x14ac:dyDescent="0.3">
      <c r="B252" s="8" t="s">
        <v>240</v>
      </c>
      <c r="C252" s="9" t="s">
        <v>25</v>
      </c>
      <c r="D252" s="14">
        <v>250</v>
      </c>
      <c r="E252" s="26">
        <f>ROUNDUP((+SUMIF(UNITARIOS!C:C,Tabla1[[#This Row],[MATERIALES]],UNITARIOS!E:E)),0)</f>
        <v>1</v>
      </c>
      <c r="F252" s="16">
        <f>Tabla1[[#This Row],[PRECIO]]*Tabla1[[#This Row],[CANTIDAD]]</f>
        <v>250</v>
      </c>
      <c r="P252" s="6"/>
      <c r="Q252" s="7"/>
    </row>
    <row r="253" spans="2:17" x14ac:dyDescent="0.3">
      <c r="B253" s="8" t="s">
        <v>112</v>
      </c>
      <c r="C253" s="9" t="s">
        <v>25</v>
      </c>
      <c r="D253" s="14">
        <v>400</v>
      </c>
      <c r="E253" s="26">
        <f>ROUNDUP((+SUMIF(UNITARIOS!C:C,Tabla1[[#This Row],[MATERIALES]],UNITARIOS!E:E)),0)</f>
        <v>0</v>
      </c>
      <c r="F253" s="16">
        <f>Tabla1[[#This Row],[PRECIO]]*Tabla1[[#This Row],[CANTIDAD]]</f>
        <v>0</v>
      </c>
      <c r="P253" s="6"/>
      <c r="Q253" s="7"/>
    </row>
    <row r="254" spans="2:17" x14ac:dyDescent="0.3">
      <c r="B254" s="8" t="s">
        <v>149</v>
      </c>
      <c r="C254" s="9" t="s">
        <v>25</v>
      </c>
      <c r="D254" s="14">
        <v>625</v>
      </c>
      <c r="E254" s="26">
        <f>ROUNDUP((+SUMIF(UNITARIOS!C:C,Tabla1[[#This Row],[MATERIALES]],UNITARIOS!E:E)),0)</f>
        <v>2</v>
      </c>
      <c r="F254" s="16">
        <f>Tabla1[[#This Row],[PRECIO]]*Tabla1[[#This Row],[CANTIDAD]]</f>
        <v>1250</v>
      </c>
      <c r="P254" s="6"/>
      <c r="Q254" s="7"/>
    </row>
    <row r="255" spans="2:17" x14ac:dyDescent="0.3">
      <c r="B255" s="8" t="s">
        <v>145</v>
      </c>
      <c r="C255" s="9" t="s">
        <v>25</v>
      </c>
      <c r="D255" s="14">
        <v>850</v>
      </c>
      <c r="E255" s="26">
        <f>ROUNDUP((+SUMIF(UNITARIOS!C:C,Tabla1[[#This Row],[MATERIALES]],UNITARIOS!E:E)),0)</f>
        <v>0</v>
      </c>
      <c r="F255" s="16">
        <f>Tabla1[[#This Row],[PRECIO]]*Tabla1[[#This Row],[CANTIDAD]]</f>
        <v>0</v>
      </c>
      <c r="P255" s="6"/>
      <c r="Q255" s="7"/>
    </row>
    <row r="256" spans="2:17" x14ac:dyDescent="0.3">
      <c r="B256" s="8" t="s">
        <v>582</v>
      </c>
      <c r="C256" s="9" t="s">
        <v>25</v>
      </c>
      <c r="D256" s="14">
        <v>20</v>
      </c>
      <c r="E256" s="26">
        <f>ROUNDUP((+SUMIF(UNITARIOS!C:C,Tabla1[[#This Row],[MATERIALES]],UNITARIOS!E:E)),0)</f>
        <v>1</v>
      </c>
      <c r="F256" s="16">
        <f>Tabla1[[#This Row],[PRECIO]]*Tabla1[[#This Row],[CANTIDAD]]</f>
        <v>20</v>
      </c>
      <c r="P256" s="6"/>
      <c r="Q256" s="7"/>
    </row>
    <row r="257" spans="2:17" x14ac:dyDescent="0.3">
      <c r="B257" s="32" t="s">
        <v>326</v>
      </c>
      <c r="C257" s="28" t="s">
        <v>25</v>
      </c>
      <c r="D257" s="29">
        <v>50</v>
      </c>
      <c r="E257" s="30">
        <f>ROUNDUP((+SUMIF(UNITARIOS!C:C,Tabla1[[#This Row],[MATERIALES]],UNITARIOS!E:E)),0)</f>
        <v>0</v>
      </c>
      <c r="F257" s="50">
        <f>Tabla1[[#This Row],[PRECIO]]*Tabla1[[#This Row],[CANTIDAD]]</f>
        <v>0</v>
      </c>
      <c r="P257" s="6"/>
      <c r="Q257" s="7"/>
    </row>
    <row r="258" spans="2:17" x14ac:dyDescent="0.3">
      <c r="B258" s="32" t="s">
        <v>311</v>
      </c>
      <c r="C258" s="28" t="s">
        <v>25</v>
      </c>
      <c r="D258" s="29">
        <v>65</v>
      </c>
      <c r="E258" s="30">
        <f>ROUNDUP((+SUMIF(UNITARIOS!C:C,Tabla1[[#This Row],[MATERIALES]],UNITARIOS!E:E)),0)</f>
        <v>0</v>
      </c>
      <c r="F258" s="50">
        <f>Tabla1[[#This Row],[PRECIO]]*Tabla1[[#This Row],[CANTIDAD]]</f>
        <v>0</v>
      </c>
      <c r="P258" s="6"/>
      <c r="Q258" s="7"/>
    </row>
    <row r="259" spans="2:17" x14ac:dyDescent="0.3">
      <c r="B259" s="8" t="s">
        <v>183</v>
      </c>
      <c r="C259" s="9" t="s">
        <v>25</v>
      </c>
      <c r="D259" s="14">
        <v>340</v>
      </c>
      <c r="E259" s="26">
        <f>ROUNDUP((+SUMIF(UNITARIOS!C:C,Tabla1[[#This Row],[MATERIALES]],UNITARIOS!E:E)),0)</f>
        <v>0</v>
      </c>
      <c r="F259" s="16">
        <f>Tabla1[[#This Row],[PRECIO]]*Tabla1[[#This Row],[CANTIDAD]]</f>
        <v>0</v>
      </c>
      <c r="P259" s="6"/>
      <c r="Q259" s="7"/>
    </row>
    <row r="260" spans="2:17" x14ac:dyDescent="0.3">
      <c r="B260" s="8" t="s">
        <v>307</v>
      </c>
      <c r="C260" s="9" t="s">
        <v>25</v>
      </c>
      <c r="D260" s="14">
        <v>75</v>
      </c>
      <c r="E260" s="26">
        <f>ROUNDUP((+SUMIF(UNITARIOS!C:C,Tabla1[[#This Row],[MATERIALES]],UNITARIOS!E:E)),0)</f>
        <v>0</v>
      </c>
      <c r="F260" s="16">
        <f>Tabla1[[#This Row],[PRECIO]]*Tabla1[[#This Row],[CANTIDAD]]</f>
        <v>0</v>
      </c>
      <c r="P260" s="6"/>
      <c r="Q260" s="7"/>
    </row>
    <row r="261" spans="2:17" x14ac:dyDescent="0.3">
      <c r="B261" s="8" t="s">
        <v>308</v>
      </c>
      <c r="C261" s="9" t="s">
        <v>25</v>
      </c>
      <c r="D261" s="14">
        <v>101</v>
      </c>
      <c r="E261" s="26">
        <f>ROUNDUP((+SUMIF(UNITARIOS!C:C,Tabla1[[#This Row],[MATERIALES]],UNITARIOS!E:E)),0)</f>
        <v>0</v>
      </c>
      <c r="F261" s="16">
        <f>Tabla1[[#This Row],[PRECIO]]*Tabla1[[#This Row],[CANTIDAD]]</f>
        <v>0</v>
      </c>
      <c r="P261" s="6"/>
      <c r="Q261" s="7"/>
    </row>
    <row r="262" spans="2:17" x14ac:dyDescent="0.3">
      <c r="B262" s="8" t="s">
        <v>309</v>
      </c>
      <c r="C262" s="9" t="s">
        <v>25</v>
      </c>
      <c r="D262" s="14">
        <v>60</v>
      </c>
      <c r="E262" s="26">
        <f>ROUNDUP((+SUMIF(UNITARIOS!C:C,Tabla1[[#This Row],[MATERIALES]],UNITARIOS!E:E)),0)</f>
        <v>0</v>
      </c>
      <c r="F262" s="16">
        <f>Tabla1[[#This Row],[PRECIO]]*Tabla1[[#This Row],[CANTIDAD]]</f>
        <v>0</v>
      </c>
      <c r="P262" s="6"/>
      <c r="Q262" s="7"/>
    </row>
    <row r="263" spans="2:17" x14ac:dyDescent="0.3">
      <c r="B263" s="8" t="s">
        <v>310</v>
      </c>
      <c r="C263" s="9" t="s">
        <v>25</v>
      </c>
      <c r="D263" s="14">
        <v>80</v>
      </c>
      <c r="E263" s="26">
        <f>ROUNDUP((+SUMIF(UNITARIOS!C:C,Tabla1[[#This Row],[MATERIALES]],UNITARIOS!E:E)),0)</f>
        <v>0</v>
      </c>
      <c r="F263" s="16">
        <f>Tabla1[[#This Row],[PRECIO]]*Tabla1[[#This Row],[CANTIDAD]]</f>
        <v>0</v>
      </c>
      <c r="P263" s="6"/>
      <c r="Q263" s="7"/>
    </row>
    <row r="264" spans="2:17" x14ac:dyDescent="0.3">
      <c r="B264" s="8" t="s">
        <v>337</v>
      </c>
      <c r="C264" s="9" t="s">
        <v>25</v>
      </c>
      <c r="D264" s="14">
        <v>50</v>
      </c>
      <c r="E264" s="26">
        <f>ROUNDUP((+SUMIF(UNITARIOS!C:C,Tabla1[[#This Row],[MATERIALES]],UNITARIOS!E:E)),0)</f>
        <v>0</v>
      </c>
      <c r="F264" s="16">
        <f>Tabla1[[#This Row],[PRECIO]]*Tabla1[[#This Row],[CANTIDAD]]</f>
        <v>0</v>
      </c>
      <c r="P264" s="6"/>
      <c r="Q264" s="7"/>
    </row>
    <row r="265" spans="2:17" x14ac:dyDescent="0.3">
      <c r="B265" s="8" t="s">
        <v>132</v>
      </c>
      <c r="C265" s="9" t="s">
        <v>25</v>
      </c>
      <c r="D265" s="14">
        <v>90</v>
      </c>
      <c r="E265" s="26">
        <f>ROUNDUP((+SUMIF(UNITARIOS!C:C,Tabla1[[#This Row],[MATERIALES]],UNITARIOS!E:E)),0)</f>
        <v>0</v>
      </c>
      <c r="F265" s="16">
        <f>Tabla1[[#This Row],[PRECIO]]*Tabla1[[#This Row],[CANTIDAD]]</f>
        <v>0</v>
      </c>
      <c r="P265" s="6"/>
      <c r="Q265" s="7"/>
    </row>
    <row r="266" spans="2:17" x14ac:dyDescent="0.3">
      <c r="B266" s="8" t="s">
        <v>136</v>
      </c>
      <c r="C266" s="9" t="s">
        <v>25</v>
      </c>
      <c r="D266" s="14">
        <v>220</v>
      </c>
      <c r="E266" s="26">
        <f>ROUNDUP((+SUMIF(UNITARIOS!C:C,Tabla1[[#This Row],[MATERIALES]],UNITARIOS!E:E)),0)</f>
        <v>0</v>
      </c>
      <c r="F266" s="16">
        <f>Tabla1[[#This Row],[PRECIO]]*Tabla1[[#This Row],[CANTIDAD]]</f>
        <v>0</v>
      </c>
      <c r="P266" s="6"/>
      <c r="Q266" s="7"/>
    </row>
    <row r="267" spans="2:17" x14ac:dyDescent="0.3">
      <c r="B267" s="8" t="s">
        <v>257</v>
      </c>
      <c r="C267" s="9" t="s">
        <v>25</v>
      </c>
      <c r="D267" s="14">
        <v>60</v>
      </c>
      <c r="E267" s="26">
        <f>ROUNDUP((+SUMIF(UNITARIOS!C:C,Tabla1[[#This Row],[MATERIALES]],UNITARIOS!E:E)),0)</f>
        <v>3</v>
      </c>
      <c r="F267" s="16">
        <f>Tabla1[[#This Row],[PRECIO]]*Tabla1[[#This Row],[CANTIDAD]]</f>
        <v>180</v>
      </c>
      <c r="P267" s="6"/>
      <c r="Q267" s="7"/>
    </row>
    <row r="268" spans="2:17" x14ac:dyDescent="0.3">
      <c r="B268" s="8" t="s">
        <v>125</v>
      </c>
      <c r="C268" s="9" t="s">
        <v>24</v>
      </c>
      <c r="D268" s="14">
        <v>700</v>
      </c>
      <c r="E268" s="26">
        <f>ROUNDUP((+SUMIF(UNITARIOS!C:C,Tabla1[[#This Row],[MATERIALES]],UNITARIOS!E:E)),0)</f>
        <v>0</v>
      </c>
      <c r="F268" s="16">
        <f>Tabla1[[#This Row],[PRECIO]]*Tabla1[[#This Row],[CANTIDAD]]</f>
        <v>0</v>
      </c>
      <c r="P268" s="6"/>
      <c r="Q268" s="7"/>
    </row>
    <row r="269" spans="2:17" ht="27.6" x14ac:dyDescent="0.3">
      <c r="B269" s="8" t="s">
        <v>271</v>
      </c>
      <c r="C269" s="9" t="s">
        <v>25</v>
      </c>
      <c r="D269" s="14">
        <v>1100</v>
      </c>
      <c r="E269" s="26">
        <f>ROUNDUP((+SUMIF(UNITARIOS!C:C,Tabla1[[#This Row],[MATERIALES]],UNITARIOS!E:E)),0)</f>
        <v>0</v>
      </c>
      <c r="F269" s="16">
        <f>Tabla1[[#This Row],[PRECIO]]*Tabla1[[#This Row],[CANTIDAD]]</f>
        <v>0</v>
      </c>
      <c r="P269" s="6"/>
      <c r="Q269" s="7"/>
    </row>
    <row r="270" spans="2:17" x14ac:dyDescent="0.3">
      <c r="B270" s="8" t="s">
        <v>83</v>
      </c>
      <c r="C270" s="9" t="s">
        <v>24</v>
      </c>
      <c r="D270" s="14">
        <v>150</v>
      </c>
      <c r="E270" s="26">
        <f>ROUNDUP((+SUMIF(UNITARIOS!C:C,Tabla1[[#This Row],[MATERIALES]],UNITARIOS!E:E)),0)</f>
        <v>0</v>
      </c>
      <c r="F270" s="16">
        <f>Tabla1[[#This Row],[PRECIO]]*Tabla1[[#This Row],[CANTIDAD]]</f>
        <v>0</v>
      </c>
      <c r="P270" s="6"/>
      <c r="Q270" s="7"/>
    </row>
    <row r="271" spans="2:17" x14ac:dyDescent="0.3">
      <c r="B271" s="8" t="s">
        <v>431</v>
      </c>
      <c r="C271" s="9" t="s">
        <v>25</v>
      </c>
      <c r="D271" s="14">
        <v>5</v>
      </c>
      <c r="E271" s="26">
        <f>ROUNDUP((+SUMIF(UNITARIOS!C:C,Tabla1[[#This Row],[MATERIALES]],UNITARIOS!E:E)),0)</f>
        <v>0</v>
      </c>
      <c r="F271" s="16">
        <f>Tabla1[[#This Row],[PRECIO]]*Tabla1[[#This Row],[CANTIDAD]]</f>
        <v>0</v>
      </c>
      <c r="P271" s="6"/>
      <c r="Q271" s="7"/>
    </row>
    <row r="272" spans="2:17" x14ac:dyDescent="0.3">
      <c r="B272" s="8" t="s">
        <v>255</v>
      </c>
      <c r="C272" s="9" t="s">
        <v>25</v>
      </c>
      <c r="D272" s="14">
        <v>5</v>
      </c>
      <c r="E272" s="26">
        <f>ROUNDUP((+SUMIF(UNITARIOS!C:C,Tabla1[[#This Row],[MATERIALES]],UNITARIOS!E:E)),0)</f>
        <v>54</v>
      </c>
      <c r="F272" s="16">
        <f>Tabla1[[#This Row],[PRECIO]]*Tabla1[[#This Row],[CANTIDAD]]</f>
        <v>270</v>
      </c>
      <c r="P272" s="6"/>
      <c r="Q272" s="7"/>
    </row>
    <row r="273" spans="2:17" x14ac:dyDescent="0.3">
      <c r="B273" s="8" t="s">
        <v>584</v>
      </c>
      <c r="C273" s="9" t="s">
        <v>25</v>
      </c>
      <c r="D273" s="14">
        <v>20</v>
      </c>
      <c r="E273" s="26">
        <f>ROUNDUP((+SUMIF(UNITARIOS!C:C,Tabla1[[#This Row],[MATERIALES]],UNITARIOS!E:E)),0)</f>
        <v>1</v>
      </c>
      <c r="F273" s="16">
        <f>Tabla1[[#This Row],[PRECIO]]*Tabla1[[#This Row],[CANTIDAD]]</f>
        <v>20</v>
      </c>
      <c r="P273" s="6"/>
      <c r="Q273" s="7"/>
    </row>
    <row r="274" spans="2:17" x14ac:dyDescent="0.3">
      <c r="B274" s="8" t="s">
        <v>184</v>
      </c>
      <c r="C274" s="9" t="s">
        <v>67</v>
      </c>
      <c r="D274" s="14">
        <v>25</v>
      </c>
      <c r="E274" s="26">
        <f>ROUNDUP((+SUMIF(UNITARIOS!C:C,Tabla1[[#This Row],[MATERIALES]],UNITARIOS!E:E)),0)</f>
        <v>48</v>
      </c>
      <c r="F274" s="16">
        <f>Tabla1[[#This Row],[PRECIO]]*Tabla1[[#This Row],[CANTIDAD]]</f>
        <v>1200</v>
      </c>
      <c r="P274" s="6"/>
      <c r="Q274" s="7"/>
    </row>
    <row r="275" spans="2:17" x14ac:dyDescent="0.3">
      <c r="B275" s="32" t="s">
        <v>306</v>
      </c>
      <c r="C275" s="28" t="s">
        <v>25</v>
      </c>
      <c r="D275" s="29">
        <v>70</v>
      </c>
      <c r="E275" s="30">
        <f>ROUNDUP((+SUMIF(UNITARIOS!C:C,Tabla1[[#This Row],[MATERIALES]],UNITARIOS!E:E)),0)</f>
        <v>1</v>
      </c>
      <c r="F275" s="50">
        <f>Tabla1[[#This Row],[PRECIO]]*Tabla1[[#This Row],[CANTIDAD]]</f>
        <v>70</v>
      </c>
      <c r="P275" s="6"/>
      <c r="Q275" s="7"/>
    </row>
    <row r="276" spans="2:17" x14ac:dyDescent="0.3">
      <c r="B276" s="8" t="s">
        <v>594</v>
      </c>
      <c r="C276" s="28" t="s">
        <v>25</v>
      </c>
      <c r="D276" s="14">
        <v>1110</v>
      </c>
      <c r="E276" s="26">
        <f>ROUNDUP((+SUMIF(UNITARIOS!C:C,Tabla1[[#This Row],[MATERIALES]],UNITARIOS!E:E)),0)</f>
        <v>1</v>
      </c>
      <c r="F276" s="16">
        <f>Tabla1[[#This Row],[PRECIO]]*Tabla1[[#This Row],[CANTIDAD]]</f>
        <v>1110</v>
      </c>
      <c r="P276" s="6"/>
      <c r="Q276" s="7"/>
    </row>
    <row r="277" spans="2:17" x14ac:dyDescent="0.3">
      <c r="B277" s="233" t="s">
        <v>596</v>
      </c>
      <c r="C277" s="9" t="s">
        <v>24</v>
      </c>
      <c r="D277" s="235">
        <v>250</v>
      </c>
      <c r="E277" s="236">
        <f>ROUNDUP((+SUMIF(UNITARIOS!C:C,Tabla1[[#This Row],[MATERIALES]],UNITARIOS!E:E)),0)</f>
        <v>160</v>
      </c>
      <c r="F277" s="237">
        <f>Tabla1[[#This Row],[PRECIO]]*Tabla1[[#This Row],[CANTIDAD]]</f>
        <v>40000</v>
      </c>
      <c r="P277" s="6"/>
      <c r="Q277" s="7"/>
    </row>
    <row r="278" spans="2:17" x14ac:dyDescent="0.3">
      <c r="B278" s="233" t="s">
        <v>597</v>
      </c>
      <c r="C278" s="234" t="s">
        <v>72</v>
      </c>
      <c r="D278" s="235">
        <v>45</v>
      </c>
      <c r="E278" s="236">
        <f>ROUNDUP((+SUMIF(UNITARIOS!C:C,Tabla1[[#This Row],[MATERIALES]],UNITARIOS!E:E)),0)</f>
        <v>93</v>
      </c>
      <c r="F278" s="237">
        <f>Tabla1[[#This Row],[PRECIO]]*Tabla1[[#This Row],[CANTIDAD]]</f>
        <v>4185</v>
      </c>
      <c r="P278" s="6"/>
      <c r="Q278" s="7"/>
    </row>
    <row r="279" spans="2:17" x14ac:dyDescent="0.3">
      <c r="B279" s="233" t="s">
        <v>598</v>
      </c>
      <c r="C279" s="234" t="s">
        <v>25</v>
      </c>
      <c r="D279" s="235">
        <v>20</v>
      </c>
      <c r="E279" s="236">
        <f>ROUNDUP((+SUMIF(UNITARIOS!C:C,Tabla1[[#This Row],[MATERIALES]],UNITARIOS!E:E)),0)</f>
        <v>15</v>
      </c>
      <c r="F279" s="237">
        <f>Tabla1[[#This Row],[PRECIO]]*Tabla1[[#This Row],[CANTIDAD]]</f>
        <v>300</v>
      </c>
      <c r="P279" s="6"/>
      <c r="Q279" s="7"/>
    </row>
    <row r="280" spans="2:17" x14ac:dyDescent="0.3">
      <c r="B280" s="8" t="s">
        <v>600</v>
      </c>
      <c r="C280" s="9" t="s">
        <v>24</v>
      </c>
      <c r="D280" s="14">
        <v>90</v>
      </c>
      <c r="E280" s="26">
        <f>ROUNDUP((+SUMIF(UNITARIOS!C:C,Tabla1[[#This Row],[MATERIALES]],UNITARIOS!E:E)),0)</f>
        <v>96</v>
      </c>
      <c r="F280" s="16">
        <f>Tabla1[[#This Row],[PRECIO]]*Tabla1[[#This Row],[CANTIDAD]]</f>
        <v>8640</v>
      </c>
      <c r="P280" s="6"/>
      <c r="Q280" s="7"/>
    </row>
    <row r="281" spans="2:17" x14ac:dyDescent="0.3">
      <c r="B281" s="8" t="s">
        <v>601</v>
      </c>
      <c r="C281" s="9" t="s">
        <v>24</v>
      </c>
      <c r="D281" s="14">
        <v>125</v>
      </c>
      <c r="E281" s="26">
        <f>ROUNDUP((+SUMIF(UNITARIOS!C:C,Tabla1[[#This Row],[MATERIALES]],UNITARIOS!E:E)),0)</f>
        <v>30</v>
      </c>
      <c r="F281" s="16">
        <f>Tabla1[[#This Row],[PRECIO]]*Tabla1[[#This Row],[CANTIDAD]]</f>
        <v>3750</v>
      </c>
      <c r="P281" s="6"/>
      <c r="Q281" s="7"/>
    </row>
    <row r="282" spans="2:17" x14ac:dyDescent="0.3">
      <c r="P282" s="6"/>
      <c r="Q282" s="7"/>
    </row>
    <row r="283" spans="2:17" x14ac:dyDescent="0.3">
      <c r="P283" s="6"/>
      <c r="Q283" s="7"/>
    </row>
    <row r="284" spans="2:17" x14ac:dyDescent="0.3">
      <c r="P284" s="6"/>
      <c r="Q284" s="7"/>
    </row>
    <row r="285" spans="2:17" x14ac:dyDescent="0.3">
      <c r="P285" s="6"/>
      <c r="Q285" s="7"/>
    </row>
    <row r="286" spans="2:17" x14ac:dyDescent="0.3">
      <c r="P286" s="6"/>
      <c r="Q286" s="7"/>
    </row>
    <row r="287" spans="2:17" x14ac:dyDescent="0.3">
      <c r="P287" s="6"/>
      <c r="Q287" s="7"/>
    </row>
    <row r="288" spans="2:17" x14ac:dyDescent="0.3">
      <c r="P288" s="6"/>
      <c r="Q288" s="7"/>
    </row>
    <row r="289" spans="16:17" x14ac:dyDescent="0.3">
      <c r="P289" s="6"/>
      <c r="Q289" s="7"/>
    </row>
    <row r="290" spans="16:17" x14ac:dyDescent="0.3">
      <c r="P290" s="6"/>
      <c r="Q290" s="7"/>
    </row>
    <row r="291" spans="16:17" x14ac:dyDescent="0.3">
      <c r="P291" s="6"/>
      <c r="Q291" s="7"/>
    </row>
    <row r="292" spans="16:17" x14ac:dyDescent="0.3">
      <c r="P292" s="6"/>
      <c r="Q292" s="7"/>
    </row>
    <row r="293" spans="16:17" x14ac:dyDescent="0.3">
      <c r="P293" s="6"/>
      <c r="Q293" s="7"/>
    </row>
    <row r="294" spans="16:17" x14ac:dyDescent="0.3">
      <c r="P294" s="6"/>
      <c r="Q294" s="7"/>
    </row>
    <row r="295" spans="16:17" x14ac:dyDescent="0.3">
      <c r="P295" s="6"/>
      <c r="Q295" s="7"/>
    </row>
    <row r="296" spans="16:17" x14ac:dyDescent="0.3">
      <c r="P296" s="6"/>
      <c r="Q296" s="7"/>
    </row>
    <row r="297" spans="16:17" x14ac:dyDescent="0.3">
      <c r="P297" s="6"/>
      <c r="Q297" s="7"/>
    </row>
    <row r="298" spans="16:17" x14ac:dyDescent="0.3">
      <c r="P298" s="6"/>
      <c r="Q298" s="7"/>
    </row>
    <row r="299" spans="16:17" x14ac:dyDescent="0.3">
      <c r="P299" s="6"/>
      <c r="Q299" s="7"/>
    </row>
    <row r="300" spans="16:17" x14ac:dyDescent="0.3">
      <c r="P300" s="6"/>
      <c r="Q300" s="7"/>
    </row>
    <row r="301" spans="16:17" x14ac:dyDescent="0.3">
      <c r="P301" s="6"/>
      <c r="Q301" s="7"/>
    </row>
    <row r="302" spans="16:17" x14ac:dyDescent="0.3">
      <c r="P302" s="6"/>
      <c r="Q302" s="7"/>
    </row>
    <row r="303" spans="16:17" x14ac:dyDescent="0.3">
      <c r="P303" s="6"/>
      <c r="Q303" s="7"/>
    </row>
    <row r="304" spans="16:17" x14ac:dyDescent="0.3">
      <c r="P304" s="6"/>
      <c r="Q304" s="7"/>
    </row>
    <row r="305" spans="16:17" x14ac:dyDescent="0.3">
      <c r="P305" s="6"/>
      <c r="Q305" s="7"/>
    </row>
    <row r="306" spans="16:17" x14ac:dyDescent="0.3">
      <c r="P306" s="6"/>
      <c r="Q306" s="7"/>
    </row>
    <row r="307" spans="16:17" x14ac:dyDescent="0.3">
      <c r="P307" s="6"/>
      <c r="Q307" s="7"/>
    </row>
    <row r="308" spans="16:17" x14ac:dyDescent="0.3">
      <c r="P308" s="6"/>
      <c r="Q308" s="7"/>
    </row>
    <row r="309" spans="16:17" x14ac:dyDescent="0.3">
      <c r="P309" s="6"/>
      <c r="Q309" s="7"/>
    </row>
    <row r="310" spans="16:17" x14ac:dyDescent="0.3">
      <c r="P310" s="6"/>
      <c r="Q310" s="7"/>
    </row>
    <row r="311" spans="16:17" x14ac:dyDescent="0.3">
      <c r="P311" s="6"/>
      <c r="Q311" s="7"/>
    </row>
    <row r="312" spans="16:17" x14ac:dyDescent="0.3">
      <c r="P312" s="6"/>
      <c r="Q312" s="7"/>
    </row>
    <row r="313" spans="16:17" x14ac:dyDescent="0.3">
      <c r="P313" s="6"/>
      <c r="Q313" s="7"/>
    </row>
    <row r="314" spans="16:17" x14ac:dyDescent="0.3">
      <c r="P314" s="6"/>
      <c r="Q314" s="7"/>
    </row>
    <row r="315" spans="16:17" x14ac:dyDescent="0.3">
      <c r="P315" s="6"/>
      <c r="Q315" s="7"/>
    </row>
    <row r="316" spans="16:17" x14ac:dyDescent="0.3">
      <c r="P316" s="6"/>
      <c r="Q316" s="7"/>
    </row>
    <row r="317" spans="16:17" x14ac:dyDescent="0.3">
      <c r="P317" s="6"/>
      <c r="Q317" s="7"/>
    </row>
    <row r="318" spans="16:17" x14ac:dyDescent="0.3">
      <c r="P318" s="6"/>
      <c r="Q318" s="7"/>
    </row>
    <row r="319" spans="16:17" x14ac:dyDescent="0.3">
      <c r="P319" s="6"/>
      <c r="Q319" s="7"/>
    </row>
    <row r="320" spans="16:17" x14ac:dyDescent="0.3">
      <c r="P320" s="6"/>
      <c r="Q320" s="7"/>
    </row>
    <row r="321" spans="16:17" x14ac:dyDescent="0.3">
      <c r="P321" s="6"/>
      <c r="Q321" s="7"/>
    </row>
    <row r="322" spans="16:17" x14ac:dyDescent="0.3">
      <c r="P322" s="6"/>
      <c r="Q322" s="7"/>
    </row>
    <row r="323" spans="16:17" x14ac:dyDescent="0.3">
      <c r="P323" s="6"/>
      <c r="Q323" s="7"/>
    </row>
    <row r="324" spans="16:17" x14ac:dyDescent="0.3">
      <c r="P324" s="6"/>
      <c r="Q324" s="7"/>
    </row>
    <row r="325" spans="16:17" x14ac:dyDescent="0.3">
      <c r="P325" s="6"/>
      <c r="Q325" s="7"/>
    </row>
    <row r="326" spans="16:17" x14ac:dyDescent="0.3">
      <c r="P326" s="6"/>
      <c r="Q326" s="7"/>
    </row>
    <row r="327" spans="16:17" x14ac:dyDescent="0.3">
      <c r="P327" s="6"/>
      <c r="Q327" s="7"/>
    </row>
    <row r="328" spans="16:17" x14ac:dyDescent="0.3">
      <c r="P328" s="6"/>
      <c r="Q328" s="7"/>
    </row>
    <row r="329" spans="16:17" x14ac:dyDescent="0.3">
      <c r="P329" s="6"/>
      <c r="Q329" s="7"/>
    </row>
    <row r="330" spans="16:17" x14ac:dyDescent="0.3">
      <c r="P330" s="6"/>
      <c r="Q330" s="7"/>
    </row>
    <row r="331" spans="16:17" x14ac:dyDescent="0.3">
      <c r="P331" s="6"/>
      <c r="Q331" s="7"/>
    </row>
    <row r="332" spans="16:17" x14ac:dyDescent="0.3">
      <c r="P332" s="6"/>
      <c r="Q332" s="7"/>
    </row>
    <row r="333" spans="16:17" x14ac:dyDescent="0.3">
      <c r="P333" s="6"/>
      <c r="Q333" s="7"/>
    </row>
    <row r="334" spans="16:17" x14ac:dyDescent="0.3">
      <c r="P334" s="6"/>
      <c r="Q334" s="7"/>
    </row>
    <row r="335" spans="16:17" x14ac:dyDescent="0.3">
      <c r="P335" s="6"/>
      <c r="Q335" s="7"/>
    </row>
    <row r="336" spans="16:17" x14ac:dyDescent="0.3">
      <c r="P336" s="6"/>
      <c r="Q336" s="7"/>
    </row>
    <row r="337" spans="16:17" x14ac:dyDescent="0.3">
      <c r="P337" s="6"/>
      <c r="Q337" s="7"/>
    </row>
    <row r="338" spans="16:17" x14ac:dyDescent="0.3">
      <c r="P338" s="6"/>
      <c r="Q338" s="7"/>
    </row>
    <row r="339" spans="16:17" x14ac:dyDescent="0.3">
      <c r="P339" s="6"/>
      <c r="Q339" s="7"/>
    </row>
    <row r="340" spans="16:17" x14ac:dyDescent="0.3">
      <c r="P340" s="6"/>
      <c r="Q340" s="7"/>
    </row>
    <row r="341" spans="16:17" x14ac:dyDescent="0.3">
      <c r="P341" s="6"/>
      <c r="Q341" s="7"/>
    </row>
    <row r="342" spans="16:17" x14ac:dyDescent="0.3">
      <c r="P342" s="6"/>
      <c r="Q342" s="7"/>
    </row>
    <row r="343" spans="16:17" x14ac:dyDescent="0.3">
      <c r="P343" s="6"/>
      <c r="Q343" s="7"/>
    </row>
    <row r="344" spans="16:17" x14ac:dyDescent="0.3">
      <c r="P344" s="6"/>
      <c r="Q344" s="7"/>
    </row>
    <row r="345" spans="16:17" x14ac:dyDescent="0.3">
      <c r="P345" s="6"/>
      <c r="Q345" s="7"/>
    </row>
    <row r="346" spans="16:17" x14ac:dyDescent="0.3">
      <c r="P346" s="6"/>
      <c r="Q346" s="7"/>
    </row>
    <row r="347" spans="16:17" x14ac:dyDescent="0.3">
      <c r="P347" s="6"/>
      <c r="Q347" s="7"/>
    </row>
    <row r="348" spans="16:17" x14ac:dyDescent="0.3">
      <c r="P348" s="6"/>
      <c r="Q348" s="7"/>
    </row>
    <row r="349" spans="16:17" x14ac:dyDescent="0.3">
      <c r="P349" s="6"/>
      <c r="Q349" s="7"/>
    </row>
    <row r="350" spans="16:17" x14ac:dyDescent="0.3">
      <c r="P350" s="6"/>
      <c r="Q350" s="7"/>
    </row>
    <row r="351" spans="16:17" x14ac:dyDescent="0.3">
      <c r="P351" s="6"/>
      <c r="Q351" s="7"/>
    </row>
    <row r="352" spans="16:17" x14ac:dyDescent="0.3">
      <c r="P352" s="6"/>
      <c r="Q352" s="7"/>
    </row>
    <row r="353" spans="16:17" x14ac:dyDescent="0.3">
      <c r="P353" s="6"/>
      <c r="Q353" s="7"/>
    </row>
    <row r="354" spans="16:17" x14ac:dyDescent="0.3">
      <c r="P354" s="6"/>
      <c r="Q354" s="7"/>
    </row>
    <row r="355" spans="16:17" x14ac:dyDescent="0.3">
      <c r="P355" s="6"/>
      <c r="Q355" s="7"/>
    </row>
    <row r="356" spans="16:17" x14ac:dyDescent="0.3">
      <c r="P356" s="6"/>
      <c r="Q356" s="7"/>
    </row>
    <row r="357" spans="16:17" x14ac:dyDescent="0.3">
      <c r="P357" s="6"/>
      <c r="Q357" s="7"/>
    </row>
    <row r="358" spans="16:17" x14ac:dyDescent="0.3">
      <c r="P358" s="6"/>
      <c r="Q358" s="7"/>
    </row>
    <row r="359" spans="16:17" x14ac:dyDescent="0.3">
      <c r="P359" s="6"/>
      <c r="Q359" s="7"/>
    </row>
    <row r="360" spans="16:17" x14ac:dyDescent="0.3">
      <c r="P360" s="6"/>
      <c r="Q360" s="7"/>
    </row>
    <row r="361" spans="16:17" x14ac:dyDescent="0.3">
      <c r="P361" s="6"/>
      <c r="Q361" s="7"/>
    </row>
    <row r="362" spans="16:17" x14ac:dyDescent="0.3">
      <c r="P362" s="6"/>
      <c r="Q362" s="7"/>
    </row>
    <row r="363" spans="16:17" x14ac:dyDescent="0.3">
      <c r="P363" s="6"/>
      <c r="Q363" s="7"/>
    </row>
    <row r="364" spans="16:17" x14ac:dyDescent="0.3">
      <c r="P364" s="6"/>
      <c r="Q364" s="7"/>
    </row>
    <row r="365" spans="16:17" x14ac:dyDescent="0.3">
      <c r="P365" s="6"/>
      <c r="Q365" s="7"/>
    </row>
    <row r="366" spans="16:17" x14ac:dyDescent="0.3">
      <c r="P366" s="6"/>
      <c r="Q366" s="7"/>
    </row>
    <row r="367" spans="16:17" x14ac:dyDescent="0.3">
      <c r="P367" s="6"/>
      <c r="Q367" s="7"/>
    </row>
    <row r="368" spans="16:17" x14ac:dyDescent="0.3">
      <c r="P368" s="6"/>
      <c r="Q368" s="7"/>
    </row>
    <row r="369" spans="16:17" x14ac:dyDescent="0.3">
      <c r="P369" s="6"/>
      <c r="Q369" s="7"/>
    </row>
    <row r="370" spans="16:17" x14ac:dyDescent="0.3">
      <c r="P370" s="6"/>
      <c r="Q370" s="7"/>
    </row>
    <row r="371" spans="16:17" x14ac:dyDescent="0.3">
      <c r="P371" s="6"/>
      <c r="Q371" s="7"/>
    </row>
    <row r="372" spans="16:17" x14ac:dyDescent="0.3">
      <c r="P372" s="6"/>
      <c r="Q372" s="7"/>
    </row>
    <row r="373" spans="16:17" x14ac:dyDescent="0.3">
      <c r="P373" s="6"/>
      <c r="Q373" s="7"/>
    </row>
    <row r="374" spans="16:17" x14ac:dyDescent="0.3">
      <c r="P374" s="6"/>
      <c r="Q374" s="7"/>
    </row>
    <row r="375" spans="16:17" x14ac:dyDescent="0.3">
      <c r="P375" s="6"/>
      <c r="Q375" s="7"/>
    </row>
    <row r="376" spans="16:17" x14ac:dyDescent="0.3">
      <c r="P376" s="6"/>
      <c r="Q376" s="7"/>
    </row>
    <row r="377" spans="16:17" x14ac:dyDescent="0.3">
      <c r="P377" s="6"/>
      <c r="Q377" s="7"/>
    </row>
    <row r="378" spans="16:17" x14ac:dyDescent="0.3">
      <c r="P378" s="6"/>
      <c r="Q378" s="7"/>
    </row>
    <row r="379" spans="16:17" x14ac:dyDescent="0.3">
      <c r="P379" s="6"/>
      <c r="Q379" s="7"/>
    </row>
    <row r="380" spans="16:17" x14ac:dyDescent="0.3">
      <c r="P380" s="6"/>
      <c r="Q380" s="7"/>
    </row>
    <row r="381" spans="16:17" x14ac:dyDescent="0.3">
      <c r="P381" s="6"/>
      <c r="Q381" s="7"/>
    </row>
    <row r="382" spans="16:17" x14ac:dyDescent="0.3">
      <c r="P382" s="6"/>
      <c r="Q382" s="7"/>
    </row>
    <row r="383" spans="16:17" x14ac:dyDescent="0.3">
      <c r="P383" s="6"/>
      <c r="Q383" s="7"/>
    </row>
    <row r="384" spans="16:17" x14ac:dyDescent="0.3">
      <c r="P384" s="6"/>
      <c r="Q384" s="7"/>
    </row>
    <row r="385" spans="16:17" x14ac:dyDescent="0.3">
      <c r="P385" s="6"/>
      <c r="Q385" s="7"/>
    </row>
    <row r="386" spans="16:17" x14ac:dyDescent="0.3">
      <c r="P386" s="6"/>
      <c r="Q386" s="7"/>
    </row>
    <row r="387" spans="16:17" x14ac:dyDescent="0.3">
      <c r="P387" s="6"/>
      <c r="Q387" s="7"/>
    </row>
    <row r="388" spans="16:17" x14ac:dyDescent="0.3">
      <c r="P388" s="6"/>
      <c r="Q388" s="7"/>
    </row>
    <row r="389" spans="16:17" x14ac:dyDescent="0.3">
      <c r="P389" s="6"/>
      <c r="Q389" s="7"/>
    </row>
    <row r="390" spans="16:17" x14ac:dyDescent="0.3">
      <c r="P390" s="6"/>
      <c r="Q390" s="7"/>
    </row>
    <row r="391" spans="16:17" x14ac:dyDescent="0.3">
      <c r="P391" s="6"/>
      <c r="Q391" s="7"/>
    </row>
    <row r="392" spans="16:17" x14ac:dyDescent="0.3">
      <c r="P392" s="6"/>
      <c r="Q392" s="7"/>
    </row>
    <row r="393" spans="16:17" x14ac:dyDescent="0.3">
      <c r="P393" s="6"/>
      <c r="Q393" s="7"/>
    </row>
    <row r="394" spans="16:17" x14ac:dyDescent="0.3">
      <c r="P394" s="6"/>
      <c r="Q394" s="7"/>
    </row>
    <row r="395" spans="16:17" x14ac:dyDescent="0.3">
      <c r="P395" s="6"/>
      <c r="Q395" s="7"/>
    </row>
    <row r="396" spans="16:17" x14ac:dyDescent="0.3">
      <c r="P396" s="6"/>
      <c r="Q396" s="7"/>
    </row>
    <row r="397" spans="16:17" x14ac:dyDescent="0.3">
      <c r="P397" s="6"/>
      <c r="Q397" s="7"/>
    </row>
    <row r="398" spans="16:17" x14ac:dyDescent="0.3">
      <c r="P398" s="6"/>
      <c r="Q398" s="7"/>
    </row>
    <row r="399" spans="16:17" x14ac:dyDescent="0.3">
      <c r="P399" s="6"/>
      <c r="Q399" s="7"/>
    </row>
    <row r="400" spans="16:17" x14ac:dyDescent="0.3">
      <c r="P400" s="6"/>
      <c r="Q400" s="7"/>
    </row>
    <row r="401" spans="16:17" x14ac:dyDescent="0.3">
      <c r="P401" s="6"/>
      <c r="Q401" s="7"/>
    </row>
    <row r="402" spans="16:17" x14ac:dyDescent="0.3">
      <c r="P402" s="6"/>
      <c r="Q402" s="7"/>
    </row>
    <row r="403" spans="16:17" x14ac:dyDescent="0.3">
      <c r="P403" s="6"/>
      <c r="Q403" s="7"/>
    </row>
    <row r="404" spans="16:17" x14ac:dyDescent="0.3">
      <c r="P404" s="6"/>
      <c r="Q404" s="7"/>
    </row>
    <row r="405" spans="16:17" x14ac:dyDescent="0.3">
      <c r="P405" s="6"/>
      <c r="Q405" s="7"/>
    </row>
    <row r="406" spans="16:17" x14ac:dyDescent="0.3">
      <c r="P406" s="6"/>
      <c r="Q406" s="7"/>
    </row>
    <row r="407" spans="16:17" x14ac:dyDescent="0.3">
      <c r="P407" s="6"/>
      <c r="Q407" s="7"/>
    </row>
    <row r="408" spans="16:17" x14ac:dyDescent="0.3">
      <c r="P408" s="6"/>
      <c r="Q408" s="7"/>
    </row>
    <row r="409" spans="16:17" x14ac:dyDescent="0.3">
      <c r="P409" s="6"/>
      <c r="Q409" s="7"/>
    </row>
    <row r="410" spans="16:17" x14ac:dyDescent="0.3">
      <c r="P410" s="6"/>
      <c r="Q410" s="7"/>
    </row>
    <row r="411" spans="16:17" x14ac:dyDescent="0.3">
      <c r="P411" s="6"/>
      <c r="Q411" s="7"/>
    </row>
    <row r="412" spans="16:17" x14ac:dyDescent="0.3">
      <c r="P412" s="6"/>
      <c r="Q412" s="7"/>
    </row>
    <row r="413" spans="16:17" x14ac:dyDescent="0.3">
      <c r="P413" s="6"/>
      <c r="Q413" s="7"/>
    </row>
    <row r="414" spans="16:17" x14ac:dyDescent="0.3">
      <c r="P414" s="6"/>
      <c r="Q414" s="7"/>
    </row>
    <row r="415" spans="16:17" x14ac:dyDescent="0.3">
      <c r="P415" s="6"/>
      <c r="Q415" s="7"/>
    </row>
    <row r="416" spans="16:17" x14ac:dyDescent="0.3">
      <c r="P416" s="6"/>
      <c r="Q416" s="7"/>
    </row>
    <row r="417" spans="16:17" x14ac:dyDescent="0.3">
      <c r="P417" s="6"/>
      <c r="Q417" s="7"/>
    </row>
    <row r="418" spans="16:17" x14ac:dyDescent="0.3">
      <c r="P418" s="6"/>
      <c r="Q418" s="7"/>
    </row>
    <row r="419" spans="16:17" x14ac:dyDescent="0.3">
      <c r="P419" s="6"/>
      <c r="Q419" s="7"/>
    </row>
    <row r="420" spans="16:17" x14ac:dyDescent="0.3">
      <c r="P420" s="6"/>
      <c r="Q420" s="7"/>
    </row>
    <row r="421" spans="16:17" x14ac:dyDescent="0.3">
      <c r="P421" s="6"/>
      <c r="Q421" s="7"/>
    </row>
    <row r="422" spans="16:17" x14ac:dyDescent="0.3">
      <c r="P422" s="6"/>
      <c r="Q422" s="7"/>
    </row>
    <row r="423" spans="16:17" x14ac:dyDescent="0.3">
      <c r="P423" s="6"/>
      <c r="Q423" s="7"/>
    </row>
    <row r="424" spans="16:17" x14ac:dyDescent="0.3">
      <c r="P424" s="6"/>
      <c r="Q424" s="7"/>
    </row>
    <row r="425" spans="16:17" x14ac:dyDescent="0.3">
      <c r="P425" s="6"/>
      <c r="Q425" s="7"/>
    </row>
    <row r="426" spans="16:17" x14ac:dyDescent="0.3">
      <c r="P426" s="6"/>
      <c r="Q426" s="7"/>
    </row>
    <row r="427" spans="16:17" x14ac:dyDescent="0.3">
      <c r="P427" s="6"/>
      <c r="Q427" s="7"/>
    </row>
    <row r="428" spans="16:17" x14ac:dyDescent="0.3">
      <c r="P428" s="6"/>
      <c r="Q428" s="7"/>
    </row>
    <row r="429" spans="16:17" x14ac:dyDescent="0.3">
      <c r="P429" s="6"/>
      <c r="Q429" s="7"/>
    </row>
    <row r="430" spans="16:17" x14ac:dyDescent="0.3">
      <c r="P430" s="6"/>
      <c r="Q430" s="7"/>
    </row>
    <row r="431" spans="16:17" x14ac:dyDescent="0.3">
      <c r="P431" s="6"/>
      <c r="Q431" s="7"/>
    </row>
    <row r="432" spans="16:17" x14ac:dyDescent="0.3">
      <c r="P432" s="6"/>
      <c r="Q432" s="7"/>
    </row>
    <row r="433" spans="16:17" x14ac:dyDescent="0.3">
      <c r="P433" s="6"/>
      <c r="Q433" s="7"/>
    </row>
    <row r="434" spans="16:17" x14ac:dyDescent="0.3">
      <c r="P434" s="6"/>
      <c r="Q434" s="7"/>
    </row>
    <row r="435" spans="16:17" x14ac:dyDescent="0.3">
      <c r="P435" s="6"/>
      <c r="Q435" s="7"/>
    </row>
    <row r="436" spans="16:17" x14ac:dyDescent="0.3">
      <c r="P436" s="6"/>
      <c r="Q436" s="7"/>
    </row>
    <row r="437" spans="16:17" x14ac:dyDescent="0.3">
      <c r="P437" s="6"/>
      <c r="Q437" s="7"/>
    </row>
    <row r="438" spans="16:17" x14ac:dyDescent="0.3">
      <c r="P438" s="6"/>
      <c r="Q438" s="7"/>
    </row>
    <row r="439" spans="16:17" x14ac:dyDescent="0.3">
      <c r="P439" s="6"/>
      <c r="Q439" s="7"/>
    </row>
    <row r="440" spans="16:17" x14ac:dyDescent="0.3">
      <c r="P440" s="6"/>
      <c r="Q440" s="7"/>
    </row>
    <row r="441" spans="16:17" x14ac:dyDescent="0.3">
      <c r="P441" s="6"/>
      <c r="Q441" s="7"/>
    </row>
    <row r="442" spans="16:17" x14ac:dyDescent="0.3">
      <c r="P442" s="6"/>
      <c r="Q442" s="7"/>
    </row>
    <row r="443" spans="16:17" x14ac:dyDescent="0.3">
      <c r="P443" s="6"/>
      <c r="Q443" s="7"/>
    </row>
    <row r="444" spans="16:17" x14ac:dyDescent="0.3">
      <c r="P444" s="6"/>
      <c r="Q444" s="7"/>
    </row>
    <row r="445" spans="16:17" x14ac:dyDescent="0.3">
      <c r="P445" s="6"/>
      <c r="Q445" s="7"/>
    </row>
    <row r="446" spans="16:17" x14ac:dyDescent="0.3">
      <c r="P446" s="6"/>
      <c r="Q446" s="7"/>
    </row>
    <row r="447" spans="16:17" x14ac:dyDescent="0.3">
      <c r="P447" s="6"/>
      <c r="Q447" s="7"/>
    </row>
    <row r="448" spans="16:17" x14ac:dyDescent="0.3">
      <c r="P448" s="6"/>
      <c r="Q448" s="7"/>
    </row>
    <row r="449" spans="16:17" x14ac:dyDescent="0.3">
      <c r="P449" s="6"/>
      <c r="Q449" s="7"/>
    </row>
    <row r="450" spans="16:17" x14ac:dyDescent="0.3">
      <c r="P450" s="6"/>
      <c r="Q450" s="7"/>
    </row>
    <row r="451" spans="16:17" x14ac:dyDescent="0.3">
      <c r="P451" s="6"/>
      <c r="Q451" s="7"/>
    </row>
    <row r="452" spans="16:17" x14ac:dyDescent="0.3">
      <c r="P452" s="6"/>
      <c r="Q452" s="7"/>
    </row>
    <row r="453" spans="16:17" x14ac:dyDescent="0.3">
      <c r="P453" s="6"/>
      <c r="Q453" s="7"/>
    </row>
    <row r="454" spans="16:17" x14ac:dyDescent="0.3">
      <c r="P454" s="6"/>
      <c r="Q454" s="7"/>
    </row>
    <row r="455" spans="16:17" x14ac:dyDescent="0.3">
      <c r="P455" s="6"/>
      <c r="Q455" s="7"/>
    </row>
    <row r="456" spans="16:17" x14ac:dyDescent="0.3">
      <c r="P456" s="6"/>
      <c r="Q456" s="7"/>
    </row>
    <row r="457" spans="16:17" x14ac:dyDescent="0.3">
      <c r="P457" s="6"/>
      <c r="Q457" s="7"/>
    </row>
    <row r="458" spans="16:17" x14ac:dyDescent="0.3">
      <c r="P458" s="6"/>
      <c r="Q458" s="7"/>
    </row>
    <row r="459" spans="16:17" x14ac:dyDescent="0.3">
      <c r="P459" s="6"/>
      <c r="Q459" s="7"/>
    </row>
    <row r="460" spans="16:17" x14ac:dyDescent="0.3">
      <c r="P460" s="6"/>
      <c r="Q460" s="7"/>
    </row>
    <row r="461" spans="16:17" x14ac:dyDescent="0.3">
      <c r="P461" s="6"/>
      <c r="Q461" s="7"/>
    </row>
    <row r="462" spans="16:17" x14ac:dyDescent="0.3">
      <c r="P462" s="6"/>
      <c r="Q462" s="7"/>
    </row>
    <row r="463" spans="16:17" x14ac:dyDescent="0.3">
      <c r="P463" s="6"/>
      <c r="Q463" s="7"/>
    </row>
    <row r="464" spans="16:17" x14ac:dyDescent="0.3">
      <c r="P464" s="6"/>
      <c r="Q464" s="7"/>
    </row>
    <row r="465" spans="16:17" x14ac:dyDescent="0.3">
      <c r="P465" s="6"/>
      <c r="Q465" s="7"/>
    </row>
    <row r="466" spans="16:17" x14ac:dyDescent="0.3">
      <c r="P466" s="6"/>
      <c r="Q466" s="7"/>
    </row>
    <row r="467" spans="16:17" x14ac:dyDescent="0.3">
      <c r="P467" s="6"/>
      <c r="Q467" s="7"/>
    </row>
    <row r="468" spans="16:17" x14ac:dyDescent="0.3">
      <c r="P468" s="6"/>
      <c r="Q468" s="7"/>
    </row>
    <row r="469" spans="16:17" x14ac:dyDescent="0.3">
      <c r="P469" s="6"/>
      <c r="Q469" s="7"/>
    </row>
    <row r="470" spans="16:17" x14ac:dyDescent="0.3">
      <c r="P470" s="6"/>
      <c r="Q470" s="7"/>
    </row>
    <row r="471" spans="16:17" x14ac:dyDescent="0.3">
      <c r="P471" s="6"/>
      <c r="Q471" s="7"/>
    </row>
    <row r="472" spans="16:17" x14ac:dyDescent="0.3">
      <c r="P472" s="6"/>
      <c r="Q472" s="7"/>
    </row>
    <row r="473" spans="16:17" x14ac:dyDescent="0.3">
      <c r="P473" s="6"/>
      <c r="Q473" s="7"/>
    </row>
    <row r="474" spans="16:17" x14ac:dyDescent="0.3">
      <c r="P474" s="6"/>
      <c r="Q474" s="7"/>
    </row>
    <row r="475" spans="16:17" x14ac:dyDescent="0.3">
      <c r="P475" s="6"/>
      <c r="Q475" s="7"/>
    </row>
    <row r="476" spans="16:17" x14ac:dyDescent="0.3">
      <c r="P476" s="6"/>
      <c r="Q476" s="7"/>
    </row>
    <row r="477" spans="16:17" x14ac:dyDescent="0.3">
      <c r="P477" s="6"/>
      <c r="Q477" s="7"/>
    </row>
    <row r="478" spans="16:17" x14ac:dyDescent="0.3">
      <c r="P478" s="6"/>
      <c r="Q478" s="7"/>
    </row>
    <row r="479" spans="16:17" x14ac:dyDescent="0.3">
      <c r="P479" s="6"/>
      <c r="Q479" s="7"/>
    </row>
    <row r="480" spans="16:17" x14ac:dyDescent="0.3">
      <c r="P480" s="6"/>
      <c r="Q480" s="7"/>
    </row>
    <row r="481" spans="16:17" x14ac:dyDescent="0.3">
      <c r="P481" s="6"/>
      <c r="Q481" s="7"/>
    </row>
    <row r="482" spans="16:17" x14ac:dyDescent="0.3">
      <c r="P482" s="6"/>
      <c r="Q482" s="7"/>
    </row>
    <row r="483" spans="16:17" x14ac:dyDescent="0.3">
      <c r="P483" s="6"/>
      <c r="Q483" s="7"/>
    </row>
    <row r="484" spans="16:17" x14ac:dyDescent="0.3">
      <c r="P484" s="6"/>
      <c r="Q484" s="7"/>
    </row>
    <row r="485" spans="16:17" x14ac:dyDescent="0.3">
      <c r="P485" s="6"/>
      <c r="Q485" s="7"/>
    </row>
    <row r="486" spans="16:17" x14ac:dyDescent="0.3">
      <c r="P486" s="6"/>
      <c r="Q486" s="7"/>
    </row>
    <row r="487" spans="16:17" x14ac:dyDescent="0.3">
      <c r="P487" s="6"/>
      <c r="Q487" s="7"/>
    </row>
    <row r="488" spans="16:17" x14ac:dyDescent="0.3">
      <c r="P488" s="6"/>
      <c r="Q488" s="7"/>
    </row>
    <row r="489" spans="16:17" x14ac:dyDescent="0.3">
      <c r="P489" s="6"/>
      <c r="Q489" s="7"/>
    </row>
    <row r="490" spans="16:17" x14ac:dyDescent="0.3">
      <c r="P490" s="6"/>
      <c r="Q490" s="7"/>
    </row>
    <row r="491" spans="16:17" x14ac:dyDescent="0.3">
      <c r="P491" s="6"/>
      <c r="Q491" s="7"/>
    </row>
    <row r="492" spans="16:17" x14ac:dyDescent="0.3">
      <c r="P492" s="6"/>
      <c r="Q492" s="7"/>
    </row>
    <row r="493" spans="16:17" x14ac:dyDescent="0.3">
      <c r="P493" s="6"/>
      <c r="Q493" s="7"/>
    </row>
    <row r="494" spans="16:17" x14ac:dyDescent="0.3">
      <c r="P494" s="6"/>
      <c r="Q494" s="7"/>
    </row>
    <row r="495" spans="16:17" x14ac:dyDescent="0.3">
      <c r="P495" s="6"/>
      <c r="Q495" s="7"/>
    </row>
    <row r="496" spans="16:17" x14ac:dyDescent="0.3">
      <c r="P496" s="6"/>
      <c r="Q496" s="7"/>
    </row>
    <row r="497" spans="16:17" x14ac:dyDescent="0.3">
      <c r="P497" s="6"/>
      <c r="Q497" s="7"/>
    </row>
    <row r="498" spans="16:17" x14ac:dyDescent="0.3">
      <c r="P498" s="6"/>
      <c r="Q498" s="7"/>
    </row>
    <row r="499" spans="16:17" x14ac:dyDescent="0.3">
      <c r="P499" s="6"/>
      <c r="Q499" s="7"/>
    </row>
    <row r="500" spans="16:17" x14ac:dyDescent="0.3">
      <c r="P500" s="6"/>
      <c r="Q500" s="7"/>
    </row>
    <row r="501" spans="16:17" x14ac:dyDescent="0.3">
      <c r="P501" s="6"/>
      <c r="Q501" s="7"/>
    </row>
    <row r="502" spans="16:17" x14ac:dyDescent="0.3">
      <c r="P502" s="6"/>
      <c r="Q502" s="7"/>
    </row>
    <row r="503" spans="16:17" x14ac:dyDescent="0.3">
      <c r="P503" s="6"/>
      <c r="Q503" s="7"/>
    </row>
    <row r="504" spans="16:17" x14ac:dyDescent="0.3">
      <c r="P504" s="6"/>
      <c r="Q504" s="7"/>
    </row>
    <row r="505" spans="16:17" x14ac:dyDescent="0.3">
      <c r="P505" s="6"/>
      <c r="Q505" s="7"/>
    </row>
    <row r="506" spans="16:17" x14ac:dyDescent="0.3">
      <c r="P506" s="6"/>
      <c r="Q506" s="7"/>
    </row>
    <row r="507" spans="16:17" x14ac:dyDescent="0.3">
      <c r="P507" s="6"/>
      <c r="Q507" s="7"/>
    </row>
    <row r="508" spans="16:17" x14ac:dyDescent="0.3">
      <c r="P508" s="6"/>
      <c r="Q508" s="7"/>
    </row>
    <row r="509" spans="16:17" x14ac:dyDescent="0.3">
      <c r="P509" s="6"/>
      <c r="Q509" s="7"/>
    </row>
    <row r="510" spans="16:17" x14ac:dyDescent="0.3">
      <c r="P510" s="6"/>
      <c r="Q510" s="7"/>
    </row>
    <row r="511" spans="16:17" x14ac:dyDescent="0.3">
      <c r="P511" s="6"/>
      <c r="Q511" s="7"/>
    </row>
    <row r="512" spans="16:17" x14ac:dyDescent="0.3">
      <c r="P512" s="6"/>
      <c r="Q512" s="7"/>
    </row>
    <row r="513" spans="16:17" x14ac:dyDescent="0.3">
      <c r="P513" s="6"/>
      <c r="Q513" s="7"/>
    </row>
    <row r="514" spans="16:17" x14ac:dyDescent="0.3">
      <c r="P514" s="6"/>
      <c r="Q514" s="7"/>
    </row>
    <row r="515" spans="16:17" x14ac:dyDescent="0.3">
      <c r="P515" s="6"/>
      <c r="Q515" s="7"/>
    </row>
    <row r="516" spans="16:17" x14ac:dyDescent="0.3">
      <c r="P516" s="6"/>
      <c r="Q516" s="7"/>
    </row>
    <row r="517" spans="16:17" x14ac:dyDescent="0.3">
      <c r="P517" s="6"/>
      <c r="Q517" s="7"/>
    </row>
    <row r="518" spans="16:17" x14ac:dyDescent="0.3">
      <c r="P518" s="6"/>
      <c r="Q518" s="7"/>
    </row>
    <row r="519" spans="16:17" x14ac:dyDescent="0.3">
      <c r="P519" s="6"/>
      <c r="Q519" s="7"/>
    </row>
    <row r="520" spans="16:17" x14ac:dyDescent="0.3">
      <c r="P520" s="6"/>
      <c r="Q520" s="7"/>
    </row>
    <row r="521" spans="16:17" x14ac:dyDescent="0.3">
      <c r="P521" s="6"/>
      <c r="Q521" s="7"/>
    </row>
    <row r="522" spans="16:17" x14ac:dyDescent="0.3">
      <c r="P522" s="6"/>
      <c r="Q522" s="7"/>
    </row>
    <row r="523" spans="16:17" x14ac:dyDescent="0.3">
      <c r="P523" s="6"/>
      <c r="Q523" s="7"/>
    </row>
    <row r="524" spans="16:17" x14ac:dyDescent="0.3">
      <c r="P524" s="6"/>
      <c r="Q524" s="7"/>
    </row>
    <row r="525" spans="16:17" x14ac:dyDescent="0.3">
      <c r="P525" s="6"/>
      <c r="Q525" s="7"/>
    </row>
    <row r="526" spans="16:17" x14ac:dyDescent="0.3">
      <c r="P526" s="6"/>
      <c r="Q526" s="7"/>
    </row>
    <row r="527" spans="16:17" x14ac:dyDescent="0.3">
      <c r="P527" s="6"/>
      <c r="Q527" s="7"/>
    </row>
    <row r="528" spans="16:17" x14ac:dyDescent="0.3">
      <c r="P528" s="6"/>
      <c r="Q528" s="7"/>
    </row>
    <row r="529" spans="16:17" x14ac:dyDescent="0.3">
      <c r="P529" s="6"/>
      <c r="Q529" s="7"/>
    </row>
    <row r="530" spans="16:17" x14ac:dyDescent="0.3">
      <c r="P530" s="6"/>
      <c r="Q530" s="7"/>
    </row>
    <row r="531" spans="16:17" x14ac:dyDescent="0.3">
      <c r="P531" s="6"/>
      <c r="Q531" s="7"/>
    </row>
    <row r="532" spans="16:17" x14ac:dyDescent="0.3">
      <c r="P532" s="6"/>
      <c r="Q532" s="7"/>
    </row>
    <row r="533" spans="16:17" x14ac:dyDescent="0.3">
      <c r="P533" s="6"/>
      <c r="Q533" s="7"/>
    </row>
    <row r="534" spans="16:17" x14ac:dyDescent="0.3">
      <c r="P534" s="6"/>
      <c r="Q534" s="7"/>
    </row>
    <row r="535" spans="16:17" x14ac:dyDescent="0.3">
      <c r="P535" s="6"/>
      <c r="Q535" s="7"/>
    </row>
    <row r="536" spans="16:17" x14ac:dyDescent="0.3">
      <c r="P536" s="6"/>
      <c r="Q536" s="7"/>
    </row>
    <row r="537" spans="16:17" x14ac:dyDescent="0.3">
      <c r="P537" s="6"/>
      <c r="Q537" s="7"/>
    </row>
    <row r="538" spans="16:17" x14ac:dyDescent="0.3">
      <c r="P538" s="6"/>
      <c r="Q538" s="7"/>
    </row>
    <row r="539" spans="16:17" x14ac:dyDescent="0.3">
      <c r="P539" s="6"/>
      <c r="Q539" s="7"/>
    </row>
    <row r="540" spans="16:17" x14ac:dyDescent="0.3">
      <c r="P540" s="6"/>
      <c r="Q540" s="7"/>
    </row>
    <row r="541" spans="16:17" x14ac:dyDescent="0.3">
      <c r="P541" s="6"/>
      <c r="Q541" s="7"/>
    </row>
    <row r="542" spans="16:17" x14ac:dyDescent="0.3">
      <c r="P542" s="6"/>
      <c r="Q542" s="7"/>
    </row>
    <row r="543" spans="16:17" x14ac:dyDescent="0.3">
      <c r="P543" s="6"/>
      <c r="Q543" s="7"/>
    </row>
    <row r="544" spans="16:17" ht="15.6" x14ac:dyDescent="0.3">
      <c r="P544" s="17"/>
      <c r="Q544" s="17"/>
    </row>
    <row r="545" spans="16:17" x14ac:dyDescent="0.3">
      <c r="P545" s="6"/>
      <c r="Q545" s="7"/>
    </row>
    <row r="546" spans="16:17" x14ac:dyDescent="0.3">
      <c r="P546" s="6"/>
      <c r="Q546" s="7"/>
    </row>
    <row r="547" spans="16:17" x14ac:dyDescent="0.3">
      <c r="P547" s="6"/>
      <c r="Q547" s="7"/>
    </row>
    <row r="548" spans="16:17" x14ac:dyDescent="0.3">
      <c r="P548" s="6"/>
      <c r="Q548" s="7"/>
    </row>
    <row r="549" spans="16:17" x14ac:dyDescent="0.3">
      <c r="P549" s="6"/>
      <c r="Q549" s="7"/>
    </row>
    <row r="550" spans="16:17" x14ac:dyDescent="0.3">
      <c r="P550" s="6"/>
      <c r="Q550" s="7"/>
    </row>
    <row r="551" spans="16:17" x14ac:dyDescent="0.3">
      <c r="P551" s="6"/>
      <c r="Q551" s="7"/>
    </row>
    <row r="552" spans="16:17" x14ac:dyDescent="0.3">
      <c r="P552" s="6"/>
      <c r="Q552" s="7"/>
    </row>
    <row r="553" spans="16:17" x14ac:dyDescent="0.3">
      <c r="P553" s="6"/>
      <c r="Q553" s="7"/>
    </row>
    <row r="554" spans="16:17" x14ac:dyDescent="0.3">
      <c r="P554" s="6"/>
      <c r="Q554" s="7"/>
    </row>
    <row r="555" spans="16:17" x14ac:dyDescent="0.3">
      <c r="P555" s="6"/>
      <c r="Q555" s="7"/>
    </row>
    <row r="556" spans="16:17" x14ac:dyDescent="0.3">
      <c r="P556" s="6"/>
      <c r="Q556" s="7"/>
    </row>
    <row r="557" spans="16:17" x14ac:dyDescent="0.3">
      <c r="P557" s="6"/>
      <c r="Q557" s="7"/>
    </row>
    <row r="558" spans="16:17" x14ac:dyDescent="0.3">
      <c r="P558" s="6"/>
      <c r="Q558" s="7"/>
    </row>
    <row r="559" spans="16:17" x14ac:dyDescent="0.3">
      <c r="P559" s="6"/>
      <c r="Q559" s="7"/>
    </row>
    <row r="560" spans="16:17" x14ac:dyDescent="0.3">
      <c r="P560" s="6"/>
      <c r="Q560" s="7"/>
    </row>
    <row r="561" spans="16:17" x14ac:dyDescent="0.3">
      <c r="P561" s="6"/>
      <c r="Q561" s="7"/>
    </row>
    <row r="562" spans="16:17" x14ac:dyDescent="0.3">
      <c r="P562" s="6"/>
      <c r="Q562" s="7"/>
    </row>
    <row r="563" spans="16:17" x14ac:dyDescent="0.3">
      <c r="P563" s="6"/>
      <c r="Q563" s="7"/>
    </row>
    <row r="564" spans="16:17" x14ac:dyDescent="0.3">
      <c r="P564" s="6"/>
      <c r="Q564" s="7"/>
    </row>
    <row r="565" spans="16:17" x14ac:dyDescent="0.3">
      <c r="P565" s="6"/>
      <c r="Q565" s="7"/>
    </row>
    <row r="566" spans="16:17" x14ac:dyDescent="0.3">
      <c r="P566" s="6"/>
      <c r="Q566" s="7"/>
    </row>
    <row r="567" spans="16:17" x14ac:dyDescent="0.3">
      <c r="P567" s="6"/>
      <c r="Q567" s="7"/>
    </row>
    <row r="568" spans="16:17" x14ac:dyDescent="0.3">
      <c r="P568" s="6"/>
      <c r="Q568" s="7"/>
    </row>
    <row r="569" spans="16:17" x14ac:dyDescent="0.3">
      <c r="P569" s="6"/>
      <c r="Q569" s="7"/>
    </row>
    <row r="570" spans="16:17" x14ac:dyDescent="0.3">
      <c r="P570" s="6"/>
      <c r="Q570" s="7"/>
    </row>
    <row r="571" spans="16:17" x14ac:dyDescent="0.3">
      <c r="P571" s="6"/>
      <c r="Q571" s="7"/>
    </row>
    <row r="572" spans="16:17" x14ac:dyDescent="0.3">
      <c r="P572" s="6"/>
      <c r="Q572" s="7"/>
    </row>
    <row r="573" spans="16:17" x14ac:dyDescent="0.3">
      <c r="P573" s="6"/>
      <c r="Q573" s="7"/>
    </row>
    <row r="574" spans="16:17" x14ac:dyDescent="0.3">
      <c r="P574" s="6"/>
      <c r="Q574" s="7"/>
    </row>
    <row r="575" spans="16:17" x14ac:dyDescent="0.3">
      <c r="P575" s="6"/>
      <c r="Q575" s="7"/>
    </row>
    <row r="576" spans="16:17" x14ac:dyDescent="0.3">
      <c r="P576" s="6"/>
      <c r="Q576" s="7"/>
    </row>
    <row r="577" spans="16:17" x14ac:dyDescent="0.3">
      <c r="P577" s="6"/>
      <c r="Q577" s="7"/>
    </row>
    <row r="578" spans="16:17" x14ac:dyDescent="0.3">
      <c r="P578" s="6"/>
      <c r="Q578" s="7"/>
    </row>
    <row r="579" spans="16:17" x14ac:dyDescent="0.3">
      <c r="P579" s="6"/>
      <c r="Q579" s="7"/>
    </row>
    <row r="580" spans="16:17" x14ac:dyDescent="0.3">
      <c r="P580" s="6"/>
      <c r="Q580" s="7"/>
    </row>
    <row r="581" spans="16:17" x14ac:dyDescent="0.3">
      <c r="P581" s="6"/>
      <c r="Q581" s="7"/>
    </row>
    <row r="582" spans="16:17" x14ac:dyDescent="0.3">
      <c r="P582" s="6"/>
      <c r="Q582" s="7"/>
    </row>
    <row r="583" spans="16:17" x14ac:dyDescent="0.3">
      <c r="P583" s="6"/>
      <c r="Q583" s="7"/>
    </row>
    <row r="584" spans="16:17" x14ac:dyDescent="0.3">
      <c r="P584" s="6"/>
      <c r="Q584" s="7"/>
    </row>
    <row r="585" spans="16:17" x14ac:dyDescent="0.3">
      <c r="P585" s="6"/>
      <c r="Q585" s="7"/>
    </row>
    <row r="586" spans="16:17" x14ac:dyDescent="0.3">
      <c r="P586" s="6"/>
      <c r="Q586" s="7"/>
    </row>
    <row r="587" spans="16:17" x14ac:dyDescent="0.3">
      <c r="P587" s="6"/>
      <c r="Q587" s="7"/>
    </row>
    <row r="588" spans="16:17" x14ac:dyDescent="0.3">
      <c r="P588" s="6"/>
      <c r="Q588" s="7"/>
    </row>
    <row r="589" spans="16:17" x14ac:dyDescent="0.3">
      <c r="P589" s="6"/>
      <c r="Q589" s="7"/>
    </row>
    <row r="590" spans="16:17" x14ac:dyDescent="0.3">
      <c r="P590" s="6"/>
      <c r="Q590" s="7"/>
    </row>
    <row r="591" spans="16:17" x14ac:dyDescent="0.3">
      <c r="P591" s="6"/>
      <c r="Q591" s="7"/>
    </row>
    <row r="592" spans="16:17" x14ac:dyDescent="0.3">
      <c r="P592" s="6"/>
      <c r="Q592" s="7"/>
    </row>
    <row r="593" spans="16:17" x14ac:dyDescent="0.3">
      <c r="P593" s="6"/>
      <c r="Q593" s="7"/>
    </row>
    <row r="594" spans="16:17" x14ac:dyDescent="0.3">
      <c r="P594" s="6"/>
      <c r="Q594" s="7"/>
    </row>
    <row r="595" spans="16:17" x14ac:dyDescent="0.3">
      <c r="P595" s="6"/>
      <c r="Q595" s="7"/>
    </row>
    <row r="596" spans="16:17" x14ac:dyDescent="0.3">
      <c r="P596" s="6"/>
      <c r="Q596" s="7"/>
    </row>
    <row r="597" spans="16:17" x14ac:dyDescent="0.3">
      <c r="P597" s="6"/>
      <c r="Q597" s="7"/>
    </row>
    <row r="598" spans="16:17" x14ac:dyDescent="0.3">
      <c r="P598" s="6"/>
      <c r="Q598" s="7"/>
    </row>
    <row r="599" spans="16:17" x14ac:dyDescent="0.3">
      <c r="P599" s="6"/>
      <c r="Q599" s="7"/>
    </row>
    <row r="600" spans="16:17" x14ac:dyDescent="0.3">
      <c r="P600" s="6"/>
      <c r="Q600" s="7"/>
    </row>
    <row r="601" spans="16:17" x14ac:dyDescent="0.3">
      <c r="P601" s="6"/>
      <c r="Q601" s="7"/>
    </row>
    <row r="602" spans="16:17" x14ac:dyDescent="0.3">
      <c r="P602" s="6"/>
      <c r="Q602" s="7"/>
    </row>
    <row r="603" spans="16:17" x14ac:dyDescent="0.3">
      <c r="P603" s="6"/>
      <c r="Q603" s="7"/>
    </row>
    <row r="604" spans="16:17" x14ac:dyDescent="0.3">
      <c r="P604" s="6"/>
      <c r="Q604" s="7"/>
    </row>
    <row r="605" spans="16:17" x14ac:dyDescent="0.3">
      <c r="P605" s="6"/>
      <c r="Q605" s="7"/>
    </row>
    <row r="606" spans="16:17" x14ac:dyDescent="0.3">
      <c r="P606" s="6"/>
      <c r="Q606" s="7"/>
    </row>
    <row r="607" spans="16:17" x14ac:dyDescent="0.3">
      <c r="P607" s="6"/>
      <c r="Q607" s="7"/>
    </row>
    <row r="608" spans="16:17" x14ac:dyDescent="0.3">
      <c r="P608" s="6"/>
      <c r="Q608" s="7"/>
    </row>
    <row r="609" spans="16:17" x14ac:dyDescent="0.3">
      <c r="P609" s="6"/>
      <c r="Q609" s="7"/>
    </row>
    <row r="610" spans="16:17" x14ac:dyDescent="0.3">
      <c r="P610" s="6"/>
      <c r="Q610" s="7"/>
    </row>
    <row r="611" spans="16:17" x14ac:dyDescent="0.3">
      <c r="P611" s="6"/>
      <c r="Q611" s="7"/>
    </row>
    <row r="612" spans="16:17" x14ac:dyDescent="0.3">
      <c r="P612" s="6"/>
      <c r="Q612" s="7"/>
    </row>
    <row r="613" spans="16:17" x14ac:dyDescent="0.3">
      <c r="P613" s="6"/>
      <c r="Q613" s="7"/>
    </row>
    <row r="614" spans="16:17" x14ac:dyDescent="0.3">
      <c r="P614" s="6"/>
      <c r="Q614" s="7"/>
    </row>
    <row r="615" spans="16:17" x14ac:dyDescent="0.3">
      <c r="P615" s="6"/>
      <c r="Q615" s="7"/>
    </row>
    <row r="616" spans="16:17" x14ac:dyDescent="0.3">
      <c r="P616" s="6"/>
      <c r="Q616" s="7"/>
    </row>
    <row r="617" spans="16:17" x14ac:dyDescent="0.3">
      <c r="P617" s="6"/>
      <c r="Q617" s="7"/>
    </row>
    <row r="618" spans="16:17" x14ac:dyDescent="0.3">
      <c r="P618" s="6"/>
      <c r="Q618" s="7"/>
    </row>
    <row r="619" spans="16:17" x14ac:dyDescent="0.3">
      <c r="P619" s="6"/>
      <c r="Q619" s="7"/>
    </row>
    <row r="620" spans="16:17" x14ac:dyDescent="0.3">
      <c r="P620" s="6"/>
      <c r="Q620" s="7"/>
    </row>
    <row r="621" spans="16:17" x14ac:dyDescent="0.3">
      <c r="P621" s="6"/>
      <c r="Q621" s="7"/>
    </row>
    <row r="622" spans="16:17" x14ac:dyDescent="0.3">
      <c r="P622" s="6"/>
      <c r="Q622" s="7"/>
    </row>
    <row r="623" spans="16:17" x14ac:dyDescent="0.3">
      <c r="P623" s="6"/>
      <c r="Q623" s="7"/>
    </row>
    <row r="624" spans="16:17" x14ac:dyDescent="0.3">
      <c r="P624" s="6"/>
      <c r="Q624" s="7"/>
    </row>
    <row r="625" spans="16:17" x14ac:dyDescent="0.3">
      <c r="P625" s="6"/>
      <c r="Q625" s="7"/>
    </row>
    <row r="626" spans="16:17" x14ac:dyDescent="0.3">
      <c r="P626" s="6"/>
      <c r="Q626" s="7"/>
    </row>
    <row r="627" spans="16:17" x14ac:dyDescent="0.3">
      <c r="P627" s="6"/>
      <c r="Q627" s="7"/>
    </row>
    <row r="628" spans="16:17" x14ac:dyDescent="0.3">
      <c r="P628" s="6"/>
      <c r="Q628" s="7"/>
    </row>
    <row r="629" spans="16:17" x14ac:dyDescent="0.3">
      <c r="P629" s="6"/>
      <c r="Q629" s="7"/>
    </row>
    <row r="630" spans="16:17" x14ac:dyDescent="0.3">
      <c r="P630" s="6"/>
      <c r="Q630" s="7"/>
    </row>
    <row r="631" spans="16:17" x14ac:dyDescent="0.3">
      <c r="P631" s="6"/>
      <c r="Q631" s="7"/>
    </row>
    <row r="632" spans="16:17" x14ac:dyDescent="0.3">
      <c r="P632" s="6"/>
      <c r="Q632" s="7"/>
    </row>
    <row r="633" spans="16:17" x14ac:dyDescent="0.3">
      <c r="P633" s="6"/>
      <c r="Q633" s="7"/>
    </row>
    <row r="634" spans="16:17" x14ac:dyDescent="0.3">
      <c r="P634" s="6"/>
      <c r="Q634" s="7"/>
    </row>
    <row r="635" spans="16:17" x14ac:dyDescent="0.3">
      <c r="P635" s="6"/>
      <c r="Q635" s="7"/>
    </row>
    <row r="636" spans="16:17" x14ac:dyDescent="0.3">
      <c r="P636" s="6"/>
      <c r="Q636" s="7"/>
    </row>
    <row r="637" spans="16:17" x14ac:dyDescent="0.3">
      <c r="P637" s="6"/>
      <c r="Q637" s="7"/>
    </row>
    <row r="638" spans="16:17" x14ac:dyDescent="0.3">
      <c r="P638" s="6"/>
      <c r="Q638" s="7"/>
    </row>
    <row r="639" spans="16:17" x14ac:dyDescent="0.3">
      <c r="P639" s="6"/>
      <c r="Q639" s="7"/>
    </row>
    <row r="640" spans="16:17" x14ac:dyDescent="0.3">
      <c r="P640" s="6"/>
      <c r="Q640" s="7"/>
    </row>
    <row r="641" spans="16:17" x14ac:dyDescent="0.3">
      <c r="P641" s="6"/>
      <c r="Q641" s="7"/>
    </row>
    <row r="642" spans="16:17" x14ac:dyDescent="0.3">
      <c r="P642" s="6"/>
      <c r="Q642" s="7"/>
    </row>
    <row r="643" spans="16:17" x14ac:dyDescent="0.3">
      <c r="P643" s="6"/>
      <c r="Q643" s="7"/>
    </row>
    <row r="644" spans="16:17" x14ac:dyDescent="0.3">
      <c r="P644" s="6"/>
      <c r="Q644" s="7"/>
    </row>
    <row r="645" spans="16:17" x14ac:dyDescent="0.3">
      <c r="P645" s="6"/>
      <c r="Q645" s="7"/>
    </row>
    <row r="646" spans="16:17" x14ac:dyDescent="0.3">
      <c r="P646" s="6"/>
      <c r="Q646" s="7"/>
    </row>
    <row r="647" spans="16:17" x14ac:dyDescent="0.3">
      <c r="P647" s="6"/>
      <c r="Q647" s="7"/>
    </row>
    <row r="648" spans="16:17" x14ac:dyDescent="0.3">
      <c r="P648" s="6"/>
      <c r="Q648" s="7"/>
    </row>
    <row r="649" spans="16:17" x14ac:dyDescent="0.3">
      <c r="P649" s="6"/>
      <c r="Q649" s="7"/>
    </row>
    <row r="650" spans="16:17" x14ac:dyDescent="0.3">
      <c r="P650" s="6"/>
      <c r="Q650" s="7"/>
    </row>
    <row r="651" spans="16:17" x14ac:dyDescent="0.3">
      <c r="P651" s="6"/>
      <c r="Q651" s="7"/>
    </row>
    <row r="652" spans="16:17" x14ac:dyDescent="0.3">
      <c r="P652" s="6"/>
      <c r="Q652" s="7"/>
    </row>
    <row r="653" spans="16:17" x14ac:dyDescent="0.3">
      <c r="P653" s="6"/>
      <c r="Q653" s="7"/>
    </row>
    <row r="654" spans="16:17" x14ac:dyDescent="0.3">
      <c r="P654" s="6"/>
      <c r="Q654" s="7"/>
    </row>
    <row r="655" spans="16:17" x14ac:dyDescent="0.3">
      <c r="P655" s="6"/>
      <c r="Q655" s="7"/>
    </row>
    <row r="656" spans="16:17" x14ac:dyDescent="0.3">
      <c r="P656" s="6"/>
      <c r="Q656" s="7"/>
    </row>
    <row r="657" spans="16:17" x14ac:dyDescent="0.3">
      <c r="P657" s="6"/>
      <c r="Q657" s="7"/>
    </row>
    <row r="658" spans="16:17" x14ac:dyDescent="0.3">
      <c r="P658" s="6"/>
      <c r="Q658" s="7"/>
    </row>
    <row r="659" spans="16:17" x14ac:dyDescent="0.3">
      <c r="P659" s="6"/>
      <c r="Q659" s="7"/>
    </row>
    <row r="660" spans="16:17" x14ac:dyDescent="0.3">
      <c r="P660" s="6"/>
      <c r="Q660" s="7"/>
    </row>
    <row r="661" spans="16:17" x14ac:dyDescent="0.3">
      <c r="P661" s="6"/>
      <c r="Q661" s="7"/>
    </row>
    <row r="662" spans="16:17" x14ac:dyDescent="0.3">
      <c r="P662" s="6"/>
      <c r="Q662" s="7"/>
    </row>
    <row r="663" spans="16:17" x14ac:dyDescent="0.3">
      <c r="P663" s="6"/>
      <c r="Q663" s="7"/>
    </row>
    <row r="664" spans="16:17" x14ac:dyDescent="0.3">
      <c r="P664" s="6"/>
      <c r="Q664" s="7"/>
    </row>
    <row r="665" spans="16:17" x14ac:dyDescent="0.3">
      <c r="P665" s="6"/>
      <c r="Q665" s="7"/>
    </row>
    <row r="666" spans="16:17" x14ac:dyDescent="0.3">
      <c r="P666" s="6"/>
      <c r="Q666" s="7"/>
    </row>
    <row r="667" spans="16:17" x14ac:dyDescent="0.3">
      <c r="P667" s="6"/>
      <c r="Q667" s="7"/>
    </row>
    <row r="668" spans="16:17" x14ac:dyDescent="0.3">
      <c r="P668" s="6"/>
      <c r="Q668" s="7"/>
    </row>
    <row r="669" spans="16:17" x14ac:dyDescent="0.3">
      <c r="P669" s="6"/>
      <c r="Q669" s="7"/>
    </row>
    <row r="670" spans="16:17" x14ac:dyDescent="0.3">
      <c r="P670" s="6"/>
      <c r="Q670" s="7"/>
    </row>
    <row r="671" spans="16:17" x14ac:dyDescent="0.3">
      <c r="P671" s="6"/>
      <c r="Q671" s="7"/>
    </row>
    <row r="672" spans="16:17" x14ac:dyDescent="0.3">
      <c r="P672" s="6"/>
      <c r="Q672" s="7"/>
    </row>
    <row r="673" spans="16:17" x14ac:dyDescent="0.3">
      <c r="P673" s="6"/>
      <c r="Q673" s="7"/>
    </row>
    <row r="674" spans="16:17" x14ac:dyDescent="0.3">
      <c r="P674" s="6"/>
      <c r="Q674" s="7"/>
    </row>
    <row r="675" spans="16:17" x14ac:dyDescent="0.3">
      <c r="P675" s="6"/>
      <c r="Q675" s="7"/>
    </row>
    <row r="676" spans="16:17" x14ac:dyDescent="0.3">
      <c r="P676" s="6"/>
      <c r="Q676" s="7"/>
    </row>
    <row r="677" spans="16:17" x14ac:dyDescent="0.3">
      <c r="P677" s="6"/>
      <c r="Q677" s="7"/>
    </row>
    <row r="678" spans="16:17" x14ac:dyDescent="0.3">
      <c r="P678" s="6"/>
      <c r="Q678" s="7"/>
    </row>
    <row r="679" spans="16:17" x14ac:dyDescent="0.3">
      <c r="P679" s="6"/>
      <c r="Q679" s="7"/>
    </row>
    <row r="680" spans="16:17" x14ac:dyDescent="0.3">
      <c r="P680" s="6"/>
      <c r="Q680" s="7"/>
    </row>
    <row r="681" spans="16:17" x14ac:dyDescent="0.3">
      <c r="P681" s="6"/>
      <c r="Q681" s="7"/>
    </row>
    <row r="682" spans="16:17" x14ac:dyDescent="0.3">
      <c r="P682" s="6"/>
      <c r="Q682" s="7"/>
    </row>
    <row r="683" spans="16:17" x14ac:dyDescent="0.3">
      <c r="P683" s="6"/>
      <c r="Q683" s="7"/>
    </row>
    <row r="684" spans="16:17" x14ac:dyDescent="0.3">
      <c r="P684" s="6"/>
      <c r="Q684" s="7"/>
    </row>
    <row r="685" spans="16:17" x14ac:dyDescent="0.3">
      <c r="P685" s="6"/>
      <c r="Q685" s="7"/>
    </row>
    <row r="686" spans="16:17" x14ac:dyDescent="0.3">
      <c r="P686" s="6"/>
      <c r="Q686" s="7"/>
    </row>
    <row r="687" spans="16:17" x14ac:dyDescent="0.3">
      <c r="P687" s="6"/>
      <c r="Q687" s="7"/>
    </row>
    <row r="688" spans="16:17" x14ac:dyDescent="0.3">
      <c r="P688" s="6"/>
      <c r="Q688" s="7"/>
    </row>
    <row r="689" spans="16:17" x14ac:dyDescent="0.3">
      <c r="P689" s="6"/>
      <c r="Q689" s="7"/>
    </row>
    <row r="690" spans="16:17" x14ac:dyDescent="0.3">
      <c r="P690" s="6"/>
      <c r="Q690" s="7"/>
    </row>
    <row r="691" spans="16:17" x14ac:dyDescent="0.3">
      <c r="P691" s="6"/>
      <c r="Q691" s="7"/>
    </row>
    <row r="692" spans="16:17" x14ac:dyDescent="0.3">
      <c r="P692" s="6"/>
      <c r="Q692" s="7"/>
    </row>
    <row r="693" spans="16:17" x14ac:dyDescent="0.3">
      <c r="P693" s="6"/>
      <c r="Q693" s="7"/>
    </row>
    <row r="694" spans="16:17" x14ac:dyDescent="0.3">
      <c r="P694" s="6"/>
      <c r="Q694" s="7"/>
    </row>
    <row r="695" spans="16:17" x14ac:dyDescent="0.3">
      <c r="P695" s="6"/>
      <c r="Q695" s="7"/>
    </row>
    <row r="696" spans="16:17" x14ac:dyDescent="0.3">
      <c r="P696" s="6"/>
      <c r="Q696" s="7"/>
    </row>
    <row r="697" spans="16:17" x14ac:dyDescent="0.3">
      <c r="P697" s="6"/>
      <c r="Q697" s="7"/>
    </row>
    <row r="698" spans="16:17" x14ac:dyDescent="0.3">
      <c r="P698" s="6"/>
      <c r="Q698" s="7"/>
    </row>
    <row r="699" spans="16:17" x14ac:dyDescent="0.3">
      <c r="P699" s="6"/>
      <c r="Q699" s="7"/>
    </row>
    <row r="700" spans="16:17" x14ac:dyDescent="0.3">
      <c r="P700" s="6"/>
      <c r="Q700" s="7"/>
    </row>
    <row r="701" spans="16:17" x14ac:dyDescent="0.3">
      <c r="P701" s="6"/>
      <c r="Q701" s="7"/>
    </row>
    <row r="702" spans="16:17" x14ac:dyDescent="0.3">
      <c r="P702" s="6"/>
      <c r="Q702" s="7"/>
    </row>
    <row r="703" spans="16:17" x14ac:dyDescent="0.3">
      <c r="P703" s="6"/>
      <c r="Q703" s="7"/>
    </row>
    <row r="704" spans="16:17" x14ac:dyDescent="0.3">
      <c r="P704" s="6"/>
      <c r="Q704" s="7"/>
    </row>
    <row r="705" spans="16:17" x14ac:dyDescent="0.3">
      <c r="P705" s="6"/>
      <c r="Q705" s="7"/>
    </row>
    <row r="706" spans="16:17" x14ac:dyDescent="0.3">
      <c r="P706" s="6"/>
      <c r="Q706" s="7"/>
    </row>
    <row r="707" spans="16:17" x14ac:dyDescent="0.3">
      <c r="P707" s="6"/>
      <c r="Q707" s="7"/>
    </row>
    <row r="708" spans="16:17" x14ac:dyDescent="0.3">
      <c r="P708" s="6"/>
      <c r="Q708" s="7"/>
    </row>
    <row r="709" spans="16:17" x14ac:dyDescent="0.3">
      <c r="P709" s="6"/>
      <c r="Q709" s="7"/>
    </row>
    <row r="710" spans="16:17" x14ac:dyDescent="0.3">
      <c r="P710" s="6"/>
      <c r="Q710" s="7"/>
    </row>
    <row r="711" spans="16:17" x14ac:dyDescent="0.3">
      <c r="P711" s="6"/>
      <c r="Q711" s="7"/>
    </row>
    <row r="712" spans="16:17" x14ac:dyDescent="0.3">
      <c r="P712" s="6"/>
      <c r="Q712" s="7"/>
    </row>
    <row r="713" spans="16:17" x14ac:dyDescent="0.3">
      <c r="P713" s="6"/>
      <c r="Q713" s="7"/>
    </row>
    <row r="714" spans="16:17" x14ac:dyDescent="0.3">
      <c r="P714" s="6"/>
      <c r="Q714" s="7"/>
    </row>
    <row r="715" spans="16:17" x14ac:dyDescent="0.3">
      <c r="P715" s="6"/>
      <c r="Q715" s="7"/>
    </row>
    <row r="716" spans="16:17" x14ac:dyDescent="0.3">
      <c r="P716" s="6"/>
      <c r="Q716" s="7"/>
    </row>
    <row r="717" spans="16:17" x14ac:dyDescent="0.3">
      <c r="P717" s="6"/>
      <c r="Q717" s="7"/>
    </row>
    <row r="718" spans="16:17" x14ac:dyDescent="0.3">
      <c r="P718" s="6"/>
      <c r="Q718" s="7"/>
    </row>
    <row r="719" spans="16:17" x14ac:dyDescent="0.3">
      <c r="P719" s="6"/>
      <c r="Q719" s="7"/>
    </row>
    <row r="720" spans="16:17" x14ac:dyDescent="0.3">
      <c r="P720" s="6"/>
      <c r="Q720" s="7"/>
    </row>
    <row r="721" spans="16:17" x14ac:dyDescent="0.3">
      <c r="P721" s="6"/>
      <c r="Q721" s="7"/>
    </row>
    <row r="722" spans="16:17" x14ac:dyDescent="0.3">
      <c r="P722" s="6"/>
      <c r="Q722" s="7"/>
    </row>
    <row r="723" spans="16:17" x14ac:dyDescent="0.3">
      <c r="P723" s="6"/>
      <c r="Q723" s="7"/>
    </row>
    <row r="724" spans="16:17" x14ac:dyDescent="0.3">
      <c r="P724" s="6"/>
      <c r="Q724" s="7"/>
    </row>
    <row r="725" spans="16:17" x14ac:dyDescent="0.3">
      <c r="P725" s="6"/>
      <c r="Q725" s="7"/>
    </row>
    <row r="726" spans="16:17" x14ac:dyDescent="0.3">
      <c r="P726" s="6"/>
      <c r="Q726" s="7"/>
    </row>
    <row r="727" spans="16:17" x14ac:dyDescent="0.3">
      <c r="P727" s="6"/>
      <c r="Q727" s="7"/>
    </row>
    <row r="728" spans="16:17" x14ac:dyDescent="0.3">
      <c r="P728" s="6"/>
      <c r="Q728" s="7"/>
    </row>
    <row r="729" spans="16:17" x14ac:dyDescent="0.3">
      <c r="P729" s="6"/>
      <c r="Q729" s="7"/>
    </row>
    <row r="730" spans="16:17" x14ac:dyDescent="0.3">
      <c r="P730" s="6"/>
      <c r="Q730" s="7"/>
    </row>
    <row r="731" spans="16:17" x14ac:dyDescent="0.3">
      <c r="P731" s="6"/>
      <c r="Q731" s="7"/>
    </row>
    <row r="732" spans="16:17" x14ac:dyDescent="0.3">
      <c r="P732" s="6"/>
      <c r="Q732" s="7"/>
    </row>
    <row r="733" spans="16:17" x14ac:dyDescent="0.3">
      <c r="P733" s="6"/>
      <c r="Q733" s="7"/>
    </row>
    <row r="734" spans="16:17" x14ac:dyDescent="0.3">
      <c r="P734" s="6"/>
      <c r="Q734" s="7"/>
    </row>
    <row r="735" spans="16:17" x14ac:dyDescent="0.3">
      <c r="P735" s="6"/>
      <c r="Q735" s="7"/>
    </row>
    <row r="736" spans="16:17" x14ac:dyDescent="0.3">
      <c r="P736" s="6"/>
      <c r="Q736" s="7"/>
    </row>
    <row r="737" spans="16:17" x14ac:dyDescent="0.3">
      <c r="P737" s="6"/>
      <c r="Q737" s="7"/>
    </row>
    <row r="738" spans="16:17" x14ac:dyDescent="0.3">
      <c r="P738" s="6"/>
      <c r="Q738" s="7"/>
    </row>
    <row r="739" spans="16:17" x14ac:dyDescent="0.3">
      <c r="P739" s="6"/>
      <c r="Q739" s="7"/>
    </row>
    <row r="740" spans="16:17" x14ac:dyDescent="0.3">
      <c r="P740" s="6"/>
      <c r="Q740" s="7"/>
    </row>
  </sheetData>
  <sortState xmlns:xlrd2="http://schemas.microsoft.com/office/spreadsheetml/2017/richdata2" ref="P3:Q9">
    <sortCondition ref="P2"/>
  </sortState>
  <pageMargins left="0.7" right="0.7" top="0.75" bottom="0.75" header="0.3" footer="0.3"/>
  <pageSetup paperSize="9" orientation="portrait" horizontalDpi="4294967293" verticalDpi="4294967293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37"/>
  <sheetViews>
    <sheetView workbookViewId="0">
      <selection activeCell="D37" sqref="D37"/>
    </sheetView>
  </sheetViews>
  <sheetFormatPr baseColWidth="10" defaultRowHeight="14.4" x14ac:dyDescent="0.3"/>
  <cols>
    <col min="2" max="2" width="21.109375" customWidth="1"/>
  </cols>
  <sheetData>
    <row r="2" spans="2:2" x14ac:dyDescent="0.3">
      <c r="B2" s="242">
        <v>8521.9399999999987</v>
      </c>
    </row>
    <row r="3" spans="2:2" x14ac:dyDescent="0.3">
      <c r="B3" s="242">
        <v>24337.32</v>
      </c>
    </row>
    <row r="4" spans="2:2" x14ac:dyDescent="0.3">
      <c r="B4" s="242">
        <v>49749</v>
      </c>
    </row>
    <row r="5" spans="2:2" x14ac:dyDescent="0.3">
      <c r="B5" s="242">
        <v>100640.46999999999</v>
      </c>
    </row>
    <row r="6" spans="2:2" x14ac:dyDescent="0.3">
      <c r="B6" s="242">
        <v>5572</v>
      </c>
    </row>
    <row r="7" spans="2:2" x14ac:dyDescent="0.3">
      <c r="B7" s="242">
        <v>90756.329999999987</v>
      </c>
    </row>
    <row r="8" spans="2:2" x14ac:dyDescent="0.3">
      <c r="B8" s="242">
        <v>8148</v>
      </c>
    </row>
    <row r="9" spans="2:2" x14ac:dyDescent="0.3">
      <c r="B9" s="242">
        <v>15217.999999999998</v>
      </c>
    </row>
    <row r="10" spans="2:2" x14ac:dyDescent="0.3">
      <c r="B10" s="242">
        <v>9550.7999999999993</v>
      </c>
    </row>
    <row r="11" spans="2:2" x14ac:dyDescent="0.3">
      <c r="B11" s="242">
        <v>10150</v>
      </c>
    </row>
    <row r="12" spans="2:2" x14ac:dyDescent="0.3">
      <c r="B12" s="242">
        <v>11389</v>
      </c>
    </row>
    <row r="13" spans="2:2" x14ac:dyDescent="0.3">
      <c r="B13" s="242">
        <v>6426</v>
      </c>
    </row>
    <row r="14" spans="2:2" x14ac:dyDescent="0.3">
      <c r="B14" s="242">
        <v>12537</v>
      </c>
    </row>
    <row r="15" spans="2:2" x14ac:dyDescent="0.3">
      <c r="B15" s="242">
        <v>4508</v>
      </c>
    </row>
    <row r="16" spans="2:2" x14ac:dyDescent="0.3">
      <c r="B16" s="242">
        <v>1330</v>
      </c>
    </row>
    <row r="17" spans="2:2" x14ac:dyDescent="0.3">
      <c r="B17" s="242">
        <v>10290</v>
      </c>
    </row>
    <row r="18" spans="2:2" x14ac:dyDescent="0.3">
      <c r="B18" s="242">
        <v>15715</v>
      </c>
    </row>
    <row r="19" spans="2:2" x14ac:dyDescent="0.3">
      <c r="B19" s="242">
        <v>7749</v>
      </c>
    </row>
    <row r="20" spans="2:2" x14ac:dyDescent="0.3">
      <c r="B20" s="242">
        <v>9590</v>
      </c>
    </row>
    <row r="21" spans="2:2" x14ac:dyDescent="0.3">
      <c r="B21" s="242">
        <v>2730</v>
      </c>
    </row>
    <row r="22" spans="2:2" x14ac:dyDescent="0.3">
      <c r="B22" s="242">
        <v>4270</v>
      </c>
    </row>
    <row r="23" spans="2:2" x14ac:dyDescent="0.3">
      <c r="B23" s="242">
        <v>3192</v>
      </c>
    </row>
    <row r="24" spans="2:2" x14ac:dyDescent="0.3">
      <c r="B24" s="242">
        <v>114660</v>
      </c>
    </row>
    <row r="25" spans="2:2" x14ac:dyDescent="0.3">
      <c r="B25" s="242">
        <v>72030</v>
      </c>
    </row>
    <row r="26" spans="2:2" x14ac:dyDescent="0.3">
      <c r="B26" s="242">
        <v>7749</v>
      </c>
    </row>
    <row r="27" spans="2:2" x14ac:dyDescent="0.3">
      <c r="B27" s="242">
        <v>57540</v>
      </c>
    </row>
    <row r="28" spans="2:2" x14ac:dyDescent="0.3">
      <c r="B28" s="242">
        <v>27090</v>
      </c>
    </row>
    <row r="29" spans="2:2" x14ac:dyDescent="0.3">
      <c r="B29" s="242">
        <v>32130</v>
      </c>
    </row>
    <row r="30" spans="2:2" x14ac:dyDescent="0.3">
      <c r="B30" s="242">
        <v>924</v>
      </c>
    </row>
    <row r="31" spans="2:2" x14ac:dyDescent="0.3">
      <c r="B31" s="242">
        <v>5726</v>
      </c>
    </row>
    <row r="32" spans="2:2" x14ac:dyDescent="0.3">
      <c r="B32" s="242">
        <v>7749</v>
      </c>
    </row>
    <row r="33" spans="2:2" x14ac:dyDescent="0.3">
      <c r="B33" s="242">
        <v>10437</v>
      </c>
    </row>
    <row r="34" spans="2:2" x14ac:dyDescent="0.3">
      <c r="B34" s="242">
        <v>2604</v>
      </c>
    </row>
    <row r="35" spans="2:2" x14ac:dyDescent="0.3">
      <c r="B35" s="242">
        <v>2100</v>
      </c>
    </row>
    <row r="36" spans="2:2" x14ac:dyDescent="0.3">
      <c r="B36" s="242">
        <v>8757.1400000000012</v>
      </c>
    </row>
    <row r="37" spans="2:2" x14ac:dyDescent="0.3">
      <c r="B37" s="242">
        <v>56413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CATALOGO</vt:lpstr>
      <vt:lpstr>UNITARIOS</vt:lpstr>
      <vt:lpstr>ADMINISTRATIVO</vt:lpstr>
      <vt:lpstr>CRONOGRAMA</vt:lpstr>
      <vt:lpstr>PRECIOS</vt:lpstr>
      <vt:lpstr>Hoja1</vt:lpstr>
      <vt:lpstr>ADMINISTRATIVO!Área_de_impresión</vt:lpstr>
      <vt:lpstr>CATALOGO!Área_de_impresión</vt:lpstr>
      <vt:lpstr>CRONOGRAMA!Área_de_impresión</vt:lpstr>
      <vt:lpstr>UNITARIOS!Área_de_impresión</vt:lpstr>
      <vt:lpstr>CATALOGO!Títulos_a_imprimir</vt:lpstr>
      <vt:lpstr>CRONOGRAMA!Títulos_a_imprimir</vt:lpstr>
      <vt:lpstr>UNITARIOS!Títulos_a_imprimir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Katherine Calderón</cp:lastModifiedBy>
  <cp:lastPrinted>2022-07-19T11:13:43Z</cp:lastPrinted>
  <dcterms:created xsi:type="dcterms:W3CDTF">2021-06-15T14:18:10Z</dcterms:created>
  <dcterms:modified xsi:type="dcterms:W3CDTF">2022-08-10T22:42:38Z</dcterms:modified>
</cp:coreProperties>
</file>