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out-woods-construction-company\Clientes\Katherine Calderón\0001 -Escuela Melchor, Petén\Documentos generados\Excel\"/>
    </mc:Choice>
  </mc:AlternateContent>
  <bookViews>
    <workbookView xWindow="0" yWindow="0" windowWidth="20325" windowHeight="9600" tabRatio="851" firstSheet="2" activeTab="2"/>
  </bookViews>
  <sheets>
    <sheet name="CATALOGO" sheetId="1" state="hidden" r:id="rId1"/>
    <sheet name="CATALOGO (2)" sheetId="151" state="hidden" r:id="rId2"/>
    <sheet name="PROPUESTA DE RENGLONES" sheetId="152" r:id="rId3"/>
    <sheet name="UNITARIOS" sheetId="143" r:id="rId4"/>
    <sheet name="UNITARIOS NUEVOS" sheetId="148" state="hidden" r:id="rId5"/>
    <sheet name="ADMINISTRATIVO" sheetId="146" r:id="rId6"/>
    <sheet name="CRONOGRAMA" sheetId="140" r:id="rId7"/>
    <sheet name="PRECIOS" sheetId="145" r:id="rId8"/>
    <sheet name="PRECIOS NUEVOS" sheetId="149" state="hidden" r:id="rId9"/>
    <sheet name="Hoja1" sheetId="147" r:id="rId10"/>
  </sheets>
  <definedNames>
    <definedName name="_xlnm._FilterDatabase" localSheetId="0" hidden="1">CATALOGO!$B$9:$L$165</definedName>
    <definedName name="_xlnm._FilterDatabase" localSheetId="1" hidden="1">'CATALOGO (2)'!$B$9:$L$165</definedName>
    <definedName name="_xlnm._FilterDatabase" localSheetId="2" hidden="1">'PROPUESTA DE RENGLONES'!$B$9:$L$107</definedName>
    <definedName name="_xlnm.Print_Area" localSheetId="5">ADMINISTRATIVO!$B$1:$K$34</definedName>
    <definedName name="_xlnm.Print_Area" localSheetId="0">CATALOGO!$B$1:$O$178</definedName>
    <definedName name="_xlnm.Print_Area" localSheetId="1">'CATALOGO (2)'!$B$1:$O$178</definedName>
    <definedName name="_xlnm.Print_Area" localSheetId="6">CRONOGRAMA!$B$1:$Q$92</definedName>
    <definedName name="_xlnm.Print_Area" localSheetId="2">'PROPUESTA DE RENGLONES'!$B$1:$O$120</definedName>
    <definedName name="_xlnm.Print_Area" localSheetId="3">UNITARIOS!$B$1:$K$5814</definedName>
    <definedName name="_xlnm.Print_Area" localSheetId="4">'UNITARIOS NUEVOS'!$B$1:$K$5361</definedName>
    <definedName name="_xlnm.Print_Titles" localSheetId="0">CATALOGO!$1:$9</definedName>
    <definedName name="_xlnm.Print_Titles" localSheetId="1">'CATALOGO (2)'!$1:$9</definedName>
    <definedName name="_xlnm.Print_Titles" localSheetId="6">CRONOGRAMA!$1:$12</definedName>
    <definedName name="_xlnm.Print_Titles" localSheetId="2">'PROPUESTA DE RENGLONES'!$1:$9</definedName>
    <definedName name="_xlnm.Print_Titles" localSheetId="3">UNITARIOS!$1:$9</definedName>
    <definedName name="_xlnm.Print_Titles" localSheetId="4">'UNITARIOS NUEVOS'!$1:$9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7" i="152" l="1"/>
  <c r="R106" i="152"/>
  <c r="Q106" i="152"/>
  <c r="P101" i="152"/>
  <c r="Q104" i="152"/>
  <c r="P96" i="152"/>
  <c r="R104" i="152"/>
  <c r="P104" i="152"/>
  <c r="P99" i="152"/>
  <c r="R91" i="152"/>
  <c r="Q91" i="152"/>
  <c r="P91" i="152"/>
  <c r="P89" i="152"/>
  <c r="P86" i="152"/>
  <c r="P83" i="152"/>
  <c r="P56" i="152"/>
  <c r="P69" i="152"/>
  <c r="Q77" i="152"/>
  <c r="P77" i="152"/>
  <c r="R77" i="152"/>
  <c r="P75" i="152"/>
  <c r="P72" i="152"/>
  <c r="P20" i="152"/>
  <c r="P25" i="152"/>
  <c r="P27" i="152"/>
  <c r="P33" i="152"/>
  <c r="P37" i="152"/>
  <c r="P41" i="152"/>
  <c r="P51" i="152"/>
  <c r="P59" i="152"/>
  <c r="P61" i="152"/>
  <c r="P63" i="152"/>
  <c r="R63" i="152"/>
  <c r="P43" i="152"/>
  <c r="P45" i="152"/>
  <c r="L12" i="152"/>
  <c r="L106" i="152"/>
  <c r="L102" i="152"/>
  <c r="L103" i="152"/>
  <c r="L100" i="152"/>
  <c r="L98" i="152"/>
  <c r="L97" i="152"/>
  <c r="L95" i="152"/>
  <c r="L94" i="152"/>
  <c r="L93" i="152"/>
  <c r="L90" i="152"/>
  <c r="L88" i="152"/>
  <c r="L87" i="152"/>
  <c r="L85" i="152"/>
  <c r="L84" i="152"/>
  <c r="L82" i="152"/>
  <c r="L81" i="152"/>
  <c r="L80" i="152"/>
  <c r="L79" i="152"/>
  <c r="L76" i="152"/>
  <c r="L74" i="152"/>
  <c r="L73" i="152"/>
  <c r="L71" i="152"/>
  <c r="L70" i="152"/>
  <c r="L68" i="152"/>
  <c r="L67" i="152"/>
  <c r="L66" i="152"/>
  <c r="L65" i="152"/>
  <c r="L62" i="152"/>
  <c r="L60" i="152"/>
  <c r="L58" i="152"/>
  <c r="L57" i="152"/>
  <c r="L55" i="152"/>
  <c r="L54" i="152"/>
  <c r="L53" i="152"/>
  <c r="L52" i="152"/>
  <c r="L50" i="152"/>
  <c r="L49" i="152"/>
  <c r="L48" i="152"/>
  <c r="L47" i="152"/>
  <c r="L46" i="152"/>
  <c r="L44" i="152"/>
  <c r="L42" i="152"/>
  <c r="L40" i="152"/>
  <c r="L39" i="152"/>
  <c r="L38" i="152"/>
  <c r="L36" i="152"/>
  <c r="L35" i="152"/>
  <c r="L34" i="152"/>
  <c r="L32" i="152"/>
  <c r="L31" i="152"/>
  <c r="L30" i="152"/>
  <c r="L29" i="152"/>
  <c r="L28" i="152"/>
  <c r="L26" i="152"/>
  <c r="L24" i="152"/>
  <c r="L23" i="152"/>
  <c r="L22" i="152"/>
  <c r="L21" i="152"/>
  <c r="L19" i="152"/>
  <c r="L18" i="152"/>
  <c r="L17" i="152"/>
  <c r="L16" i="152"/>
  <c r="L15" i="152"/>
  <c r="L14" i="152"/>
  <c r="L13" i="152"/>
  <c r="F931" i="148"/>
  <c r="F930" i="148"/>
  <c r="F928" i="148"/>
  <c r="I921" i="148"/>
  <c r="E932" i="148" s="1"/>
  <c r="T931" i="148"/>
  <c r="E925" i="148"/>
  <c r="E30" i="152"/>
  <c r="K71" i="152"/>
  <c r="I71" i="152"/>
  <c r="M71" i="152" s="1"/>
  <c r="F71" i="152"/>
  <c r="K70" i="152"/>
  <c r="I70" i="152"/>
  <c r="M70" i="152" s="1"/>
  <c r="O70" i="152" s="1"/>
  <c r="F70" i="152"/>
  <c r="F90" i="152"/>
  <c r="H90" i="152"/>
  <c r="I90" i="152" s="1"/>
  <c r="K85" i="152"/>
  <c r="I85" i="152"/>
  <c r="J85" i="152" s="1"/>
  <c r="F85" i="152"/>
  <c r="K84" i="152"/>
  <c r="I84" i="152"/>
  <c r="M84" i="152" s="1"/>
  <c r="F84" i="152"/>
  <c r="K34" i="152"/>
  <c r="K35" i="152"/>
  <c r="I35" i="152"/>
  <c r="M35" i="152" s="1"/>
  <c r="O35" i="152" s="1"/>
  <c r="F35" i="152"/>
  <c r="F34" i="152"/>
  <c r="I34" i="152"/>
  <c r="M34" i="152" s="1"/>
  <c r="Q63" i="152" l="1"/>
  <c r="O71" i="152"/>
  <c r="N71" i="152"/>
  <c r="N70" i="152"/>
  <c r="J70" i="152"/>
  <c r="J71" i="152"/>
  <c r="N34" i="152"/>
  <c r="K90" i="152"/>
  <c r="J90" i="152"/>
  <c r="M90" i="152"/>
  <c r="N84" i="152"/>
  <c r="O84" i="152"/>
  <c r="J35" i="152"/>
  <c r="N85" i="152"/>
  <c r="J34" i="152"/>
  <c r="O34" i="152"/>
  <c r="N35" i="152"/>
  <c r="J84" i="152"/>
  <c r="M85" i="152"/>
  <c r="O85" i="152" s="1"/>
  <c r="O90" i="152" l="1"/>
  <c r="N90" i="152"/>
  <c r="H106" i="152" l="1"/>
  <c r="F106" i="152"/>
  <c r="H103" i="152"/>
  <c r="F103" i="152"/>
  <c r="H102" i="152"/>
  <c r="F102" i="152"/>
  <c r="H100" i="152"/>
  <c r="F100" i="152"/>
  <c r="H98" i="152"/>
  <c r="F98" i="152"/>
  <c r="H97" i="152"/>
  <c r="F97" i="152"/>
  <c r="H95" i="152"/>
  <c r="F95" i="152"/>
  <c r="H94" i="152"/>
  <c r="F94" i="152"/>
  <c r="H93" i="152"/>
  <c r="F93" i="152"/>
  <c r="H88" i="152"/>
  <c r="F88" i="152"/>
  <c r="K87" i="152"/>
  <c r="I87" i="152"/>
  <c r="M87" i="152" s="1"/>
  <c r="F87" i="152"/>
  <c r="H82" i="152"/>
  <c r="F82" i="152"/>
  <c r="H81" i="152"/>
  <c r="F81" i="152"/>
  <c r="H80" i="152"/>
  <c r="F80" i="152"/>
  <c r="H79" i="152"/>
  <c r="F79" i="152"/>
  <c r="H76" i="152"/>
  <c r="F76" i="152"/>
  <c r="H74" i="152"/>
  <c r="F74" i="152"/>
  <c r="K73" i="152"/>
  <c r="I73" i="152"/>
  <c r="J73" i="152" s="1"/>
  <c r="F73" i="152"/>
  <c r="H68" i="152"/>
  <c r="F68" i="152"/>
  <c r="H67" i="152"/>
  <c r="I67" i="152" s="1"/>
  <c r="F67" i="152"/>
  <c r="H66" i="152"/>
  <c r="F66" i="152"/>
  <c r="H65" i="152"/>
  <c r="K65" i="152" s="1"/>
  <c r="F65" i="152"/>
  <c r="H62" i="152"/>
  <c r="F62" i="152"/>
  <c r="I60" i="152"/>
  <c r="M60" i="152" s="1"/>
  <c r="H60" i="152"/>
  <c r="F60" i="152"/>
  <c r="H58" i="152"/>
  <c r="F58" i="152"/>
  <c r="H57" i="152"/>
  <c r="F57" i="152"/>
  <c r="H55" i="152"/>
  <c r="I55" i="152" s="1"/>
  <c r="F55" i="152"/>
  <c r="H54" i="152"/>
  <c r="I54" i="152" s="1"/>
  <c r="F54" i="152"/>
  <c r="H53" i="152"/>
  <c r="I53" i="152" s="1"/>
  <c r="F53" i="152"/>
  <c r="H52" i="152"/>
  <c r="F52" i="152"/>
  <c r="H50" i="152"/>
  <c r="F50" i="152"/>
  <c r="H49" i="152"/>
  <c r="I49" i="152" s="1"/>
  <c r="F49" i="152"/>
  <c r="H48" i="152"/>
  <c r="F48" i="152"/>
  <c r="H47" i="152"/>
  <c r="F47" i="152"/>
  <c r="H46" i="152"/>
  <c r="F46" i="152"/>
  <c r="H44" i="152"/>
  <c r="F44" i="152"/>
  <c r="H42" i="152"/>
  <c r="I42" i="152" s="1"/>
  <c r="F42" i="152"/>
  <c r="H40" i="152"/>
  <c r="F40" i="152"/>
  <c r="H39" i="152"/>
  <c r="F39" i="152"/>
  <c r="K38" i="152"/>
  <c r="I38" i="152"/>
  <c r="M38" i="152" s="1"/>
  <c r="F38" i="152"/>
  <c r="H36" i="152"/>
  <c r="I36" i="152" s="1"/>
  <c r="F36" i="152"/>
  <c r="I32" i="152"/>
  <c r="F32" i="152"/>
  <c r="F31" i="152"/>
  <c r="I30" i="152"/>
  <c r="F30" i="152"/>
  <c r="I29" i="152"/>
  <c r="F29" i="152"/>
  <c r="I28" i="152"/>
  <c r="F28" i="152"/>
  <c r="I26" i="152"/>
  <c r="F26" i="152"/>
  <c r="I24" i="152"/>
  <c r="F24" i="152"/>
  <c r="I23" i="152"/>
  <c r="M23" i="152" s="1"/>
  <c r="H23" i="152"/>
  <c r="F23" i="152"/>
  <c r="I22" i="152"/>
  <c r="H22" i="152"/>
  <c r="F22" i="152"/>
  <c r="I21" i="152"/>
  <c r="M21" i="152" s="1"/>
  <c r="H21" i="152"/>
  <c r="F21" i="152"/>
  <c r="I19" i="152"/>
  <c r="F19" i="152"/>
  <c r="I18" i="152"/>
  <c r="F18" i="152"/>
  <c r="I17" i="152"/>
  <c r="M17" i="152" s="1"/>
  <c r="H17" i="152"/>
  <c r="K17" i="152" s="1"/>
  <c r="F17" i="152"/>
  <c r="I16" i="152"/>
  <c r="M16" i="152" s="1"/>
  <c r="H16" i="152"/>
  <c r="F16" i="152"/>
  <c r="I15" i="152"/>
  <c r="M15" i="152" s="1"/>
  <c r="H15" i="152"/>
  <c r="F15" i="152"/>
  <c r="I14" i="152"/>
  <c r="H14" i="152"/>
  <c r="F14" i="152"/>
  <c r="I13" i="152"/>
  <c r="M13" i="152" s="1"/>
  <c r="H13" i="152"/>
  <c r="F13" i="152"/>
  <c r="I12" i="152"/>
  <c r="M12" i="152" s="1"/>
  <c r="H12" i="152"/>
  <c r="F12" i="152"/>
  <c r="F163" i="151"/>
  <c r="I68" i="151"/>
  <c r="M68" i="151"/>
  <c r="O68" i="151" s="1"/>
  <c r="L68" i="151"/>
  <c r="N68" i="151" s="1"/>
  <c r="K68" i="151"/>
  <c r="J68" i="151"/>
  <c r="L43" i="151"/>
  <c r="L41" i="151"/>
  <c r="L40" i="151"/>
  <c r="L39" i="151"/>
  <c r="L34" i="151"/>
  <c r="L29" i="151"/>
  <c r="L25" i="151"/>
  <c r="L19" i="151"/>
  <c r="L18" i="151"/>
  <c r="I164" i="151"/>
  <c r="M164" i="151" s="1"/>
  <c r="H164" i="151"/>
  <c r="L164" i="151" s="1"/>
  <c r="F164" i="151"/>
  <c r="L163" i="151"/>
  <c r="N163" i="151" s="1"/>
  <c r="K163" i="151"/>
  <c r="I163" i="151"/>
  <c r="H163" i="151"/>
  <c r="M161" i="151"/>
  <c r="L161" i="151"/>
  <c r="P161" i="151" s="1"/>
  <c r="K161" i="151"/>
  <c r="I161" i="151"/>
  <c r="J161" i="151" s="1"/>
  <c r="H161" i="151"/>
  <c r="F161" i="151"/>
  <c r="L159" i="151"/>
  <c r="F159" i="151"/>
  <c r="H156" i="151"/>
  <c r="L156" i="151" s="1"/>
  <c r="F156" i="151"/>
  <c r="H155" i="151"/>
  <c r="F155" i="151"/>
  <c r="K153" i="151"/>
  <c r="H153" i="151"/>
  <c r="I153" i="151" s="1"/>
  <c r="M153" i="151" s="1"/>
  <c r="O153" i="151" s="1"/>
  <c r="F153" i="151"/>
  <c r="L151" i="151"/>
  <c r="N151" i="151" s="1"/>
  <c r="H151" i="151"/>
  <c r="K151" i="151" s="1"/>
  <c r="F151" i="151"/>
  <c r="H150" i="151"/>
  <c r="L150" i="151" s="1"/>
  <c r="F150" i="151"/>
  <c r="H148" i="151"/>
  <c r="L148" i="151" s="1"/>
  <c r="F148" i="151"/>
  <c r="H147" i="151"/>
  <c r="F147" i="151"/>
  <c r="K146" i="151"/>
  <c r="H146" i="151"/>
  <c r="I146" i="151" s="1"/>
  <c r="M146" i="151" s="1"/>
  <c r="O146" i="151" s="1"/>
  <c r="F146" i="151"/>
  <c r="L143" i="151"/>
  <c r="H143" i="151"/>
  <c r="K143" i="151" s="1"/>
  <c r="F143" i="151"/>
  <c r="H142" i="151"/>
  <c r="L142" i="151" s="1"/>
  <c r="F142" i="151"/>
  <c r="L141" i="151"/>
  <c r="I141" i="151"/>
  <c r="M141" i="151" s="1"/>
  <c r="H141" i="151"/>
  <c r="K141" i="151" s="1"/>
  <c r="N141" i="151" s="1"/>
  <c r="F141" i="151"/>
  <c r="H139" i="151"/>
  <c r="F139" i="151"/>
  <c r="L138" i="151"/>
  <c r="I138" i="151"/>
  <c r="H138" i="151"/>
  <c r="K138" i="151" s="1"/>
  <c r="F138" i="151"/>
  <c r="L136" i="151"/>
  <c r="P136" i="151" s="1"/>
  <c r="K136" i="151"/>
  <c r="I136" i="151"/>
  <c r="J136" i="151" s="1"/>
  <c r="H136" i="151"/>
  <c r="F136" i="151"/>
  <c r="H134" i="151"/>
  <c r="L134" i="151" s="1"/>
  <c r="F134" i="151"/>
  <c r="N133" i="151"/>
  <c r="L133" i="151"/>
  <c r="K133" i="151"/>
  <c r="I133" i="151"/>
  <c r="M133" i="151" s="1"/>
  <c r="O133" i="151" s="1"/>
  <c r="H133" i="151"/>
  <c r="F133" i="151"/>
  <c r="L132" i="151"/>
  <c r="F132" i="151"/>
  <c r="L130" i="151"/>
  <c r="P130" i="151" s="1"/>
  <c r="I130" i="151"/>
  <c r="H130" i="151"/>
  <c r="K130" i="151" s="1"/>
  <c r="F130" i="151"/>
  <c r="L128" i="151"/>
  <c r="K128" i="151"/>
  <c r="I128" i="151"/>
  <c r="J128" i="151" s="1"/>
  <c r="H128" i="151"/>
  <c r="F128" i="151"/>
  <c r="H127" i="151"/>
  <c r="L127" i="151" s="1"/>
  <c r="F127" i="151"/>
  <c r="N126" i="151"/>
  <c r="L126" i="151"/>
  <c r="K126" i="151"/>
  <c r="I126" i="151"/>
  <c r="M126" i="151" s="1"/>
  <c r="O126" i="151" s="1"/>
  <c r="H126" i="151"/>
  <c r="F126" i="151"/>
  <c r="H125" i="151"/>
  <c r="L125" i="151" s="1"/>
  <c r="F125" i="151"/>
  <c r="H124" i="151"/>
  <c r="F124" i="151"/>
  <c r="L121" i="151"/>
  <c r="N121" i="151" s="1"/>
  <c r="H121" i="151"/>
  <c r="K121" i="151" s="1"/>
  <c r="F121" i="151"/>
  <c r="H120" i="151"/>
  <c r="L120" i="151" s="1"/>
  <c r="F120" i="151"/>
  <c r="H118" i="151"/>
  <c r="L118" i="151" s="1"/>
  <c r="F118" i="151"/>
  <c r="H117" i="151"/>
  <c r="F117" i="151"/>
  <c r="K115" i="151"/>
  <c r="J115" i="151"/>
  <c r="H115" i="151"/>
  <c r="I115" i="151" s="1"/>
  <c r="M115" i="151" s="1"/>
  <c r="O115" i="151" s="1"/>
  <c r="F115" i="151"/>
  <c r="L113" i="151"/>
  <c r="N113" i="151" s="1"/>
  <c r="H113" i="151"/>
  <c r="K113" i="151" s="1"/>
  <c r="F113" i="151"/>
  <c r="H112" i="151"/>
  <c r="L112" i="151" s="1"/>
  <c r="F112" i="151"/>
  <c r="N111" i="151"/>
  <c r="L111" i="151"/>
  <c r="P113" i="151" s="1"/>
  <c r="K111" i="151"/>
  <c r="I111" i="151"/>
  <c r="M111" i="151" s="1"/>
  <c r="F111" i="151"/>
  <c r="H109" i="151"/>
  <c r="F109" i="151"/>
  <c r="K107" i="151"/>
  <c r="J107" i="151"/>
  <c r="H107" i="151"/>
  <c r="I107" i="151" s="1"/>
  <c r="M107" i="151" s="1"/>
  <c r="O107" i="151" s="1"/>
  <c r="F107" i="151"/>
  <c r="L106" i="151"/>
  <c r="N106" i="151" s="1"/>
  <c r="H106" i="151"/>
  <c r="K106" i="151" s="1"/>
  <c r="F106" i="151"/>
  <c r="H105" i="151"/>
  <c r="L105" i="151" s="1"/>
  <c r="F105" i="151"/>
  <c r="N104" i="151"/>
  <c r="L104" i="151"/>
  <c r="I104" i="151"/>
  <c r="M104" i="151" s="1"/>
  <c r="O104" i="151" s="1"/>
  <c r="H104" i="151"/>
  <c r="K104" i="151" s="1"/>
  <c r="F104" i="151"/>
  <c r="H103" i="151"/>
  <c r="L103" i="151" s="1"/>
  <c r="F103" i="151"/>
  <c r="L100" i="151"/>
  <c r="P100" i="151" s="1"/>
  <c r="K100" i="151"/>
  <c r="I100" i="151"/>
  <c r="J100" i="151" s="1"/>
  <c r="H100" i="151"/>
  <c r="F100" i="151"/>
  <c r="H98" i="151"/>
  <c r="L98" i="151" s="1"/>
  <c r="F98" i="151"/>
  <c r="N97" i="151"/>
  <c r="L97" i="151"/>
  <c r="I97" i="151"/>
  <c r="M97" i="151" s="1"/>
  <c r="O97" i="151" s="1"/>
  <c r="H97" i="151"/>
  <c r="K97" i="151" s="1"/>
  <c r="F97" i="151"/>
  <c r="H95" i="151"/>
  <c r="F95" i="151"/>
  <c r="L94" i="151"/>
  <c r="I94" i="151"/>
  <c r="H94" i="151"/>
  <c r="K94" i="151" s="1"/>
  <c r="F94" i="151"/>
  <c r="K93" i="151"/>
  <c r="H93" i="151"/>
  <c r="I93" i="151" s="1"/>
  <c r="M93" i="151" s="1"/>
  <c r="O93" i="151" s="1"/>
  <c r="F93" i="151"/>
  <c r="L91" i="151"/>
  <c r="N91" i="151" s="1"/>
  <c r="H91" i="151"/>
  <c r="K91" i="151" s="1"/>
  <c r="F91" i="151"/>
  <c r="H90" i="151"/>
  <c r="L90" i="151" s="1"/>
  <c r="F90" i="151"/>
  <c r="N89" i="151"/>
  <c r="L89" i="151"/>
  <c r="I89" i="151"/>
  <c r="M89" i="151" s="1"/>
  <c r="O89" i="151" s="1"/>
  <c r="H89" i="151"/>
  <c r="K89" i="151" s="1"/>
  <c r="F89" i="151"/>
  <c r="H88" i="151"/>
  <c r="L88" i="151" s="1"/>
  <c r="F88" i="151"/>
  <c r="H87" i="151"/>
  <c r="F87" i="151"/>
  <c r="K85" i="151"/>
  <c r="H85" i="151"/>
  <c r="I85" i="151" s="1"/>
  <c r="M85" i="151" s="1"/>
  <c r="O85" i="151" s="1"/>
  <c r="F85" i="151"/>
  <c r="L84" i="151"/>
  <c r="K84" i="151"/>
  <c r="I84" i="151"/>
  <c r="J84" i="151" s="1"/>
  <c r="H84" i="151"/>
  <c r="F84" i="151"/>
  <c r="M83" i="151"/>
  <c r="L83" i="151"/>
  <c r="N83" i="151" s="1"/>
  <c r="J83" i="151"/>
  <c r="H83" i="151"/>
  <c r="K83" i="151" s="1"/>
  <c r="O83" i="151" s="1"/>
  <c r="F83" i="151"/>
  <c r="M82" i="151"/>
  <c r="L82" i="151"/>
  <c r="N82" i="151" s="1"/>
  <c r="J82" i="151"/>
  <c r="H82" i="151"/>
  <c r="K82" i="151" s="1"/>
  <c r="O82" i="151" s="1"/>
  <c r="F82" i="151"/>
  <c r="L81" i="151"/>
  <c r="H81" i="151"/>
  <c r="K81" i="151" s="1"/>
  <c r="F81" i="151"/>
  <c r="M80" i="151"/>
  <c r="O80" i="151" s="1"/>
  <c r="K80" i="151"/>
  <c r="H80" i="151"/>
  <c r="L80" i="151" s="1"/>
  <c r="N80" i="151" s="1"/>
  <c r="F80" i="151"/>
  <c r="M79" i="151"/>
  <c r="O79" i="151" s="1"/>
  <c r="K79" i="151"/>
  <c r="H79" i="151"/>
  <c r="L79" i="151" s="1"/>
  <c r="N79" i="151" s="1"/>
  <c r="F79" i="151"/>
  <c r="M78" i="151"/>
  <c r="O78" i="151" s="1"/>
  <c r="K78" i="151"/>
  <c r="H78" i="151"/>
  <c r="L78" i="151" s="1"/>
  <c r="F78" i="151"/>
  <c r="N76" i="151"/>
  <c r="L76" i="151"/>
  <c r="K76" i="151"/>
  <c r="I76" i="151"/>
  <c r="M76" i="151" s="1"/>
  <c r="O76" i="151" s="1"/>
  <c r="H76" i="151"/>
  <c r="F76" i="151"/>
  <c r="K75" i="151"/>
  <c r="H75" i="151"/>
  <c r="L75" i="151" s="1"/>
  <c r="N75" i="151" s="1"/>
  <c r="F75" i="151"/>
  <c r="M74" i="151"/>
  <c r="O74" i="151" s="1"/>
  <c r="L74" i="151"/>
  <c r="N74" i="151" s="1"/>
  <c r="K74" i="151"/>
  <c r="H74" i="151"/>
  <c r="J74" i="151" s="1"/>
  <c r="F74" i="151"/>
  <c r="M73" i="151"/>
  <c r="O73" i="151" s="1"/>
  <c r="L73" i="151"/>
  <c r="N73" i="151" s="1"/>
  <c r="K73" i="151"/>
  <c r="H73" i="151"/>
  <c r="J73" i="151" s="1"/>
  <c r="F73" i="151"/>
  <c r="M72" i="151"/>
  <c r="H72" i="151"/>
  <c r="L72" i="151" s="1"/>
  <c r="F72" i="151"/>
  <c r="H71" i="151"/>
  <c r="F71" i="151"/>
  <c r="L70" i="151"/>
  <c r="N70" i="151" s="1"/>
  <c r="K70" i="151"/>
  <c r="I70" i="151"/>
  <c r="H70" i="151"/>
  <c r="F70" i="151"/>
  <c r="J69" i="151"/>
  <c r="H69" i="151"/>
  <c r="I69" i="151" s="1"/>
  <c r="M69" i="151" s="1"/>
  <c r="F69" i="151"/>
  <c r="H68" i="151"/>
  <c r="F68" i="151"/>
  <c r="J66" i="151"/>
  <c r="H66" i="151"/>
  <c r="I66" i="151" s="1"/>
  <c r="M66" i="151" s="1"/>
  <c r="F66" i="151"/>
  <c r="L64" i="151"/>
  <c r="H64" i="151"/>
  <c r="K64" i="151" s="1"/>
  <c r="F64" i="151"/>
  <c r="M62" i="151"/>
  <c r="H62" i="151"/>
  <c r="L62" i="151" s="1"/>
  <c r="F62" i="151"/>
  <c r="N61" i="151"/>
  <c r="L61" i="151"/>
  <c r="K61" i="151"/>
  <c r="I61" i="151"/>
  <c r="M61" i="151" s="1"/>
  <c r="O61" i="151" s="1"/>
  <c r="H61" i="151"/>
  <c r="F61" i="151"/>
  <c r="H60" i="151"/>
  <c r="L60" i="151" s="1"/>
  <c r="F60" i="151"/>
  <c r="M59" i="151"/>
  <c r="K59" i="151"/>
  <c r="H59" i="151"/>
  <c r="J59" i="151" s="1"/>
  <c r="F59" i="151"/>
  <c r="M58" i="151"/>
  <c r="K58" i="151"/>
  <c r="H58" i="151"/>
  <c r="J58" i="151" s="1"/>
  <c r="F58" i="151"/>
  <c r="L57" i="151"/>
  <c r="K57" i="151"/>
  <c r="F57" i="151"/>
  <c r="M56" i="151"/>
  <c r="O56" i="151" s="1"/>
  <c r="L56" i="151"/>
  <c r="N56" i="151" s="1"/>
  <c r="K56" i="151"/>
  <c r="I56" i="151"/>
  <c r="J56" i="151" s="1"/>
  <c r="H56" i="151"/>
  <c r="F56" i="151"/>
  <c r="M55" i="151"/>
  <c r="L55" i="151"/>
  <c r="K55" i="151"/>
  <c r="N55" i="151" s="1"/>
  <c r="J55" i="151"/>
  <c r="H55" i="151"/>
  <c r="F55" i="151"/>
  <c r="L53" i="151"/>
  <c r="N53" i="151" s="1"/>
  <c r="K53" i="151"/>
  <c r="I53" i="151"/>
  <c r="H53" i="151"/>
  <c r="F53" i="151"/>
  <c r="F52" i="151"/>
  <c r="I51" i="151"/>
  <c r="J51" i="151" s="1"/>
  <c r="L51" i="151"/>
  <c r="F51" i="151"/>
  <c r="O49" i="151"/>
  <c r="M49" i="151"/>
  <c r="L49" i="151"/>
  <c r="K49" i="151"/>
  <c r="J49" i="151"/>
  <c r="H49" i="151"/>
  <c r="F49" i="151"/>
  <c r="M48" i="151"/>
  <c r="O48" i="151" s="1"/>
  <c r="L48" i="151"/>
  <c r="K48" i="151"/>
  <c r="J48" i="151"/>
  <c r="H48" i="151"/>
  <c r="F48" i="151"/>
  <c r="O47" i="151"/>
  <c r="M47" i="151"/>
  <c r="L47" i="151"/>
  <c r="N47" i="151" s="1"/>
  <c r="K47" i="151"/>
  <c r="J47" i="151"/>
  <c r="H47" i="151"/>
  <c r="F47" i="151"/>
  <c r="M46" i="151"/>
  <c r="O46" i="151" s="1"/>
  <c r="L46" i="151"/>
  <c r="K46" i="151"/>
  <c r="J46" i="151"/>
  <c r="H46" i="151"/>
  <c r="F46" i="151"/>
  <c r="O45" i="151"/>
  <c r="M45" i="151"/>
  <c r="L45" i="151"/>
  <c r="N45" i="151" s="1"/>
  <c r="K45" i="151"/>
  <c r="J45" i="151"/>
  <c r="H45" i="151"/>
  <c r="F45" i="151"/>
  <c r="M44" i="151"/>
  <c r="H44" i="151"/>
  <c r="L44" i="151" s="1"/>
  <c r="F44" i="151"/>
  <c r="N43" i="151"/>
  <c r="K43" i="151"/>
  <c r="J43" i="151"/>
  <c r="I43" i="151"/>
  <c r="M43" i="151" s="1"/>
  <c r="O43" i="151" s="1"/>
  <c r="F43" i="151"/>
  <c r="K42" i="151"/>
  <c r="F42" i="151"/>
  <c r="N41" i="151"/>
  <c r="K41" i="151"/>
  <c r="I41" i="151"/>
  <c r="M41" i="151" s="1"/>
  <c r="O41" i="151" s="1"/>
  <c r="F41" i="151"/>
  <c r="N40" i="151"/>
  <c r="K40" i="151"/>
  <c r="I40" i="151"/>
  <c r="M40" i="151" s="1"/>
  <c r="O40" i="151" s="1"/>
  <c r="F40" i="151"/>
  <c r="N39" i="151"/>
  <c r="K39" i="151"/>
  <c r="I39" i="151"/>
  <c r="M39" i="151" s="1"/>
  <c r="O39" i="151" s="1"/>
  <c r="F39" i="151"/>
  <c r="M38" i="151"/>
  <c r="H38" i="151"/>
  <c r="L38" i="151" s="1"/>
  <c r="F38" i="151"/>
  <c r="M37" i="151"/>
  <c r="H37" i="151"/>
  <c r="L37" i="151" s="1"/>
  <c r="F37" i="151"/>
  <c r="M36" i="151"/>
  <c r="H36" i="151"/>
  <c r="L36" i="151" s="1"/>
  <c r="F36" i="151"/>
  <c r="M35" i="151"/>
  <c r="H35" i="151"/>
  <c r="L35" i="151" s="1"/>
  <c r="F35" i="151"/>
  <c r="N34" i="151"/>
  <c r="K34" i="151"/>
  <c r="I34" i="151"/>
  <c r="M34" i="151" s="1"/>
  <c r="O34" i="151" s="1"/>
  <c r="F34" i="151"/>
  <c r="M33" i="151"/>
  <c r="H33" i="151"/>
  <c r="L33" i="151" s="1"/>
  <c r="F33" i="151"/>
  <c r="M31" i="151"/>
  <c r="J31" i="151"/>
  <c r="H31" i="151"/>
  <c r="L31" i="151" s="1"/>
  <c r="F31" i="151"/>
  <c r="M30" i="151"/>
  <c r="J30" i="151"/>
  <c r="H30" i="151"/>
  <c r="L30" i="151" s="1"/>
  <c r="F30" i="151"/>
  <c r="N29" i="151"/>
  <c r="K29" i="151"/>
  <c r="J29" i="151"/>
  <c r="I29" i="151"/>
  <c r="M29" i="151" s="1"/>
  <c r="O29" i="151" s="1"/>
  <c r="F29" i="151"/>
  <c r="M28" i="151"/>
  <c r="J28" i="151"/>
  <c r="H28" i="151"/>
  <c r="L28" i="151" s="1"/>
  <c r="F28" i="151"/>
  <c r="M26" i="151"/>
  <c r="H26" i="151"/>
  <c r="L26" i="151" s="1"/>
  <c r="F26" i="151"/>
  <c r="N25" i="151"/>
  <c r="K25" i="151"/>
  <c r="I25" i="151"/>
  <c r="M25" i="151" s="1"/>
  <c r="O25" i="151" s="1"/>
  <c r="F25" i="151"/>
  <c r="M24" i="151"/>
  <c r="H24" i="151"/>
  <c r="L24" i="151" s="1"/>
  <c r="F24" i="151"/>
  <c r="L23" i="151"/>
  <c r="N23" i="151" s="1"/>
  <c r="K23" i="151"/>
  <c r="I23" i="151"/>
  <c r="M23" i="151" s="1"/>
  <c r="O23" i="151" s="1"/>
  <c r="H23" i="151"/>
  <c r="F23" i="151"/>
  <c r="M22" i="151"/>
  <c r="O22" i="151" s="1"/>
  <c r="L22" i="151"/>
  <c r="N22" i="151" s="1"/>
  <c r="K22" i="151"/>
  <c r="J22" i="151"/>
  <c r="I22" i="151"/>
  <c r="H22" i="151"/>
  <c r="F22" i="151"/>
  <c r="M21" i="151"/>
  <c r="O21" i="151" s="1"/>
  <c r="L21" i="151"/>
  <c r="P26" i="151" s="1"/>
  <c r="K21" i="151"/>
  <c r="I21" i="151"/>
  <c r="J21" i="151" s="1"/>
  <c r="H21" i="151"/>
  <c r="F21" i="151"/>
  <c r="M19" i="151"/>
  <c r="O19" i="151" s="1"/>
  <c r="N19" i="151"/>
  <c r="K19" i="151"/>
  <c r="I19" i="151"/>
  <c r="J19" i="151" s="1"/>
  <c r="F19" i="151"/>
  <c r="M18" i="151"/>
  <c r="O18" i="151" s="1"/>
  <c r="N18" i="151"/>
  <c r="K18" i="151"/>
  <c r="I18" i="151"/>
  <c r="J18" i="151" s="1"/>
  <c r="F18" i="151"/>
  <c r="M17" i="151"/>
  <c r="L17" i="151"/>
  <c r="N17" i="151" s="1"/>
  <c r="I17" i="151"/>
  <c r="J17" i="151" s="1"/>
  <c r="H17" i="151"/>
  <c r="K17" i="151" s="1"/>
  <c r="F17" i="151"/>
  <c r="M16" i="151"/>
  <c r="I16" i="151"/>
  <c r="J16" i="151" s="1"/>
  <c r="H16" i="151"/>
  <c r="L16" i="151" s="1"/>
  <c r="F16" i="151"/>
  <c r="I15" i="151"/>
  <c r="M15" i="151" s="1"/>
  <c r="O15" i="151" s="1"/>
  <c r="H15" i="151"/>
  <c r="K15" i="151" s="1"/>
  <c r="F15" i="151"/>
  <c r="I14" i="151"/>
  <c r="M14" i="151" s="1"/>
  <c r="H14" i="151"/>
  <c r="K14" i="151" s="1"/>
  <c r="F14" i="151"/>
  <c r="I13" i="151"/>
  <c r="M13" i="151" s="1"/>
  <c r="H13" i="151"/>
  <c r="L13" i="151" s="1"/>
  <c r="F13" i="151"/>
  <c r="L12" i="151"/>
  <c r="K12" i="151"/>
  <c r="I12" i="151"/>
  <c r="M12" i="151" s="1"/>
  <c r="H12" i="151"/>
  <c r="F12" i="151"/>
  <c r="N164" i="1"/>
  <c r="L164" i="1"/>
  <c r="K164" i="1"/>
  <c r="J164" i="1"/>
  <c r="I164" i="1"/>
  <c r="M164" i="1" s="1"/>
  <c r="O164" i="1" s="1"/>
  <c r="L163" i="1"/>
  <c r="N163" i="1" s="1"/>
  <c r="K163" i="1"/>
  <c r="I163" i="1"/>
  <c r="M163" i="1" s="1"/>
  <c r="O163" i="1" s="1"/>
  <c r="L161" i="1"/>
  <c r="N161" i="1" s="1"/>
  <c r="K161" i="1"/>
  <c r="I161" i="1"/>
  <c r="M161" i="1" s="1"/>
  <c r="O161" i="1" s="1"/>
  <c r="L159" i="1"/>
  <c r="N159" i="1" s="1"/>
  <c r="K159" i="1"/>
  <c r="I159" i="1"/>
  <c r="M159" i="1" s="1"/>
  <c r="O159" i="1" s="1"/>
  <c r="L156" i="1"/>
  <c r="N156" i="1" s="1"/>
  <c r="K156" i="1"/>
  <c r="I156" i="1"/>
  <c r="J156" i="1" s="1"/>
  <c r="L155" i="1"/>
  <c r="N155" i="1" s="1"/>
  <c r="K155" i="1"/>
  <c r="I155" i="1"/>
  <c r="J155" i="1" s="1"/>
  <c r="L153" i="1"/>
  <c r="N153" i="1" s="1"/>
  <c r="K153" i="1"/>
  <c r="I153" i="1"/>
  <c r="M153" i="1" s="1"/>
  <c r="O153" i="1" s="1"/>
  <c r="N151" i="1"/>
  <c r="L151" i="1"/>
  <c r="K151" i="1"/>
  <c r="J151" i="1"/>
  <c r="I151" i="1"/>
  <c r="M151" i="1" s="1"/>
  <c r="O151" i="1" s="1"/>
  <c r="M150" i="1"/>
  <c r="O150" i="1" s="1"/>
  <c r="L150" i="1"/>
  <c r="K150" i="1"/>
  <c r="N150" i="1" s="1"/>
  <c r="I150" i="1"/>
  <c r="J150" i="1" s="1"/>
  <c r="L148" i="1"/>
  <c r="N148" i="1" s="1"/>
  <c r="K148" i="1"/>
  <c r="I148" i="1"/>
  <c r="M148" i="1" s="1"/>
  <c r="O148" i="1" s="1"/>
  <c r="L147" i="1"/>
  <c r="N147" i="1" s="1"/>
  <c r="K147" i="1"/>
  <c r="J147" i="1"/>
  <c r="I147" i="1"/>
  <c r="M147" i="1" s="1"/>
  <c r="O147" i="1" s="1"/>
  <c r="N146" i="1"/>
  <c r="L146" i="1"/>
  <c r="K146" i="1"/>
  <c r="I146" i="1"/>
  <c r="M146" i="1" s="1"/>
  <c r="O146" i="1" s="1"/>
  <c r="N143" i="1"/>
  <c r="L143" i="1"/>
  <c r="K143" i="1"/>
  <c r="J143" i="1"/>
  <c r="I143" i="1"/>
  <c r="M143" i="1" s="1"/>
  <c r="O143" i="1" s="1"/>
  <c r="N142" i="1"/>
  <c r="M142" i="1"/>
  <c r="O142" i="1" s="1"/>
  <c r="L142" i="1"/>
  <c r="K142" i="1"/>
  <c r="I142" i="1"/>
  <c r="J142" i="1" s="1"/>
  <c r="M141" i="1"/>
  <c r="O141" i="1" s="1"/>
  <c r="L141" i="1"/>
  <c r="N141" i="1" s="1"/>
  <c r="K141" i="1"/>
  <c r="I141" i="1"/>
  <c r="J141" i="1" s="1"/>
  <c r="L139" i="1"/>
  <c r="N139" i="1" s="1"/>
  <c r="K139" i="1"/>
  <c r="I139" i="1"/>
  <c r="M139" i="1" s="1"/>
  <c r="O139" i="1" s="1"/>
  <c r="L138" i="1"/>
  <c r="N138" i="1" s="1"/>
  <c r="K138" i="1"/>
  <c r="J138" i="1"/>
  <c r="I138" i="1"/>
  <c r="M138" i="1" s="1"/>
  <c r="O138" i="1" s="1"/>
  <c r="N136" i="1"/>
  <c r="L136" i="1"/>
  <c r="K136" i="1"/>
  <c r="J136" i="1"/>
  <c r="I136" i="1"/>
  <c r="M136" i="1" s="1"/>
  <c r="O136" i="1" s="1"/>
  <c r="L134" i="1"/>
  <c r="N134" i="1" s="1"/>
  <c r="K134" i="1"/>
  <c r="I134" i="1"/>
  <c r="M134" i="1" s="1"/>
  <c r="O134" i="1" s="1"/>
  <c r="L133" i="1"/>
  <c r="K133" i="1"/>
  <c r="N133" i="1" s="1"/>
  <c r="I133" i="1"/>
  <c r="M133" i="1" s="1"/>
  <c r="O133" i="1" s="1"/>
  <c r="N132" i="1"/>
  <c r="M132" i="1"/>
  <c r="O132" i="1" s="1"/>
  <c r="L132" i="1"/>
  <c r="K132" i="1"/>
  <c r="J132" i="1"/>
  <c r="I132" i="1"/>
  <c r="N130" i="1"/>
  <c r="L130" i="1"/>
  <c r="K130" i="1"/>
  <c r="J130" i="1"/>
  <c r="I130" i="1"/>
  <c r="M130" i="1" s="1"/>
  <c r="O130" i="1" s="1"/>
  <c r="L128" i="1"/>
  <c r="N128" i="1" s="1"/>
  <c r="K128" i="1"/>
  <c r="I128" i="1"/>
  <c r="M128" i="1" s="1"/>
  <c r="O128" i="1" s="1"/>
  <c r="L127" i="1"/>
  <c r="N127" i="1" s="1"/>
  <c r="K127" i="1"/>
  <c r="I127" i="1"/>
  <c r="M127" i="1" s="1"/>
  <c r="O127" i="1" s="1"/>
  <c r="N126" i="1"/>
  <c r="L126" i="1"/>
  <c r="K126" i="1"/>
  <c r="I126" i="1"/>
  <c r="M126" i="1" s="1"/>
  <c r="O126" i="1" s="1"/>
  <c r="N125" i="1"/>
  <c r="M125" i="1"/>
  <c r="O125" i="1" s="1"/>
  <c r="L125" i="1"/>
  <c r="K125" i="1"/>
  <c r="J125" i="1"/>
  <c r="I125" i="1"/>
  <c r="M124" i="1"/>
  <c r="O124" i="1" s="1"/>
  <c r="L124" i="1"/>
  <c r="N124" i="1" s="1"/>
  <c r="K124" i="1"/>
  <c r="I124" i="1"/>
  <c r="J124" i="1" s="1"/>
  <c r="F164" i="1"/>
  <c r="F163" i="1"/>
  <c r="F161" i="1"/>
  <c r="F159" i="1"/>
  <c r="F156" i="1"/>
  <c r="F155" i="1"/>
  <c r="F153" i="1"/>
  <c r="F151" i="1"/>
  <c r="F150" i="1"/>
  <c r="F148" i="1"/>
  <c r="F147" i="1"/>
  <c r="F146" i="1"/>
  <c r="F143" i="1"/>
  <c r="F142" i="1"/>
  <c r="F141" i="1"/>
  <c r="F139" i="1"/>
  <c r="F138" i="1"/>
  <c r="F136" i="1"/>
  <c r="F134" i="1"/>
  <c r="F133" i="1"/>
  <c r="F132" i="1"/>
  <c r="F130" i="1"/>
  <c r="F128" i="1"/>
  <c r="F127" i="1"/>
  <c r="F126" i="1"/>
  <c r="F125" i="1"/>
  <c r="F124" i="1"/>
  <c r="L121" i="1"/>
  <c r="N121" i="1" s="1"/>
  <c r="K121" i="1"/>
  <c r="I121" i="1"/>
  <c r="M121" i="1" s="1"/>
  <c r="O121" i="1" s="1"/>
  <c r="L120" i="1"/>
  <c r="N120" i="1" s="1"/>
  <c r="K120" i="1"/>
  <c r="I120" i="1"/>
  <c r="M120" i="1" s="1"/>
  <c r="O120" i="1" s="1"/>
  <c r="F121" i="1"/>
  <c r="F120" i="1"/>
  <c r="F118" i="1"/>
  <c r="N118" i="1"/>
  <c r="L118" i="1"/>
  <c r="K118" i="1"/>
  <c r="J118" i="1"/>
  <c r="I118" i="1"/>
  <c r="M118" i="1" s="1"/>
  <c r="O118" i="1" s="1"/>
  <c r="L117" i="1"/>
  <c r="N117" i="1" s="1"/>
  <c r="K117" i="1"/>
  <c r="I117" i="1"/>
  <c r="J117" i="1" s="1"/>
  <c r="F117" i="1"/>
  <c r="L113" i="1"/>
  <c r="K113" i="1"/>
  <c r="N113" i="1" s="1"/>
  <c r="I113" i="1"/>
  <c r="M113" i="1" s="1"/>
  <c r="O113" i="1" s="1"/>
  <c r="F113" i="1"/>
  <c r="L111" i="1"/>
  <c r="N111" i="1" s="1"/>
  <c r="K111" i="1"/>
  <c r="I111" i="1"/>
  <c r="M111" i="1" s="1"/>
  <c r="O111" i="1" s="1"/>
  <c r="F111" i="1"/>
  <c r="L109" i="1"/>
  <c r="N109" i="1" s="1"/>
  <c r="K109" i="1"/>
  <c r="I109" i="1"/>
  <c r="M109" i="1" s="1"/>
  <c r="O109" i="1" s="1"/>
  <c r="F109" i="1"/>
  <c r="M106" i="1"/>
  <c r="O106" i="1" s="1"/>
  <c r="L106" i="1"/>
  <c r="N106" i="1" s="1"/>
  <c r="K106" i="1"/>
  <c r="J106" i="1"/>
  <c r="O105" i="1"/>
  <c r="N105" i="1"/>
  <c r="M105" i="1"/>
  <c r="L105" i="1"/>
  <c r="K105" i="1"/>
  <c r="J105" i="1"/>
  <c r="M104" i="1"/>
  <c r="O104" i="1" s="1"/>
  <c r="L104" i="1"/>
  <c r="N104" i="1" s="1"/>
  <c r="K104" i="1"/>
  <c r="J104" i="1"/>
  <c r="M103" i="1"/>
  <c r="O103" i="1" s="1"/>
  <c r="L103" i="1"/>
  <c r="N103" i="1" s="1"/>
  <c r="K103" i="1"/>
  <c r="J103" i="1"/>
  <c r="I106" i="1"/>
  <c r="I105" i="1"/>
  <c r="I104" i="1"/>
  <c r="I103" i="1"/>
  <c r="F106" i="1"/>
  <c r="F105" i="1"/>
  <c r="F104" i="1"/>
  <c r="F103" i="1"/>
  <c r="M19" i="152" l="1"/>
  <c r="H19" i="152"/>
  <c r="K19" i="152" s="1"/>
  <c r="H30" i="152"/>
  <c r="K30" i="152" s="1"/>
  <c r="M28" i="152"/>
  <c r="H28" i="152"/>
  <c r="K28" i="152" s="1"/>
  <c r="M24" i="152"/>
  <c r="H24" i="152"/>
  <c r="K24" i="152" s="1"/>
  <c r="M18" i="152"/>
  <c r="H18" i="152"/>
  <c r="K18" i="152" s="1"/>
  <c r="M29" i="152"/>
  <c r="N29" i="152" s="1"/>
  <c r="H29" i="152"/>
  <c r="K29" i="152" s="1"/>
  <c r="M32" i="152"/>
  <c r="O32" i="152" s="1"/>
  <c r="H32" i="152"/>
  <c r="K32" i="152" s="1"/>
  <c r="M26" i="152"/>
  <c r="H26" i="152"/>
  <c r="K26" i="152" s="1"/>
  <c r="N38" i="152"/>
  <c r="J22" i="152"/>
  <c r="J14" i="152"/>
  <c r="I50" i="152"/>
  <c r="M50" i="152" s="1"/>
  <c r="K14" i="152"/>
  <c r="N14" i="152" s="1"/>
  <c r="K50" i="152"/>
  <c r="N50" i="152" s="1"/>
  <c r="J17" i="152"/>
  <c r="N17" i="152"/>
  <c r="I94" i="152"/>
  <c r="M94" i="152" s="1"/>
  <c r="K62" i="152"/>
  <c r="N62" i="152" s="1"/>
  <c r="M73" i="152"/>
  <c r="O73" i="152" s="1"/>
  <c r="K36" i="152"/>
  <c r="J15" i="152"/>
  <c r="I66" i="152"/>
  <c r="I74" i="152"/>
  <c r="M74" i="152" s="1"/>
  <c r="K66" i="152"/>
  <c r="N66" i="152" s="1"/>
  <c r="K74" i="152"/>
  <c r="I65" i="152"/>
  <c r="I40" i="152"/>
  <c r="M40" i="152" s="1"/>
  <c r="I44" i="152"/>
  <c r="J44" i="152" s="1"/>
  <c r="K54" i="152"/>
  <c r="K88" i="152"/>
  <c r="N88" i="152" s="1"/>
  <c r="K16" i="152"/>
  <c r="N16" i="152" s="1"/>
  <c r="K44" i="152"/>
  <c r="N44" i="152" s="1"/>
  <c r="O87" i="152"/>
  <c r="J38" i="152"/>
  <c r="I62" i="152"/>
  <c r="M62" i="152" s="1"/>
  <c r="K67" i="152"/>
  <c r="O29" i="152"/>
  <c r="O28" i="152"/>
  <c r="N26" i="152"/>
  <c r="O26" i="152"/>
  <c r="J54" i="152"/>
  <c r="M54" i="152"/>
  <c r="J36" i="152"/>
  <c r="M36" i="152"/>
  <c r="M49" i="152"/>
  <c r="J49" i="152"/>
  <c r="N32" i="152"/>
  <c r="K15" i="152"/>
  <c r="N15" i="152" s="1"/>
  <c r="M30" i="152"/>
  <c r="K42" i="152"/>
  <c r="I46" i="152"/>
  <c r="K49" i="152"/>
  <c r="I57" i="152"/>
  <c r="I93" i="152"/>
  <c r="M14" i="152"/>
  <c r="K53" i="152"/>
  <c r="I100" i="152"/>
  <c r="J18" i="152"/>
  <c r="J60" i="152"/>
  <c r="I80" i="152"/>
  <c r="I82" i="152"/>
  <c r="J87" i="152"/>
  <c r="K93" i="152"/>
  <c r="N93" i="152" s="1"/>
  <c r="I97" i="152"/>
  <c r="I98" i="152"/>
  <c r="J21" i="152"/>
  <c r="J26" i="152"/>
  <c r="K60" i="152"/>
  <c r="O60" i="152" s="1"/>
  <c r="I68" i="152"/>
  <c r="M68" i="152" s="1"/>
  <c r="I76" i="152"/>
  <c r="I81" i="152"/>
  <c r="I88" i="152"/>
  <c r="K100" i="152"/>
  <c r="N100" i="152" s="1"/>
  <c r="I106" i="152"/>
  <c r="O17" i="152"/>
  <c r="K21" i="152"/>
  <c r="N21" i="152" s="1"/>
  <c r="J28" i="152"/>
  <c r="I47" i="152"/>
  <c r="M47" i="152" s="1"/>
  <c r="K55" i="152"/>
  <c r="K80" i="152"/>
  <c r="N80" i="152" s="1"/>
  <c r="K82" i="152"/>
  <c r="N82" i="152" s="1"/>
  <c r="K97" i="152"/>
  <c r="N97" i="152" s="1"/>
  <c r="K98" i="152"/>
  <c r="N98" i="152" s="1"/>
  <c r="K81" i="152"/>
  <c r="N81" i="152" s="1"/>
  <c r="K106" i="152"/>
  <c r="N106" i="152" s="1"/>
  <c r="J16" i="152"/>
  <c r="J19" i="152"/>
  <c r="O38" i="152"/>
  <c r="I39" i="152"/>
  <c r="N73" i="152"/>
  <c r="N87" i="152"/>
  <c r="I102" i="152"/>
  <c r="M102" i="152" s="1"/>
  <c r="J42" i="152"/>
  <c r="M42" i="152"/>
  <c r="J53" i="152"/>
  <c r="M53" i="152"/>
  <c r="M67" i="152"/>
  <c r="J67" i="152"/>
  <c r="O19" i="152"/>
  <c r="N19" i="152"/>
  <c r="M55" i="152"/>
  <c r="J55" i="152"/>
  <c r="N24" i="152"/>
  <c r="O24" i="152"/>
  <c r="O18" i="152"/>
  <c r="N18" i="152"/>
  <c r="J12" i="152"/>
  <c r="K22" i="152"/>
  <c r="N22" i="152" s="1"/>
  <c r="J23" i="152"/>
  <c r="J24" i="152"/>
  <c r="K39" i="152"/>
  <c r="N39" i="152" s="1"/>
  <c r="K46" i="152"/>
  <c r="N46" i="152" s="1"/>
  <c r="I48" i="152"/>
  <c r="I52" i="152"/>
  <c r="K57" i="152"/>
  <c r="I58" i="152"/>
  <c r="K76" i="152"/>
  <c r="N76" i="152" s="1"/>
  <c r="I79" i="152"/>
  <c r="J94" i="152"/>
  <c r="I95" i="152"/>
  <c r="I103" i="152"/>
  <c r="K12" i="152"/>
  <c r="N12" i="152" s="1"/>
  <c r="J13" i="152"/>
  <c r="K23" i="152"/>
  <c r="O23" i="152" s="1"/>
  <c r="K40" i="152"/>
  <c r="N40" i="152" s="1"/>
  <c r="K47" i="152"/>
  <c r="N47" i="152" s="1"/>
  <c r="K68" i="152"/>
  <c r="N68" i="152" s="1"/>
  <c r="K94" i="152"/>
  <c r="K102" i="152"/>
  <c r="N102" i="152" s="1"/>
  <c r="K13" i="152"/>
  <c r="O13" i="152" s="1"/>
  <c r="M22" i="152"/>
  <c r="K48" i="152"/>
  <c r="N48" i="152" s="1"/>
  <c r="K52" i="152"/>
  <c r="N52" i="152" s="1"/>
  <c r="K58" i="152"/>
  <c r="N58" i="152" s="1"/>
  <c r="K79" i="152"/>
  <c r="N79" i="152" s="1"/>
  <c r="K95" i="152"/>
  <c r="N95" i="152" s="1"/>
  <c r="K103" i="152"/>
  <c r="N103" i="152" s="1"/>
  <c r="O111" i="151"/>
  <c r="N84" i="151"/>
  <c r="O17" i="151"/>
  <c r="P31" i="151"/>
  <c r="N33" i="151"/>
  <c r="O13" i="151"/>
  <c r="O16" i="151"/>
  <c r="O12" i="151"/>
  <c r="O14" i="151"/>
  <c r="N57" i="151"/>
  <c r="O24" i="151"/>
  <c r="N26" i="151"/>
  <c r="L139" i="151"/>
  <c r="K139" i="151"/>
  <c r="I139" i="151"/>
  <c r="J12" i="151"/>
  <c r="J23" i="151"/>
  <c r="J24" i="151"/>
  <c r="J25" i="151"/>
  <c r="J26" i="151"/>
  <c r="J44" i="151"/>
  <c r="N46" i="151"/>
  <c r="K52" i="151"/>
  <c r="I52" i="151"/>
  <c r="L71" i="151"/>
  <c r="K71" i="151"/>
  <c r="I71" i="151"/>
  <c r="J85" i="151"/>
  <c r="M94" i="151"/>
  <c r="O94" i="151" s="1"/>
  <c r="J94" i="151"/>
  <c r="P106" i="151"/>
  <c r="L117" i="151"/>
  <c r="K117" i="151"/>
  <c r="I117" i="151"/>
  <c r="L155" i="151"/>
  <c r="K155" i="151"/>
  <c r="I155" i="151"/>
  <c r="K24" i="151"/>
  <c r="N24" i="151" s="1"/>
  <c r="K26" i="151"/>
  <c r="O26" i="151" s="1"/>
  <c r="K44" i="151"/>
  <c r="N44" i="151" s="1"/>
  <c r="O55" i="151"/>
  <c r="N78" i="151"/>
  <c r="N94" i="151"/>
  <c r="L147" i="151"/>
  <c r="K147" i="151"/>
  <c r="I147" i="151"/>
  <c r="J53" i="151"/>
  <c r="M53" i="151"/>
  <c r="O53" i="151" s="1"/>
  <c r="M130" i="151"/>
  <c r="O130" i="151" s="1"/>
  <c r="J130" i="151"/>
  <c r="K13" i="151"/>
  <c r="N13" i="151" s="1"/>
  <c r="J14" i="151"/>
  <c r="N21" i="151"/>
  <c r="K28" i="151"/>
  <c r="N28" i="151" s="1"/>
  <c r="K30" i="151"/>
  <c r="O30" i="151" s="1"/>
  <c r="K31" i="151"/>
  <c r="O31" i="151" s="1"/>
  <c r="J33" i="151"/>
  <c r="J34" i="151"/>
  <c r="J35" i="151"/>
  <c r="J36" i="151"/>
  <c r="J37" i="151"/>
  <c r="J38" i="151"/>
  <c r="J39" i="151"/>
  <c r="J40" i="151"/>
  <c r="J41" i="151"/>
  <c r="L52" i="151"/>
  <c r="L59" i="151"/>
  <c r="N59" i="151" s="1"/>
  <c r="P134" i="151"/>
  <c r="J15" i="151"/>
  <c r="K33" i="151"/>
  <c r="O33" i="151" s="1"/>
  <c r="K35" i="151"/>
  <c r="O35" i="151" s="1"/>
  <c r="K36" i="151"/>
  <c r="O36" i="151" s="1"/>
  <c r="K37" i="151"/>
  <c r="O37" i="151" s="1"/>
  <c r="K38" i="151"/>
  <c r="O38" i="151" s="1"/>
  <c r="O59" i="151"/>
  <c r="L87" i="151"/>
  <c r="K87" i="151"/>
  <c r="I87" i="151"/>
  <c r="L95" i="151"/>
  <c r="K95" i="151"/>
  <c r="I95" i="151"/>
  <c r="P98" i="151"/>
  <c r="N105" i="151"/>
  <c r="L124" i="151"/>
  <c r="K124" i="151"/>
  <c r="I124" i="151"/>
  <c r="O141" i="151"/>
  <c r="N143" i="151"/>
  <c r="L14" i="151"/>
  <c r="N14" i="151" s="1"/>
  <c r="K51" i="151"/>
  <c r="N51" i="151" s="1"/>
  <c r="L58" i="151"/>
  <c r="N58" i="151" s="1"/>
  <c r="M70" i="151"/>
  <c r="O70" i="151" s="1"/>
  <c r="J70" i="151"/>
  <c r="J93" i="151"/>
  <c r="N128" i="151"/>
  <c r="M138" i="151"/>
  <c r="O138" i="151" s="1"/>
  <c r="J138" i="151"/>
  <c r="P143" i="151"/>
  <c r="O161" i="151"/>
  <c r="M163" i="151"/>
  <c r="O163" i="151" s="1"/>
  <c r="J163" i="151"/>
  <c r="L15" i="151"/>
  <c r="N15" i="151" s="1"/>
  <c r="N49" i="151"/>
  <c r="M51" i="151"/>
  <c r="I57" i="151"/>
  <c r="O58" i="151"/>
  <c r="L109" i="151"/>
  <c r="K109" i="151"/>
  <c r="I109" i="151"/>
  <c r="P121" i="151"/>
  <c r="N120" i="151"/>
  <c r="P127" i="151"/>
  <c r="N138" i="151"/>
  <c r="J153" i="151"/>
  <c r="P159" i="151"/>
  <c r="O164" i="151"/>
  <c r="J13" i="151"/>
  <c r="N12" i="151"/>
  <c r="K16" i="151"/>
  <c r="N16" i="151" s="1"/>
  <c r="N48" i="151"/>
  <c r="N60" i="151"/>
  <c r="P64" i="151"/>
  <c r="N64" i="151"/>
  <c r="N81" i="151"/>
  <c r="J146" i="151"/>
  <c r="P151" i="151"/>
  <c r="K66" i="151"/>
  <c r="O66" i="151" s="1"/>
  <c r="K69" i="151"/>
  <c r="O69" i="151" s="1"/>
  <c r="I60" i="151"/>
  <c r="L66" i="151"/>
  <c r="L69" i="151"/>
  <c r="J72" i="151"/>
  <c r="I75" i="151"/>
  <c r="M84" i="151"/>
  <c r="O84" i="151" s="1"/>
  <c r="L85" i="151"/>
  <c r="N85" i="151" s="1"/>
  <c r="I88" i="151"/>
  <c r="L93" i="151"/>
  <c r="M100" i="151"/>
  <c r="O100" i="151" s="1"/>
  <c r="I103" i="151"/>
  <c r="L107" i="151"/>
  <c r="N107" i="151" s="1"/>
  <c r="L115" i="151"/>
  <c r="I118" i="151"/>
  <c r="I125" i="151"/>
  <c r="M128" i="151"/>
  <c r="O128" i="151" s="1"/>
  <c r="I132" i="151"/>
  <c r="M136" i="151"/>
  <c r="O136" i="151" s="1"/>
  <c r="L146" i="151"/>
  <c r="I148" i="151"/>
  <c r="L153" i="151"/>
  <c r="I156" i="151"/>
  <c r="P164" i="151"/>
  <c r="K72" i="151"/>
  <c r="O72" i="151" s="1"/>
  <c r="N100" i="151"/>
  <c r="N136" i="151"/>
  <c r="N161" i="151"/>
  <c r="K60" i="151"/>
  <c r="J61" i="151"/>
  <c r="J62" i="151"/>
  <c r="J76" i="151"/>
  <c r="K88" i="151"/>
  <c r="N88" i="151" s="1"/>
  <c r="J89" i="151"/>
  <c r="I90" i="151"/>
  <c r="J97" i="151"/>
  <c r="I98" i="151"/>
  <c r="K103" i="151"/>
  <c r="N103" i="151" s="1"/>
  <c r="J104" i="151"/>
  <c r="I105" i="151"/>
  <c r="J111" i="151"/>
  <c r="I112" i="151"/>
  <c r="K118" i="151"/>
  <c r="N118" i="151" s="1"/>
  <c r="I120" i="151"/>
  <c r="K125" i="151"/>
  <c r="N125" i="151" s="1"/>
  <c r="J126" i="151"/>
  <c r="I127" i="151"/>
  <c r="K132" i="151"/>
  <c r="N132" i="151" s="1"/>
  <c r="J133" i="151"/>
  <c r="I134" i="151"/>
  <c r="J141" i="151"/>
  <c r="I142" i="151"/>
  <c r="K148" i="151"/>
  <c r="N148" i="151" s="1"/>
  <c r="I150" i="151"/>
  <c r="K156" i="151"/>
  <c r="N156" i="151" s="1"/>
  <c r="I159" i="151"/>
  <c r="J164" i="151"/>
  <c r="K62" i="151"/>
  <c r="I64" i="151"/>
  <c r="J78" i="151"/>
  <c r="J79" i="151"/>
  <c r="J80" i="151"/>
  <c r="I81" i="151"/>
  <c r="I91" i="151"/>
  <c r="I106" i="151"/>
  <c r="I113" i="151"/>
  <c r="I121" i="151"/>
  <c r="N130" i="151"/>
  <c r="I143" i="151"/>
  <c r="I151" i="151"/>
  <c r="K164" i="151"/>
  <c r="N164" i="151" s="1"/>
  <c r="K90" i="151"/>
  <c r="N90" i="151" s="1"/>
  <c r="K98" i="151"/>
  <c r="N98" i="151" s="1"/>
  <c r="K105" i="151"/>
  <c r="K112" i="151"/>
  <c r="N112" i="151" s="1"/>
  <c r="K120" i="151"/>
  <c r="K127" i="151"/>
  <c r="N127" i="151" s="1"/>
  <c r="K134" i="151"/>
  <c r="N134" i="151" s="1"/>
  <c r="K142" i="151"/>
  <c r="N142" i="151" s="1"/>
  <c r="K150" i="151"/>
  <c r="N150" i="151" s="1"/>
  <c r="K159" i="151"/>
  <c r="N159" i="151" s="1"/>
  <c r="J163" i="1"/>
  <c r="J161" i="1"/>
  <c r="J159" i="1"/>
  <c r="M156" i="1"/>
  <c r="O156" i="1" s="1"/>
  <c r="M155" i="1"/>
  <c r="O155" i="1" s="1"/>
  <c r="J153" i="1"/>
  <c r="J148" i="1"/>
  <c r="J146" i="1"/>
  <c r="J139" i="1"/>
  <c r="J134" i="1"/>
  <c r="J133" i="1"/>
  <c r="J127" i="1"/>
  <c r="J128" i="1"/>
  <c r="J126" i="1"/>
  <c r="J121" i="1"/>
  <c r="J120" i="1"/>
  <c r="M117" i="1"/>
  <c r="O117" i="1" s="1"/>
  <c r="J113" i="1"/>
  <c r="J111" i="1"/>
  <c r="J109" i="1"/>
  <c r="N28" i="152" l="1"/>
  <c r="J30" i="152"/>
  <c r="J32" i="152"/>
  <c r="J29" i="152"/>
  <c r="N65" i="152"/>
  <c r="J74" i="152"/>
  <c r="O36" i="152"/>
  <c r="O50" i="152"/>
  <c r="N67" i="152"/>
  <c r="J50" i="152"/>
  <c r="O94" i="152"/>
  <c r="O67" i="152"/>
  <c r="O14" i="152"/>
  <c r="N36" i="152"/>
  <c r="O55" i="152"/>
  <c r="J62" i="152"/>
  <c r="O42" i="152"/>
  <c r="N55" i="152"/>
  <c r="O74" i="152"/>
  <c r="N74" i="152"/>
  <c r="J68" i="152"/>
  <c r="N54" i="152"/>
  <c r="O54" i="152"/>
  <c r="O62" i="152"/>
  <c r="J40" i="152"/>
  <c r="N53" i="152"/>
  <c r="O53" i="152"/>
  <c r="J102" i="152"/>
  <c r="O16" i="152"/>
  <c r="O15" i="152"/>
  <c r="J66" i="152"/>
  <c r="M66" i="152"/>
  <c r="O66" i="152" s="1"/>
  <c r="M44" i="152"/>
  <c r="O44" i="152" s="1"/>
  <c r="O22" i="152"/>
  <c r="N49" i="152"/>
  <c r="M65" i="152"/>
  <c r="O65" i="152" s="1"/>
  <c r="J65" i="152"/>
  <c r="O102" i="152"/>
  <c r="J88" i="152"/>
  <c r="M88" i="152"/>
  <c r="O88" i="152" s="1"/>
  <c r="O21" i="152"/>
  <c r="M98" i="152"/>
  <c r="O98" i="152" s="1"/>
  <c r="J98" i="152"/>
  <c r="M46" i="152"/>
  <c r="O46" i="152" s="1"/>
  <c r="J46" i="152"/>
  <c r="J47" i="152"/>
  <c r="J106" i="152"/>
  <c r="M106" i="152"/>
  <c r="O106" i="152" s="1"/>
  <c r="M81" i="152"/>
  <c r="O81" i="152" s="1"/>
  <c r="J81" i="152"/>
  <c r="O30" i="152"/>
  <c r="M97" i="152"/>
  <c r="O97" i="152" s="1"/>
  <c r="J97" i="152"/>
  <c r="M76" i="152"/>
  <c r="O76" i="152" s="1"/>
  <c r="J76" i="152"/>
  <c r="M100" i="152"/>
  <c r="O100" i="152" s="1"/>
  <c r="J100" i="152"/>
  <c r="N42" i="152"/>
  <c r="M93" i="152"/>
  <c r="O93" i="152" s="1"/>
  <c r="J93" i="152"/>
  <c r="M82" i="152"/>
  <c r="O82" i="152" s="1"/>
  <c r="J82" i="152"/>
  <c r="M39" i="152"/>
  <c r="O39" i="152" s="1"/>
  <c r="J39" i="152"/>
  <c r="N60" i="152"/>
  <c r="M80" i="152"/>
  <c r="O80" i="152" s="1"/>
  <c r="J80" i="152"/>
  <c r="M57" i="152"/>
  <c r="O57" i="152" s="1"/>
  <c r="J57" i="152"/>
  <c r="O49" i="152"/>
  <c r="O12" i="152"/>
  <c r="O40" i="152"/>
  <c r="N94" i="152"/>
  <c r="O68" i="152"/>
  <c r="M58" i="152"/>
  <c r="O58" i="152" s="1"/>
  <c r="J58" i="152"/>
  <c r="N57" i="152"/>
  <c r="M79" i="152"/>
  <c r="O79" i="152" s="1"/>
  <c r="J79" i="152"/>
  <c r="O47" i="152"/>
  <c r="M103" i="152"/>
  <c r="O103" i="152" s="1"/>
  <c r="J103" i="152"/>
  <c r="M52" i="152"/>
  <c r="O52" i="152" s="1"/>
  <c r="J52" i="152"/>
  <c r="N23" i="152"/>
  <c r="M95" i="152"/>
  <c r="O95" i="152" s="1"/>
  <c r="J95" i="152"/>
  <c r="M48" i="152"/>
  <c r="O48" i="152" s="1"/>
  <c r="J48" i="152"/>
  <c r="N13" i="152"/>
  <c r="O51" i="151"/>
  <c r="M88" i="151"/>
  <c r="O88" i="151" s="1"/>
  <c r="J88" i="151"/>
  <c r="N124" i="151"/>
  <c r="P128" i="151"/>
  <c r="N155" i="151"/>
  <c r="P156" i="151"/>
  <c r="M71" i="151"/>
  <c r="O71" i="151" s="1"/>
  <c r="J71" i="151"/>
  <c r="N30" i="151"/>
  <c r="J105" i="151"/>
  <c r="M105" i="151"/>
  <c r="O105" i="151" s="1"/>
  <c r="J127" i="151"/>
  <c r="M127" i="151"/>
  <c r="O127" i="151" s="1"/>
  <c r="M156" i="151"/>
  <c r="O156" i="151" s="1"/>
  <c r="J156" i="151"/>
  <c r="M118" i="151"/>
  <c r="O118" i="151" s="1"/>
  <c r="J118" i="151"/>
  <c r="M109" i="151"/>
  <c r="O109" i="151" s="1"/>
  <c r="J109" i="151"/>
  <c r="N95" i="151"/>
  <c r="P85" i="151"/>
  <c r="M117" i="151"/>
  <c r="O117" i="151" s="1"/>
  <c r="J117" i="151"/>
  <c r="N139" i="151"/>
  <c r="P139" i="151"/>
  <c r="O44" i="151"/>
  <c r="N35" i="151"/>
  <c r="M95" i="151"/>
  <c r="O95" i="151" s="1"/>
  <c r="J95" i="151"/>
  <c r="M139" i="151"/>
  <c r="O139" i="151" s="1"/>
  <c r="J139" i="151"/>
  <c r="P153" i="151"/>
  <c r="N153" i="151"/>
  <c r="P115" i="151"/>
  <c r="N115" i="151"/>
  <c r="M75" i="151"/>
  <c r="O75" i="151" s="1"/>
  <c r="J75" i="151"/>
  <c r="Q121" i="151"/>
  <c r="M87" i="151"/>
  <c r="O87" i="151" s="1"/>
  <c r="J87" i="151"/>
  <c r="N72" i="151"/>
  <c r="N71" i="151"/>
  <c r="N37" i="151"/>
  <c r="O28" i="151"/>
  <c r="M57" i="151"/>
  <c r="O57" i="151" s="1"/>
  <c r="J57" i="151"/>
  <c r="J91" i="151"/>
  <c r="M91" i="151"/>
  <c r="O91" i="151" s="1"/>
  <c r="J81" i="151"/>
  <c r="M81" i="151"/>
  <c r="O81" i="151" s="1"/>
  <c r="J98" i="151"/>
  <c r="M98" i="151"/>
  <c r="O98" i="151" s="1"/>
  <c r="M148" i="151"/>
  <c r="O148" i="151" s="1"/>
  <c r="J148" i="151"/>
  <c r="N109" i="151"/>
  <c r="P109" i="151"/>
  <c r="P107" i="151"/>
  <c r="N117" i="151"/>
  <c r="P118" i="151"/>
  <c r="J142" i="151"/>
  <c r="M142" i="151"/>
  <c r="O142" i="151" s="1"/>
  <c r="M103" i="151"/>
  <c r="O103" i="151" s="1"/>
  <c r="J103" i="151"/>
  <c r="N69" i="151"/>
  <c r="N87" i="151"/>
  <c r="P91" i="151"/>
  <c r="N52" i="151"/>
  <c r="M147" i="151"/>
  <c r="O147" i="151" s="1"/>
  <c r="J147" i="151"/>
  <c r="J106" i="151"/>
  <c r="M106" i="151"/>
  <c r="O106" i="151" s="1"/>
  <c r="J159" i="151"/>
  <c r="M159" i="151"/>
  <c r="O159" i="151" s="1"/>
  <c r="M125" i="151"/>
  <c r="O125" i="151" s="1"/>
  <c r="J125" i="151"/>
  <c r="J143" i="151"/>
  <c r="M143" i="151"/>
  <c r="O143" i="151" s="1"/>
  <c r="J120" i="151"/>
  <c r="M120" i="151"/>
  <c r="O120" i="151" s="1"/>
  <c r="J64" i="151"/>
  <c r="M64" i="151"/>
  <c r="O64" i="151" s="1"/>
  <c r="P66" i="151"/>
  <c r="N66" i="151"/>
  <c r="P53" i="151"/>
  <c r="P62" i="151"/>
  <c r="N36" i="151"/>
  <c r="N38" i="151"/>
  <c r="J151" i="151"/>
  <c r="M151" i="151"/>
  <c r="O151" i="151" s="1"/>
  <c r="J150" i="151"/>
  <c r="M150" i="151"/>
  <c r="O150" i="151" s="1"/>
  <c r="P146" i="151"/>
  <c r="N146" i="151"/>
  <c r="J121" i="151"/>
  <c r="M121" i="151"/>
  <c r="O121" i="151" s="1"/>
  <c r="J90" i="151"/>
  <c r="M90" i="151"/>
  <c r="O90" i="151" s="1"/>
  <c r="J113" i="151"/>
  <c r="M113" i="151"/>
  <c r="O113" i="151" s="1"/>
  <c r="O62" i="151"/>
  <c r="N62" i="151"/>
  <c r="J134" i="151"/>
  <c r="M134" i="151"/>
  <c r="O134" i="151" s="1"/>
  <c r="J112" i="151"/>
  <c r="M112" i="151"/>
  <c r="O112" i="151" s="1"/>
  <c r="M132" i="151"/>
  <c r="O132" i="151" s="1"/>
  <c r="J132" i="151"/>
  <c r="N93" i="151"/>
  <c r="P95" i="151"/>
  <c r="J60" i="151"/>
  <c r="M60" i="151"/>
  <c r="O60" i="151" s="1"/>
  <c r="Q163" i="151"/>
  <c r="M124" i="151"/>
  <c r="O124" i="151" s="1"/>
  <c r="J124" i="151"/>
  <c r="P76" i="151"/>
  <c r="N147" i="151"/>
  <c r="P148" i="151"/>
  <c r="M155" i="151"/>
  <c r="O155" i="151" s="1"/>
  <c r="J155" i="151"/>
  <c r="M52" i="151"/>
  <c r="O52" i="151" s="1"/>
  <c r="J52" i="151"/>
  <c r="N31" i="151"/>
  <c r="N30" i="152" l="1"/>
  <c r="F115" i="1" l="1"/>
  <c r="F112" i="1"/>
  <c r="F107" i="1"/>
  <c r="I3003" i="148" l="1"/>
  <c r="G3003" i="148"/>
  <c r="I2984" i="148"/>
  <c r="G2984" i="148"/>
  <c r="I2983" i="148"/>
  <c r="G2983" i="148"/>
  <c r="I2980" i="148"/>
  <c r="G2980" i="148"/>
  <c r="I2981" i="148"/>
  <c r="G2981" i="148"/>
  <c r="I2982" i="148"/>
  <c r="G2982" i="148"/>
  <c r="F71" i="1"/>
  <c r="F70" i="1"/>
  <c r="F69" i="1"/>
  <c r="F68" i="1"/>
  <c r="M62" i="1"/>
  <c r="M59" i="1"/>
  <c r="M58" i="1"/>
  <c r="F62" i="1"/>
  <c r="F61" i="1"/>
  <c r="F60" i="1"/>
  <c r="F59" i="1"/>
  <c r="F58" i="1"/>
  <c r="F57" i="1"/>
  <c r="F56" i="1"/>
  <c r="F53" i="1"/>
  <c r="F52" i="1"/>
  <c r="F51" i="1" l="1"/>
  <c r="F76" i="1"/>
  <c r="F75" i="1"/>
  <c r="F98" i="1"/>
  <c r="M74" i="1"/>
  <c r="F74" i="1"/>
  <c r="M73" i="1"/>
  <c r="F73" i="1"/>
  <c r="M72" i="1"/>
  <c r="F72" i="1"/>
  <c r="L43" i="1"/>
  <c r="K43" i="1"/>
  <c r="L42" i="1"/>
  <c r="K42" i="1"/>
  <c r="L41" i="1"/>
  <c r="K41" i="1"/>
  <c r="L40" i="1"/>
  <c r="K40" i="1"/>
  <c r="N40" i="1" s="1"/>
  <c r="L39" i="1"/>
  <c r="K39" i="1"/>
  <c r="K977" i="148"/>
  <c r="K865" i="148"/>
  <c r="I865" i="148"/>
  <c r="T866" i="148" s="1"/>
  <c r="T871" i="148" s="1"/>
  <c r="AG878" i="148" s="1"/>
  <c r="D977" i="148"/>
  <c r="B977" i="148"/>
  <c r="L1016" i="148"/>
  <c r="K1016" i="148"/>
  <c r="L1015" i="148"/>
  <c r="K1015" i="148"/>
  <c r="L1014" i="148"/>
  <c r="K1014" i="148"/>
  <c r="L1008" i="148"/>
  <c r="I1007" i="148"/>
  <c r="L1007" i="148" s="1"/>
  <c r="I1006" i="148"/>
  <c r="L1006" i="148" s="1"/>
  <c r="I1005" i="148"/>
  <c r="G1005" i="148"/>
  <c r="I999" i="148"/>
  <c r="L999" i="148" s="1"/>
  <c r="I998" i="148"/>
  <c r="K998" i="148" s="1"/>
  <c r="I997" i="148"/>
  <c r="K997" i="148" s="1"/>
  <c r="I996" i="148"/>
  <c r="L996" i="148" s="1"/>
  <c r="T991" i="148"/>
  <c r="T990" i="148"/>
  <c r="T992" i="148" s="1"/>
  <c r="I990" i="148"/>
  <c r="L990" i="148" s="1"/>
  <c r="AG989" i="148"/>
  <c r="I989" i="148"/>
  <c r="L989" i="148" s="1"/>
  <c r="I988" i="148"/>
  <c r="G988" i="148"/>
  <c r="U987" i="148"/>
  <c r="I987" i="148"/>
  <c r="G987" i="148"/>
  <c r="I986" i="148"/>
  <c r="G986" i="148"/>
  <c r="I985" i="148"/>
  <c r="G985" i="148"/>
  <c r="I984" i="148"/>
  <c r="G984" i="148"/>
  <c r="I983" i="148"/>
  <c r="G983" i="148"/>
  <c r="I982" i="148"/>
  <c r="G982" i="148"/>
  <c r="I981" i="148"/>
  <c r="G981" i="148"/>
  <c r="E981" i="148"/>
  <c r="D921" i="148"/>
  <c r="B921" i="148"/>
  <c r="K921" i="148"/>
  <c r="L960" i="148"/>
  <c r="K960" i="148"/>
  <c r="L959" i="148"/>
  <c r="K959" i="148"/>
  <c r="L958" i="148"/>
  <c r="K958" i="148"/>
  <c r="L952" i="148"/>
  <c r="I951" i="148"/>
  <c r="L951" i="148" s="1"/>
  <c r="I950" i="148"/>
  <c r="L950" i="148" s="1"/>
  <c r="I949" i="148"/>
  <c r="G949" i="148"/>
  <c r="I943" i="148"/>
  <c r="L943" i="148" s="1"/>
  <c r="I942" i="148"/>
  <c r="L942" i="148" s="1"/>
  <c r="I941" i="148"/>
  <c r="K941" i="148" s="1"/>
  <c r="I940" i="148"/>
  <c r="L940" i="148" s="1"/>
  <c r="T935" i="148"/>
  <c r="T934" i="148"/>
  <c r="T936" i="148" s="1"/>
  <c r="I934" i="148"/>
  <c r="L934" i="148" s="1"/>
  <c r="AG933" i="148"/>
  <c r="I933" i="148"/>
  <c r="L933" i="148" s="1"/>
  <c r="I932" i="148"/>
  <c r="G932" i="148"/>
  <c r="U931" i="148"/>
  <c r="I931" i="148"/>
  <c r="G931" i="148"/>
  <c r="I930" i="148"/>
  <c r="G930" i="148"/>
  <c r="I929" i="148"/>
  <c r="G929" i="148"/>
  <c r="I928" i="148"/>
  <c r="G928" i="148"/>
  <c r="I927" i="148"/>
  <c r="G927" i="148"/>
  <c r="I926" i="148"/>
  <c r="G926" i="148"/>
  <c r="I925" i="148"/>
  <c r="G925" i="148"/>
  <c r="T922" i="148"/>
  <c r="T927" i="148" s="1"/>
  <c r="AG934" i="148" s="1"/>
  <c r="D865" i="148"/>
  <c r="B865" i="148"/>
  <c r="L904" i="148"/>
  <c r="K904" i="148"/>
  <c r="L903" i="148"/>
  <c r="K903" i="148"/>
  <c r="L902" i="148"/>
  <c r="K902" i="148"/>
  <c r="L896" i="148"/>
  <c r="I895" i="148"/>
  <c r="L895" i="148" s="1"/>
  <c r="I894" i="148"/>
  <c r="K894" i="148" s="1"/>
  <c r="I893" i="148"/>
  <c r="G893" i="148"/>
  <c r="I887" i="148"/>
  <c r="L887" i="148" s="1"/>
  <c r="I886" i="148"/>
  <c r="K886" i="148" s="1"/>
  <c r="I885" i="148"/>
  <c r="K885" i="148" s="1"/>
  <c r="I884" i="148"/>
  <c r="L884" i="148" s="1"/>
  <c r="T879" i="148"/>
  <c r="T878" i="148"/>
  <c r="T880" i="148" s="1"/>
  <c r="I878" i="148"/>
  <c r="L878" i="148" s="1"/>
  <c r="AG877" i="148"/>
  <c r="I877" i="148"/>
  <c r="L877" i="148" s="1"/>
  <c r="I876" i="148"/>
  <c r="G876" i="148"/>
  <c r="T875" i="148"/>
  <c r="U875" i="148" s="1"/>
  <c r="I875" i="148"/>
  <c r="G875" i="148"/>
  <c r="I874" i="148"/>
  <c r="G874" i="148"/>
  <c r="I873" i="148"/>
  <c r="G873" i="148"/>
  <c r="I872" i="148"/>
  <c r="G872" i="148"/>
  <c r="I871" i="148"/>
  <c r="G871" i="148"/>
  <c r="I870" i="148"/>
  <c r="G870" i="148"/>
  <c r="I869" i="148"/>
  <c r="G869" i="148"/>
  <c r="I838" i="148"/>
  <c r="G838" i="148"/>
  <c r="I837" i="148"/>
  <c r="G837" i="148"/>
  <c r="E820" i="148"/>
  <c r="E838" i="148" s="1"/>
  <c r="I820" i="148"/>
  <c r="G820" i="148"/>
  <c r="I819" i="148"/>
  <c r="G819" i="148"/>
  <c r="I818" i="148"/>
  <c r="G818" i="148"/>
  <c r="I817" i="148"/>
  <c r="G817" i="148"/>
  <c r="I816" i="148"/>
  <c r="G816" i="148"/>
  <c r="I815" i="148"/>
  <c r="G815" i="148"/>
  <c r="I814" i="148"/>
  <c r="G814" i="148"/>
  <c r="I813" i="148"/>
  <c r="G813" i="148"/>
  <c r="E284" i="149"/>
  <c r="F284" i="149" s="1"/>
  <c r="AG821" i="148"/>
  <c r="T822" i="148"/>
  <c r="T824" i="148"/>
  <c r="T819" i="148"/>
  <c r="E813" i="148" s="1"/>
  <c r="P817" i="148"/>
  <c r="U810" i="148"/>
  <c r="T823" i="148" s="1"/>
  <c r="U819" i="148"/>
  <c r="K809" i="148"/>
  <c r="I809" i="148"/>
  <c r="D809" i="148"/>
  <c r="B809" i="148"/>
  <c r="T767" i="148"/>
  <c r="T766" i="148"/>
  <c r="T768" i="148" s="1"/>
  <c r="I753" i="148"/>
  <c r="T754" i="148" s="1"/>
  <c r="K753" i="148"/>
  <c r="D753" i="148"/>
  <c r="B753" i="148"/>
  <c r="T763" i="148"/>
  <c r="E757" i="148" s="1"/>
  <c r="AG765" i="148"/>
  <c r="K697" i="148"/>
  <c r="I697" i="148"/>
  <c r="D697" i="148"/>
  <c r="B697" i="148"/>
  <c r="F43" i="1"/>
  <c r="I977" i="148" s="1"/>
  <c r="T978" i="148" s="1"/>
  <c r="T983" i="148" s="1"/>
  <c r="AG990" i="148" s="1"/>
  <c r="F42" i="1"/>
  <c r="F41" i="1"/>
  <c r="F40" i="1"/>
  <c r="F39" i="1"/>
  <c r="E876" i="148" l="1"/>
  <c r="N39" i="1"/>
  <c r="N43" i="1"/>
  <c r="T993" i="148"/>
  <c r="K962" i="148"/>
  <c r="U763" i="148"/>
  <c r="T881" i="148"/>
  <c r="L1018" i="148"/>
  <c r="K950" i="148"/>
  <c r="E869" i="148"/>
  <c r="K906" i="148"/>
  <c r="L962" i="148"/>
  <c r="L894" i="148"/>
  <c r="F813" i="148"/>
  <c r="T937" i="148"/>
  <c r="R937" i="148" s="1"/>
  <c r="Q935" i="148" s="1"/>
  <c r="T938" i="148" s="1"/>
  <c r="E930" i="148" s="1"/>
  <c r="L997" i="148"/>
  <c r="K1018" i="148"/>
  <c r="L906" i="148"/>
  <c r="L885" i="148"/>
  <c r="N42" i="1"/>
  <c r="K1006" i="148"/>
  <c r="F838" i="148"/>
  <c r="K838" i="148" s="1"/>
  <c r="T810" i="148"/>
  <c r="T815" i="148" s="1"/>
  <c r="AG822" i="148" s="1"/>
  <c r="AG823" i="148" s="1"/>
  <c r="AH823" i="148" s="1"/>
  <c r="AI823" i="148" s="1"/>
  <c r="AJ823" i="148" s="1"/>
  <c r="E949" i="148"/>
  <c r="L949" i="148" s="1"/>
  <c r="L954" i="148" s="1"/>
  <c r="N41" i="1"/>
  <c r="F820" i="148"/>
  <c r="L886" i="148"/>
  <c r="L889" i="148" s="1"/>
  <c r="L998" i="148"/>
  <c r="K1007" i="148"/>
  <c r="E764" i="148"/>
  <c r="F981" i="148"/>
  <c r="K981" i="148" s="1"/>
  <c r="L941" i="148"/>
  <c r="L945" i="148" s="1"/>
  <c r="E1005" i="148"/>
  <c r="L1005" i="148" s="1"/>
  <c r="L1010" i="148" s="1"/>
  <c r="F757" i="148"/>
  <c r="L869" i="148"/>
  <c r="L981" i="148"/>
  <c r="E988" i="148"/>
  <c r="L988" i="148" s="1"/>
  <c r="E982" i="148"/>
  <c r="R993" i="148"/>
  <c r="Q991" i="148" s="1"/>
  <c r="T994" i="148" s="1"/>
  <c r="E986" i="148" s="1"/>
  <c r="F986" i="148" s="1"/>
  <c r="U993" i="148"/>
  <c r="AG992" i="148"/>
  <c r="AH992" i="148" s="1"/>
  <c r="AI992" i="148" s="1"/>
  <c r="E984" i="148" s="1"/>
  <c r="AG993" i="148"/>
  <c r="AH993" i="148" s="1"/>
  <c r="AI993" i="148" s="1"/>
  <c r="E985" i="148" s="1"/>
  <c r="AG991" i="148"/>
  <c r="AH991" i="148" s="1"/>
  <c r="AI991" i="148" s="1"/>
  <c r="AH990" i="148"/>
  <c r="K990" i="148"/>
  <c r="K996" i="148"/>
  <c r="K989" i="148"/>
  <c r="K999" i="148"/>
  <c r="L925" i="148"/>
  <c r="F932" i="148"/>
  <c r="K932" i="148" s="1"/>
  <c r="L932" i="148"/>
  <c r="AG936" i="148"/>
  <c r="AH936" i="148" s="1"/>
  <c r="AI936" i="148" s="1"/>
  <c r="AG935" i="148"/>
  <c r="AH935" i="148" s="1"/>
  <c r="AI935" i="148" s="1"/>
  <c r="AG937" i="148"/>
  <c r="AH937" i="148" s="1"/>
  <c r="AI937" i="148" s="1"/>
  <c r="AH934" i="148"/>
  <c r="K934" i="148"/>
  <c r="F925" i="148"/>
  <c r="K925" i="148" s="1"/>
  <c r="K942" i="148"/>
  <c r="K951" i="148"/>
  <c r="K940" i="148"/>
  <c r="K933" i="148"/>
  <c r="K943" i="148"/>
  <c r="E870" i="148"/>
  <c r="U881" i="148"/>
  <c r="R881" i="148"/>
  <c r="Q879" i="148" s="1"/>
  <c r="T882" i="148" s="1"/>
  <c r="E874" i="148" s="1"/>
  <c r="AG880" i="148"/>
  <c r="AH880" i="148" s="1"/>
  <c r="AI880" i="148" s="1"/>
  <c r="AG881" i="148"/>
  <c r="AH881" i="148" s="1"/>
  <c r="AI881" i="148" s="1"/>
  <c r="AG879" i="148"/>
  <c r="AH879" i="148" s="1"/>
  <c r="AI879" i="148" s="1"/>
  <c r="AH878" i="148"/>
  <c r="F876" i="148"/>
  <c r="K876" i="148" s="1"/>
  <c r="L876" i="148"/>
  <c r="K878" i="148"/>
  <c r="E893" i="148"/>
  <c r="F869" i="148"/>
  <c r="K869" i="148" s="1"/>
  <c r="K895" i="148"/>
  <c r="K884" i="148"/>
  <c r="K877" i="148"/>
  <c r="K887" i="148"/>
  <c r="T825" i="148"/>
  <c r="T759" i="148"/>
  <c r="AG766" i="148" s="1"/>
  <c r="AG769" i="148" s="1"/>
  <c r="AH769" i="148" s="1"/>
  <c r="AI769" i="148" s="1"/>
  <c r="T769" i="148"/>
  <c r="E758" i="148" s="1"/>
  <c r="F949" i="148" l="1"/>
  <c r="K949" i="148" s="1"/>
  <c r="E926" i="148"/>
  <c r="L926" i="148" s="1"/>
  <c r="U937" i="148"/>
  <c r="AG768" i="148"/>
  <c r="AH768" i="148" s="1"/>
  <c r="AI768" i="148" s="1"/>
  <c r="AG824" i="148"/>
  <c r="AH824" i="148" s="1"/>
  <c r="AH822" i="148"/>
  <c r="AG825" i="148"/>
  <c r="AH825" i="148" s="1"/>
  <c r="AI825" i="148" s="1"/>
  <c r="AJ825" i="148" s="1"/>
  <c r="AH766" i="148"/>
  <c r="L1001" i="148"/>
  <c r="E814" i="148"/>
  <c r="F814" i="148" s="1"/>
  <c r="U825" i="148"/>
  <c r="F988" i="148"/>
  <c r="K988" i="148" s="1"/>
  <c r="F1005" i="148"/>
  <c r="K1005" i="148" s="1"/>
  <c r="K1010" i="148" s="1"/>
  <c r="E815" i="148"/>
  <c r="F815" i="148" s="1"/>
  <c r="AJ769" i="148"/>
  <c r="E761" i="148"/>
  <c r="K889" i="148"/>
  <c r="AJ768" i="148"/>
  <c r="E760" i="148"/>
  <c r="K954" i="148"/>
  <c r="AG767" i="148"/>
  <c r="AH767" i="148" s="1"/>
  <c r="AI767" i="148" s="1"/>
  <c r="K1001" i="148"/>
  <c r="E987" i="148"/>
  <c r="F987" i="148" s="1"/>
  <c r="K986" i="148"/>
  <c r="L986" i="148"/>
  <c r="AJ992" i="148"/>
  <c r="E983" i="148"/>
  <c r="AJ991" i="148"/>
  <c r="AJ993" i="148"/>
  <c r="L982" i="148"/>
  <c r="F982" i="148"/>
  <c r="K982" i="148" s="1"/>
  <c r="E931" i="148"/>
  <c r="L930" i="148"/>
  <c r="K930" i="148"/>
  <c r="AJ936" i="148"/>
  <c r="E927" i="148"/>
  <c r="AJ935" i="148"/>
  <c r="K945" i="148"/>
  <c r="AJ937" i="148"/>
  <c r="E873" i="148"/>
  <c r="AJ881" i="148"/>
  <c r="E872" i="148"/>
  <c r="AJ880" i="148"/>
  <c r="E875" i="148"/>
  <c r="L874" i="148"/>
  <c r="F874" i="148"/>
  <c r="K874" i="148" s="1"/>
  <c r="E871" i="148"/>
  <c r="AJ879" i="148"/>
  <c r="L893" i="148"/>
  <c r="L898" i="148" s="1"/>
  <c r="F893" i="148"/>
  <c r="K893" i="148" s="1"/>
  <c r="K898" i="148" s="1"/>
  <c r="L870" i="148"/>
  <c r="F870" i="148"/>
  <c r="K870" i="148" s="1"/>
  <c r="AI824" i="148"/>
  <c r="R825" i="148"/>
  <c r="Q823" i="148" s="1"/>
  <c r="T826" i="148" s="1"/>
  <c r="E818" i="148" s="1"/>
  <c r="U769" i="148"/>
  <c r="R769" i="148"/>
  <c r="Q767" i="148" s="1"/>
  <c r="T770" i="148" s="1"/>
  <c r="E762" i="148" s="1"/>
  <c r="E763" i="148" s="1"/>
  <c r="F926" i="148" l="1"/>
  <c r="K926" i="148" s="1"/>
  <c r="E817" i="148"/>
  <c r="E819" i="148"/>
  <c r="F819" i="148" s="1"/>
  <c r="F818" i="148"/>
  <c r="AJ767" i="148"/>
  <c r="E759" i="148"/>
  <c r="F759" i="148" s="1"/>
  <c r="AJ824" i="148"/>
  <c r="E816" i="148"/>
  <c r="F983" i="148"/>
  <c r="K983" i="148" s="1"/>
  <c r="L983" i="148"/>
  <c r="F984" i="148"/>
  <c r="K984" i="148" s="1"/>
  <c r="L984" i="148"/>
  <c r="K987" i="148"/>
  <c r="L987" i="148"/>
  <c r="L985" i="148"/>
  <c r="F985" i="148"/>
  <c r="K985" i="148" s="1"/>
  <c r="L929" i="148"/>
  <c r="F929" i="148"/>
  <c r="K929" i="148" s="1"/>
  <c r="L928" i="148"/>
  <c r="K928" i="148"/>
  <c r="K931" i="148"/>
  <c r="L931" i="148"/>
  <c r="F927" i="148"/>
  <c r="K927" i="148" s="1"/>
  <c r="L927" i="148"/>
  <c r="L872" i="148"/>
  <c r="F872" i="148"/>
  <c r="K872" i="148" s="1"/>
  <c r="F875" i="148"/>
  <c r="K875" i="148" s="1"/>
  <c r="L875" i="148"/>
  <c r="F871" i="148"/>
  <c r="K871" i="148" s="1"/>
  <c r="L871" i="148"/>
  <c r="L873" i="148"/>
  <c r="F873" i="148"/>
  <c r="K873" i="148" s="1"/>
  <c r="M38" i="1"/>
  <c r="F38" i="1"/>
  <c r="L34" i="1"/>
  <c r="K34" i="1"/>
  <c r="E708" i="148"/>
  <c r="M33" i="1"/>
  <c r="M36" i="1"/>
  <c r="F36" i="1"/>
  <c r="F34" i="1"/>
  <c r="T710" i="148"/>
  <c r="T712" i="148" s="1"/>
  <c r="T707" i="148"/>
  <c r="E701" i="148" s="1"/>
  <c r="AG709" i="148"/>
  <c r="F33" i="1"/>
  <c r="F97" i="1"/>
  <c r="F66" i="1"/>
  <c r="I1696" i="148"/>
  <c r="I1643" i="148"/>
  <c r="F64" i="1"/>
  <c r="M83" i="1"/>
  <c r="M82" i="1"/>
  <c r="M80" i="1"/>
  <c r="M79" i="1"/>
  <c r="F100" i="1"/>
  <c r="F95" i="1"/>
  <c r="F94" i="1"/>
  <c r="F93" i="1"/>
  <c r="F91" i="1"/>
  <c r="F90" i="1"/>
  <c r="F89" i="1"/>
  <c r="F88" i="1"/>
  <c r="F87" i="1"/>
  <c r="F85" i="1"/>
  <c r="F84" i="1"/>
  <c r="F83" i="1"/>
  <c r="F82" i="1"/>
  <c r="F81" i="1"/>
  <c r="F80" i="1"/>
  <c r="F79" i="1"/>
  <c r="M78" i="1"/>
  <c r="F78" i="1"/>
  <c r="M55" i="1"/>
  <c r="F55" i="1"/>
  <c r="M49" i="1"/>
  <c r="M48" i="1"/>
  <c r="M47" i="1"/>
  <c r="M46" i="1"/>
  <c r="M45" i="1"/>
  <c r="M44" i="1"/>
  <c r="F49" i="1"/>
  <c r="F48" i="1"/>
  <c r="F47" i="1"/>
  <c r="F46" i="1"/>
  <c r="F45" i="1"/>
  <c r="F44" i="1"/>
  <c r="M37" i="1"/>
  <c r="F37" i="1"/>
  <c r="M35" i="1"/>
  <c r="F35" i="1"/>
  <c r="L29" i="1"/>
  <c r="K29" i="1"/>
  <c r="E647" i="148"/>
  <c r="F29" i="1"/>
  <c r="L672" i="148"/>
  <c r="I671" i="148"/>
  <c r="L671" i="148" s="1"/>
  <c r="I670" i="148"/>
  <c r="K670" i="148" s="1"/>
  <c r="I669" i="148"/>
  <c r="G669" i="148"/>
  <c r="I663" i="148"/>
  <c r="L663" i="148" s="1"/>
  <c r="I662" i="148"/>
  <c r="L662" i="148" s="1"/>
  <c r="I661" i="148"/>
  <c r="K661" i="148" s="1"/>
  <c r="I660" i="148"/>
  <c r="L660" i="148" s="1"/>
  <c r="I654" i="148"/>
  <c r="K654" i="148" s="1"/>
  <c r="I653" i="148"/>
  <c r="L653" i="148" s="1"/>
  <c r="I652" i="148"/>
  <c r="L652" i="148" s="1"/>
  <c r="K651" i="148"/>
  <c r="I651" i="148"/>
  <c r="L651" i="148" s="1"/>
  <c r="I650" i="148"/>
  <c r="L650" i="148" s="1"/>
  <c r="I649" i="148"/>
  <c r="G649" i="148"/>
  <c r="I648" i="148"/>
  <c r="G648" i="148"/>
  <c r="I647" i="148"/>
  <c r="G647" i="148"/>
  <c r="K643" i="148"/>
  <c r="I643" i="148"/>
  <c r="Q644" i="148" s="1"/>
  <c r="Q647" i="148" s="1"/>
  <c r="Q649" i="148" s="1"/>
  <c r="D643" i="148"/>
  <c r="B643" i="148"/>
  <c r="M31" i="1"/>
  <c r="F31" i="1"/>
  <c r="M30" i="1"/>
  <c r="M28" i="1"/>
  <c r="F30" i="1"/>
  <c r="F28" i="1"/>
  <c r="L25" i="1"/>
  <c r="M24" i="1"/>
  <c r="K25" i="1"/>
  <c r="G615" i="148"/>
  <c r="I615" i="148"/>
  <c r="L141" i="149"/>
  <c r="M141" i="149" s="1"/>
  <c r="I595" i="148"/>
  <c r="G595" i="148"/>
  <c r="I594" i="148"/>
  <c r="G594" i="148"/>
  <c r="I593" i="148"/>
  <c r="G593" i="148"/>
  <c r="E593" i="148"/>
  <c r="F25" i="1"/>
  <c r="N29" i="1" l="1"/>
  <c r="N25" i="1"/>
  <c r="N34" i="1"/>
  <c r="K936" i="148"/>
  <c r="K965" i="148" s="1"/>
  <c r="K967" i="148" s="1"/>
  <c r="K969" i="148" s="1"/>
  <c r="K992" i="148"/>
  <c r="K1021" i="148" s="1"/>
  <c r="K1023" i="148" s="1"/>
  <c r="K1025" i="148" s="1"/>
  <c r="K880" i="148"/>
  <c r="K909" i="148" s="1"/>
  <c r="K911" i="148" s="1"/>
  <c r="K913" i="148" s="1"/>
  <c r="L992" i="148"/>
  <c r="L1021" i="148" s="1"/>
  <c r="L1023" i="148" s="1"/>
  <c r="L1025" i="148" s="1"/>
  <c r="L1026" i="148" s="1"/>
  <c r="L936" i="148"/>
  <c r="L965" i="148" s="1"/>
  <c r="L967" i="148" s="1"/>
  <c r="L969" i="148" s="1"/>
  <c r="L970" i="148" s="1"/>
  <c r="L880" i="148"/>
  <c r="L909" i="148" s="1"/>
  <c r="L911" i="148" s="1"/>
  <c r="L913" i="148" s="1"/>
  <c r="L914" i="148" s="1"/>
  <c r="U707" i="148"/>
  <c r="L670" i="148"/>
  <c r="T698" i="148"/>
  <c r="K650" i="148"/>
  <c r="L661" i="148"/>
  <c r="L665" i="148" s="1"/>
  <c r="E669" i="148"/>
  <c r="F669" i="148" s="1"/>
  <c r="K669" i="148" s="1"/>
  <c r="L647" i="148"/>
  <c r="L654" i="148"/>
  <c r="R649" i="148"/>
  <c r="Q648" i="148"/>
  <c r="R648" i="148" s="1"/>
  <c r="F647" i="148"/>
  <c r="K647" i="148" s="1"/>
  <c r="K652" i="148"/>
  <c r="K662" i="148"/>
  <c r="K671" i="148"/>
  <c r="K653" i="148"/>
  <c r="K660" i="148"/>
  <c r="K663" i="148"/>
  <c r="I42" i="151" l="1"/>
  <c r="I31" i="152"/>
  <c r="M914" i="148"/>
  <c r="I42" i="1"/>
  <c r="M42" i="1" s="1"/>
  <c r="O42" i="1" s="1"/>
  <c r="I41" i="1"/>
  <c r="M41" i="1" s="1"/>
  <c r="O41" i="1" s="1"/>
  <c r="I43" i="1"/>
  <c r="J43" i="1" s="1"/>
  <c r="M1026" i="148"/>
  <c r="M970" i="148"/>
  <c r="T703" i="148"/>
  <c r="AG710" i="148" s="1"/>
  <c r="AH710" i="148" s="1"/>
  <c r="T711" i="148"/>
  <c r="T713" i="148" s="1"/>
  <c r="U713" i="148" s="1"/>
  <c r="L669" i="148"/>
  <c r="L674" i="148" s="1"/>
  <c r="K674" i="148"/>
  <c r="E648" i="148"/>
  <c r="F648" i="148" s="1"/>
  <c r="O648" i="148"/>
  <c r="E649" i="148"/>
  <c r="O649" i="148"/>
  <c r="K665" i="148"/>
  <c r="J42" i="1" l="1"/>
  <c r="M31" i="152"/>
  <c r="H31" i="152"/>
  <c r="K31" i="152" s="1"/>
  <c r="O31" i="152" s="1"/>
  <c r="O107" i="152" s="1"/>
  <c r="M42" i="151"/>
  <c r="J42" i="151"/>
  <c r="AG713" i="148"/>
  <c r="AH713" i="148" s="1"/>
  <c r="AI713" i="148" s="1"/>
  <c r="AJ713" i="148" s="1"/>
  <c r="M43" i="1"/>
  <c r="O43" i="1" s="1"/>
  <c r="AG711" i="148"/>
  <c r="AH711" i="148" s="1"/>
  <c r="AI711" i="148" s="1"/>
  <c r="AJ711" i="148" s="1"/>
  <c r="AG712" i="148"/>
  <c r="AH712" i="148" s="1"/>
  <c r="AI712" i="148" s="1"/>
  <c r="E704" i="148" s="1"/>
  <c r="J41" i="1"/>
  <c r="R713" i="148"/>
  <c r="Q711" i="148" s="1"/>
  <c r="T714" i="148" s="1"/>
  <c r="E706" i="148" s="1"/>
  <c r="E702" i="148"/>
  <c r="F649" i="148"/>
  <c r="K649" i="148" s="1"/>
  <c r="L649" i="148"/>
  <c r="K648" i="148"/>
  <c r="L648" i="148"/>
  <c r="O42" i="151" l="1"/>
  <c r="O165" i="151" s="1"/>
  <c r="L42" i="151"/>
  <c r="M165" i="151"/>
  <c r="M107" i="152"/>
  <c r="J31" i="152"/>
  <c r="L656" i="148"/>
  <c r="E705" i="148"/>
  <c r="E703" i="148"/>
  <c r="AJ712" i="148"/>
  <c r="E707" i="148"/>
  <c r="F707" i="148" s="1"/>
  <c r="F706" i="148"/>
  <c r="K656" i="148"/>
  <c r="N31" i="152" l="1"/>
  <c r="N107" i="152" s="1"/>
  <c r="L107" i="152"/>
  <c r="L101" i="151"/>
  <c r="L165" i="151" s="1"/>
  <c r="N42" i="151"/>
  <c r="N165" i="151" s="1"/>
  <c r="P49" i="151"/>
  <c r="Q100" i="151"/>
  <c r="M26" i="1"/>
  <c r="F26" i="1"/>
  <c r="K589" i="148"/>
  <c r="I589" i="148"/>
  <c r="D589" i="148"/>
  <c r="B589" i="148"/>
  <c r="F24" i="1"/>
  <c r="R163" i="151" l="1"/>
  <c r="Q166" i="151"/>
  <c r="R121" i="151"/>
  <c r="R100" i="151"/>
  <c r="E615" i="148"/>
  <c r="Q590" i="148"/>
  <c r="Q593" i="148" s="1"/>
  <c r="F593" i="148"/>
  <c r="I482" i="148"/>
  <c r="E506" i="148" s="1"/>
  <c r="F22" i="1"/>
  <c r="I445" i="148"/>
  <c r="G445" i="148"/>
  <c r="S15" i="149"/>
  <c r="T15" i="149" s="1"/>
  <c r="I428" i="148"/>
  <c r="F445" i="148" s="1"/>
  <c r="I432" i="148"/>
  <c r="K432" i="148" s="1"/>
  <c r="I433" i="148"/>
  <c r="K433" i="148" s="1"/>
  <c r="I434" i="148"/>
  <c r="K434" i="148" s="1"/>
  <c r="F21" i="1"/>
  <c r="I541" i="148"/>
  <c r="I540" i="148"/>
  <c r="I539" i="148"/>
  <c r="I538" i="148"/>
  <c r="G541" i="148"/>
  <c r="G540" i="148"/>
  <c r="G539" i="148"/>
  <c r="G538" i="148"/>
  <c r="I537" i="148"/>
  <c r="G537" i="148"/>
  <c r="AG545" i="148"/>
  <c r="T546" i="148"/>
  <c r="T548" i="148" s="1"/>
  <c r="K445" i="148" l="1"/>
  <c r="E505" i="148"/>
  <c r="Q594" i="148"/>
  <c r="R594" i="148" s="1"/>
  <c r="Q595" i="148"/>
  <c r="R595" i="148" l="1"/>
  <c r="E595" i="148" s="1"/>
  <c r="F595" i="148" s="1"/>
  <c r="E594" i="148"/>
  <c r="F594" i="148" s="1"/>
  <c r="O594" i="148"/>
  <c r="O595" i="148" l="1"/>
  <c r="F23" i="1"/>
  <c r="I533" i="148"/>
  <c r="F12" i="1"/>
  <c r="I12" i="148"/>
  <c r="L19" i="1"/>
  <c r="L18" i="1"/>
  <c r="N18" i="1" s="1"/>
  <c r="K19" i="1"/>
  <c r="K18" i="1"/>
  <c r="L140" i="149"/>
  <c r="M140" i="149" s="1"/>
  <c r="F19" i="1"/>
  <c r="K376" i="148"/>
  <c r="I376" i="148"/>
  <c r="E400" i="148" s="1"/>
  <c r="D376" i="148"/>
  <c r="B376" i="148"/>
  <c r="L411" i="148"/>
  <c r="K411" i="148"/>
  <c r="L410" i="148"/>
  <c r="K410" i="148"/>
  <c r="L409" i="148"/>
  <c r="K409" i="148"/>
  <c r="K413" i="148" s="1"/>
  <c r="L403" i="148"/>
  <c r="I402" i="148"/>
  <c r="L402" i="148" s="1"/>
  <c r="I401" i="148"/>
  <c r="L401" i="148" s="1"/>
  <c r="I400" i="148"/>
  <c r="G400" i="148"/>
  <c r="I394" i="148"/>
  <c r="L394" i="148" s="1"/>
  <c r="I393" i="148"/>
  <c r="L393" i="148" s="1"/>
  <c r="I392" i="148"/>
  <c r="L392" i="148" s="1"/>
  <c r="I391" i="148"/>
  <c r="K391" i="148" s="1"/>
  <c r="I385" i="148"/>
  <c r="L385" i="148" s="1"/>
  <c r="I384" i="148"/>
  <c r="K384" i="148" s="1"/>
  <c r="I383" i="148"/>
  <c r="L383" i="148" s="1"/>
  <c r="I382" i="148"/>
  <c r="L382" i="148" s="1"/>
  <c r="I381" i="148"/>
  <c r="L381" i="148" s="1"/>
  <c r="I380" i="148"/>
  <c r="L380" i="148" s="1"/>
  <c r="I348" i="148"/>
  <c r="G348" i="148"/>
  <c r="I272" i="148"/>
  <c r="I324" i="148"/>
  <c r="E348" i="148" s="1"/>
  <c r="K324" i="148"/>
  <c r="D324" i="148"/>
  <c r="B324" i="148"/>
  <c r="L359" i="148"/>
  <c r="K359" i="148"/>
  <c r="L358" i="148"/>
  <c r="K358" i="148"/>
  <c r="L357" i="148"/>
  <c r="K357" i="148"/>
  <c r="L351" i="148"/>
  <c r="I350" i="148"/>
  <c r="L350" i="148" s="1"/>
  <c r="I349" i="148"/>
  <c r="L349" i="148" s="1"/>
  <c r="I342" i="148"/>
  <c r="L342" i="148" s="1"/>
  <c r="I341" i="148"/>
  <c r="K341" i="148" s="1"/>
  <c r="I340" i="148"/>
  <c r="K340" i="148" s="1"/>
  <c r="I339" i="148"/>
  <c r="L339" i="148" s="1"/>
  <c r="I333" i="148"/>
  <c r="K333" i="148" s="1"/>
  <c r="I332" i="148"/>
  <c r="K332" i="148" s="1"/>
  <c r="I331" i="148"/>
  <c r="L331" i="148" s="1"/>
  <c r="I330" i="148"/>
  <c r="L330" i="148" s="1"/>
  <c r="I329" i="148"/>
  <c r="L329" i="148" s="1"/>
  <c r="I328" i="148"/>
  <c r="K328" i="148" s="1"/>
  <c r="F18" i="1"/>
  <c r="L139" i="149"/>
  <c r="M139" i="149" s="1"/>
  <c r="F17" i="1"/>
  <c r="F16" i="1"/>
  <c r="I245" i="148"/>
  <c r="G245" i="148"/>
  <c r="I220" i="148"/>
  <c r="F245" i="148" s="1"/>
  <c r="I244" i="148"/>
  <c r="G244" i="148"/>
  <c r="L138" i="149"/>
  <c r="M138" i="149" s="1"/>
  <c r="I62" i="148"/>
  <c r="F66" i="148" s="1"/>
  <c r="I69" i="148"/>
  <c r="G69" i="148"/>
  <c r="E283" i="149"/>
  <c r="F283" i="149" s="1"/>
  <c r="I68" i="148"/>
  <c r="I67" i="148"/>
  <c r="G68" i="148"/>
  <c r="G67" i="148"/>
  <c r="I66" i="148"/>
  <c r="G66" i="148"/>
  <c r="E282" i="149"/>
  <c r="F282" i="149" s="1"/>
  <c r="I90" i="148"/>
  <c r="G90" i="148"/>
  <c r="F13" i="1"/>
  <c r="N19" i="1" l="1"/>
  <c r="L361" i="148"/>
  <c r="L413" i="148"/>
  <c r="K361" i="148"/>
  <c r="T534" i="148"/>
  <c r="E561" i="148"/>
  <c r="F561" i="148" s="1"/>
  <c r="K385" i="148"/>
  <c r="K381" i="148"/>
  <c r="L328" i="148"/>
  <c r="K393" i="148"/>
  <c r="L333" i="148"/>
  <c r="K382" i="148"/>
  <c r="L340" i="148"/>
  <c r="K392" i="148"/>
  <c r="K330" i="148"/>
  <c r="K380" i="148"/>
  <c r="K401" i="148"/>
  <c r="K329" i="148"/>
  <c r="K349" i="148"/>
  <c r="L341" i="148"/>
  <c r="L400" i="148"/>
  <c r="L405" i="148" s="1"/>
  <c r="F400" i="148"/>
  <c r="K400" i="148" s="1"/>
  <c r="K383" i="148"/>
  <c r="K402" i="148"/>
  <c r="L384" i="148"/>
  <c r="L387" i="148" s="1"/>
  <c r="L391" i="148"/>
  <c r="L396" i="148" s="1"/>
  <c r="K394" i="148"/>
  <c r="L348" i="148"/>
  <c r="L353" i="148" s="1"/>
  <c r="K331" i="148"/>
  <c r="F348" i="148"/>
  <c r="K348" i="148" s="1"/>
  <c r="K350" i="148"/>
  <c r="K339" i="148"/>
  <c r="F69" i="148"/>
  <c r="K69" i="148" s="1"/>
  <c r="L332" i="148"/>
  <c r="K342" i="148"/>
  <c r="F67" i="148"/>
  <c r="E90" i="148"/>
  <c r="F244" i="148"/>
  <c r="K66" i="148"/>
  <c r="F14" i="1"/>
  <c r="M68" i="1"/>
  <c r="O68" i="1"/>
  <c r="I141" i="148"/>
  <c r="I134" i="148"/>
  <c r="G134" i="148"/>
  <c r="I133" i="148"/>
  <c r="L133" i="148" s="1"/>
  <c r="G133" i="148"/>
  <c r="I132" i="148"/>
  <c r="G132" i="148"/>
  <c r="G183" i="143"/>
  <c r="I183" i="143"/>
  <c r="S14" i="149"/>
  <c r="T14" i="149" s="1"/>
  <c r="S12" i="149"/>
  <c r="T12" i="149" s="1"/>
  <c r="S13" i="149"/>
  <c r="T13" i="149" s="1"/>
  <c r="G141" i="148"/>
  <c r="I118" i="148"/>
  <c r="F134" i="148" s="1"/>
  <c r="I183" i="148"/>
  <c r="G183" i="148"/>
  <c r="S11" i="149"/>
  <c r="T11" i="149" s="1"/>
  <c r="L43" i="149"/>
  <c r="M43" i="149" s="1"/>
  <c r="I193" i="148"/>
  <c r="G193" i="148"/>
  <c r="G192" i="148"/>
  <c r="I192" i="148"/>
  <c r="I169" i="148"/>
  <c r="F183" i="148" s="1"/>
  <c r="E271" i="149"/>
  <c r="F271" i="149" s="1"/>
  <c r="E270" i="149"/>
  <c r="F270" i="149" s="1"/>
  <c r="E269" i="149"/>
  <c r="F269" i="149" s="1"/>
  <c r="E268" i="149"/>
  <c r="F268" i="149" s="1"/>
  <c r="E266" i="149"/>
  <c r="F266" i="149" s="1"/>
  <c r="E265" i="149"/>
  <c r="F265" i="149" s="1"/>
  <c r="E264" i="149"/>
  <c r="F264" i="149" s="1"/>
  <c r="E263" i="149"/>
  <c r="F263" i="149" s="1"/>
  <c r="E262" i="149"/>
  <c r="F262" i="149" s="1"/>
  <c r="E261" i="149"/>
  <c r="F261" i="149" s="1"/>
  <c r="E260" i="149"/>
  <c r="F260" i="149" s="1"/>
  <c r="E259" i="149"/>
  <c r="F259" i="149" s="1"/>
  <c r="E258" i="149"/>
  <c r="F258" i="149" s="1"/>
  <c r="E257" i="149"/>
  <c r="F257" i="149" s="1"/>
  <c r="E255" i="149"/>
  <c r="F255" i="149" s="1"/>
  <c r="E253" i="149"/>
  <c r="F253" i="149" s="1"/>
  <c r="E250" i="149"/>
  <c r="F250" i="149" s="1"/>
  <c r="E248" i="149"/>
  <c r="F248" i="149" s="1"/>
  <c r="E247" i="149"/>
  <c r="F247" i="149" s="1"/>
  <c r="E244" i="149"/>
  <c r="F244" i="149" s="1"/>
  <c r="E242" i="149"/>
  <c r="F242" i="149" s="1"/>
  <c r="E239" i="149"/>
  <c r="F239" i="149" s="1"/>
  <c r="E238" i="149"/>
  <c r="F238" i="149" s="1"/>
  <c r="E237" i="149"/>
  <c r="F237" i="149" s="1"/>
  <c r="E236" i="149"/>
  <c r="F236" i="149" s="1"/>
  <c r="E234" i="149"/>
  <c r="F234" i="149" s="1"/>
  <c r="E233" i="149"/>
  <c r="F233" i="149" s="1"/>
  <c r="E232" i="149"/>
  <c r="F232" i="149" s="1"/>
  <c r="E231" i="149"/>
  <c r="F231" i="149" s="1"/>
  <c r="E229" i="149"/>
  <c r="F229" i="149" s="1"/>
  <c r="E226" i="149"/>
  <c r="F226" i="149" s="1"/>
  <c r="E225" i="149"/>
  <c r="F225" i="149" s="1"/>
  <c r="E222" i="149"/>
  <c r="F222" i="149" s="1"/>
  <c r="E221" i="149"/>
  <c r="F221" i="149" s="1"/>
  <c r="E220" i="149"/>
  <c r="F220" i="149" s="1"/>
  <c r="E218" i="149"/>
  <c r="F218" i="149" s="1"/>
  <c r="E217" i="149"/>
  <c r="F217" i="149" s="1"/>
  <c r="E216" i="149"/>
  <c r="F216" i="149" s="1"/>
  <c r="E215" i="149"/>
  <c r="F215" i="149" s="1"/>
  <c r="E214" i="149"/>
  <c r="F214" i="149" s="1"/>
  <c r="E213" i="149"/>
  <c r="F213" i="149" s="1"/>
  <c r="E211" i="149"/>
  <c r="F211" i="149" s="1"/>
  <c r="E209" i="149"/>
  <c r="F209" i="149" s="1"/>
  <c r="E208" i="149"/>
  <c r="F208" i="149" s="1"/>
  <c r="E207" i="149"/>
  <c r="F207" i="149" s="1"/>
  <c r="E206" i="149"/>
  <c r="F206" i="149" s="1"/>
  <c r="E205" i="149"/>
  <c r="F205" i="149" s="1"/>
  <c r="E204" i="149"/>
  <c r="F204" i="149" s="1"/>
  <c r="E203" i="149"/>
  <c r="F203" i="149" s="1"/>
  <c r="E202" i="149"/>
  <c r="F202" i="149" s="1"/>
  <c r="E201" i="149"/>
  <c r="F201" i="149" s="1"/>
  <c r="E199" i="149"/>
  <c r="F199" i="149" s="1"/>
  <c r="E196" i="149"/>
  <c r="F196" i="149" s="1"/>
  <c r="E195" i="149"/>
  <c r="F195" i="149" s="1"/>
  <c r="E194" i="149"/>
  <c r="F194" i="149" s="1"/>
  <c r="E193" i="149"/>
  <c r="F193" i="149" s="1"/>
  <c r="E192" i="149"/>
  <c r="F192" i="149" s="1"/>
  <c r="E191" i="149"/>
  <c r="F191" i="149" s="1"/>
  <c r="E190" i="149"/>
  <c r="F190" i="149" s="1"/>
  <c r="E189" i="149"/>
  <c r="F189" i="149" s="1"/>
  <c r="E188" i="149"/>
  <c r="F188" i="149" s="1"/>
  <c r="E187" i="149"/>
  <c r="F187" i="149" s="1"/>
  <c r="E186" i="149"/>
  <c r="F186" i="149" s="1"/>
  <c r="E185" i="149"/>
  <c r="F185" i="149" s="1"/>
  <c r="E184" i="149"/>
  <c r="F184" i="149" s="1"/>
  <c r="E182" i="149"/>
  <c r="F182" i="149" s="1"/>
  <c r="E181" i="149"/>
  <c r="F181" i="149" s="1"/>
  <c r="E180" i="149"/>
  <c r="F180" i="149" s="1"/>
  <c r="E179" i="149"/>
  <c r="F179" i="149" s="1"/>
  <c r="E178" i="149"/>
  <c r="F178" i="149" s="1"/>
  <c r="E175" i="149"/>
  <c r="F175" i="149" s="1"/>
  <c r="E173" i="149"/>
  <c r="F173" i="149" s="1"/>
  <c r="E172" i="149"/>
  <c r="F172" i="149" s="1"/>
  <c r="E170" i="149"/>
  <c r="F170" i="149" s="1"/>
  <c r="E168" i="149"/>
  <c r="F168" i="149" s="1"/>
  <c r="E165" i="149"/>
  <c r="F165" i="149" s="1"/>
  <c r="E164" i="149"/>
  <c r="F164" i="149" s="1"/>
  <c r="E163" i="149"/>
  <c r="F163" i="149" s="1"/>
  <c r="E162" i="149"/>
  <c r="F162" i="149" s="1"/>
  <c r="E161" i="149"/>
  <c r="F161" i="149" s="1"/>
  <c r="E160" i="149"/>
  <c r="F160" i="149" s="1"/>
  <c r="E159" i="149"/>
  <c r="F159" i="149" s="1"/>
  <c r="E158" i="149"/>
  <c r="F158" i="149" s="1"/>
  <c r="E156" i="149"/>
  <c r="F156" i="149" s="1"/>
  <c r="E154" i="149"/>
  <c r="F154" i="149" s="1"/>
  <c r="E153" i="149"/>
  <c r="F153" i="149" s="1"/>
  <c r="E152" i="149"/>
  <c r="F152" i="149" s="1"/>
  <c r="E150" i="149"/>
  <c r="F150" i="149" s="1"/>
  <c r="E149" i="149"/>
  <c r="F149" i="149" s="1"/>
  <c r="E148" i="149"/>
  <c r="F148" i="149" s="1"/>
  <c r="E147" i="149"/>
  <c r="F147" i="149" s="1"/>
  <c r="E145" i="149"/>
  <c r="F145" i="149" s="1"/>
  <c r="E142" i="149"/>
  <c r="F142" i="149" s="1"/>
  <c r="E141" i="149"/>
  <c r="F141" i="149" s="1"/>
  <c r="E140" i="149"/>
  <c r="F140" i="149" s="1"/>
  <c r="E139" i="149"/>
  <c r="F139" i="149" s="1"/>
  <c r="E138" i="149"/>
  <c r="F138" i="149" s="1"/>
  <c r="L136" i="149"/>
  <c r="M136" i="149" s="1"/>
  <c r="L135" i="149"/>
  <c r="M135" i="149" s="1"/>
  <c r="E135" i="149"/>
  <c r="F135" i="149" s="1"/>
  <c r="L134" i="149"/>
  <c r="M134" i="149" s="1"/>
  <c r="E134" i="149"/>
  <c r="F134" i="149" s="1"/>
  <c r="L133" i="149"/>
  <c r="M133" i="149" s="1"/>
  <c r="E132" i="149"/>
  <c r="F132" i="149" s="1"/>
  <c r="L131" i="149"/>
  <c r="M131" i="149" s="1"/>
  <c r="E131" i="149"/>
  <c r="F131" i="149" s="1"/>
  <c r="E130" i="149"/>
  <c r="F130" i="149" s="1"/>
  <c r="L129" i="149"/>
  <c r="M129" i="149" s="1"/>
  <c r="E128" i="149"/>
  <c r="F128" i="149" s="1"/>
  <c r="L126" i="149"/>
  <c r="M126" i="149" s="1"/>
  <c r="E126" i="149"/>
  <c r="F126" i="149" s="1"/>
  <c r="L125" i="149"/>
  <c r="M125" i="149" s="1"/>
  <c r="L124" i="149"/>
  <c r="M124" i="149" s="1"/>
  <c r="E123" i="149"/>
  <c r="F123" i="149" s="1"/>
  <c r="L122" i="149"/>
  <c r="M122" i="149" s="1"/>
  <c r="E121" i="149"/>
  <c r="F121" i="149" s="1"/>
  <c r="L120" i="149"/>
  <c r="M120" i="149" s="1"/>
  <c r="E120" i="149"/>
  <c r="F120" i="149" s="1"/>
  <c r="L119" i="149"/>
  <c r="M119" i="149" s="1"/>
  <c r="E119" i="149"/>
  <c r="F119" i="149" s="1"/>
  <c r="E118" i="149"/>
  <c r="F118" i="149" s="1"/>
  <c r="E117" i="149"/>
  <c r="F117" i="149" s="1"/>
  <c r="L116" i="149"/>
  <c r="M116" i="149" s="1"/>
  <c r="E116" i="149"/>
  <c r="F116" i="149" s="1"/>
  <c r="E115" i="149"/>
  <c r="F115" i="149" s="1"/>
  <c r="L114" i="149"/>
  <c r="M114" i="149" s="1"/>
  <c r="E114" i="149"/>
  <c r="F114" i="149" s="1"/>
  <c r="E113" i="149"/>
  <c r="F113" i="149" s="1"/>
  <c r="E112" i="149"/>
  <c r="F112" i="149" s="1"/>
  <c r="E110" i="149"/>
  <c r="F110" i="149" s="1"/>
  <c r="L109" i="149"/>
  <c r="M109" i="149" s="1"/>
  <c r="L108" i="149"/>
  <c r="M108" i="149" s="1"/>
  <c r="L107" i="149"/>
  <c r="M107" i="149" s="1"/>
  <c r="L106" i="149"/>
  <c r="M106" i="149" s="1"/>
  <c r="E105" i="149"/>
  <c r="F105" i="149" s="1"/>
  <c r="E104" i="149"/>
  <c r="F104" i="149" s="1"/>
  <c r="L103" i="149"/>
  <c r="M103" i="149" s="1"/>
  <c r="E103" i="149"/>
  <c r="F103" i="149" s="1"/>
  <c r="E102" i="149"/>
  <c r="F102" i="149" s="1"/>
  <c r="L98" i="149"/>
  <c r="M98" i="149" s="1"/>
  <c r="E96" i="149"/>
  <c r="F96" i="149" s="1"/>
  <c r="E95" i="149"/>
  <c r="F95" i="149" s="1"/>
  <c r="E94" i="149"/>
  <c r="F94" i="149" s="1"/>
  <c r="E92" i="149"/>
  <c r="F92" i="149" s="1"/>
  <c r="E91" i="149"/>
  <c r="F91" i="149" s="1"/>
  <c r="L90" i="149"/>
  <c r="M90" i="149" s="1"/>
  <c r="E90" i="149"/>
  <c r="F90" i="149" s="1"/>
  <c r="L89" i="149"/>
  <c r="M89" i="149" s="1"/>
  <c r="E89" i="149"/>
  <c r="F89" i="149" s="1"/>
  <c r="E88" i="149"/>
  <c r="F88" i="149" s="1"/>
  <c r="L87" i="149"/>
  <c r="M87" i="149" s="1"/>
  <c r="E87" i="149"/>
  <c r="F87" i="149" s="1"/>
  <c r="L86" i="149"/>
  <c r="M86" i="149" s="1"/>
  <c r="E85" i="149"/>
  <c r="F85" i="149" s="1"/>
  <c r="L82" i="149"/>
  <c r="M82" i="149" s="1"/>
  <c r="E82" i="149"/>
  <c r="F82" i="149" s="1"/>
  <c r="L81" i="149"/>
  <c r="M81" i="149" s="1"/>
  <c r="L80" i="149"/>
  <c r="M80" i="149" s="1"/>
  <c r="E78" i="149"/>
  <c r="F78" i="149" s="1"/>
  <c r="L77" i="149"/>
  <c r="M77" i="149" s="1"/>
  <c r="E77" i="149"/>
  <c r="F77" i="149" s="1"/>
  <c r="L76" i="149"/>
  <c r="M76" i="149" s="1"/>
  <c r="E76" i="149"/>
  <c r="F76" i="149" s="1"/>
  <c r="L75" i="149"/>
  <c r="M75" i="149" s="1"/>
  <c r="E75" i="149"/>
  <c r="F75" i="149" s="1"/>
  <c r="E74" i="149"/>
  <c r="F74" i="149" s="1"/>
  <c r="L73" i="149"/>
  <c r="M73" i="149" s="1"/>
  <c r="E73" i="149"/>
  <c r="F73" i="149" s="1"/>
  <c r="L72" i="149"/>
  <c r="M72" i="149" s="1"/>
  <c r="E72" i="149"/>
  <c r="F72" i="149" s="1"/>
  <c r="L71" i="149"/>
  <c r="M71" i="149" s="1"/>
  <c r="E71" i="149"/>
  <c r="F71" i="149" s="1"/>
  <c r="L70" i="149"/>
  <c r="M70" i="149" s="1"/>
  <c r="E69" i="149"/>
  <c r="F69" i="149" s="1"/>
  <c r="L68" i="149"/>
  <c r="M68" i="149" s="1"/>
  <c r="E68" i="149"/>
  <c r="F68" i="149" s="1"/>
  <c r="L67" i="149"/>
  <c r="M67" i="149" s="1"/>
  <c r="L65" i="149"/>
  <c r="M65" i="149" s="1"/>
  <c r="L64" i="149"/>
  <c r="M64" i="149" s="1"/>
  <c r="L63" i="149"/>
  <c r="M63" i="149" s="1"/>
  <c r="E63" i="149"/>
  <c r="F63" i="149" s="1"/>
  <c r="L62" i="149"/>
  <c r="M62" i="149" s="1"/>
  <c r="E62" i="149"/>
  <c r="F62" i="149" s="1"/>
  <c r="L61" i="149"/>
  <c r="M61" i="149" s="1"/>
  <c r="E61" i="149"/>
  <c r="F61" i="149" s="1"/>
  <c r="L60" i="149"/>
  <c r="M60" i="149" s="1"/>
  <c r="E60" i="149"/>
  <c r="F60" i="149" s="1"/>
  <c r="L59" i="149"/>
  <c r="M59" i="149" s="1"/>
  <c r="L58" i="149"/>
  <c r="M58" i="149" s="1"/>
  <c r="E58" i="149"/>
  <c r="F58" i="149" s="1"/>
  <c r="E57" i="149"/>
  <c r="F57" i="149" s="1"/>
  <c r="E56" i="149"/>
  <c r="F56" i="149" s="1"/>
  <c r="L53" i="149"/>
  <c r="M53" i="149" s="1"/>
  <c r="L52" i="149"/>
  <c r="M52" i="149" s="1"/>
  <c r="L51" i="149"/>
  <c r="M51" i="149" s="1"/>
  <c r="L50" i="149"/>
  <c r="M50" i="149" s="1"/>
  <c r="E50" i="149"/>
  <c r="F50" i="149" s="1"/>
  <c r="E49" i="149"/>
  <c r="F49" i="149" s="1"/>
  <c r="L48" i="149"/>
  <c r="M48" i="149" s="1"/>
  <c r="E48" i="149"/>
  <c r="F48" i="149" s="1"/>
  <c r="L47" i="149"/>
  <c r="M47" i="149" s="1"/>
  <c r="E47" i="149"/>
  <c r="F47" i="149" s="1"/>
  <c r="E46" i="149"/>
  <c r="F46" i="149" s="1"/>
  <c r="L45" i="149"/>
  <c r="M45" i="149" s="1"/>
  <c r="L44" i="149"/>
  <c r="M44" i="149" s="1"/>
  <c r="E43" i="149"/>
  <c r="F43" i="149" s="1"/>
  <c r="L42" i="149"/>
  <c r="M42" i="149" s="1"/>
  <c r="L40" i="149"/>
  <c r="M40" i="149" s="1"/>
  <c r="E40" i="149"/>
  <c r="F40" i="149" s="1"/>
  <c r="L39" i="149"/>
  <c r="M39" i="149" s="1"/>
  <c r="E39" i="149"/>
  <c r="F39" i="149" s="1"/>
  <c r="L38" i="149"/>
  <c r="M38" i="149" s="1"/>
  <c r="E38" i="149"/>
  <c r="F38" i="149" s="1"/>
  <c r="E37" i="149"/>
  <c r="F37" i="149" s="1"/>
  <c r="L35" i="149"/>
  <c r="M35" i="149" s="1"/>
  <c r="E35" i="149"/>
  <c r="F35" i="149" s="1"/>
  <c r="L34" i="149"/>
  <c r="M34" i="149" s="1"/>
  <c r="L33" i="149"/>
  <c r="M33" i="149" s="1"/>
  <c r="E33" i="149"/>
  <c r="F33" i="149" s="1"/>
  <c r="L32" i="149"/>
  <c r="M32" i="149" s="1"/>
  <c r="L31" i="149"/>
  <c r="M31" i="149" s="1"/>
  <c r="E31" i="149"/>
  <c r="F31" i="149" s="1"/>
  <c r="L30" i="149"/>
  <c r="M30" i="149" s="1"/>
  <c r="E30" i="149"/>
  <c r="F30" i="149" s="1"/>
  <c r="E29" i="149"/>
  <c r="F29" i="149" s="1"/>
  <c r="L28" i="149"/>
  <c r="M28" i="149" s="1"/>
  <c r="E28" i="149"/>
  <c r="F28" i="149" s="1"/>
  <c r="L27" i="149"/>
  <c r="M27" i="149" s="1"/>
  <c r="E27" i="149"/>
  <c r="F27" i="149" s="1"/>
  <c r="L26" i="149"/>
  <c r="M26" i="149" s="1"/>
  <c r="E26" i="149"/>
  <c r="F26" i="149" s="1"/>
  <c r="L25" i="149"/>
  <c r="M25" i="149" s="1"/>
  <c r="E25" i="149"/>
  <c r="F25" i="149" s="1"/>
  <c r="E24" i="149"/>
  <c r="F24" i="149" s="1"/>
  <c r="L23" i="149"/>
  <c r="M23" i="149" s="1"/>
  <c r="E23" i="149"/>
  <c r="F23" i="149" s="1"/>
  <c r="L22" i="149"/>
  <c r="M22" i="149" s="1"/>
  <c r="E22" i="149"/>
  <c r="F22" i="149" s="1"/>
  <c r="E20" i="149"/>
  <c r="F20" i="149" s="1"/>
  <c r="E19" i="149"/>
  <c r="F19" i="149" s="1"/>
  <c r="E18" i="149"/>
  <c r="F18" i="149" s="1"/>
  <c r="E17" i="149"/>
  <c r="F17" i="149" s="1"/>
  <c r="L16" i="149"/>
  <c r="M16" i="149" s="1"/>
  <c r="E16" i="149"/>
  <c r="F16" i="149" s="1"/>
  <c r="E15" i="149"/>
  <c r="F15" i="149" s="1"/>
  <c r="L14" i="149"/>
  <c r="M14" i="149" s="1"/>
  <c r="E14" i="149"/>
  <c r="F14" i="149" s="1"/>
  <c r="L13" i="149"/>
  <c r="M13" i="149" s="1"/>
  <c r="E13" i="149"/>
  <c r="F13" i="149" s="1"/>
  <c r="E12" i="149"/>
  <c r="F12" i="149" s="1"/>
  <c r="E11" i="149"/>
  <c r="F11" i="149" s="1"/>
  <c r="S10" i="149"/>
  <c r="T10" i="149" s="1"/>
  <c r="L10" i="149"/>
  <c r="M10" i="149" s="1"/>
  <c r="S9" i="149"/>
  <c r="T9" i="149" s="1"/>
  <c r="S8" i="149"/>
  <c r="T8" i="149" s="1"/>
  <c r="S7" i="149"/>
  <c r="T7" i="149" s="1"/>
  <c r="S6" i="149"/>
  <c r="T6" i="149" s="1"/>
  <c r="E6" i="149"/>
  <c r="F6" i="149" s="1"/>
  <c r="S5" i="149"/>
  <c r="T5" i="149" s="1"/>
  <c r="E5" i="149"/>
  <c r="F5" i="149" s="1"/>
  <c r="S3" i="149"/>
  <c r="T3" i="149" s="1"/>
  <c r="L3" i="149"/>
  <c r="M3" i="149" s="1"/>
  <c r="E3" i="149"/>
  <c r="F3" i="149" s="1"/>
  <c r="L2" i="149"/>
  <c r="M2" i="149" s="1"/>
  <c r="E2" i="149"/>
  <c r="F2" i="149" s="1"/>
  <c r="N68" i="1"/>
  <c r="F15" i="1"/>
  <c r="L5346" i="148"/>
  <c r="K5346" i="148"/>
  <c r="L5345" i="148"/>
  <c r="K5345" i="148"/>
  <c r="L5344" i="148"/>
  <c r="K5344" i="148"/>
  <c r="L5338" i="148"/>
  <c r="I5337" i="148"/>
  <c r="L5337" i="148" s="1"/>
  <c r="I5336" i="148"/>
  <c r="L5336" i="148" s="1"/>
  <c r="I5335" i="148"/>
  <c r="G5335" i="148"/>
  <c r="I5329" i="148"/>
  <c r="L5329" i="148" s="1"/>
  <c r="I5328" i="148"/>
  <c r="I5327" i="148"/>
  <c r="K5327" i="148" s="1"/>
  <c r="I5326" i="148"/>
  <c r="L5326" i="148" s="1"/>
  <c r="I5320" i="148"/>
  <c r="K5320" i="148" s="1"/>
  <c r="I5319" i="148"/>
  <c r="G5319" i="148"/>
  <c r="I5318" i="148"/>
  <c r="G5318" i="148"/>
  <c r="I5317" i="148"/>
  <c r="G5317" i="148"/>
  <c r="I5316" i="148"/>
  <c r="G5316" i="148"/>
  <c r="I5315" i="148"/>
  <c r="G5315" i="148"/>
  <c r="I5314" i="148"/>
  <c r="G5314" i="148"/>
  <c r="I5313" i="148"/>
  <c r="G5313" i="148"/>
  <c r="I5312" i="148"/>
  <c r="G5312" i="148"/>
  <c r="I5311" i="148"/>
  <c r="G5311" i="148"/>
  <c r="K5307" i="148"/>
  <c r="I5307" i="148"/>
  <c r="D5307" i="148"/>
  <c r="B5307" i="148"/>
  <c r="L5290" i="148"/>
  <c r="K5290" i="148"/>
  <c r="L5289" i="148"/>
  <c r="K5289" i="148"/>
  <c r="L5288" i="148"/>
  <c r="K5288" i="148"/>
  <c r="L5282" i="148"/>
  <c r="I5281" i="148"/>
  <c r="K5281" i="148" s="1"/>
  <c r="I5280" i="148"/>
  <c r="L5280" i="148" s="1"/>
  <c r="I5279" i="148"/>
  <c r="G5279" i="148"/>
  <c r="I5273" i="148"/>
  <c r="I5272" i="148"/>
  <c r="L5272" i="148" s="1"/>
  <c r="I5271" i="148"/>
  <c r="L5271" i="148" s="1"/>
  <c r="I5270" i="148"/>
  <c r="L5270" i="148" s="1"/>
  <c r="I5264" i="148"/>
  <c r="I5263" i="148"/>
  <c r="G5263" i="148"/>
  <c r="I5262" i="148"/>
  <c r="G5262" i="148"/>
  <c r="I5261" i="148"/>
  <c r="G5261" i="148"/>
  <c r="I5260" i="148"/>
  <c r="G5260" i="148"/>
  <c r="I5259" i="148"/>
  <c r="G5259" i="148"/>
  <c r="I5258" i="148"/>
  <c r="G5258" i="148"/>
  <c r="I5257" i="148"/>
  <c r="G5257" i="148"/>
  <c r="I5256" i="148"/>
  <c r="G5256" i="148"/>
  <c r="I5255" i="148"/>
  <c r="L5255" i="148" s="1"/>
  <c r="G5255" i="148"/>
  <c r="K5251" i="148"/>
  <c r="I5251" i="148"/>
  <c r="E5262" i="148" s="1"/>
  <c r="D5251" i="148"/>
  <c r="B5251" i="148"/>
  <c r="L5234" i="148"/>
  <c r="K5234" i="148"/>
  <c r="L5233" i="148"/>
  <c r="K5233" i="148"/>
  <c r="L5232" i="148"/>
  <c r="K5232" i="148"/>
  <c r="L5226" i="148"/>
  <c r="I5225" i="148"/>
  <c r="L5225" i="148" s="1"/>
  <c r="I5224" i="148"/>
  <c r="I5223" i="148"/>
  <c r="G5223" i="148"/>
  <c r="I5217" i="148"/>
  <c r="L5217" i="148" s="1"/>
  <c r="I5216" i="148"/>
  <c r="L5216" i="148" s="1"/>
  <c r="I5215" i="148"/>
  <c r="K5215" i="148" s="1"/>
  <c r="I5214" i="148"/>
  <c r="L5214" i="148" s="1"/>
  <c r="I5208" i="148"/>
  <c r="L5208" i="148" s="1"/>
  <c r="I5207" i="148"/>
  <c r="L5207" i="148" s="1"/>
  <c r="I5206" i="148"/>
  <c r="K5206" i="148" s="1"/>
  <c r="I5205" i="148"/>
  <c r="K5205" i="148" s="1"/>
  <c r="I5204" i="148"/>
  <c r="L5204" i="148" s="1"/>
  <c r="I5203" i="148"/>
  <c r="I5202" i="148"/>
  <c r="L5202" i="148" s="1"/>
  <c r="I5201" i="148"/>
  <c r="L5201" i="148" s="1"/>
  <c r="I5200" i="148"/>
  <c r="L5200" i="148" s="1"/>
  <c r="I5199" i="148"/>
  <c r="G5199" i="148"/>
  <c r="K5195" i="148"/>
  <c r="I5195" i="148"/>
  <c r="D5195" i="148"/>
  <c r="B5195" i="148"/>
  <c r="L5178" i="148"/>
  <c r="K5178" i="148"/>
  <c r="L5177" i="148"/>
  <c r="K5177" i="148"/>
  <c r="L5176" i="148"/>
  <c r="K5176" i="148"/>
  <c r="L5170" i="148"/>
  <c r="I5169" i="148"/>
  <c r="K5169" i="148" s="1"/>
  <c r="I5168" i="148"/>
  <c r="G5168" i="148"/>
  <c r="I5167" i="148"/>
  <c r="G5167" i="148"/>
  <c r="I5161" i="148"/>
  <c r="K5161" i="148" s="1"/>
  <c r="I5160" i="148"/>
  <c r="L5160" i="148" s="1"/>
  <c r="I5159" i="148"/>
  <c r="I5158" i="148"/>
  <c r="L5158" i="148" s="1"/>
  <c r="I5152" i="148"/>
  <c r="I5151" i="148"/>
  <c r="L5151" i="148" s="1"/>
  <c r="I5150" i="148"/>
  <c r="L5150" i="148" s="1"/>
  <c r="I5149" i="148"/>
  <c r="L5149" i="148" s="1"/>
  <c r="I5148" i="148"/>
  <c r="L5148" i="148" s="1"/>
  <c r="I5147" i="148"/>
  <c r="I5146" i="148"/>
  <c r="K5146" i="148" s="1"/>
  <c r="I5145" i="148"/>
  <c r="L5145" i="148" s="1"/>
  <c r="I5144" i="148"/>
  <c r="I5143" i="148"/>
  <c r="L5143" i="148" s="1"/>
  <c r="K5139" i="148"/>
  <c r="I5139" i="148"/>
  <c r="E5167" i="148" s="1"/>
  <c r="F5167" i="148" s="1"/>
  <c r="D5139" i="148"/>
  <c r="B5139" i="148"/>
  <c r="L5122" i="148"/>
  <c r="K5122" i="148"/>
  <c r="L5121" i="148"/>
  <c r="K5121" i="148"/>
  <c r="L5120" i="148"/>
  <c r="K5120" i="148"/>
  <c r="L5114" i="148"/>
  <c r="I5113" i="148"/>
  <c r="L5113" i="148" s="1"/>
  <c r="I5112" i="148"/>
  <c r="I5111" i="148"/>
  <c r="G5111" i="148"/>
  <c r="I5105" i="148"/>
  <c r="L5105" i="148" s="1"/>
  <c r="I5104" i="148"/>
  <c r="L5104" i="148" s="1"/>
  <c r="I5103" i="148"/>
  <c r="K5103" i="148" s="1"/>
  <c r="I5102" i="148"/>
  <c r="G5102" i="148"/>
  <c r="I5096" i="148"/>
  <c r="L5096" i="148" s="1"/>
  <c r="I5095" i="148"/>
  <c r="L5095" i="148" s="1"/>
  <c r="I5094" i="148"/>
  <c r="I5093" i="148"/>
  <c r="L5093" i="148" s="1"/>
  <c r="I5092" i="148"/>
  <c r="I5091" i="148"/>
  <c r="L5091" i="148" s="1"/>
  <c r="I5090" i="148"/>
  <c r="L5090" i="148" s="1"/>
  <c r="I5089" i="148"/>
  <c r="K5089" i="148" s="1"/>
  <c r="I5088" i="148"/>
  <c r="L5088" i="148" s="1"/>
  <c r="I5087" i="148"/>
  <c r="K5087" i="148" s="1"/>
  <c r="K5083" i="148"/>
  <c r="I5083" i="148"/>
  <c r="E5102" i="148" s="1"/>
  <c r="F5102" i="148" s="1"/>
  <c r="D5083" i="148"/>
  <c r="B5083" i="148"/>
  <c r="L5066" i="148"/>
  <c r="K5066" i="148"/>
  <c r="L5065" i="148"/>
  <c r="K5065" i="148"/>
  <c r="L5064" i="148"/>
  <c r="K5064" i="148"/>
  <c r="L5058" i="148"/>
  <c r="I5057" i="148"/>
  <c r="L5057" i="148" s="1"/>
  <c r="I5056" i="148"/>
  <c r="L5056" i="148" s="1"/>
  <c r="I5055" i="148"/>
  <c r="G5055" i="148"/>
  <c r="I5049" i="148"/>
  <c r="K5049" i="148" s="1"/>
  <c r="I5048" i="148"/>
  <c r="K5048" i="148" s="1"/>
  <c r="I5047" i="148"/>
  <c r="L5047" i="148" s="1"/>
  <c r="L5046" i="148"/>
  <c r="I5040" i="148"/>
  <c r="L5040" i="148" s="1"/>
  <c r="I5039" i="148"/>
  <c r="K5039" i="148" s="1"/>
  <c r="I5038" i="148"/>
  <c r="K5038" i="148" s="1"/>
  <c r="I5037" i="148"/>
  <c r="L5037" i="148" s="1"/>
  <c r="I5036" i="148"/>
  <c r="L5036" i="148" s="1"/>
  <c r="I5035" i="148"/>
  <c r="K5035" i="148" s="1"/>
  <c r="I5034" i="148"/>
  <c r="L5034" i="148" s="1"/>
  <c r="I5033" i="148"/>
  <c r="I5032" i="148"/>
  <c r="L5032" i="148" s="1"/>
  <c r="I5031" i="148"/>
  <c r="K5031" i="148" s="1"/>
  <c r="K5027" i="148"/>
  <c r="I5027" i="148"/>
  <c r="E5055" i="148" s="1"/>
  <c r="D5027" i="148"/>
  <c r="B5027" i="148"/>
  <c r="L5010" i="148"/>
  <c r="K5010" i="148"/>
  <c r="L5009" i="148"/>
  <c r="K5009" i="148"/>
  <c r="L5008" i="148"/>
  <c r="K5008" i="148"/>
  <c r="L5002" i="148"/>
  <c r="I5001" i="148"/>
  <c r="I5000" i="148"/>
  <c r="L5000" i="148" s="1"/>
  <c r="I4999" i="148"/>
  <c r="G4999" i="148"/>
  <c r="I4993" i="148"/>
  <c r="L4993" i="148" s="1"/>
  <c r="I4992" i="148"/>
  <c r="K4992" i="148" s="1"/>
  <c r="I4991" i="148"/>
  <c r="L4991" i="148" s="1"/>
  <c r="I4990" i="148"/>
  <c r="K4990" i="148" s="1"/>
  <c r="I4984" i="148"/>
  <c r="L4984" i="148" s="1"/>
  <c r="I4983" i="148"/>
  <c r="K4983" i="148" s="1"/>
  <c r="I4982" i="148"/>
  <c r="K4982" i="148" s="1"/>
  <c r="I4981" i="148"/>
  <c r="L4981" i="148" s="1"/>
  <c r="I4980" i="148"/>
  <c r="I4979" i="148"/>
  <c r="L4979" i="148" s="1"/>
  <c r="I4978" i="148"/>
  <c r="L4978" i="148" s="1"/>
  <c r="I4977" i="148"/>
  <c r="G4977" i="148"/>
  <c r="I4976" i="148"/>
  <c r="G4976" i="148"/>
  <c r="I4975" i="148"/>
  <c r="G4975" i="148"/>
  <c r="K4971" i="148"/>
  <c r="I4971" i="148"/>
  <c r="E4999" i="148" s="1"/>
  <c r="D4971" i="148"/>
  <c r="B4971" i="148"/>
  <c r="L4954" i="148"/>
  <c r="K4954" i="148"/>
  <c r="L4953" i="148"/>
  <c r="K4953" i="148"/>
  <c r="L4952" i="148"/>
  <c r="K4952" i="148"/>
  <c r="L4946" i="148"/>
  <c r="I4945" i="148"/>
  <c r="K4945" i="148" s="1"/>
  <c r="I4944" i="148"/>
  <c r="L4944" i="148" s="1"/>
  <c r="I4943" i="148"/>
  <c r="G4943" i="148"/>
  <c r="I4937" i="148"/>
  <c r="I4936" i="148"/>
  <c r="L4936" i="148" s="1"/>
  <c r="I4935" i="148"/>
  <c r="L4935" i="148" s="1"/>
  <c r="I4934" i="148"/>
  <c r="I4928" i="148"/>
  <c r="L4928" i="148" s="1"/>
  <c r="I4927" i="148"/>
  <c r="K4927" i="148" s="1"/>
  <c r="I4926" i="148"/>
  <c r="L4926" i="148" s="1"/>
  <c r="I4925" i="148"/>
  <c r="I4924" i="148"/>
  <c r="K4924" i="148" s="1"/>
  <c r="I4923" i="148"/>
  <c r="L4923" i="148" s="1"/>
  <c r="I4922" i="148"/>
  <c r="I4921" i="148"/>
  <c r="L4921" i="148" s="1"/>
  <c r="I4920" i="148"/>
  <c r="G4920" i="148"/>
  <c r="I4919" i="148"/>
  <c r="G4919" i="148"/>
  <c r="K4915" i="148"/>
  <c r="I4915" i="148"/>
  <c r="E4920" i="148" s="1"/>
  <c r="D4915" i="148"/>
  <c r="B4915" i="148"/>
  <c r="L4898" i="148"/>
  <c r="K4898" i="148"/>
  <c r="L4897" i="148"/>
  <c r="K4897" i="148"/>
  <c r="L4896" i="148"/>
  <c r="K4896" i="148"/>
  <c r="L4890" i="148"/>
  <c r="I4889" i="148"/>
  <c r="L4889" i="148" s="1"/>
  <c r="I4888" i="148"/>
  <c r="L4888" i="148" s="1"/>
  <c r="I4887" i="148"/>
  <c r="G4887" i="148"/>
  <c r="I4881" i="148"/>
  <c r="I4880" i="148"/>
  <c r="K4880" i="148" s="1"/>
  <c r="I4879" i="148"/>
  <c r="I4878" i="148"/>
  <c r="L4878" i="148" s="1"/>
  <c r="I4872" i="148"/>
  <c r="I4871" i="148"/>
  <c r="L4871" i="148" s="1"/>
  <c r="I4870" i="148"/>
  <c r="L4870" i="148" s="1"/>
  <c r="I4869" i="148"/>
  <c r="L4869" i="148" s="1"/>
  <c r="I4868" i="148"/>
  <c r="L4868" i="148" s="1"/>
  <c r="I4867" i="148"/>
  <c r="L4867" i="148" s="1"/>
  <c r="I4866" i="148"/>
  <c r="K4866" i="148" s="1"/>
  <c r="I4865" i="148"/>
  <c r="K4865" i="148" s="1"/>
  <c r="I4864" i="148"/>
  <c r="I4863" i="148"/>
  <c r="L4863" i="148" s="1"/>
  <c r="K4859" i="148"/>
  <c r="I4859" i="148"/>
  <c r="E4887" i="148" s="1"/>
  <c r="F4887" i="148" s="1"/>
  <c r="D4859" i="148"/>
  <c r="B4859" i="148"/>
  <c r="L4842" i="148"/>
  <c r="K4842" i="148"/>
  <c r="L4841" i="148"/>
  <c r="K4841" i="148"/>
  <c r="L4840" i="148"/>
  <c r="K4840" i="148"/>
  <c r="L4834" i="148"/>
  <c r="I4833" i="148"/>
  <c r="K4833" i="148" s="1"/>
  <c r="I4832" i="148"/>
  <c r="I4831" i="148"/>
  <c r="G4831" i="148"/>
  <c r="I4825" i="148"/>
  <c r="L4825" i="148" s="1"/>
  <c r="I4824" i="148"/>
  <c r="K4824" i="148" s="1"/>
  <c r="I4823" i="148"/>
  <c r="L4823" i="148" s="1"/>
  <c r="I4822" i="148"/>
  <c r="K4822" i="148" s="1"/>
  <c r="I4816" i="148"/>
  <c r="L4816" i="148" s="1"/>
  <c r="I4815" i="148"/>
  <c r="L4815" i="148" s="1"/>
  <c r="I4814" i="148"/>
  <c r="L4814" i="148" s="1"/>
  <c r="I4813" i="148"/>
  <c r="K4813" i="148" s="1"/>
  <c r="I4812" i="148"/>
  <c r="G4812" i="148"/>
  <c r="I4811" i="148"/>
  <c r="G4811" i="148"/>
  <c r="I4810" i="148"/>
  <c r="G4810" i="148"/>
  <c r="K4806" i="148"/>
  <c r="I4806" i="148"/>
  <c r="E4831" i="148" s="1"/>
  <c r="D4806" i="148"/>
  <c r="B4806" i="148"/>
  <c r="L4789" i="148"/>
  <c r="K4789" i="148"/>
  <c r="L4788" i="148"/>
  <c r="K4788" i="148"/>
  <c r="L4787" i="148"/>
  <c r="K4787" i="148"/>
  <c r="I4781" i="148"/>
  <c r="L4781" i="148" s="1"/>
  <c r="I4780" i="148"/>
  <c r="K4780" i="148" s="1"/>
  <c r="I4779" i="148"/>
  <c r="L4779" i="148" s="1"/>
  <c r="I4778" i="148"/>
  <c r="G4778" i="148"/>
  <c r="I4772" i="148"/>
  <c r="K4772" i="148" s="1"/>
  <c r="I4771" i="148"/>
  <c r="I4770" i="148"/>
  <c r="L4770" i="148" s="1"/>
  <c r="I4769" i="148"/>
  <c r="K4769" i="148" s="1"/>
  <c r="I4763" i="148"/>
  <c r="K4763" i="148" s="1"/>
  <c r="I4762" i="148"/>
  <c r="G4762" i="148"/>
  <c r="I4761" i="148"/>
  <c r="G4761" i="148"/>
  <c r="I4760" i="148"/>
  <c r="G4760" i="148"/>
  <c r="I4759" i="148"/>
  <c r="G4759" i="148"/>
  <c r="K4755" i="148"/>
  <c r="I4755" i="148"/>
  <c r="E4761" i="148" s="1"/>
  <c r="F4761" i="148" s="1"/>
  <c r="D4755" i="148"/>
  <c r="B4755" i="148"/>
  <c r="L4738" i="148"/>
  <c r="K4738" i="148"/>
  <c r="L4737" i="148"/>
  <c r="K4737" i="148"/>
  <c r="L4736" i="148"/>
  <c r="K4736" i="148"/>
  <c r="I4730" i="148"/>
  <c r="L4730" i="148" s="1"/>
  <c r="I4729" i="148"/>
  <c r="L4729" i="148" s="1"/>
  <c r="I4728" i="148"/>
  <c r="L4728" i="148" s="1"/>
  <c r="I4727" i="148"/>
  <c r="G4727" i="148"/>
  <c r="I4721" i="148"/>
  <c r="L4721" i="148" s="1"/>
  <c r="I4720" i="148"/>
  <c r="K4720" i="148" s="1"/>
  <c r="I4719" i="148"/>
  <c r="L4719" i="148" s="1"/>
  <c r="I4718" i="148"/>
  <c r="K4718" i="148" s="1"/>
  <c r="I4712" i="148"/>
  <c r="L4712" i="148" s="1"/>
  <c r="I4711" i="148"/>
  <c r="K4711" i="148" s="1"/>
  <c r="I4710" i="148"/>
  <c r="I4709" i="148"/>
  <c r="L4709" i="148" s="1"/>
  <c r="I4708" i="148"/>
  <c r="K4708" i="148" s="1"/>
  <c r="I4707" i="148"/>
  <c r="L4707" i="148" s="1"/>
  <c r="I4706" i="148"/>
  <c r="L4706" i="148" s="1"/>
  <c r="I4705" i="148"/>
  <c r="K4705" i="148" s="1"/>
  <c r="I4704" i="148"/>
  <c r="L4704" i="148" s="1"/>
  <c r="I4703" i="148"/>
  <c r="K4703" i="148" s="1"/>
  <c r="K4699" i="148"/>
  <c r="I4699" i="148"/>
  <c r="E4727" i="148" s="1"/>
  <c r="D4699" i="148"/>
  <c r="B4699" i="148"/>
  <c r="L4682" i="148"/>
  <c r="K4682" i="148"/>
  <c r="L4681" i="148"/>
  <c r="K4681" i="148"/>
  <c r="L4680" i="148"/>
  <c r="K4680" i="148"/>
  <c r="L4674" i="148"/>
  <c r="I4673" i="148"/>
  <c r="K4673" i="148" s="1"/>
  <c r="I4672" i="148"/>
  <c r="I4671" i="148"/>
  <c r="G4671" i="148"/>
  <c r="I4665" i="148"/>
  <c r="L4665" i="148" s="1"/>
  <c r="I4664" i="148"/>
  <c r="K4664" i="148" s="1"/>
  <c r="I4663" i="148"/>
  <c r="L4663" i="148" s="1"/>
  <c r="I4662" i="148"/>
  <c r="K4662" i="148" s="1"/>
  <c r="I4656" i="148"/>
  <c r="K4656" i="148" s="1"/>
  <c r="I4655" i="148"/>
  <c r="L4655" i="148" s="1"/>
  <c r="I4654" i="148"/>
  <c r="L4654" i="148" s="1"/>
  <c r="I4653" i="148"/>
  <c r="K4653" i="148" s="1"/>
  <c r="I4652" i="148"/>
  <c r="L4652" i="148" s="1"/>
  <c r="I4651" i="148"/>
  <c r="L4651" i="148" s="1"/>
  <c r="I4650" i="148"/>
  <c r="L4650" i="148" s="1"/>
  <c r="I4649" i="148"/>
  <c r="I4648" i="148"/>
  <c r="L4648" i="148" s="1"/>
  <c r="I4647" i="148"/>
  <c r="L4647" i="148" s="1"/>
  <c r="K4643" i="148"/>
  <c r="I4643" i="148"/>
  <c r="E4671" i="148" s="1"/>
  <c r="F4671" i="148" s="1"/>
  <c r="D4643" i="148"/>
  <c r="B4643" i="148"/>
  <c r="L4626" i="148"/>
  <c r="K4626" i="148"/>
  <c r="L4625" i="148"/>
  <c r="K4625" i="148"/>
  <c r="L4624" i="148"/>
  <c r="K4624" i="148"/>
  <c r="L4618" i="148"/>
  <c r="I4617" i="148"/>
  <c r="L4617" i="148" s="1"/>
  <c r="I4616" i="148"/>
  <c r="L4616" i="148" s="1"/>
  <c r="I4615" i="148"/>
  <c r="G4615" i="148"/>
  <c r="I4609" i="148"/>
  <c r="L4609" i="148" s="1"/>
  <c r="I4608" i="148"/>
  <c r="L4608" i="148" s="1"/>
  <c r="I4607" i="148"/>
  <c r="L4607" i="148" s="1"/>
  <c r="L4606" i="148"/>
  <c r="I4600" i="148"/>
  <c r="K4600" i="148" s="1"/>
  <c r="I4599" i="148"/>
  <c r="K4599" i="148" s="1"/>
  <c r="I4598" i="148"/>
  <c r="L4598" i="148" s="1"/>
  <c r="I4597" i="148"/>
  <c r="L4597" i="148" s="1"/>
  <c r="I4596" i="148"/>
  <c r="L4596" i="148" s="1"/>
  <c r="I4595" i="148"/>
  <c r="K4595" i="148" s="1"/>
  <c r="I4594" i="148"/>
  <c r="I4593" i="148"/>
  <c r="I4592" i="148"/>
  <c r="L4592" i="148" s="1"/>
  <c r="I4591" i="148"/>
  <c r="K4587" i="148"/>
  <c r="I4587" i="148"/>
  <c r="E4615" i="148" s="1"/>
  <c r="D4587" i="148"/>
  <c r="B4587" i="148"/>
  <c r="L4570" i="148"/>
  <c r="K4570" i="148"/>
  <c r="L4569" i="148"/>
  <c r="K4569" i="148"/>
  <c r="L4568" i="148"/>
  <c r="K4568" i="148"/>
  <c r="L4562" i="148"/>
  <c r="I4561" i="148"/>
  <c r="I4560" i="148"/>
  <c r="K4560" i="148" s="1"/>
  <c r="I4559" i="148"/>
  <c r="G4559" i="148"/>
  <c r="I4553" i="148"/>
  <c r="K4553" i="148" s="1"/>
  <c r="I4552" i="148"/>
  <c r="L4552" i="148" s="1"/>
  <c r="I4551" i="148"/>
  <c r="L4551" i="148" s="1"/>
  <c r="L4550" i="148"/>
  <c r="I4544" i="148"/>
  <c r="L4544" i="148" s="1"/>
  <c r="I4543" i="148"/>
  <c r="L4543" i="148" s="1"/>
  <c r="I4542" i="148"/>
  <c r="I4541" i="148"/>
  <c r="K4541" i="148" s="1"/>
  <c r="I4540" i="148"/>
  <c r="K4540" i="148" s="1"/>
  <c r="I4539" i="148"/>
  <c r="L4539" i="148" s="1"/>
  <c r="I4538" i="148"/>
  <c r="I4537" i="148"/>
  <c r="L4537" i="148" s="1"/>
  <c r="I4536" i="148"/>
  <c r="L4536" i="148" s="1"/>
  <c r="I4535" i="148"/>
  <c r="L4535" i="148" s="1"/>
  <c r="K4531" i="148"/>
  <c r="I4531" i="148"/>
  <c r="E4559" i="148" s="1"/>
  <c r="D4531" i="148"/>
  <c r="B4531" i="148"/>
  <c r="L4514" i="148"/>
  <c r="K4514" i="148"/>
  <c r="L4513" i="148"/>
  <c r="K4513" i="148"/>
  <c r="L4512" i="148"/>
  <c r="K4512" i="148"/>
  <c r="L4506" i="148"/>
  <c r="I4505" i="148"/>
  <c r="L4505" i="148" s="1"/>
  <c r="I4504" i="148"/>
  <c r="L4504" i="148" s="1"/>
  <c r="I4503" i="148"/>
  <c r="G4503" i="148"/>
  <c r="I4497" i="148"/>
  <c r="L4497" i="148" s="1"/>
  <c r="I4496" i="148"/>
  <c r="I4495" i="148"/>
  <c r="I4494" i="148"/>
  <c r="L4494" i="148" s="1"/>
  <c r="I4488" i="148"/>
  <c r="K4488" i="148" s="1"/>
  <c r="I4487" i="148"/>
  <c r="G4487" i="148"/>
  <c r="I4486" i="148"/>
  <c r="G4486" i="148"/>
  <c r="I4485" i="148"/>
  <c r="G4485" i="148"/>
  <c r="K4481" i="148"/>
  <c r="I4481" i="148"/>
  <c r="E4485" i="148" s="1"/>
  <c r="F4485" i="148" s="1"/>
  <c r="D4481" i="148"/>
  <c r="B4481" i="148"/>
  <c r="L4464" i="148"/>
  <c r="K4464" i="148"/>
  <c r="L4463" i="148"/>
  <c r="K4463" i="148"/>
  <c r="L4462" i="148"/>
  <c r="K4462" i="148"/>
  <c r="L4456" i="148"/>
  <c r="I4455" i="148"/>
  <c r="L4455" i="148" s="1"/>
  <c r="I4454" i="148"/>
  <c r="L4454" i="148" s="1"/>
  <c r="I4453" i="148"/>
  <c r="G4453" i="148"/>
  <c r="I4447" i="148"/>
  <c r="I4446" i="148"/>
  <c r="I4445" i="148"/>
  <c r="K4445" i="148" s="1"/>
  <c r="I4444" i="148"/>
  <c r="L4444" i="148" s="1"/>
  <c r="I4438" i="148"/>
  <c r="G4438" i="148"/>
  <c r="I4437" i="148"/>
  <c r="G4437" i="148"/>
  <c r="I4436" i="148"/>
  <c r="G4436" i="148"/>
  <c r="I4435" i="148"/>
  <c r="G4435" i="148"/>
  <c r="I4434" i="148"/>
  <c r="G4434" i="148"/>
  <c r="I4433" i="148"/>
  <c r="G4433" i="148"/>
  <c r="K4429" i="148"/>
  <c r="I4429" i="148"/>
  <c r="E4437" i="148" s="1"/>
  <c r="D4429" i="148"/>
  <c r="B4429" i="148"/>
  <c r="L4412" i="148"/>
  <c r="K4412" i="148"/>
  <c r="L4411" i="148"/>
  <c r="K4411" i="148"/>
  <c r="L4410" i="148"/>
  <c r="K4410" i="148"/>
  <c r="L4404" i="148"/>
  <c r="I4403" i="148"/>
  <c r="L4403" i="148" s="1"/>
  <c r="I4402" i="148"/>
  <c r="L4402" i="148" s="1"/>
  <c r="I4401" i="148"/>
  <c r="G4401" i="148"/>
  <c r="I4395" i="148"/>
  <c r="K4395" i="148" s="1"/>
  <c r="I4394" i="148"/>
  <c r="L4394" i="148" s="1"/>
  <c r="I4393" i="148"/>
  <c r="L4393" i="148" s="1"/>
  <c r="I4392" i="148"/>
  <c r="I4386" i="148"/>
  <c r="G4386" i="148"/>
  <c r="I4385" i="148"/>
  <c r="G4385" i="148"/>
  <c r="I4384" i="148"/>
  <c r="G4384" i="148"/>
  <c r="I4383" i="148"/>
  <c r="G4383" i="148"/>
  <c r="I4382" i="148"/>
  <c r="G4382" i="148"/>
  <c r="I4381" i="148"/>
  <c r="G4381" i="148"/>
  <c r="I4380" i="148"/>
  <c r="G4380" i="148"/>
  <c r="K4376" i="148"/>
  <c r="I4376" i="148"/>
  <c r="E4385" i="148" s="1"/>
  <c r="D4376" i="148"/>
  <c r="B4376" i="148"/>
  <c r="L4359" i="148"/>
  <c r="K4359" i="148"/>
  <c r="L4358" i="148"/>
  <c r="K4358" i="148"/>
  <c r="L4357" i="148"/>
  <c r="K4357" i="148"/>
  <c r="L4351" i="148"/>
  <c r="I4350" i="148"/>
  <c r="L4350" i="148" s="1"/>
  <c r="I4349" i="148"/>
  <c r="L4349" i="148" s="1"/>
  <c r="I4348" i="148"/>
  <c r="G4348" i="148"/>
  <c r="I4342" i="148"/>
  <c r="I4341" i="148"/>
  <c r="I4340" i="148"/>
  <c r="I4339" i="148"/>
  <c r="L4339" i="148" s="1"/>
  <c r="I4333" i="148"/>
  <c r="I4332" i="148"/>
  <c r="L4332" i="148" s="1"/>
  <c r="I4331" i="148"/>
  <c r="I4330" i="148"/>
  <c r="L4330" i="148" s="1"/>
  <c r="I4329" i="148"/>
  <c r="L4329" i="148" s="1"/>
  <c r="I4328" i="148"/>
  <c r="L4328" i="148" s="1"/>
  <c r="I4327" i="148"/>
  <c r="I4326" i="148"/>
  <c r="K4326" i="148" s="1"/>
  <c r="I4325" i="148"/>
  <c r="I4324" i="148"/>
  <c r="L4324" i="148" s="1"/>
  <c r="K4320" i="148"/>
  <c r="I4320" i="148"/>
  <c r="E4348" i="148" s="1"/>
  <c r="F4348" i="148" s="1"/>
  <c r="D4320" i="148"/>
  <c r="B4320" i="148"/>
  <c r="L4303" i="148"/>
  <c r="K4303" i="148"/>
  <c r="L4302" i="148"/>
  <c r="K4302" i="148"/>
  <c r="L4301" i="148"/>
  <c r="K4301" i="148"/>
  <c r="L4295" i="148"/>
  <c r="I4294" i="148"/>
  <c r="K4294" i="148" s="1"/>
  <c r="I4293" i="148"/>
  <c r="I4292" i="148"/>
  <c r="G4292" i="148"/>
  <c r="I4286" i="148"/>
  <c r="L4286" i="148" s="1"/>
  <c r="I4285" i="148"/>
  <c r="L4285" i="148" s="1"/>
  <c r="I4284" i="148"/>
  <c r="L4284" i="148" s="1"/>
  <c r="I4283" i="148"/>
  <c r="L4283" i="148" s="1"/>
  <c r="I4277" i="148"/>
  <c r="I4276" i="148"/>
  <c r="L4276" i="148" s="1"/>
  <c r="I4275" i="148"/>
  <c r="L4275" i="148" s="1"/>
  <c r="I4274" i="148"/>
  <c r="L4274" i="148" s="1"/>
  <c r="I4273" i="148"/>
  <c r="K4273" i="148" s="1"/>
  <c r="I4272" i="148"/>
  <c r="I4271" i="148"/>
  <c r="L4271" i="148" s="1"/>
  <c r="I4270" i="148"/>
  <c r="L4270" i="148" s="1"/>
  <c r="I4269" i="148"/>
  <c r="L4269" i="148" s="1"/>
  <c r="I4268" i="148"/>
  <c r="L4268" i="148" s="1"/>
  <c r="K4264" i="148"/>
  <c r="I4264" i="148"/>
  <c r="E4292" i="148" s="1"/>
  <c r="D4264" i="148"/>
  <c r="B4264" i="148"/>
  <c r="L4247" i="148"/>
  <c r="K4247" i="148"/>
  <c r="L4246" i="148"/>
  <c r="K4246" i="148"/>
  <c r="L4245" i="148"/>
  <c r="K4245" i="148"/>
  <c r="L4239" i="148"/>
  <c r="I4238" i="148"/>
  <c r="L4238" i="148" s="1"/>
  <c r="I4237" i="148"/>
  <c r="L4237" i="148" s="1"/>
  <c r="I4236" i="148"/>
  <c r="G4236" i="148"/>
  <c r="I4230" i="148"/>
  <c r="L4230" i="148" s="1"/>
  <c r="I4229" i="148"/>
  <c r="L4229" i="148" s="1"/>
  <c r="I4228" i="148"/>
  <c r="L4228" i="148" s="1"/>
  <c r="I4227" i="148"/>
  <c r="K4227" i="148" s="1"/>
  <c r="I4221" i="148"/>
  <c r="L4221" i="148" s="1"/>
  <c r="I4220" i="148"/>
  <c r="K4220" i="148" s="1"/>
  <c r="I4219" i="148"/>
  <c r="I4218" i="148"/>
  <c r="I4217" i="148"/>
  <c r="L4217" i="148" s="1"/>
  <c r="I4216" i="148"/>
  <c r="L4216" i="148" s="1"/>
  <c r="I4215" i="148"/>
  <c r="I4214" i="148"/>
  <c r="L4214" i="148" s="1"/>
  <c r="I4213" i="148"/>
  <c r="L4213" i="148" s="1"/>
  <c r="I4212" i="148"/>
  <c r="K4212" i="148" s="1"/>
  <c r="K4208" i="148"/>
  <c r="I4208" i="148"/>
  <c r="E4236" i="148" s="1"/>
  <c r="D4208" i="148"/>
  <c r="B4208" i="148"/>
  <c r="L4191" i="148"/>
  <c r="K4191" i="148"/>
  <c r="L4190" i="148"/>
  <c r="K4190" i="148"/>
  <c r="L4189" i="148"/>
  <c r="K4189" i="148"/>
  <c r="L4183" i="148"/>
  <c r="I4182" i="148"/>
  <c r="L4182" i="148" s="1"/>
  <c r="I4181" i="148"/>
  <c r="L4181" i="148" s="1"/>
  <c r="I4180" i="148"/>
  <c r="G4180" i="148"/>
  <c r="I4174" i="148"/>
  <c r="K4174" i="148" s="1"/>
  <c r="I4173" i="148"/>
  <c r="I4172" i="148"/>
  <c r="L4172" i="148" s="1"/>
  <c r="I4171" i="148"/>
  <c r="I4165" i="148"/>
  <c r="L4165" i="148" s="1"/>
  <c r="I4164" i="148"/>
  <c r="I4163" i="148"/>
  <c r="I4162" i="148"/>
  <c r="G4162" i="148"/>
  <c r="I4161" i="148"/>
  <c r="G4161" i="148"/>
  <c r="I4160" i="148"/>
  <c r="G4160" i="148"/>
  <c r="I4159" i="148"/>
  <c r="G4159" i="148"/>
  <c r="I4158" i="148"/>
  <c r="G4158" i="148"/>
  <c r="I4157" i="148"/>
  <c r="G4157" i="148"/>
  <c r="I4156" i="148"/>
  <c r="G4156" i="148"/>
  <c r="K4152" i="148"/>
  <c r="I4152" i="148"/>
  <c r="E4161" i="148" s="1"/>
  <c r="D4152" i="148"/>
  <c r="B4152" i="148"/>
  <c r="L4135" i="148"/>
  <c r="K4135" i="148"/>
  <c r="L4134" i="148"/>
  <c r="K4134" i="148"/>
  <c r="L4133" i="148"/>
  <c r="K4133" i="148"/>
  <c r="I4127" i="148"/>
  <c r="L4127" i="148" s="1"/>
  <c r="I4126" i="148"/>
  <c r="L4126" i="148" s="1"/>
  <c r="I4125" i="148"/>
  <c r="L4125" i="148" s="1"/>
  <c r="I4124" i="148"/>
  <c r="G4124" i="148"/>
  <c r="I4118" i="148"/>
  <c r="L4118" i="148" s="1"/>
  <c r="I4117" i="148"/>
  <c r="K4117" i="148" s="1"/>
  <c r="I4116" i="148"/>
  <c r="L4116" i="148" s="1"/>
  <c r="I4115" i="148"/>
  <c r="K4115" i="148" s="1"/>
  <c r="I4109" i="148"/>
  <c r="L4109" i="148" s="1"/>
  <c r="I4108" i="148"/>
  <c r="G4108" i="148"/>
  <c r="I4107" i="148"/>
  <c r="G4107" i="148"/>
  <c r="I4106" i="148"/>
  <c r="G4106" i="148"/>
  <c r="I4105" i="148"/>
  <c r="G4105" i="148"/>
  <c r="K4101" i="148"/>
  <c r="I4101" i="148"/>
  <c r="D4101" i="148"/>
  <c r="B4101" i="148"/>
  <c r="L4084" i="148"/>
  <c r="K4084" i="148"/>
  <c r="L4083" i="148"/>
  <c r="K4083" i="148"/>
  <c r="L4082" i="148"/>
  <c r="K4082" i="148"/>
  <c r="I4076" i="148"/>
  <c r="L4076" i="148" s="1"/>
  <c r="I4075" i="148"/>
  <c r="I4074" i="148"/>
  <c r="L4074" i="148" s="1"/>
  <c r="I4073" i="148"/>
  <c r="G4073" i="148"/>
  <c r="I4067" i="148"/>
  <c r="L4067" i="148" s="1"/>
  <c r="I4066" i="148"/>
  <c r="L4066" i="148" s="1"/>
  <c r="I4065" i="148"/>
  <c r="L4065" i="148" s="1"/>
  <c r="I4064" i="148"/>
  <c r="L4064" i="148" s="1"/>
  <c r="I4058" i="148"/>
  <c r="L4058" i="148" s="1"/>
  <c r="I4057" i="148"/>
  <c r="G4057" i="148"/>
  <c r="I4056" i="148"/>
  <c r="G4056" i="148"/>
  <c r="I4055" i="148"/>
  <c r="G4055" i="148"/>
  <c r="I4054" i="148"/>
  <c r="G4054" i="148"/>
  <c r="K4050" i="148"/>
  <c r="I4050" i="148"/>
  <c r="E4073" i="148" s="1"/>
  <c r="L4073" i="148" s="1"/>
  <c r="D4050" i="148"/>
  <c r="B4050" i="148"/>
  <c r="L4033" i="148"/>
  <c r="K4033" i="148"/>
  <c r="L4032" i="148"/>
  <c r="K4032" i="148"/>
  <c r="L4031" i="148"/>
  <c r="K4031" i="148"/>
  <c r="I4025" i="148"/>
  <c r="L4025" i="148" s="1"/>
  <c r="I4024" i="148"/>
  <c r="L4024" i="148" s="1"/>
  <c r="I4023" i="148"/>
  <c r="L4023" i="148" s="1"/>
  <c r="I4022" i="148"/>
  <c r="G4022" i="148"/>
  <c r="I4016" i="148"/>
  <c r="L4016" i="148" s="1"/>
  <c r="I4015" i="148"/>
  <c r="L4015" i="148" s="1"/>
  <c r="I4014" i="148"/>
  <c r="K4014" i="148" s="1"/>
  <c r="I4013" i="148"/>
  <c r="L4013" i="148" s="1"/>
  <c r="I4007" i="148"/>
  <c r="K4007" i="148" s="1"/>
  <c r="I4006" i="148"/>
  <c r="L4006" i="148" s="1"/>
  <c r="I4005" i="148"/>
  <c r="I4004" i="148"/>
  <c r="I4003" i="148"/>
  <c r="G4003" i="148"/>
  <c r="I4002" i="148"/>
  <c r="G4002" i="148"/>
  <c r="I4001" i="148"/>
  <c r="G4001" i="148"/>
  <c r="K3997" i="148"/>
  <c r="I3997" i="148"/>
  <c r="E4001" i="148" s="1"/>
  <c r="D3997" i="148"/>
  <c r="B3997" i="148"/>
  <c r="L3980" i="148"/>
  <c r="K3980" i="148"/>
  <c r="L3979" i="148"/>
  <c r="K3979" i="148"/>
  <c r="L3978" i="148"/>
  <c r="K3978" i="148"/>
  <c r="I3972" i="148"/>
  <c r="L3972" i="148" s="1"/>
  <c r="I3971" i="148"/>
  <c r="I3970" i="148"/>
  <c r="I3969" i="148"/>
  <c r="G3969" i="148"/>
  <c r="I3963" i="148"/>
  <c r="L3963" i="148" s="1"/>
  <c r="I3962" i="148"/>
  <c r="K3962" i="148" s="1"/>
  <c r="I3961" i="148"/>
  <c r="L3961" i="148" s="1"/>
  <c r="I3960" i="148"/>
  <c r="L3960" i="148" s="1"/>
  <c r="I3954" i="148"/>
  <c r="L3954" i="148" s="1"/>
  <c r="I3953" i="148"/>
  <c r="L3953" i="148" s="1"/>
  <c r="I3952" i="148"/>
  <c r="K3952" i="148" s="1"/>
  <c r="I3951" i="148"/>
  <c r="I3950" i="148"/>
  <c r="I3949" i="148"/>
  <c r="K3945" i="148"/>
  <c r="I3945" i="148"/>
  <c r="E3969" i="148" s="1"/>
  <c r="F3969" i="148" s="1"/>
  <c r="D3945" i="148"/>
  <c r="B3945" i="148"/>
  <c r="L3928" i="148"/>
  <c r="K3928" i="148"/>
  <c r="L3927" i="148"/>
  <c r="K3927" i="148"/>
  <c r="L3926" i="148"/>
  <c r="K3926" i="148"/>
  <c r="I3920" i="148"/>
  <c r="L3920" i="148" s="1"/>
  <c r="I3919" i="148"/>
  <c r="L3919" i="148" s="1"/>
  <c r="I3918" i="148"/>
  <c r="L3918" i="148" s="1"/>
  <c r="I3917" i="148"/>
  <c r="L3917" i="148" s="1"/>
  <c r="I3911" i="148"/>
  <c r="L3911" i="148" s="1"/>
  <c r="I3910" i="148"/>
  <c r="L3910" i="148" s="1"/>
  <c r="I3909" i="148"/>
  <c r="L3909" i="148" s="1"/>
  <c r="I3908" i="148"/>
  <c r="G3908" i="148"/>
  <c r="I3902" i="148"/>
  <c r="I3901" i="148"/>
  <c r="L3901" i="148" s="1"/>
  <c r="I3900" i="148"/>
  <c r="I3899" i="148"/>
  <c r="I3898" i="148"/>
  <c r="I3897" i="148"/>
  <c r="L3897" i="148" s="1"/>
  <c r="K3893" i="148"/>
  <c r="I3893" i="148"/>
  <c r="E3908" i="148" s="1"/>
  <c r="F3908" i="148" s="1"/>
  <c r="D3893" i="148"/>
  <c r="B3893" i="148"/>
  <c r="L3876" i="148"/>
  <c r="K3876" i="148"/>
  <c r="L3875" i="148"/>
  <c r="K3875" i="148"/>
  <c r="L3874" i="148"/>
  <c r="K3874" i="148"/>
  <c r="L3868" i="148"/>
  <c r="I3867" i="148"/>
  <c r="I3866" i="148"/>
  <c r="I3865" i="148"/>
  <c r="G3865" i="148"/>
  <c r="I3859" i="148"/>
  <c r="I3858" i="148"/>
  <c r="L3858" i="148" s="1"/>
  <c r="I3857" i="148"/>
  <c r="L3857" i="148" s="1"/>
  <c r="I3856" i="148"/>
  <c r="K3856" i="148" s="1"/>
  <c r="I3850" i="148"/>
  <c r="L3850" i="148" s="1"/>
  <c r="I3849" i="148"/>
  <c r="I3848" i="148"/>
  <c r="L3848" i="148" s="1"/>
  <c r="K3844" i="148"/>
  <c r="I3844" i="148"/>
  <c r="E3865" i="148" s="1"/>
  <c r="D3844" i="148"/>
  <c r="B3844" i="148"/>
  <c r="L3827" i="148"/>
  <c r="K3827" i="148"/>
  <c r="L3826" i="148"/>
  <c r="K3826" i="148"/>
  <c r="L3825" i="148"/>
  <c r="K3825" i="148"/>
  <c r="L3819" i="148"/>
  <c r="I3818" i="148"/>
  <c r="L3818" i="148" s="1"/>
  <c r="I3817" i="148"/>
  <c r="K3817" i="148" s="1"/>
  <c r="I3816" i="148"/>
  <c r="G3816" i="148"/>
  <c r="I3810" i="148"/>
  <c r="I3809" i="148"/>
  <c r="I3808" i="148"/>
  <c r="L3807" i="148"/>
  <c r="I3801" i="148"/>
  <c r="L3801" i="148" s="1"/>
  <c r="I3800" i="148"/>
  <c r="L3800" i="148" s="1"/>
  <c r="I3799" i="148"/>
  <c r="L3799" i="148" s="1"/>
  <c r="I3798" i="148"/>
  <c r="K3798" i="148" s="1"/>
  <c r="I3797" i="148"/>
  <c r="K3797" i="148" s="1"/>
  <c r="K3793" i="148"/>
  <c r="I3793" i="148"/>
  <c r="E3816" i="148" s="1"/>
  <c r="D3793" i="148"/>
  <c r="B3793" i="148"/>
  <c r="L3776" i="148"/>
  <c r="K3776" i="148"/>
  <c r="L3775" i="148"/>
  <c r="K3775" i="148"/>
  <c r="L3774" i="148"/>
  <c r="K3774" i="148"/>
  <c r="L3768" i="148"/>
  <c r="I3767" i="148"/>
  <c r="L3767" i="148" s="1"/>
  <c r="I3766" i="148"/>
  <c r="K3766" i="148" s="1"/>
  <c r="I3765" i="148"/>
  <c r="G3765" i="148"/>
  <c r="I3759" i="148"/>
  <c r="K3759" i="148" s="1"/>
  <c r="I3758" i="148"/>
  <c r="I3757" i="148"/>
  <c r="L3756" i="148"/>
  <c r="I3750" i="148"/>
  <c r="I3749" i="148"/>
  <c r="L3749" i="148" s="1"/>
  <c r="I3748" i="148"/>
  <c r="L3748" i="148" s="1"/>
  <c r="I3747" i="148"/>
  <c r="K3747" i="148" s="1"/>
  <c r="I3746" i="148"/>
  <c r="I3745" i="148"/>
  <c r="I3744" i="148"/>
  <c r="I3743" i="148"/>
  <c r="K3743" i="148" s="1"/>
  <c r="I3742" i="148"/>
  <c r="I3741" i="148"/>
  <c r="L3741" i="148" s="1"/>
  <c r="K3737" i="148"/>
  <c r="I3737" i="148"/>
  <c r="E3765" i="148" s="1"/>
  <c r="D3737" i="148"/>
  <c r="B3737" i="148"/>
  <c r="L3720" i="148"/>
  <c r="K3720" i="148"/>
  <c r="L3719" i="148"/>
  <c r="K3719" i="148"/>
  <c r="L3718" i="148"/>
  <c r="K3718" i="148"/>
  <c r="L3712" i="148"/>
  <c r="I3711" i="148"/>
  <c r="I3710" i="148"/>
  <c r="L3710" i="148" s="1"/>
  <c r="I3709" i="148"/>
  <c r="G3709" i="148"/>
  <c r="I3703" i="148"/>
  <c r="L3703" i="148" s="1"/>
  <c r="I3702" i="148"/>
  <c r="L3702" i="148" s="1"/>
  <c r="I3701" i="148"/>
  <c r="K3701" i="148" s="1"/>
  <c r="I3700" i="148"/>
  <c r="K3700" i="148" s="1"/>
  <c r="I3694" i="148"/>
  <c r="I3693" i="148"/>
  <c r="G3693" i="148"/>
  <c r="I3692" i="148"/>
  <c r="G3692" i="148"/>
  <c r="I3691" i="148"/>
  <c r="G3691" i="148"/>
  <c r="K3687" i="148"/>
  <c r="I3687" i="148"/>
  <c r="E3692" i="148" s="1"/>
  <c r="D3687" i="148"/>
  <c r="B3687" i="148"/>
  <c r="L3670" i="148"/>
  <c r="K3670" i="148"/>
  <c r="L3669" i="148"/>
  <c r="K3669" i="148"/>
  <c r="L3668" i="148"/>
  <c r="K3668" i="148"/>
  <c r="L3662" i="148"/>
  <c r="I3661" i="148"/>
  <c r="I3660" i="148"/>
  <c r="I3659" i="148"/>
  <c r="G3659" i="148"/>
  <c r="I3653" i="148"/>
  <c r="I3652" i="148"/>
  <c r="K3652" i="148" s="1"/>
  <c r="I3651" i="148"/>
  <c r="K3651" i="148" s="1"/>
  <c r="I3650" i="148"/>
  <c r="L3650" i="148" s="1"/>
  <c r="I3644" i="148"/>
  <c r="G3644" i="148"/>
  <c r="I3643" i="148"/>
  <c r="G3643" i="148"/>
  <c r="I3642" i="148"/>
  <c r="G3642" i="148"/>
  <c r="I3641" i="148"/>
  <c r="G3641" i="148"/>
  <c r="I3640" i="148"/>
  <c r="G3640" i="148"/>
  <c r="I3639" i="148"/>
  <c r="G3639" i="148"/>
  <c r="K3635" i="148"/>
  <c r="I3635" i="148"/>
  <c r="D3635" i="148"/>
  <c r="B3635" i="148"/>
  <c r="L3618" i="148"/>
  <c r="K3618" i="148"/>
  <c r="L3617" i="148"/>
  <c r="K3617" i="148"/>
  <c r="L3616" i="148"/>
  <c r="K3616" i="148"/>
  <c r="L3610" i="148"/>
  <c r="I3609" i="148"/>
  <c r="L3609" i="148" s="1"/>
  <c r="I3608" i="148"/>
  <c r="I3607" i="148"/>
  <c r="G3607" i="148"/>
  <c r="I3601" i="148"/>
  <c r="I3600" i="148"/>
  <c r="I3599" i="148"/>
  <c r="K3599" i="148" s="1"/>
  <c r="I3598" i="148"/>
  <c r="I3592" i="148"/>
  <c r="I3591" i="148"/>
  <c r="L3591" i="148" s="1"/>
  <c r="I3590" i="148"/>
  <c r="I3589" i="148"/>
  <c r="I3588" i="148"/>
  <c r="L3588" i="148" s="1"/>
  <c r="I3587" i="148"/>
  <c r="L3587" i="148" s="1"/>
  <c r="I3586" i="148"/>
  <c r="I3585" i="148"/>
  <c r="L3585" i="148" s="1"/>
  <c r="I3584" i="148"/>
  <c r="L3584" i="148" s="1"/>
  <c r="I3583" i="148"/>
  <c r="L3583" i="148" s="1"/>
  <c r="K3579" i="148"/>
  <c r="I3579" i="148"/>
  <c r="E3607" i="148" s="1"/>
  <c r="F3607" i="148" s="1"/>
  <c r="D3579" i="148"/>
  <c r="B3579" i="148"/>
  <c r="L3562" i="148"/>
  <c r="K3562" i="148"/>
  <c r="L3561" i="148"/>
  <c r="K3561" i="148"/>
  <c r="L3560" i="148"/>
  <c r="K3560" i="148"/>
  <c r="L3554" i="148"/>
  <c r="I3553" i="148"/>
  <c r="I3552" i="148"/>
  <c r="L3552" i="148" s="1"/>
  <c r="I3551" i="148"/>
  <c r="G3551" i="148"/>
  <c r="I3545" i="148"/>
  <c r="L3545" i="148" s="1"/>
  <c r="I3544" i="148"/>
  <c r="K3544" i="148" s="1"/>
  <c r="I3543" i="148"/>
  <c r="I3542" i="148"/>
  <c r="K3542" i="148" s="1"/>
  <c r="I3536" i="148"/>
  <c r="K3536" i="148" s="1"/>
  <c r="I3535" i="148"/>
  <c r="L3535" i="148" s="1"/>
  <c r="I3534" i="148"/>
  <c r="L3534" i="148" s="1"/>
  <c r="I3533" i="148"/>
  <c r="L3533" i="148" s="1"/>
  <c r="I3532" i="148"/>
  <c r="L3532" i="148" s="1"/>
  <c r="I3531" i="148"/>
  <c r="L3531" i="148" s="1"/>
  <c r="I3530" i="148"/>
  <c r="I3529" i="148"/>
  <c r="I3528" i="148"/>
  <c r="K3528" i="148" s="1"/>
  <c r="I3527" i="148"/>
  <c r="K3523" i="148"/>
  <c r="I3523" i="148"/>
  <c r="E3551" i="148" s="1"/>
  <c r="D3523" i="148"/>
  <c r="B3523" i="148"/>
  <c r="L3506" i="148"/>
  <c r="K3506" i="148"/>
  <c r="L3505" i="148"/>
  <c r="K3505" i="148"/>
  <c r="L3504" i="148"/>
  <c r="K3504" i="148"/>
  <c r="L3498" i="148"/>
  <c r="I3497" i="148"/>
  <c r="L3497" i="148" s="1"/>
  <c r="I3496" i="148"/>
  <c r="K3496" i="148" s="1"/>
  <c r="I3495" i="148"/>
  <c r="G3495" i="148"/>
  <c r="I3489" i="148"/>
  <c r="L3489" i="148" s="1"/>
  <c r="I3488" i="148"/>
  <c r="I3487" i="148"/>
  <c r="I3486" i="148"/>
  <c r="L3486" i="148" s="1"/>
  <c r="I3480" i="148"/>
  <c r="I3479" i="148"/>
  <c r="I3478" i="148"/>
  <c r="L3478" i="148" s="1"/>
  <c r="I3477" i="148"/>
  <c r="L3477" i="148" s="1"/>
  <c r="I3476" i="148"/>
  <c r="L3476" i="148" s="1"/>
  <c r="I3475" i="148"/>
  <c r="K3475" i="148" s="1"/>
  <c r="I3474" i="148"/>
  <c r="L3474" i="148" s="1"/>
  <c r="I3473" i="148"/>
  <c r="L3473" i="148" s="1"/>
  <c r="I3472" i="148"/>
  <c r="I3471" i="148"/>
  <c r="K3471" i="148" s="1"/>
  <c r="K3467" i="148"/>
  <c r="I3467" i="148"/>
  <c r="E3495" i="148" s="1"/>
  <c r="F3495" i="148" s="1"/>
  <c r="D3467" i="148"/>
  <c r="B3467" i="148"/>
  <c r="L3450" i="148"/>
  <c r="K3450" i="148"/>
  <c r="L3449" i="148"/>
  <c r="K3449" i="148"/>
  <c r="L3448" i="148"/>
  <c r="K3448" i="148"/>
  <c r="L3442" i="148"/>
  <c r="I3441" i="148"/>
  <c r="L3441" i="148" s="1"/>
  <c r="I3440" i="148"/>
  <c r="I3439" i="148"/>
  <c r="G3439" i="148"/>
  <c r="I3433" i="148"/>
  <c r="I3432" i="148"/>
  <c r="L3432" i="148" s="1"/>
  <c r="I3431" i="148"/>
  <c r="L3431" i="148" s="1"/>
  <c r="I3430" i="148"/>
  <c r="I3424" i="148"/>
  <c r="I3423" i="148"/>
  <c r="I3422" i="148"/>
  <c r="K3422" i="148" s="1"/>
  <c r="I3421" i="148"/>
  <c r="G3421" i="148"/>
  <c r="I3420" i="148"/>
  <c r="G3420" i="148"/>
  <c r="I3419" i="148"/>
  <c r="G3419" i="148"/>
  <c r="I3418" i="148"/>
  <c r="G3418" i="148"/>
  <c r="I3417" i="148"/>
  <c r="G3417" i="148"/>
  <c r="I3416" i="148"/>
  <c r="G3416" i="148"/>
  <c r="I3415" i="148"/>
  <c r="G3415" i="148"/>
  <c r="K3411" i="148"/>
  <c r="I3411" i="148"/>
  <c r="E3420" i="148" s="1"/>
  <c r="D3411" i="148"/>
  <c r="B3411" i="148"/>
  <c r="L3394" i="148"/>
  <c r="K3394" i="148"/>
  <c r="L3393" i="148"/>
  <c r="K3393" i="148"/>
  <c r="L3392" i="148"/>
  <c r="K3392" i="148"/>
  <c r="I3386" i="148"/>
  <c r="L3386" i="148" s="1"/>
  <c r="I3385" i="148"/>
  <c r="K3385" i="148" s="1"/>
  <c r="I3384" i="148"/>
  <c r="L3384" i="148" s="1"/>
  <c r="I3383" i="148"/>
  <c r="G3383" i="148"/>
  <c r="I3377" i="148"/>
  <c r="L3377" i="148" s="1"/>
  <c r="I3376" i="148"/>
  <c r="K3376" i="148" s="1"/>
  <c r="I3375" i="148"/>
  <c r="I3374" i="148"/>
  <c r="K3374" i="148" s="1"/>
  <c r="I3368" i="148"/>
  <c r="I3367" i="148"/>
  <c r="G3367" i="148"/>
  <c r="I3366" i="148"/>
  <c r="G3366" i="148"/>
  <c r="I3365" i="148"/>
  <c r="G3365" i="148"/>
  <c r="I3364" i="148"/>
  <c r="G3364" i="148"/>
  <c r="K3360" i="148"/>
  <c r="I3360" i="148"/>
  <c r="E3366" i="148" s="1"/>
  <c r="F3366" i="148" s="1"/>
  <c r="D3360" i="148"/>
  <c r="B3360" i="148"/>
  <c r="L3343" i="148"/>
  <c r="K3343" i="148"/>
  <c r="L3342" i="148"/>
  <c r="K3342" i="148"/>
  <c r="L3341" i="148"/>
  <c r="K3341" i="148"/>
  <c r="I3335" i="148"/>
  <c r="L3335" i="148" s="1"/>
  <c r="I3334" i="148"/>
  <c r="K3334" i="148" s="1"/>
  <c r="I3333" i="148"/>
  <c r="L3333" i="148" s="1"/>
  <c r="I3332" i="148"/>
  <c r="G3332" i="148"/>
  <c r="I3326" i="148"/>
  <c r="I3325" i="148"/>
  <c r="L3325" i="148" s="1"/>
  <c r="I3324" i="148"/>
  <c r="L3324" i="148" s="1"/>
  <c r="I3323" i="148"/>
  <c r="L3323" i="148" s="1"/>
  <c r="I3317" i="148"/>
  <c r="L3317" i="148" s="1"/>
  <c r="I3316" i="148"/>
  <c r="G3316" i="148"/>
  <c r="I3315" i="148"/>
  <c r="G3315" i="148"/>
  <c r="I3314" i="148"/>
  <c r="G3314" i="148"/>
  <c r="I3313" i="148"/>
  <c r="G3313" i="148"/>
  <c r="K3309" i="148"/>
  <c r="I3309" i="148"/>
  <c r="D3309" i="148"/>
  <c r="B3309" i="148"/>
  <c r="L3292" i="148"/>
  <c r="K3292" i="148"/>
  <c r="L3291" i="148"/>
  <c r="K3291" i="148"/>
  <c r="L3290" i="148"/>
  <c r="K3290" i="148"/>
  <c r="I3284" i="148"/>
  <c r="L3284" i="148" s="1"/>
  <c r="I3283" i="148"/>
  <c r="I3282" i="148"/>
  <c r="K3282" i="148" s="1"/>
  <c r="I3281" i="148"/>
  <c r="G3281" i="148"/>
  <c r="I3275" i="148"/>
  <c r="L3275" i="148" s="1"/>
  <c r="I3274" i="148"/>
  <c r="K3274" i="148" s="1"/>
  <c r="I3273" i="148"/>
  <c r="L3273" i="148" s="1"/>
  <c r="I3272" i="148"/>
  <c r="L3272" i="148" s="1"/>
  <c r="I3266" i="148"/>
  <c r="L3266" i="148" s="1"/>
  <c r="I3265" i="148"/>
  <c r="I3264" i="148"/>
  <c r="I3263" i="148"/>
  <c r="I3262" i="148"/>
  <c r="L3262" i="148" s="1"/>
  <c r="I3261" i="148"/>
  <c r="K3261" i="148" s="1"/>
  <c r="I3260" i="148"/>
  <c r="L3260" i="148" s="1"/>
  <c r="I3259" i="148"/>
  <c r="G3259" i="148"/>
  <c r="I3258" i="148"/>
  <c r="G3258" i="148"/>
  <c r="I3257" i="148"/>
  <c r="G3257" i="148"/>
  <c r="K3253" i="148"/>
  <c r="I3253" i="148"/>
  <c r="E3258" i="148" s="1"/>
  <c r="F3258" i="148" s="1"/>
  <c r="D3253" i="148"/>
  <c r="B3253" i="148"/>
  <c r="L3236" i="148"/>
  <c r="K3236" i="148"/>
  <c r="L3235" i="148"/>
  <c r="K3235" i="148"/>
  <c r="L3234" i="148"/>
  <c r="K3234" i="148"/>
  <c r="I3228" i="148"/>
  <c r="L3228" i="148" s="1"/>
  <c r="I3227" i="148"/>
  <c r="L3227" i="148" s="1"/>
  <c r="I3226" i="148"/>
  <c r="L3226" i="148" s="1"/>
  <c r="I3225" i="148"/>
  <c r="G3225" i="148"/>
  <c r="I3219" i="148"/>
  <c r="L3219" i="148" s="1"/>
  <c r="I3218" i="148"/>
  <c r="K3218" i="148" s="1"/>
  <c r="I3217" i="148"/>
  <c r="I3216" i="148"/>
  <c r="K3216" i="148" s="1"/>
  <c r="I3210" i="148"/>
  <c r="L3210" i="148" s="1"/>
  <c r="I3209" i="148"/>
  <c r="I3208" i="148"/>
  <c r="I3207" i="148"/>
  <c r="L3207" i="148" s="1"/>
  <c r="I3206" i="148"/>
  <c r="L3206" i="148" s="1"/>
  <c r="I3205" i="148"/>
  <c r="L3205" i="148" s="1"/>
  <c r="I3204" i="148"/>
  <c r="L3204" i="148" s="1"/>
  <c r="I3203" i="148"/>
  <c r="K3203" i="148" s="1"/>
  <c r="I3202" i="148"/>
  <c r="L3202" i="148" s="1"/>
  <c r="I3201" i="148"/>
  <c r="K3201" i="148" s="1"/>
  <c r="K3197" i="148"/>
  <c r="I3197" i="148"/>
  <c r="E3225" i="148" s="1"/>
  <c r="F3225" i="148" s="1"/>
  <c r="D3197" i="148"/>
  <c r="B3197" i="148"/>
  <c r="L3180" i="148"/>
  <c r="K3180" i="148"/>
  <c r="L3179" i="148"/>
  <c r="K3179" i="148"/>
  <c r="L3178" i="148"/>
  <c r="K3178" i="148"/>
  <c r="I3172" i="148"/>
  <c r="L3172" i="148" s="1"/>
  <c r="I3171" i="148"/>
  <c r="I3170" i="148"/>
  <c r="L3170" i="148" s="1"/>
  <c r="I3169" i="148"/>
  <c r="L3169" i="148" s="1"/>
  <c r="I3163" i="148"/>
  <c r="L3163" i="148" s="1"/>
  <c r="I3162" i="148"/>
  <c r="L3162" i="148" s="1"/>
  <c r="I3161" i="148"/>
  <c r="L3161" i="148" s="1"/>
  <c r="I3160" i="148"/>
  <c r="G3160" i="148"/>
  <c r="I3154" i="148"/>
  <c r="L3154" i="148" s="1"/>
  <c r="I3153" i="148"/>
  <c r="K3153" i="148" s="1"/>
  <c r="I3152" i="148"/>
  <c r="I3151" i="148"/>
  <c r="K3151" i="148" s="1"/>
  <c r="I3150" i="148"/>
  <c r="I3149" i="148"/>
  <c r="K3149" i="148" s="1"/>
  <c r="I3148" i="148"/>
  <c r="K3148" i="148" s="1"/>
  <c r="I3147" i="148"/>
  <c r="L3147" i="148" s="1"/>
  <c r="I3146" i="148"/>
  <c r="K3146" i="148" s="1"/>
  <c r="I3145" i="148"/>
  <c r="K3141" i="148"/>
  <c r="I3141" i="148"/>
  <c r="E3160" i="148" s="1"/>
  <c r="F3160" i="148" s="1"/>
  <c r="D3141" i="148"/>
  <c r="B3141" i="148"/>
  <c r="L3124" i="148"/>
  <c r="K3124" i="148"/>
  <c r="L3123" i="148"/>
  <c r="K3123" i="148"/>
  <c r="L3122" i="148"/>
  <c r="K3122" i="148"/>
  <c r="L3116" i="148"/>
  <c r="I3115" i="148"/>
  <c r="L3115" i="148" s="1"/>
  <c r="I3114" i="148"/>
  <c r="K3114" i="148" s="1"/>
  <c r="I3113" i="148"/>
  <c r="G3113" i="148"/>
  <c r="I3107" i="148"/>
  <c r="I3106" i="148"/>
  <c r="K3106" i="148" s="1"/>
  <c r="I3105" i="148"/>
  <c r="I3104" i="148"/>
  <c r="I3098" i="148"/>
  <c r="I3097" i="148"/>
  <c r="I3096" i="148"/>
  <c r="G3096" i="148"/>
  <c r="I3095" i="148"/>
  <c r="G3095" i="148"/>
  <c r="I3094" i="148"/>
  <c r="G3094" i="148"/>
  <c r="I3093" i="148"/>
  <c r="L3093" i="148" s="1"/>
  <c r="G3093" i="148"/>
  <c r="I3092" i="148"/>
  <c r="G3092" i="148"/>
  <c r="I3091" i="148"/>
  <c r="L3091" i="148" s="1"/>
  <c r="G3091" i="148"/>
  <c r="I3090" i="148"/>
  <c r="L3090" i="148" s="1"/>
  <c r="G3090" i="148"/>
  <c r="K3086" i="148"/>
  <c r="I3086" i="148"/>
  <c r="E3096" i="148" s="1"/>
  <c r="D3086" i="148"/>
  <c r="B3086" i="148"/>
  <c r="L3069" i="148"/>
  <c r="K3069" i="148"/>
  <c r="L3068" i="148"/>
  <c r="K3068" i="148"/>
  <c r="L3067" i="148"/>
  <c r="K3067" i="148"/>
  <c r="L3061" i="148"/>
  <c r="I3060" i="148"/>
  <c r="L3060" i="148" s="1"/>
  <c r="I3059" i="148"/>
  <c r="K3059" i="148" s="1"/>
  <c r="I3058" i="148"/>
  <c r="G3058" i="148"/>
  <c r="I3052" i="148"/>
  <c r="I3051" i="148"/>
  <c r="I3050" i="148"/>
  <c r="K3050" i="148" s="1"/>
  <c r="I3049" i="148"/>
  <c r="I3043" i="148"/>
  <c r="L3043" i="148" s="1"/>
  <c r="G3043" i="148"/>
  <c r="I3042" i="148"/>
  <c r="L3042" i="148" s="1"/>
  <c r="G3042" i="148"/>
  <c r="I3041" i="148"/>
  <c r="L3041" i="148" s="1"/>
  <c r="G3041" i="148"/>
  <c r="I3040" i="148"/>
  <c r="L3040" i="148" s="1"/>
  <c r="G3040" i="148"/>
  <c r="I3039" i="148"/>
  <c r="L3039" i="148" s="1"/>
  <c r="G3039" i="148"/>
  <c r="I3038" i="148"/>
  <c r="L3038" i="148" s="1"/>
  <c r="G3038" i="148"/>
  <c r="I3037" i="148"/>
  <c r="L3037" i="148" s="1"/>
  <c r="G3037" i="148"/>
  <c r="I3036" i="148"/>
  <c r="L3036" i="148" s="1"/>
  <c r="G3036" i="148"/>
  <c r="I3035" i="148"/>
  <c r="L3035" i="148" s="1"/>
  <c r="G3035" i="148"/>
  <c r="K3031" i="148"/>
  <c r="I3031" i="148"/>
  <c r="F3041" i="148" s="1"/>
  <c r="D3031" i="148"/>
  <c r="B3031" i="148"/>
  <c r="L3014" i="148"/>
  <c r="K3014" i="148"/>
  <c r="L3013" i="148"/>
  <c r="K3013" i="148"/>
  <c r="L3012" i="148"/>
  <c r="K3012" i="148"/>
  <c r="L3006" i="148"/>
  <c r="L3005" i="148"/>
  <c r="L3004" i="148"/>
  <c r="I2997" i="148"/>
  <c r="K2997" i="148" s="1"/>
  <c r="I2996" i="148"/>
  <c r="L2996" i="148" s="1"/>
  <c r="I2995" i="148"/>
  <c r="L2995" i="148" s="1"/>
  <c r="I2994" i="148"/>
  <c r="I2988" i="148"/>
  <c r="L2988" i="148" s="1"/>
  <c r="I2987" i="148"/>
  <c r="I2986" i="148"/>
  <c r="K2986" i="148" s="1"/>
  <c r="I2985" i="148"/>
  <c r="L2985" i="148" s="1"/>
  <c r="L2983" i="148"/>
  <c r="K2976" i="148"/>
  <c r="I2976" i="148"/>
  <c r="D2976" i="148"/>
  <c r="B2976" i="148"/>
  <c r="L2959" i="148"/>
  <c r="K2959" i="148"/>
  <c r="L2958" i="148"/>
  <c r="K2958" i="148"/>
  <c r="L2957" i="148"/>
  <c r="K2957" i="148"/>
  <c r="L2951" i="148"/>
  <c r="I2950" i="148"/>
  <c r="I2949" i="148"/>
  <c r="L2949" i="148" s="1"/>
  <c r="I2948" i="148"/>
  <c r="G2948" i="148"/>
  <c r="I2942" i="148"/>
  <c r="I2941" i="148"/>
  <c r="L2941" i="148" s="1"/>
  <c r="I2940" i="148"/>
  <c r="I2939" i="148"/>
  <c r="L2939" i="148" s="1"/>
  <c r="I2933" i="148"/>
  <c r="I2932" i="148"/>
  <c r="L2932" i="148" s="1"/>
  <c r="I2931" i="148"/>
  <c r="L2931" i="148" s="1"/>
  <c r="I2930" i="148"/>
  <c r="G2930" i="148"/>
  <c r="K2926" i="148"/>
  <c r="I2926" i="148"/>
  <c r="E2948" i="148" s="1"/>
  <c r="D2926" i="148"/>
  <c r="B2926" i="148"/>
  <c r="L2909" i="148"/>
  <c r="K2909" i="148"/>
  <c r="L2908" i="148"/>
  <c r="K2908" i="148"/>
  <c r="L2907" i="148"/>
  <c r="K2907" i="148"/>
  <c r="L2901" i="148"/>
  <c r="I2900" i="148"/>
  <c r="L2900" i="148" s="1"/>
  <c r="I2899" i="148"/>
  <c r="I2898" i="148"/>
  <c r="G2898" i="148"/>
  <c r="I2892" i="148"/>
  <c r="I2891" i="148"/>
  <c r="K2891" i="148" s="1"/>
  <c r="I2890" i="148"/>
  <c r="I2889" i="148"/>
  <c r="I2883" i="148"/>
  <c r="L2883" i="148" s="1"/>
  <c r="I2882" i="148"/>
  <c r="K2882" i="148" s="1"/>
  <c r="I2881" i="148"/>
  <c r="I2880" i="148"/>
  <c r="G2880" i="148"/>
  <c r="K2876" i="148"/>
  <c r="I2876" i="148"/>
  <c r="D2876" i="148"/>
  <c r="B2876" i="148"/>
  <c r="L2859" i="148"/>
  <c r="K2859" i="148"/>
  <c r="L2858" i="148"/>
  <c r="K2858" i="148"/>
  <c r="L2857" i="148"/>
  <c r="K2857" i="148"/>
  <c r="L2851" i="148"/>
  <c r="I2850" i="148"/>
  <c r="I2849" i="148"/>
  <c r="L2849" i="148" s="1"/>
  <c r="I2848" i="148"/>
  <c r="G2848" i="148"/>
  <c r="I2842" i="148"/>
  <c r="I2841" i="148"/>
  <c r="L2841" i="148" s="1"/>
  <c r="I2840" i="148"/>
  <c r="I2839" i="148"/>
  <c r="L2839" i="148" s="1"/>
  <c r="I2833" i="148"/>
  <c r="I2832" i="148"/>
  <c r="L2832" i="148" s="1"/>
  <c r="I2831" i="148"/>
  <c r="L2831" i="148" s="1"/>
  <c r="I2830" i="148"/>
  <c r="G2830" i="148"/>
  <c r="K2826" i="148"/>
  <c r="I2826" i="148"/>
  <c r="E2848" i="148" s="1"/>
  <c r="D2826" i="148"/>
  <c r="B2826" i="148"/>
  <c r="L2809" i="148"/>
  <c r="K2809" i="148"/>
  <c r="L2808" i="148"/>
  <c r="K2808" i="148"/>
  <c r="L2807" i="148"/>
  <c r="K2807" i="148"/>
  <c r="L2801" i="148"/>
  <c r="I2800" i="148"/>
  <c r="L2800" i="148" s="1"/>
  <c r="I2799" i="148"/>
  <c r="L2799" i="148" s="1"/>
  <c r="I2798" i="148"/>
  <c r="G2798" i="148"/>
  <c r="I2792" i="148"/>
  <c r="I2791" i="148"/>
  <c r="L2791" i="148" s="1"/>
  <c r="I2790" i="148"/>
  <c r="L2790" i="148" s="1"/>
  <c r="I2789" i="148"/>
  <c r="I2783" i="148"/>
  <c r="G2783" i="148"/>
  <c r="I2782" i="148"/>
  <c r="G2782" i="148"/>
  <c r="I2781" i="148"/>
  <c r="G2781" i="148"/>
  <c r="I2780" i="148"/>
  <c r="G2780" i="148"/>
  <c r="K2776" i="148"/>
  <c r="I2776" i="148"/>
  <c r="E2798" i="148" s="1"/>
  <c r="D2776" i="148"/>
  <c r="B2776" i="148"/>
  <c r="L2759" i="148"/>
  <c r="K2759" i="148"/>
  <c r="L2758" i="148"/>
  <c r="K2758" i="148"/>
  <c r="L2757" i="148"/>
  <c r="K2757" i="148"/>
  <c r="L2751" i="148"/>
  <c r="I2750" i="148"/>
  <c r="L2750" i="148" s="1"/>
  <c r="I2749" i="148"/>
  <c r="I2748" i="148"/>
  <c r="G2748" i="148"/>
  <c r="I2742" i="148"/>
  <c r="L2742" i="148" s="1"/>
  <c r="I2741" i="148"/>
  <c r="K2741" i="148" s="1"/>
  <c r="I2740" i="148"/>
  <c r="L2740" i="148" s="1"/>
  <c r="I2739" i="148"/>
  <c r="I2733" i="148"/>
  <c r="G2733" i="148"/>
  <c r="I2732" i="148"/>
  <c r="G2732" i="148"/>
  <c r="I2731" i="148"/>
  <c r="G2731" i="148"/>
  <c r="K2727" i="148"/>
  <c r="I2727" i="148"/>
  <c r="E2748" i="148" s="1"/>
  <c r="D2727" i="148"/>
  <c r="B2727" i="148"/>
  <c r="L2710" i="148"/>
  <c r="K2710" i="148"/>
  <c r="L2709" i="148"/>
  <c r="K2709" i="148"/>
  <c r="L2708" i="148"/>
  <c r="K2708" i="148"/>
  <c r="L2702" i="148"/>
  <c r="I2701" i="148"/>
  <c r="K2701" i="148" s="1"/>
  <c r="I2700" i="148"/>
  <c r="L2700" i="148" s="1"/>
  <c r="I2699" i="148"/>
  <c r="G2699" i="148"/>
  <c r="I2693" i="148"/>
  <c r="I2692" i="148"/>
  <c r="I2691" i="148"/>
  <c r="L2691" i="148" s="1"/>
  <c r="I2690" i="148"/>
  <c r="L2690" i="148" s="1"/>
  <c r="I2684" i="148"/>
  <c r="G2684" i="148"/>
  <c r="I2683" i="148"/>
  <c r="G2683" i="148"/>
  <c r="I2682" i="148"/>
  <c r="G2682" i="148"/>
  <c r="K2678" i="148"/>
  <c r="I2678" i="148"/>
  <c r="E2683" i="148" s="1"/>
  <c r="D2678" i="148"/>
  <c r="B2678" i="148"/>
  <c r="L2661" i="148"/>
  <c r="K2661" i="148"/>
  <c r="L2660" i="148"/>
  <c r="K2660" i="148"/>
  <c r="L2659" i="148"/>
  <c r="K2659" i="148"/>
  <c r="L2653" i="148"/>
  <c r="I2652" i="148"/>
  <c r="K2652" i="148" s="1"/>
  <c r="I2651" i="148"/>
  <c r="L2651" i="148" s="1"/>
  <c r="I2650" i="148"/>
  <c r="G2650" i="148"/>
  <c r="I2644" i="148"/>
  <c r="L2644" i="148" s="1"/>
  <c r="I2643" i="148"/>
  <c r="I2642" i="148"/>
  <c r="I2641" i="148"/>
  <c r="L2641" i="148" s="1"/>
  <c r="I2635" i="148"/>
  <c r="G2635" i="148"/>
  <c r="I2634" i="148"/>
  <c r="G2634" i="148"/>
  <c r="I2633" i="148"/>
  <c r="G2633" i="148"/>
  <c r="I2632" i="148"/>
  <c r="G2632" i="148"/>
  <c r="I2631" i="148"/>
  <c r="G2631" i="148"/>
  <c r="I2630" i="148"/>
  <c r="G2630" i="148"/>
  <c r="K2626" i="148"/>
  <c r="I2626" i="148"/>
  <c r="E2635" i="148" s="1"/>
  <c r="D2626" i="148"/>
  <c r="B2626" i="148"/>
  <c r="L2609" i="148"/>
  <c r="K2609" i="148"/>
  <c r="L2608" i="148"/>
  <c r="K2608" i="148"/>
  <c r="L2607" i="148"/>
  <c r="K2607" i="148"/>
  <c r="L2601" i="148"/>
  <c r="I2600" i="148"/>
  <c r="K2600" i="148" s="1"/>
  <c r="I2599" i="148"/>
  <c r="I2598" i="148"/>
  <c r="G2598" i="148"/>
  <c r="I2592" i="148"/>
  <c r="L2592" i="148" s="1"/>
  <c r="I2591" i="148"/>
  <c r="K2591" i="148" s="1"/>
  <c r="I2590" i="148"/>
  <c r="K2590" i="148" s="1"/>
  <c r="I2589" i="148"/>
  <c r="L2589" i="148" s="1"/>
  <c r="I2583" i="148"/>
  <c r="G2583" i="148"/>
  <c r="I2582" i="148"/>
  <c r="G2582" i="148"/>
  <c r="I2581" i="148"/>
  <c r="G2581" i="148"/>
  <c r="I2580" i="148"/>
  <c r="G2580" i="148"/>
  <c r="I2579" i="148"/>
  <c r="G2579" i="148"/>
  <c r="I2578" i="148"/>
  <c r="G2578" i="148"/>
  <c r="I2577" i="148"/>
  <c r="G2577" i="148"/>
  <c r="K2573" i="148"/>
  <c r="I2573" i="148"/>
  <c r="E2582" i="148" s="1"/>
  <c r="D2573" i="148"/>
  <c r="B2573" i="148"/>
  <c r="L2556" i="148"/>
  <c r="K2556" i="148"/>
  <c r="L2555" i="148"/>
  <c r="K2555" i="148"/>
  <c r="L2554" i="148"/>
  <c r="K2554" i="148"/>
  <c r="L2548" i="148"/>
  <c r="I2547" i="148"/>
  <c r="L2547" i="148" s="1"/>
  <c r="I2546" i="148"/>
  <c r="K2546" i="148" s="1"/>
  <c r="I2545" i="148"/>
  <c r="G2545" i="148"/>
  <c r="I2539" i="148"/>
  <c r="I2538" i="148"/>
  <c r="L2538" i="148" s="1"/>
  <c r="I2537" i="148"/>
  <c r="L2537" i="148" s="1"/>
  <c r="I2536" i="148"/>
  <c r="K2536" i="148" s="1"/>
  <c r="I2530" i="148"/>
  <c r="L2530" i="148" s="1"/>
  <c r="I2529" i="148"/>
  <c r="L2529" i="148" s="1"/>
  <c r="I2528" i="148"/>
  <c r="K2528" i="148" s="1"/>
  <c r="I2527" i="148"/>
  <c r="I2526" i="148"/>
  <c r="K2526" i="148" s="1"/>
  <c r="I2525" i="148"/>
  <c r="K2525" i="148" s="1"/>
  <c r="I2524" i="148"/>
  <c r="L2524" i="148" s="1"/>
  <c r="I2523" i="148"/>
  <c r="L2523" i="148" s="1"/>
  <c r="I2522" i="148"/>
  <c r="L2522" i="148" s="1"/>
  <c r="I2521" i="148"/>
  <c r="G2521" i="148"/>
  <c r="K2517" i="148"/>
  <c r="I2517" i="148"/>
  <c r="E2521" i="148" s="1"/>
  <c r="F2521" i="148" s="1"/>
  <c r="D2517" i="148"/>
  <c r="B2517" i="148"/>
  <c r="L2500" i="148"/>
  <c r="K2500" i="148"/>
  <c r="L2499" i="148"/>
  <c r="K2499" i="148"/>
  <c r="L2498" i="148"/>
  <c r="K2498" i="148"/>
  <c r="L2492" i="148"/>
  <c r="I2491" i="148"/>
  <c r="L2491" i="148" s="1"/>
  <c r="I2490" i="148"/>
  <c r="L2490" i="148" s="1"/>
  <c r="I2489" i="148"/>
  <c r="G2489" i="148"/>
  <c r="I2483" i="148"/>
  <c r="K2483" i="148" s="1"/>
  <c r="I2482" i="148"/>
  <c r="I2481" i="148"/>
  <c r="L2481" i="148" s="1"/>
  <c r="I2480" i="148"/>
  <c r="K2480" i="148" s="1"/>
  <c r="I2474" i="148"/>
  <c r="L2474" i="148" s="1"/>
  <c r="I2473" i="148"/>
  <c r="K2473" i="148" s="1"/>
  <c r="I2472" i="148"/>
  <c r="I2471" i="148"/>
  <c r="L2471" i="148" s="1"/>
  <c r="I2470" i="148"/>
  <c r="L2470" i="148" s="1"/>
  <c r="I2469" i="148"/>
  <c r="L2469" i="148" s="1"/>
  <c r="I2468" i="148"/>
  <c r="L2468" i="148" s="1"/>
  <c r="I2467" i="148"/>
  <c r="I2466" i="148"/>
  <c r="K2466" i="148" s="1"/>
  <c r="I2465" i="148"/>
  <c r="G2465" i="148"/>
  <c r="K2461" i="148"/>
  <c r="I2461" i="148"/>
  <c r="E2465" i="148" s="1"/>
  <c r="D2461" i="148"/>
  <c r="B2461" i="148"/>
  <c r="L2444" i="148"/>
  <c r="K2444" i="148"/>
  <c r="L2443" i="148"/>
  <c r="K2443" i="148"/>
  <c r="L2442" i="148"/>
  <c r="K2442" i="148"/>
  <c r="L2436" i="148"/>
  <c r="I2435" i="148"/>
  <c r="I2434" i="148"/>
  <c r="K2434" i="148" s="1"/>
  <c r="I2433" i="148"/>
  <c r="L2433" i="148" s="1"/>
  <c r="I2427" i="148"/>
  <c r="K2427" i="148" s="1"/>
  <c r="I2426" i="148"/>
  <c r="L2426" i="148" s="1"/>
  <c r="I2425" i="148"/>
  <c r="K2425" i="148" s="1"/>
  <c r="I2424" i="148"/>
  <c r="L2424" i="148" s="1"/>
  <c r="I2418" i="148"/>
  <c r="K2418" i="148" s="1"/>
  <c r="I2417" i="148"/>
  <c r="L2417" i="148" s="1"/>
  <c r="I2416" i="148"/>
  <c r="K2416" i="148" s="1"/>
  <c r="I2415" i="148"/>
  <c r="K2415" i="148" s="1"/>
  <c r="I2414" i="148"/>
  <c r="I2413" i="148"/>
  <c r="L2413" i="148" s="1"/>
  <c r="I2412" i="148"/>
  <c r="K2412" i="148" s="1"/>
  <c r="I2411" i="148"/>
  <c r="L2411" i="148" s="1"/>
  <c r="I2410" i="148"/>
  <c r="K2410" i="148" s="1"/>
  <c r="I2409" i="148"/>
  <c r="G2409" i="148"/>
  <c r="K2405" i="148"/>
  <c r="I2405" i="148"/>
  <c r="E2409" i="148" s="1"/>
  <c r="D2405" i="148"/>
  <c r="B2405" i="148"/>
  <c r="L2388" i="148"/>
  <c r="K2388" i="148"/>
  <c r="L2387" i="148"/>
  <c r="K2387" i="148"/>
  <c r="L2386" i="148"/>
  <c r="K2386" i="148"/>
  <c r="L2380" i="148"/>
  <c r="I2379" i="148"/>
  <c r="I2378" i="148"/>
  <c r="L2378" i="148" s="1"/>
  <c r="I2377" i="148"/>
  <c r="G2377" i="148"/>
  <c r="I2371" i="148"/>
  <c r="L2371" i="148" s="1"/>
  <c r="I2370" i="148"/>
  <c r="L2370" i="148" s="1"/>
  <c r="I2369" i="148"/>
  <c r="I2368" i="148"/>
  <c r="K2368" i="148" s="1"/>
  <c r="I2362" i="148"/>
  <c r="I2361" i="148"/>
  <c r="L2361" i="148" s="1"/>
  <c r="I2360" i="148"/>
  <c r="K2360" i="148" s="1"/>
  <c r="I2359" i="148"/>
  <c r="L2359" i="148" s="1"/>
  <c r="I2358" i="148"/>
  <c r="K2358" i="148" s="1"/>
  <c r="I2357" i="148"/>
  <c r="L2357" i="148" s="1"/>
  <c r="I2356" i="148"/>
  <c r="L2356" i="148" s="1"/>
  <c r="I2355" i="148"/>
  <c r="L2355" i="148" s="1"/>
  <c r="I2354" i="148"/>
  <c r="I2353" i="148"/>
  <c r="G2353" i="148"/>
  <c r="K2349" i="148"/>
  <c r="I2349" i="148"/>
  <c r="D2349" i="148"/>
  <c r="B2349" i="148"/>
  <c r="L2332" i="148"/>
  <c r="K2332" i="148"/>
  <c r="L2331" i="148"/>
  <c r="K2331" i="148"/>
  <c r="L2330" i="148"/>
  <c r="K2330" i="148"/>
  <c r="L2324" i="148"/>
  <c r="I2323" i="148"/>
  <c r="I2322" i="148"/>
  <c r="L2322" i="148" s="1"/>
  <c r="I2321" i="148"/>
  <c r="G2321" i="148"/>
  <c r="I2315" i="148"/>
  <c r="K2315" i="148" s="1"/>
  <c r="I2314" i="148"/>
  <c r="L2314" i="148" s="1"/>
  <c r="I2313" i="148"/>
  <c r="L2313" i="148" s="1"/>
  <c r="I2312" i="148"/>
  <c r="L2312" i="148" s="1"/>
  <c r="I2306" i="148"/>
  <c r="L2306" i="148" s="1"/>
  <c r="I2305" i="148"/>
  <c r="L2305" i="148" s="1"/>
  <c r="I2304" i="148"/>
  <c r="L2304" i="148" s="1"/>
  <c r="I2303" i="148"/>
  <c r="L2303" i="148" s="1"/>
  <c r="I2302" i="148"/>
  <c r="I2301" i="148"/>
  <c r="K2301" i="148" s="1"/>
  <c r="I2300" i="148"/>
  <c r="K2300" i="148" s="1"/>
  <c r="I2299" i="148"/>
  <c r="G2299" i="148"/>
  <c r="I2298" i="148"/>
  <c r="G2298" i="148"/>
  <c r="I2297" i="148"/>
  <c r="G2297" i="148"/>
  <c r="K2293" i="148"/>
  <c r="I2293" i="148"/>
  <c r="E2298" i="148" s="1"/>
  <c r="D2293" i="148"/>
  <c r="B2293" i="148"/>
  <c r="L2276" i="148"/>
  <c r="K2276" i="148"/>
  <c r="L2275" i="148"/>
  <c r="K2275" i="148"/>
  <c r="L2274" i="148"/>
  <c r="K2274" i="148"/>
  <c r="L2268" i="148"/>
  <c r="I2267" i="148"/>
  <c r="K2267" i="148" s="1"/>
  <c r="I2266" i="148"/>
  <c r="L2266" i="148" s="1"/>
  <c r="I2265" i="148"/>
  <c r="G2265" i="148"/>
  <c r="I2259" i="148"/>
  <c r="I2258" i="148"/>
  <c r="K2258" i="148" s="1"/>
  <c r="I2257" i="148"/>
  <c r="K2257" i="148" s="1"/>
  <c r="I2256" i="148"/>
  <c r="L2256" i="148" s="1"/>
  <c r="I2250" i="148"/>
  <c r="K2250" i="148" s="1"/>
  <c r="I2249" i="148"/>
  <c r="L2249" i="148" s="1"/>
  <c r="I2248" i="148"/>
  <c r="K2248" i="148" s="1"/>
  <c r="I2247" i="148"/>
  <c r="L2247" i="148" s="1"/>
  <c r="I2246" i="148"/>
  <c r="K2246" i="148" s="1"/>
  <c r="I2245" i="148"/>
  <c r="K2245" i="148" s="1"/>
  <c r="I2244" i="148"/>
  <c r="I2243" i="148"/>
  <c r="L2243" i="148" s="1"/>
  <c r="I2242" i="148"/>
  <c r="G2242" i="148"/>
  <c r="I2241" i="148"/>
  <c r="G2241" i="148"/>
  <c r="K2237" i="148"/>
  <c r="I2237" i="148"/>
  <c r="E2242" i="148" s="1"/>
  <c r="D2237" i="148"/>
  <c r="B2237" i="148"/>
  <c r="L2220" i="148"/>
  <c r="K2220" i="148"/>
  <c r="L2219" i="148"/>
  <c r="K2219" i="148"/>
  <c r="L2218" i="148"/>
  <c r="K2218" i="148"/>
  <c r="L2212" i="148"/>
  <c r="I2211" i="148"/>
  <c r="L2211" i="148" s="1"/>
  <c r="I2210" i="148"/>
  <c r="L2210" i="148" s="1"/>
  <c r="I2209" i="148"/>
  <c r="G2209" i="148"/>
  <c r="I2203" i="148"/>
  <c r="L2203" i="148" s="1"/>
  <c r="I2202" i="148"/>
  <c r="I2201" i="148"/>
  <c r="K2201" i="148" s="1"/>
  <c r="I2200" i="148"/>
  <c r="I2194" i="148"/>
  <c r="L2194" i="148" s="1"/>
  <c r="I2193" i="148"/>
  <c r="I2192" i="148"/>
  <c r="K2192" i="148" s="1"/>
  <c r="I2191" i="148"/>
  <c r="L2191" i="148" s="1"/>
  <c r="G2191" i="148"/>
  <c r="I2190" i="148"/>
  <c r="L2190" i="148" s="1"/>
  <c r="G2190" i="148"/>
  <c r="I2189" i="148"/>
  <c r="L2189" i="148" s="1"/>
  <c r="G2189" i="148"/>
  <c r="I2188" i="148"/>
  <c r="L2188" i="148" s="1"/>
  <c r="G2188" i="148"/>
  <c r="I2187" i="148"/>
  <c r="L2187" i="148" s="1"/>
  <c r="G2187" i="148"/>
  <c r="I2186" i="148"/>
  <c r="L2186" i="148" s="1"/>
  <c r="G2186" i="148"/>
  <c r="I2185" i="148"/>
  <c r="L2185" i="148" s="1"/>
  <c r="G2185" i="148"/>
  <c r="K2181" i="148"/>
  <c r="I2181" i="148"/>
  <c r="F2191" i="148" s="1"/>
  <c r="D2181" i="148"/>
  <c r="B2181" i="148"/>
  <c r="L2164" i="148"/>
  <c r="K2164" i="148"/>
  <c r="L2163" i="148"/>
  <c r="K2163" i="148"/>
  <c r="L2162" i="148"/>
  <c r="K2162" i="148"/>
  <c r="L2156" i="148"/>
  <c r="I2155" i="148"/>
  <c r="I2154" i="148"/>
  <c r="L2154" i="148" s="1"/>
  <c r="I2153" i="148"/>
  <c r="G2153" i="148"/>
  <c r="I2147" i="148"/>
  <c r="K2147" i="148" s="1"/>
  <c r="I2146" i="148"/>
  <c r="L2146" i="148" s="1"/>
  <c r="I2145" i="148"/>
  <c r="L2145" i="148" s="1"/>
  <c r="I2144" i="148"/>
  <c r="L2144" i="148" s="1"/>
  <c r="I2138" i="148"/>
  <c r="L2138" i="148" s="1"/>
  <c r="I2137" i="148"/>
  <c r="L2137" i="148" s="1"/>
  <c r="I2136" i="148"/>
  <c r="K2136" i="148" s="1"/>
  <c r="I2135" i="148"/>
  <c r="L2135" i="148" s="1"/>
  <c r="I2134" i="148"/>
  <c r="I2133" i="148"/>
  <c r="G2133" i="148"/>
  <c r="I2132" i="148"/>
  <c r="G2132" i="148"/>
  <c r="I2131" i="148"/>
  <c r="G2131" i="148"/>
  <c r="I2130" i="148"/>
  <c r="G2130" i="148"/>
  <c r="I2129" i="148"/>
  <c r="G2129" i="148"/>
  <c r="K2125" i="148"/>
  <c r="I2125" i="148"/>
  <c r="E2130" i="148" s="1"/>
  <c r="D2125" i="148"/>
  <c r="B2125" i="148"/>
  <c r="L2108" i="148"/>
  <c r="K2108" i="148"/>
  <c r="L2107" i="148"/>
  <c r="K2107" i="148"/>
  <c r="L2106" i="148"/>
  <c r="K2106" i="148"/>
  <c r="L2100" i="148"/>
  <c r="I2099" i="148"/>
  <c r="I2098" i="148"/>
  <c r="K2098" i="148" s="1"/>
  <c r="I2097" i="148"/>
  <c r="G2097" i="148"/>
  <c r="I2091" i="148"/>
  <c r="K2091" i="148" s="1"/>
  <c r="I2090" i="148"/>
  <c r="L2090" i="148" s="1"/>
  <c r="I2089" i="148"/>
  <c r="L2089" i="148" s="1"/>
  <c r="I2088" i="148"/>
  <c r="L2088" i="148" s="1"/>
  <c r="I2082" i="148"/>
  <c r="L2082" i="148" s="1"/>
  <c r="I2081" i="148"/>
  <c r="L2081" i="148" s="1"/>
  <c r="I2080" i="148"/>
  <c r="G2080" i="148"/>
  <c r="I2079" i="148"/>
  <c r="G2079" i="148"/>
  <c r="I2078" i="148"/>
  <c r="G2078" i="148"/>
  <c r="I2077" i="148"/>
  <c r="G2077" i="148"/>
  <c r="I2076" i="148"/>
  <c r="G2076" i="148"/>
  <c r="K2072" i="148"/>
  <c r="I2072" i="148"/>
  <c r="E2079" i="148" s="1"/>
  <c r="D2072" i="148"/>
  <c r="B2072" i="148"/>
  <c r="L2055" i="148"/>
  <c r="K2055" i="148"/>
  <c r="L2054" i="148"/>
  <c r="K2054" i="148"/>
  <c r="L2053" i="148"/>
  <c r="K2053" i="148"/>
  <c r="L2047" i="148"/>
  <c r="I2046" i="148"/>
  <c r="L2046" i="148" s="1"/>
  <c r="I2045" i="148"/>
  <c r="K2045" i="148" s="1"/>
  <c r="I2044" i="148"/>
  <c r="G2044" i="148"/>
  <c r="I2038" i="148"/>
  <c r="K2038" i="148" s="1"/>
  <c r="I2037" i="148"/>
  <c r="I2036" i="148"/>
  <c r="K2036" i="148" s="1"/>
  <c r="I2035" i="148"/>
  <c r="K2035" i="148" s="1"/>
  <c r="I2029" i="148"/>
  <c r="K2029" i="148" s="1"/>
  <c r="I2028" i="148"/>
  <c r="K2028" i="148" s="1"/>
  <c r="I2027" i="148"/>
  <c r="G2027" i="148"/>
  <c r="I2026" i="148"/>
  <c r="G2026" i="148"/>
  <c r="I2025" i="148"/>
  <c r="G2025" i="148"/>
  <c r="K2021" i="148"/>
  <c r="I2021" i="148"/>
  <c r="E2026" i="148" s="1"/>
  <c r="D2021" i="148"/>
  <c r="B2021" i="148"/>
  <c r="L2004" i="148"/>
  <c r="K2004" i="148"/>
  <c r="L2003" i="148"/>
  <c r="K2003" i="148"/>
  <c r="L2002" i="148"/>
  <c r="K2002" i="148"/>
  <c r="L1996" i="148"/>
  <c r="I1995" i="148"/>
  <c r="K1995" i="148" s="1"/>
  <c r="I1994" i="148"/>
  <c r="L1994" i="148" s="1"/>
  <c r="I1993" i="148"/>
  <c r="G1993" i="148"/>
  <c r="I1987" i="148"/>
  <c r="L1987" i="148" s="1"/>
  <c r="I1986" i="148"/>
  <c r="K1986" i="148" s="1"/>
  <c r="I1985" i="148"/>
  <c r="I1984" i="148"/>
  <c r="L1984" i="148" s="1"/>
  <c r="I1978" i="148"/>
  <c r="K1978" i="148" s="1"/>
  <c r="I1977" i="148"/>
  <c r="I1976" i="148"/>
  <c r="G1976" i="148"/>
  <c r="I1975" i="148"/>
  <c r="G1975" i="148"/>
  <c r="I1974" i="148"/>
  <c r="G1974" i="148"/>
  <c r="K1970" i="148"/>
  <c r="I1970" i="148"/>
  <c r="E1993" i="148" s="1"/>
  <c r="D1970" i="148"/>
  <c r="B1970" i="148"/>
  <c r="L1953" i="148"/>
  <c r="K1953" i="148"/>
  <c r="L1952" i="148"/>
  <c r="K1952" i="148"/>
  <c r="L1951" i="148"/>
  <c r="K1951" i="148"/>
  <c r="L1945" i="148"/>
  <c r="I1944" i="148"/>
  <c r="L1944" i="148" s="1"/>
  <c r="I1943" i="148"/>
  <c r="L1943" i="148" s="1"/>
  <c r="I1942" i="148"/>
  <c r="G1942" i="148"/>
  <c r="I1936" i="148"/>
  <c r="L1936" i="148" s="1"/>
  <c r="I1935" i="148"/>
  <c r="L1935" i="148" s="1"/>
  <c r="I1934" i="148"/>
  <c r="I1933" i="148"/>
  <c r="I1927" i="148"/>
  <c r="L1927" i="148" s="1"/>
  <c r="I1926" i="148"/>
  <c r="I1925" i="148"/>
  <c r="I1924" i="148"/>
  <c r="K1924" i="148" s="1"/>
  <c r="I1923" i="148"/>
  <c r="L1923" i="148" s="1"/>
  <c r="I1922" i="148"/>
  <c r="L1922" i="148" s="1"/>
  <c r="I1921" i="148"/>
  <c r="K1921" i="148" s="1"/>
  <c r="I1920" i="148"/>
  <c r="G1920" i="148"/>
  <c r="I1919" i="148"/>
  <c r="G1919" i="148"/>
  <c r="I1918" i="148"/>
  <c r="G1918" i="148"/>
  <c r="K1914" i="148"/>
  <c r="I1914" i="148"/>
  <c r="D1914" i="148"/>
  <c r="B1914" i="148"/>
  <c r="L1897" i="148"/>
  <c r="K1897" i="148"/>
  <c r="L1896" i="148"/>
  <c r="K1896" i="148"/>
  <c r="L1895" i="148"/>
  <c r="K1895" i="148"/>
  <c r="L1889" i="148"/>
  <c r="I1888" i="148"/>
  <c r="I1887" i="148"/>
  <c r="K1887" i="148" s="1"/>
  <c r="I1886" i="148"/>
  <c r="G1886" i="148"/>
  <c r="I1880" i="148"/>
  <c r="K1880" i="148" s="1"/>
  <c r="I1879" i="148"/>
  <c r="L1879" i="148" s="1"/>
  <c r="I1878" i="148"/>
  <c r="K1878" i="148" s="1"/>
  <c r="I1877" i="148"/>
  <c r="L1877" i="148" s="1"/>
  <c r="I1871" i="148"/>
  <c r="L1871" i="148" s="1"/>
  <c r="I1870" i="148"/>
  <c r="L1870" i="148" s="1"/>
  <c r="I1869" i="148"/>
  <c r="K1869" i="148" s="1"/>
  <c r="I1868" i="148"/>
  <c r="K1868" i="148" s="1"/>
  <c r="I1867" i="148"/>
  <c r="K1867" i="148" s="1"/>
  <c r="I1866" i="148"/>
  <c r="L1866" i="148" s="1"/>
  <c r="I1865" i="148"/>
  <c r="K1865" i="148" s="1"/>
  <c r="I1864" i="148"/>
  <c r="G1864" i="148"/>
  <c r="I1863" i="148"/>
  <c r="G1863" i="148"/>
  <c r="I1862" i="148"/>
  <c r="G1862" i="148"/>
  <c r="K1858" i="148"/>
  <c r="I1858" i="148"/>
  <c r="D1858" i="148"/>
  <c r="B1858" i="148"/>
  <c r="L1841" i="148"/>
  <c r="K1841" i="148"/>
  <c r="L1840" i="148"/>
  <c r="K1840" i="148"/>
  <c r="L1839" i="148"/>
  <c r="K1839" i="148"/>
  <c r="L1833" i="148"/>
  <c r="I1832" i="148"/>
  <c r="K1832" i="148" s="1"/>
  <c r="I1831" i="148"/>
  <c r="L1831" i="148" s="1"/>
  <c r="I1830" i="148"/>
  <c r="G1830" i="148"/>
  <c r="I1824" i="148"/>
  <c r="I1823" i="148"/>
  <c r="L1823" i="148" s="1"/>
  <c r="I1822" i="148"/>
  <c r="L1822" i="148" s="1"/>
  <c r="I1821" i="148"/>
  <c r="L1821" i="148" s="1"/>
  <c r="I1812" i="148"/>
  <c r="G1812" i="148"/>
  <c r="I1811" i="148"/>
  <c r="G1811" i="148"/>
  <c r="I1810" i="148"/>
  <c r="G1810" i="148"/>
  <c r="I1809" i="148"/>
  <c r="G1809" i="148"/>
  <c r="K1805" i="148"/>
  <c r="I1805" i="148"/>
  <c r="E1830" i="148" s="1"/>
  <c r="D1805" i="148"/>
  <c r="B1805" i="148"/>
  <c r="L1788" i="148"/>
  <c r="K1788" i="148"/>
  <c r="L1787" i="148"/>
  <c r="K1787" i="148"/>
  <c r="L1786" i="148"/>
  <c r="K1786" i="148"/>
  <c r="L1780" i="148"/>
  <c r="I1779" i="148"/>
  <c r="L1779" i="148" s="1"/>
  <c r="I1778" i="148"/>
  <c r="I1777" i="148"/>
  <c r="G1777" i="148"/>
  <c r="I1771" i="148"/>
  <c r="L1771" i="148" s="1"/>
  <c r="I1770" i="148"/>
  <c r="L1770" i="148" s="1"/>
  <c r="I1769" i="148"/>
  <c r="L1769" i="148" s="1"/>
  <c r="I1768" i="148"/>
  <c r="L1768" i="148" s="1"/>
  <c r="I1759" i="148"/>
  <c r="G1759" i="148"/>
  <c r="I1758" i="148"/>
  <c r="G1758" i="148"/>
  <c r="I1757" i="148"/>
  <c r="G1757" i="148"/>
  <c r="I1756" i="148"/>
  <c r="G1756" i="148"/>
  <c r="K1752" i="148"/>
  <c r="I1752" i="148"/>
  <c r="E1757" i="148" s="1"/>
  <c r="D1752" i="148"/>
  <c r="B1752" i="148"/>
  <c r="L1735" i="148"/>
  <c r="K1735" i="148"/>
  <c r="L1734" i="148"/>
  <c r="K1734" i="148"/>
  <c r="L1733" i="148"/>
  <c r="K1733" i="148"/>
  <c r="L1727" i="148"/>
  <c r="I1726" i="148"/>
  <c r="I1725" i="148"/>
  <c r="L1725" i="148" s="1"/>
  <c r="I1724" i="148"/>
  <c r="G1724" i="148"/>
  <c r="I1718" i="148"/>
  <c r="L1718" i="148" s="1"/>
  <c r="I1717" i="148"/>
  <c r="L1717" i="148" s="1"/>
  <c r="I1716" i="148"/>
  <c r="L1716" i="148" s="1"/>
  <c r="I1715" i="148"/>
  <c r="K1715" i="148" s="1"/>
  <c r="I1709" i="148"/>
  <c r="K1709" i="148" s="1"/>
  <c r="I1708" i="148"/>
  <c r="K1708" i="148" s="1"/>
  <c r="I1707" i="148"/>
  <c r="K1707" i="148" s="1"/>
  <c r="I1703" i="148"/>
  <c r="L1703" i="148" s="1"/>
  <c r="I1702" i="148"/>
  <c r="I1701" i="148"/>
  <c r="L1701" i="148" s="1"/>
  <c r="I1700" i="148"/>
  <c r="L1700" i="148" s="1"/>
  <c r="K1696" i="148"/>
  <c r="E1724" i="148"/>
  <c r="D1696" i="148"/>
  <c r="B1696" i="148"/>
  <c r="L1679" i="148"/>
  <c r="K1679" i="148"/>
  <c r="L1678" i="148"/>
  <c r="K1678" i="148"/>
  <c r="L1677" i="148"/>
  <c r="K1677" i="148"/>
  <c r="L1671" i="148"/>
  <c r="I1670" i="148"/>
  <c r="I1669" i="148"/>
  <c r="L1669" i="148" s="1"/>
  <c r="I1668" i="148"/>
  <c r="G1668" i="148"/>
  <c r="I1662" i="148"/>
  <c r="L1662" i="148" s="1"/>
  <c r="I1661" i="148"/>
  <c r="L1661" i="148" s="1"/>
  <c r="I1660" i="148"/>
  <c r="I1659" i="148"/>
  <c r="K1659" i="148" s="1"/>
  <c r="I1653" i="148"/>
  <c r="L1653" i="148" s="1"/>
  <c r="I1652" i="148"/>
  <c r="K1652" i="148" s="1"/>
  <c r="I1651" i="148"/>
  <c r="K1651" i="148" s="1"/>
  <c r="I1650" i="148"/>
  <c r="L1650" i="148" s="1"/>
  <c r="I1649" i="148"/>
  <c r="I1648" i="148"/>
  <c r="L1648" i="148" s="1"/>
  <c r="I1647" i="148"/>
  <c r="L1647" i="148" s="1"/>
  <c r="K1643" i="148"/>
  <c r="E1668" i="148"/>
  <c r="D1643" i="148"/>
  <c r="B1643" i="148"/>
  <c r="L1626" i="148"/>
  <c r="K1626" i="148"/>
  <c r="L1625" i="148"/>
  <c r="K1625" i="148"/>
  <c r="L1624" i="148"/>
  <c r="K1624" i="148"/>
  <c r="L1618" i="148"/>
  <c r="I1617" i="148"/>
  <c r="I1616" i="148"/>
  <c r="L1616" i="148" s="1"/>
  <c r="I1615" i="148"/>
  <c r="G1615" i="148"/>
  <c r="I1609" i="148"/>
  <c r="L1609" i="148" s="1"/>
  <c r="I1608" i="148"/>
  <c r="L1608" i="148" s="1"/>
  <c r="I1607" i="148"/>
  <c r="K1607" i="148" s="1"/>
  <c r="I1606" i="148"/>
  <c r="K1606" i="148" s="1"/>
  <c r="I1600" i="148"/>
  <c r="K1600" i="148" s="1"/>
  <c r="I1599" i="148"/>
  <c r="L1599" i="148" s="1"/>
  <c r="I1598" i="148"/>
  <c r="K1598" i="148" s="1"/>
  <c r="I1597" i="148"/>
  <c r="G1597" i="148"/>
  <c r="I1596" i="148"/>
  <c r="G1596" i="148"/>
  <c r="I1595" i="148"/>
  <c r="G1595" i="148"/>
  <c r="I1594" i="148"/>
  <c r="G1594" i="148"/>
  <c r="I1593" i="148"/>
  <c r="G1593" i="148"/>
  <c r="I1592" i="148"/>
  <c r="G1592" i="148"/>
  <c r="I1591" i="148"/>
  <c r="G1591" i="148"/>
  <c r="K1587" i="148"/>
  <c r="I1587" i="148"/>
  <c r="E1595" i="148" s="1"/>
  <c r="D1587" i="148"/>
  <c r="B1587" i="148"/>
  <c r="L1570" i="148"/>
  <c r="K1570" i="148"/>
  <c r="L1569" i="148"/>
  <c r="K1569" i="148"/>
  <c r="L1568" i="148"/>
  <c r="K1568" i="148"/>
  <c r="L1562" i="148"/>
  <c r="I1561" i="148"/>
  <c r="L1561" i="148" s="1"/>
  <c r="I1560" i="148"/>
  <c r="L1560" i="148" s="1"/>
  <c r="I1559" i="148"/>
  <c r="G1559" i="148"/>
  <c r="I1553" i="148"/>
  <c r="K1553" i="148" s="1"/>
  <c r="I1552" i="148"/>
  <c r="K1552" i="148" s="1"/>
  <c r="I1551" i="148"/>
  <c r="K1551" i="148" s="1"/>
  <c r="I1550" i="148"/>
  <c r="L1550" i="148" s="1"/>
  <c r="I1544" i="148"/>
  <c r="K1544" i="148" s="1"/>
  <c r="I1543" i="148"/>
  <c r="L1543" i="148" s="1"/>
  <c r="I1542" i="148"/>
  <c r="I1541" i="148"/>
  <c r="G1541" i="148"/>
  <c r="I1540" i="148"/>
  <c r="G1540" i="148"/>
  <c r="I1539" i="148"/>
  <c r="G1539" i="148"/>
  <c r="I1538" i="148"/>
  <c r="G1538" i="148"/>
  <c r="I1537" i="148"/>
  <c r="G1537" i="148"/>
  <c r="I1536" i="148"/>
  <c r="G1536" i="148"/>
  <c r="I1535" i="148"/>
  <c r="G1535" i="148"/>
  <c r="K1531" i="148"/>
  <c r="I1531" i="148"/>
  <c r="E1540" i="148" s="1"/>
  <c r="D1531" i="148"/>
  <c r="B1531" i="148"/>
  <c r="L1514" i="148"/>
  <c r="K1514" i="148"/>
  <c r="L1513" i="148"/>
  <c r="K1513" i="148"/>
  <c r="L1512" i="148"/>
  <c r="K1512" i="148"/>
  <c r="L1506" i="148"/>
  <c r="I1505" i="148"/>
  <c r="K1505" i="148" s="1"/>
  <c r="I1504" i="148"/>
  <c r="K1504" i="148" s="1"/>
  <c r="I1503" i="148"/>
  <c r="G1503" i="148"/>
  <c r="I1497" i="148"/>
  <c r="K1497" i="148" s="1"/>
  <c r="I1496" i="148"/>
  <c r="L1496" i="148" s="1"/>
  <c r="I1495" i="148"/>
  <c r="I1494" i="148"/>
  <c r="L1494" i="148" s="1"/>
  <c r="I1488" i="148"/>
  <c r="I1487" i="148"/>
  <c r="L1487" i="148" s="1"/>
  <c r="I1486" i="148"/>
  <c r="L1486" i="148" s="1"/>
  <c r="I1485" i="148"/>
  <c r="L1485" i="148" s="1"/>
  <c r="I1484" i="148"/>
  <c r="G1484" i="148"/>
  <c r="I1483" i="148"/>
  <c r="G1483" i="148"/>
  <c r="I1482" i="148"/>
  <c r="G1482" i="148"/>
  <c r="K1478" i="148"/>
  <c r="I1478" i="148"/>
  <c r="E1483" i="148" s="1"/>
  <c r="D1478" i="148"/>
  <c r="B1478" i="148"/>
  <c r="L1461" i="148"/>
  <c r="K1461" i="148"/>
  <c r="L1460" i="148"/>
  <c r="K1460" i="148"/>
  <c r="L1459" i="148"/>
  <c r="K1459" i="148"/>
  <c r="L1453" i="148"/>
  <c r="I1452" i="148"/>
  <c r="K1452" i="148" s="1"/>
  <c r="I1451" i="148"/>
  <c r="I1450" i="148"/>
  <c r="G1450" i="148"/>
  <c r="I1444" i="148"/>
  <c r="L1444" i="148" s="1"/>
  <c r="I1443" i="148"/>
  <c r="L1443" i="148" s="1"/>
  <c r="I1442" i="148"/>
  <c r="L1442" i="148" s="1"/>
  <c r="I1441" i="148"/>
  <c r="L1441" i="148" s="1"/>
  <c r="I1435" i="148"/>
  <c r="L1435" i="148" s="1"/>
  <c r="I1434" i="148"/>
  <c r="K1434" i="148" s="1"/>
  <c r="I1433" i="148"/>
  <c r="K1433" i="148" s="1"/>
  <c r="I1432" i="148"/>
  <c r="K1432" i="148" s="1"/>
  <c r="I1431" i="148"/>
  <c r="K1431" i="148" s="1"/>
  <c r="I1430" i="148"/>
  <c r="I1429" i="148"/>
  <c r="L1429" i="148" s="1"/>
  <c r="I1428" i="148"/>
  <c r="K1428" i="148" s="1"/>
  <c r="I1427" i="148"/>
  <c r="G1427" i="148"/>
  <c r="I1426" i="148"/>
  <c r="G1426" i="148"/>
  <c r="K1422" i="148"/>
  <c r="I1422" i="148"/>
  <c r="E1427" i="148" s="1"/>
  <c r="F1427" i="148" s="1"/>
  <c r="D1422" i="148"/>
  <c r="B1422" i="148"/>
  <c r="L1405" i="148"/>
  <c r="K1405" i="148"/>
  <c r="L1404" i="148"/>
  <c r="K1404" i="148"/>
  <c r="L1403" i="148"/>
  <c r="K1403" i="148"/>
  <c r="L1397" i="148"/>
  <c r="I1396" i="148"/>
  <c r="L1396" i="148" s="1"/>
  <c r="I1395" i="148"/>
  <c r="K1395" i="148" s="1"/>
  <c r="I1394" i="148"/>
  <c r="G1394" i="148"/>
  <c r="I1388" i="148"/>
  <c r="K1388" i="148" s="1"/>
  <c r="I1387" i="148"/>
  <c r="K1387" i="148" s="1"/>
  <c r="I1386" i="148"/>
  <c r="I1385" i="148"/>
  <c r="L1385" i="148" s="1"/>
  <c r="I1379" i="148"/>
  <c r="I1378" i="148"/>
  <c r="L1378" i="148" s="1"/>
  <c r="I1377" i="148"/>
  <c r="L1377" i="148" s="1"/>
  <c r="I1376" i="148"/>
  <c r="L1376" i="148" s="1"/>
  <c r="I1375" i="148"/>
  <c r="L1375" i="148" s="1"/>
  <c r="I1374" i="148"/>
  <c r="K1374" i="148" s="1"/>
  <c r="I1373" i="148"/>
  <c r="G1373" i="148"/>
  <c r="I1372" i="148"/>
  <c r="G1372" i="148"/>
  <c r="I1371" i="148"/>
  <c r="G1371" i="148"/>
  <c r="I1370" i="148"/>
  <c r="G1370" i="148"/>
  <c r="K1366" i="148"/>
  <c r="I1366" i="148"/>
  <c r="E1373" i="148" s="1"/>
  <c r="D1366" i="148"/>
  <c r="B1366" i="148"/>
  <c r="L1349" i="148"/>
  <c r="K1349" i="148"/>
  <c r="L1348" i="148"/>
  <c r="K1348" i="148"/>
  <c r="L1347" i="148"/>
  <c r="K1347" i="148"/>
  <c r="L1341" i="148"/>
  <c r="I1340" i="148"/>
  <c r="L1340" i="148" s="1"/>
  <c r="I1339" i="148"/>
  <c r="G1339" i="148"/>
  <c r="I1338" i="148"/>
  <c r="G1338" i="148"/>
  <c r="I1332" i="148"/>
  <c r="L1332" i="148" s="1"/>
  <c r="I1331" i="148"/>
  <c r="K1331" i="148" s="1"/>
  <c r="I1330" i="148"/>
  <c r="I1329" i="148"/>
  <c r="K1329" i="148" s="1"/>
  <c r="I1323" i="148"/>
  <c r="G1323" i="148"/>
  <c r="I1322" i="148"/>
  <c r="G1322" i="148"/>
  <c r="I1321" i="148"/>
  <c r="G1321" i="148"/>
  <c r="I1320" i="148"/>
  <c r="G1320" i="148"/>
  <c r="I1319" i="148"/>
  <c r="G1319" i="148"/>
  <c r="I1318" i="148"/>
  <c r="G1318" i="148"/>
  <c r="I1317" i="148"/>
  <c r="G1317" i="148"/>
  <c r="K1313" i="148"/>
  <c r="I1313" i="148"/>
  <c r="E1339" i="148" s="1"/>
  <c r="F1339" i="148" s="1"/>
  <c r="D1313" i="148"/>
  <c r="B1313" i="148"/>
  <c r="L1296" i="148"/>
  <c r="K1296" i="148"/>
  <c r="L1295" i="148"/>
  <c r="K1295" i="148"/>
  <c r="L1294" i="148"/>
  <c r="K1294" i="148"/>
  <c r="L1288" i="148"/>
  <c r="I1287" i="148"/>
  <c r="K1287" i="148" s="1"/>
  <c r="I1286" i="148"/>
  <c r="L1286" i="148" s="1"/>
  <c r="I1285" i="148"/>
  <c r="G1285" i="148"/>
  <c r="I1279" i="148"/>
  <c r="K1279" i="148" s="1"/>
  <c r="I1278" i="148"/>
  <c r="L1278" i="148" s="1"/>
  <c r="I1277" i="148"/>
  <c r="L1277" i="148" s="1"/>
  <c r="I1276" i="148"/>
  <c r="L1276" i="148" s="1"/>
  <c r="I1270" i="148"/>
  <c r="L1270" i="148" s="1"/>
  <c r="I1269" i="148"/>
  <c r="L1269" i="148" s="1"/>
  <c r="I1268" i="148"/>
  <c r="L1268" i="148" s="1"/>
  <c r="I1267" i="148"/>
  <c r="L1267" i="148" s="1"/>
  <c r="I1266" i="148"/>
  <c r="K1266" i="148" s="1"/>
  <c r="I1265" i="148"/>
  <c r="K1265" i="148" s="1"/>
  <c r="I1264" i="148"/>
  <c r="K1264" i="148" s="1"/>
  <c r="I1263" i="148"/>
  <c r="K1263" i="148" s="1"/>
  <c r="I1262" i="148"/>
  <c r="G1262" i="148"/>
  <c r="I1261" i="148"/>
  <c r="G1261" i="148"/>
  <c r="K1257" i="148"/>
  <c r="I1257" i="148"/>
  <c r="E1285" i="148" s="1"/>
  <c r="D1257" i="148"/>
  <c r="B1257" i="148"/>
  <c r="L1240" i="148"/>
  <c r="K1240" i="148"/>
  <c r="L1239" i="148"/>
  <c r="K1239" i="148"/>
  <c r="L1238" i="148"/>
  <c r="K1238" i="148"/>
  <c r="L1232" i="148"/>
  <c r="I1231" i="148"/>
  <c r="L1231" i="148" s="1"/>
  <c r="I1230" i="148"/>
  <c r="I1229" i="148"/>
  <c r="G1229" i="148"/>
  <c r="I1223" i="148"/>
  <c r="K1223" i="148" s="1"/>
  <c r="I1222" i="148"/>
  <c r="K1222" i="148" s="1"/>
  <c r="I1221" i="148"/>
  <c r="L1221" i="148" s="1"/>
  <c r="I1220" i="148"/>
  <c r="L1220" i="148" s="1"/>
  <c r="I1214" i="148"/>
  <c r="L1214" i="148" s="1"/>
  <c r="I1213" i="148"/>
  <c r="K1213" i="148" s="1"/>
  <c r="I1212" i="148"/>
  <c r="K1212" i="148" s="1"/>
  <c r="I1211" i="148"/>
  <c r="L1211" i="148" s="1"/>
  <c r="I1210" i="148"/>
  <c r="L1210" i="148" s="1"/>
  <c r="I1209" i="148"/>
  <c r="I1208" i="148"/>
  <c r="K1208" i="148" s="1"/>
  <c r="I1207" i="148"/>
  <c r="L1207" i="148" s="1"/>
  <c r="I1206" i="148"/>
  <c r="G1206" i="148"/>
  <c r="I1205" i="148"/>
  <c r="G1205" i="148"/>
  <c r="K1201" i="148"/>
  <c r="I1201" i="148"/>
  <c r="E1206" i="148" s="1"/>
  <c r="D1201" i="148"/>
  <c r="B1201" i="148"/>
  <c r="L1184" i="148"/>
  <c r="K1184" i="148"/>
  <c r="L1183" i="148"/>
  <c r="K1183" i="148"/>
  <c r="L1182" i="148"/>
  <c r="K1182" i="148"/>
  <c r="L1176" i="148"/>
  <c r="I1175" i="148"/>
  <c r="L1175" i="148" s="1"/>
  <c r="I1174" i="148"/>
  <c r="K1174" i="148" s="1"/>
  <c r="I1173" i="148"/>
  <c r="G1173" i="148"/>
  <c r="I1167" i="148"/>
  <c r="L1167" i="148" s="1"/>
  <c r="I1166" i="148"/>
  <c r="L1166" i="148" s="1"/>
  <c r="I1165" i="148"/>
  <c r="I1164" i="148"/>
  <c r="K1164" i="148" s="1"/>
  <c r="I1158" i="148"/>
  <c r="I1157" i="148"/>
  <c r="K1157" i="148" s="1"/>
  <c r="I1156" i="148"/>
  <c r="K1156" i="148" s="1"/>
  <c r="I1155" i="148"/>
  <c r="L1155" i="148" s="1"/>
  <c r="I1154" i="148"/>
  <c r="L1154" i="148" s="1"/>
  <c r="I1153" i="148"/>
  <c r="G1153" i="148"/>
  <c r="I1152" i="148"/>
  <c r="G1152" i="148"/>
  <c r="I1151" i="148"/>
  <c r="G1151" i="148"/>
  <c r="I1150" i="148"/>
  <c r="G1150" i="148"/>
  <c r="I1149" i="148"/>
  <c r="G1149" i="148"/>
  <c r="K1145" i="148"/>
  <c r="I1145" i="148"/>
  <c r="E1153" i="148" s="1"/>
  <c r="D1145" i="148"/>
  <c r="B1145" i="148"/>
  <c r="L1128" i="148"/>
  <c r="K1128" i="148"/>
  <c r="L1127" i="148"/>
  <c r="K1127" i="148"/>
  <c r="L1126" i="148"/>
  <c r="K1126" i="148"/>
  <c r="L1120" i="148"/>
  <c r="I1119" i="148"/>
  <c r="K1119" i="148" s="1"/>
  <c r="I1118" i="148"/>
  <c r="K1118" i="148" s="1"/>
  <c r="I1117" i="148"/>
  <c r="G1117" i="148"/>
  <c r="I1111" i="148"/>
  <c r="L1111" i="148" s="1"/>
  <c r="I1110" i="148"/>
  <c r="L1110" i="148" s="1"/>
  <c r="I1109" i="148"/>
  <c r="I1108" i="148"/>
  <c r="L1108" i="148" s="1"/>
  <c r="I1102" i="148"/>
  <c r="G1102" i="148"/>
  <c r="I1101" i="148"/>
  <c r="G1101" i="148"/>
  <c r="I1100" i="148"/>
  <c r="G1100" i="148"/>
  <c r="I1099" i="148"/>
  <c r="G1099" i="148"/>
  <c r="I1098" i="148"/>
  <c r="G1098" i="148"/>
  <c r="I1097" i="148"/>
  <c r="G1097" i="148"/>
  <c r="I1096" i="148"/>
  <c r="G1096" i="148"/>
  <c r="I1095" i="148"/>
  <c r="G1095" i="148"/>
  <c r="I1094" i="148"/>
  <c r="G1094" i="148"/>
  <c r="I1093" i="148"/>
  <c r="G1093" i="148"/>
  <c r="K1089" i="148"/>
  <c r="I1089" i="148"/>
  <c r="E1102" i="148" s="1"/>
  <c r="D1089" i="148"/>
  <c r="B1089" i="148"/>
  <c r="L1072" i="148"/>
  <c r="K1072" i="148"/>
  <c r="L1071" i="148"/>
  <c r="K1071" i="148"/>
  <c r="L1070" i="148"/>
  <c r="K1070" i="148"/>
  <c r="L1064" i="148"/>
  <c r="I1063" i="148"/>
  <c r="L1063" i="148" s="1"/>
  <c r="I1062" i="148"/>
  <c r="L1062" i="148" s="1"/>
  <c r="I1061" i="148"/>
  <c r="G1061" i="148"/>
  <c r="I1055" i="148"/>
  <c r="L1055" i="148" s="1"/>
  <c r="I1054" i="148"/>
  <c r="K1054" i="148" s="1"/>
  <c r="I1053" i="148"/>
  <c r="K1053" i="148" s="1"/>
  <c r="I1052" i="148"/>
  <c r="L1052" i="148" s="1"/>
  <c r="I1046" i="148"/>
  <c r="K1046" i="148" s="1"/>
  <c r="I1045" i="148"/>
  <c r="K1045" i="148" s="1"/>
  <c r="I1044" i="148"/>
  <c r="L1044" i="148" s="1"/>
  <c r="I1043" i="148"/>
  <c r="I1042" i="148"/>
  <c r="G1042" i="148"/>
  <c r="I1041" i="148"/>
  <c r="G1041" i="148"/>
  <c r="I1040" i="148"/>
  <c r="G1040" i="148"/>
  <c r="I1039" i="148"/>
  <c r="G1039" i="148"/>
  <c r="I1038" i="148"/>
  <c r="G1038" i="148"/>
  <c r="I1037" i="148"/>
  <c r="G1037" i="148"/>
  <c r="K1033" i="148"/>
  <c r="I1033" i="148"/>
  <c r="E1061" i="148" s="1"/>
  <c r="D1033" i="148"/>
  <c r="B1033" i="148"/>
  <c r="L848" i="148"/>
  <c r="K848" i="148"/>
  <c r="L847" i="148"/>
  <c r="K847" i="148"/>
  <c r="L846" i="148"/>
  <c r="K846" i="148"/>
  <c r="L840" i="148"/>
  <c r="I839" i="148"/>
  <c r="L839" i="148" s="1"/>
  <c r="I831" i="148"/>
  <c r="I830" i="148"/>
  <c r="I829" i="148"/>
  <c r="I828" i="148"/>
  <c r="L828" i="148" s="1"/>
  <c r="I822" i="148"/>
  <c r="I821" i="148"/>
  <c r="L821" i="148" s="1"/>
  <c r="L792" i="148"/>
  <c r="K792" i="148"/>
  <c r="L791" i="148"/>
  <c r="K791" i="148"/>
  <c r="L790" i="148"/>
  <c r="K790" i="148"/>
  <c r="L784" i="148"/>
  <c r="I783" i="148"/>
  <c r="K783" i="148" s="1"/>
  <c r="I782" i="148"/>
  <c r="L782" i="148" s="1"/>
  <c r="I781" i="148"/>
  <c r="G781" i="148"/>
  <c r="I775" i="148"/>
  <c r="L775" i="148" s="1"/>
  <c r="I774" i="148"/>
  <c r="K774" i="148" s="1"/>
  <c r="I773" i="148"/>
  <c r="L773" i="148" s="1"/>
  <c r="I772" i="148"/>
  <c r="L772" i="148" s="1"/>
  <c r="I766" i="148"/>
  <c r="I765" i="148"/>
  <c r="L765" i="148" s="1"/>
  <c r="I764" i="148"/>
  <c r="G764" i="148"/>
  <c r="I763" i="148"/>
  <c r="G763" i="148"/>
  <c r="I762" i="148"/>
  <c r="G762" i="148"/>
  <c r="I761" i="148"/>
  <c r="G761" i="148"/>
  <c r="I760" i="148"/>
  <c r="G760" i="148"/>
  <c r="I759" i="148"/>
  <c r="G759" i="148"/>
  <c r="I758" i="148"/>
  <c r="G758" i="148"/>
  <c r="I757" i="148"/>
  <c r="G757" i="148"/>
  <c r="L736" i="148"/>
  <c r="K736" i="148"/>
  <c r="L735" i="148"/>
  <c r="K735" i="148"/>
  <c r="L734" i="148"/>
  <c r="K734" i="148"/>
  <c r="L728" i="148"/>
  <c r="I727" i="148"/>
  <c r="L727" i="148" s="1"/>
  <c r="I726" i="148"/>
  <c r="I725" i="148"/>
  <c r="G725" i="148"/>
  <c r="I719" i="148"/>
  <c r="L719" i="148" s="1"/>
  <c r="I718" i="148"/>
  <c r="L718" i="148" s="1"/>
  <c r="I717" i="148"/>
  <c r="K717" i="148" s="1"/>
  <c r="I716" i="148"/>
  <c r="K716" i="148" s="1"/>
  <c r="I710" i="148"/>
  <c r="L710" i="148" s="1"/>
  <c r="I709" i="148"/>
  <c r="K709" i="148" s="1"/>
  <c r="I708" i="148"/>
  <c r="G708" i="148"/>
  <c r="I707" i="148"/>
  <c r="G707" i="148"/>
  <c r="I706" i="148"/>
  <c r="G706" i="148"/>
  <c r="I705" i="148"/>
  <c r="G705" i="148"/>
  <c r="I704" i="148"/>
  <c r="G704" i="148"/>
  <c r="I703" i="148"/>
  <c r="G703" i="148"/>
  <c r="I702" i="148"/>
  <c r="G702" i="148"/>
  <c r="I701" i="148"/>
  <c r="G701" i="148"/>
  <c r="E725" i="148"/>
  <c r="L680" i="148"/>
  <c r="K680" i="148"/>
  <c r="L679" i="148"/>
  <c r="K679" i="148"/>
  <c r="L678" i="148"/>
  <c r="K678" i="148"/>
  <c r="L626" i="148"/>
  <c r="K626" i="148"/>
  <c r="L625" i="148"/>
  <c r="K625" i="148"/>
  <c r="L624" i="148"/>
  <c r="K624" i="148"/>
  <c r="L618" i="148"/>
  <c r="I617" i="148"/>
  <c r="K617" i="148" s="1"/>
  <c r="I616" i="148"/>
  <c r="L616" i="148" s="1"/>
  <c r="I609" i="148"/>
  <c r="L609" i="148" s="1"/>
  <c r="I608" i="148"/>
  <c r="K608" i="148" s="1"/>
  <c r="I607" i="148"/>
  <c r="L607" i="148" s="1"/>
  <c r="I606" i="148"/>
  <c r="K606" i="148" s="1"/>
  <c r="I600" i="148"/>
  <c r="L600" i="148" s="1"/>
  <c r="I599" i="148"/>
  <c r="K599" i="148" s="1"/>
  <c r="I598" i="148"/>
  <c r="L598" i="148" s="1"/>
  <c r="I597" i="148"/>
  <c r="L597" i="148" s="1"/>
  <c r="I596" i="148"/>
  <c r="L596" i="148" s="1"/>
  <c r="L572" i="148"/>
  <c r="K572" i="148"/>
  <c r="L571" i="148"/>
  <c r="K571" i="148"/>
  <c r="L570" i="148"/>
  <c r="K570" i="148"/>
  <c r="L564" i="148"/>
  <c r="I563" i="148"/>
  <c r="L563" i="148" s="1"/>
  <c r="I562" i="148"/>
  <c r="K562" i="148" s="1"/>
  <c r="I561" i="148"/>
  <c r="G561" i="148"/>
  <c r="I555" i="148"/>
  <c r="L555" i="148" s="1"/>
  <c r="I554" i="148"/>
  <c r="L554" i="148" s="1"/>
  <c r="I553" i="148"/>
  <c r="K553" i="148" s="1"/>
  <c r="L552" i="148"/>
  <c r="I546" i="148"/>
  <c r="L546" i="148" s="1"/>
  <c r="I545" i="148"/>
  <c r="K545" i="148" s="1"/>
  <c r="I544" i="148"/>
  <c r="L544" i="148" s="1"/>
  <c r="I543" i="148"/>
  <c r="K543" i="148" s="1"/>
  <c r="I542" i="148"/>
  <c r="L542" i="148" s="1"/>
  <c r="K533" i="148"/>
  <c r="D533" i="148"/>
  <c r="B533" i="148"/>
  <c r="L516" i="148"/>
  <c r="K516" i="148"/>
  <c r="L515" i="148"/>
  <c r="K515" i="148"/>
  <c r="L514" i="148"/>
  <c r="K514" i="148"/>
  <c r="L508" i="148"/>
  <c r="I507" i="148"/>
  <c r="L507" i="148" s="1"/>
  <c r="I506" i="148"/>
  <c r="G506" i="148"/>
  <c r="I505" i="148"/>
  <c r="G505" i="148"/>
  <c r="I499" i="148"/>
  <c r="L499" i="148" s="1"/>
  <c r="I498" i="148"/>
  <c r="L498" i="148" s="1"/>
  <c r="I497" i="148"/>
  <c r="K497" i="148" s="1"/>
  <c r="I496" i="148"/>
  <c r="G496" i="148"/>
  <c r="I490" i="148"/>
  <c r="L490" i="148" s="1"/>
  <c r="I489" i="148"/>
  <c r="K489" i="148" s="1"/>
  <c r="I488" i="148"/>
  <c r="L488" i="148" s="1"/>
  <c r="I487" i="148"/>
  <c r="L487" i="148" s="1"/>
  <c r="I486" i="148"/>
  <c r="L486" i="148" s="1"/>
  <c r="K482" i="148"/>
  <c r="D482" i="148"/>
  <c r="B482" i="148"/>
  <c r="L465" i="148"/>
  <c r="K465" i="148"/>
  <c r="L464" i="148"/>
  <c r="K464" i="148"/>
  <c r="L463" i="148"/>
  <c r="K463" i="148"/>
  <c r="L457" i="148"/>
  <c r="I456" i="148"/>
  <c r="L456" i="148" s="1"/>
  <c r="I455" i="148"/>
  <c r="L455" i="148" s="1"/>
  <c r="I454" i="148"/>
  <c r="G454" i="148"/>
  <c r="I448" i="148"/>
  <c r="L448" i="148" s="1"/>
  <c r="I447" i="148"/>
  <c r="L447" i="148" s="1"/>
  <c r="I446" i="148"/>
  <c r="L446" i="148" s="1"/>
  <c r="L445" i="148"/>
  <c r="I439" i="148"/>
  <c r="L439" i="148" s="1"/>
  <c r="I438" i="148"/>
  <c r="K438" i="148" s="1"/>
  <c r="I437" i="148"/>
  <c r="L437" i="148" s="1"/>
  <c r="I436" i="148"/>
  <c r="L436" i="148" s="1"/>
  <c r="I435" i="148"/>
  <c r="L435" i="148" s="1"/>
  <c r="K428" i="148"/>
  <c r="D428" i="148"/>
  <c r="B428" i="148"/>
  <c r="L307" i="148"/>
  <c r="K307" i="148"/>
  <c r="L306" i="148"/>
  <c r="K306" i="148"/>
  <c r="L305" i="148"/>
  <c r="K305" i="148"/>
  <c r="L299" i="148"/>
  <c r="I298" i="148"/>
  <c r="L298" i="148" s="1"/>
  <c r="I297" i="148"/>
  <c r="K297" i="148" s="1"/>
  <c r="I296" i="148"/>
  <c r="G296" i="148"/>
  <c r="I290" i="148"/>
  <c r="L290" i="148" s="1"/>
  <c r="I289" i="148"/>
  <c r="L289" i="148" s="1"/>
  <c r="I288" i="148"/>
  <c r="K288" i="148" s="1"/>
  <c r="I287" i="148"/>
  <c r="K287" i="148" s="1"/>
  <c r="I281" i="148"/>
  <c r="L281" i="148" s="1"/>
  <c r="I280" i="148"/>
  <c r="L280" i="148" s="1"/>
  <c r="I279" i="148"/>
  <c r="L279" i="148" s="1"/>
  <c r="I278" i="148"/>
  <c r="K278" i="148" s="1"/>
  <c r="I277" i="148"/>
  <c r="L277" i="148" s="1"/>
  <c r="I276" i="148"/>
  <c r="L276" i="148" s="1"/>
  <c r="K272" i="148"/>
  <c r="E296" i="148"/>
  <c r="D272" i="148"/>
  <c r="B272" i="148"/>
  <c r="L255" i="148"/>
  <c r="K255" i="148"/>
  <c r="L254" i="148"/>
  <c r="K254" i="148"/>
  <c r="L253" i="148"/>
  <c r="K253" i="148"/>
  <c r="L247" i="148"/>
  <c r="I246" i="148"/>
  <c r="K246" i="148" s="1"/>
  <c r="L245" i="148"/>
  <c r="I238" i="148"/>
  <c r="K238" i="148" s="1"/>
  <c r="I237" i="148"/>
  <c r="L237" i="148" s="1"/>
  <c r="I236" i="148"/>
  <c r="L236" i="148" s="1"/>
  <c r="I235" i="148"/>
  <c r="I229" i="148"/>
  <c r="K229" i="148" s="1"/>
  <c r="I228" i="148"/>
  <c r="K228" i="148" s="1"/>
  <c r="I227" i="148"/>
  <c r="L227" i="148" s="1"/>
  <c r="I226" i="148"/>
  <c r="K226" i="148" s="1"/>
  <c r="I225" i="148"/>
  <c r="L225" i="148" s="1"/>
  <c r="I224" i="148"/>
  <c r="K224" i="148" s="1"/>
  <c r="K220" i="148"/>
  <c r="D220" i="148"/>
  <c r="B220" i="148"/>
  <c r="L203" i="148"/>
  <c r="K203" i="148"/>
  <c r="L202" i="148"/>
  <c r="K202" i="148"/>
  <c r="L201" i="148"/>
  <c r="K201" i="148"/>
  <c r="L195" i="148"/>
  <c r="I194" i="148"/>
  <c r="K194" i="148" s="1"/>
  <c r="I186" i="148"/>
  <c r="L186" i="148" s="1"/>
  <c r="I185" i="148"/>
  <c r="L185" i="148" s="1"/>
  <c r="I184" i="148"/>
  <c r="L184" i="148" s="1"/>
  <c r="I177" i="148"/>
  <c r="K177" i="148" s="1"/>
  <c r="I176" i="148"/>
  <c r="L176" i="148" s="1"/>
  <c r="I175" i="148"/>
  <c r="L175" i="148" s="1"/>
  <c r="I174" i="148"/>
  <c r="K174" i="148" s="1"/>
  <c r="I173" i="148"/>
  <c r="L173" i="148" s="1"/>
  <c r="K169" i="148"/>
  <c r="D169" i="148"/>
  <c r="B169" i="148"/>
  <c r="L152" i="148"/>
  <c r="K152" i="148"/>
  <c r="L151" i="148"/>
  <c r="K151" i="148"/>
  <c r="L150" i="148"/>
  <c r="K150" i="148"/>
  <c r="L144" i="148"/>
  <c r="I143" i="148"/>
  <c r="L143" i="148" s="1"/>
  <c r="I142" i="148"/>
  <c r="K142" i="148" s="1"/>
  <c r="I135" i="148"/>
  <c r="L135" i="148" s="1"/>
  <c r="L132" i="148"/>
  <c r="I126" i="148"/>
  <c r="K126" i="148" s="1"/>
  <c r="I125" i="148"/>
  <c r="K125" i="148" s="1"/>
  <c r="I124" i="148"/>
  <c r="L124" i="148" s="1"/>
  <c r="I123" i="148"/>
  <c r="K123" i="148" s="1"/>
  <c r="I122" i="148"/>
  <c r="L122" i="148" s="1"/>
  <c r="K118" i="148"/>
  <c r="E141" i="148"/>
  <c r="D118" i="148"/>
  <c r="B118" i="148"/>
  <c r="L101" i="148"/>
  <c r="K101" i="148"/>
  <c r="L100" i="148"/>
  <c r="K100" i="148"/>
  <c r="L99" i="148"/>
  <c r="K99" i="148"/>
  <c r="L93" i="148"/>
  <c r="I92" i="148"/>
  <c r="L92" i="148" s="1"/>
  <c r="I91" i="148"/>
  <c r="K91" i="148" s="1"/>
  <c r="I84" i="148"/>
  <c r="L84" i="148" s="1"/>
  <c r="I83" i="148"/>
  <c r="L83" i="148" s="1"/>
  <c r="I82" i="148"/>
  <c r="L82" i="148" s="1"/>
  <c r="I81" i="148"/>
  <c r="L81" i="148" s="1"/>
  <c r="I75" i="148"/>
  <c r="L75" i="148" s="1"/>
  <c r="I74" i="148"/>
  <c r="L74" i="148" s="1"/>
  <c r="I73" i="148"/>
  <c r="L73" i="148" s="1"/>
  <c r="I72" i="148"/>
  <c r="K72" i="148" s="1"/>
  <c r="I71" i="148"/>
  <c r="K71" i="148" s="1"/>
  <c r="I70" i="148"/>
  <c r="K70" i="148" s="1"/>
  <c r="L69" i="148"/>
  <c r="K62" i="148"/>
  <c r="D62" i="148"/>
  <c r="B62" i="148"/>
  <c r="L45" i="148"/>
  <c r="K45" i="148"/>
  <c r="L44" i="148"/>
  <c r="K44" i="148"/>
  <c r="L43" i="148"/>
  <c r="K43" i="148"/>
  <c r="L37" i="148"/>
  <c r="I36" i="148"/>
  <c r="K36" i="148" s="1"/>
  <c r="I35" i="148"/>
  <c r="K35" i="148" s="1"/>
  <c r="I34" i="148"/>
  <c r="G34" i="148"/>
  <c r="I28" i="148"/>
  <c r="L28" i="148" s="1"/>
  <c r="I27" i="148"/>
  <c r="K27" i="148" s="1"/>
  <c r="I26" i="148"/>
  <c r="L26" i="148" s="1"/>
  <c r="I25" i="148"/>
  <c r="L25" i="148" s="1"/>
  <c r="I19" i="148"/>
  <c r="L19" i="148" s="1"/>
  <c r="I18" i="148"/>
  <c r="L18" i="148" s="1"/>
  <c r="I17" i="148"/>
  <c r="L17" i="148" s="1"/>
  <c r="I16" i="148"/>
  <c r="L16" i="148" s="1"/>
  <c r="K12" i="148"/>
  <c r="E34" i="148"/>
  <c r="D12" i="148"/>
  <c r="B12" i="148"/>
  <c r="D7" i="148"/>
  <c r="D6" i="148"/>
  <c r="D5" i="148"/>
  <c r="N4" i="148"/>
  <c r="D4" i="148"/>
  <c r="F2983" i="148" l="1"/>
  <c r="F2984" i="148"/>
  <c r="K2984" i="148" s="1"/>
  <c r="F3005" i="148"/>
  <c r="F3004" i="148"/>
  <c r="K4900" i="148"/>
  <c r="L738" i="148"/>
  <c r="L4956" i="148"/>
  <c r="L5012" i="148"/>
  <c r="K5068" i="148"/>
  <c r="L309" i="148"/>
  <c r="L4086" i="148"/>
  <c r="L4137" i="148"/>
  <c r="L4193" i="148"/>
  <c r="K4740" i="148"/>
  <c r="L5292" i="148"/>
  <c r="K3452" i="148"/>
  <c r="L5236" i="148"/>
  <c r="K4956" i="148"/>
  <c r="K518" i="148"/>
  <c r="L467" i="148"/>
  <c r="K1186" i="148"/>
  <c r="L850" i="148"/>
  <c r="K2334" i="148"/>
  <c r="K2390" i="148"/>
  <c r="L3396" i="148"/>
  <c r="K3829" i="148"/>
  <c r="L1843" i="148"/>
  <c r="K3016" i="148"/>
  <c r="K3564" i="148"/>
  <c r="L3620" i="148"/>
  <c r="L1463" i="148"/>
  <c r="L1790" i="148"/>
  <c r="K2057" i="148"/>
  <c r="L2110" i="148"/>
  <c r="K2961" i="148"/>
  <c r="K1130" i="148"/>
  <c r="L2861" i="148"/>
  <c r="L574" i="148"/>
  <c r="L682" i="148"/>
  <c r="K1074" i="148"/>
  <c r="K3982" i="148"/>
  <c r="K4684" i="148"/>
  <c r="L794" i="148"/>
  <c r="L1242" i="148"/>
  <c r="K1681" i="148"/>
  <c r="K4628" i="148"/>
  <c r="L4684" i="148"/>
  <c r="L4740" i="148"/>
  <c r="L4791" i="148"/>
  <c r="K4844" i="148"/>
  <c r="L103" i="148"/>
  <c r="K205" i="148"/>
  <c r="K103" i="148"/>
  <c r="L257" i="148"/>
  <c r="L1351" i="148"/>
  <c r="L1899" i="148"/>
  <c r="K2166" i="148"/>
  <c r="K4035" i="148"/>
  <c r="K4137" i="148"/>
  <c r="L47" i="148"/>
  <c r="K850" i="148"/>
  <c r="K4249" i="148"/>
  <c r="L4414" i="148"/>
  <c r="K1242" i="148"/>
  <c r="K2502" i="148"/>
  <c r="L2712" i="148"/>
  <c r="K3778" i="148"/>
  <c r="L4249" i="148"/>
  <c r="K4572" i="148"/>
  <c r="K5180" i="148"/>
  <c r="K5292" i="148"/>
  <c r="K467" i="148"/>
  <c r="K3071" i="148"/>
  <c r="L4305" i="148"/>
  <c r="K154" i="148"/>
  <c r="K2761" i="148"/>
  <c r="L3182" i="148"/>
  <c r="K3508" i="148"/>
  <c r="L4844" i="148"/>
  <c r="K2861" i="148"/>
  <c r="L3345" i="148"/>
  <c r="L3452" i="148"/>
  <c r="L5124" i="148"/>
  <c r="L5180" i="148"/>
  <c r="K574" i="148"/>
  <c r="K794" i="148"/>
  <c r="L1186" i="148"/>
  <c r="K1298" i="148"/>
  <c r="K1628" i="148"/>
  <c r="L1298" i="148"/>
  <c r="L1516" i="148"/>
  <c r="L1737" i="148"/>
  <c r="K1790" i="148"/>
  <c r="L2390" i="148"/>
  <c r="L2502" i="148"/>
  <c r="K3672" i="148"/>
  <c r="K3930" i="148"/>
  <c r="K4414" i="148"/>
  <c r="K4466" i="148"/>
  <c r="L4572" i="148"/>
  <c r="L2222" i="148"/>
  <c r="K2558" i="148"/>
  <c r="K2663" i="148"/>
  <c r="L2961" i="148"/>
  <c r="L3016" i="148"/>
  <c r="L3126" i="148"/>
  <c r="L3672" i="148"/>
  <c r="K3878" i="148"/>
  <c r="L4466" i="148"/>
  <c r="L2057" i="148"/>
  <c r="K2110" i="148"/>
  <c r="K3126" i="148"/>
  <c r="K3345" i="148"/>
  <c r="K3722" i="148"/>
  <c r="L3982" i="148"/>
  <c r="L4035" i="148"/>
  <c r="L4361" i="148"/>
  <c r="K4516" i="148"/>
  <c r="L5068" i="148"/>
  <c r="K5348" i="148"/>
  <c r="L518" i="148"/>
  <c r="L205" i="148"/>
  <c r="L628" i="148"/>
  <c r="K682" i="148"/>
  <c r="K685" i="148" s="1"/>
  <c r="K738" i="148"/>
  <c r="K1351" i="148"/>
  <c r="K1463" i="148"/>
  <c r="K1516" i="148"/>
  <c r="K1572" i="148"/>
  <c r="K1737" i="148"/>
  <c r="K1955" i="148"/>
  <c r="L2166" i="148"/>
  <c r="L2761" i="148"/>
  <c r="L2911" i="148"/>
  <c r="L3722" i="148"/>
  <c r="L3930" i="148"/>
  <c r="K4361" i="148"/>
  <c r="L4516" i="148"/>
  <c r="L5348" i="148"/>
  <c r="K47" i="148"/>
  <c r="L154" i="148"/>
  <c r="L1628" i="148"/>
  <c r="L4900" i="148"/>
  <c r="K5012" i="148"/>
  <c r="K5236" i="148"/>
  <c r="K2278" i="148"/>
  <c r="K2446" i="148"/>
  <c r="L2811" i="148"/>
  <c r="L3071" i="148"/>
  <c r="K3182" i="148"/>
  <c r="L3238" i="148"/>
  <c r="K4086" i="148"/>
  <c r="K4193" i="148"/>
  <c r="L4628" i="148"/>
  <c r="K4791" i="148"/>
  <c r="K309" i="148"/>
  <c r="K257" i="148"/>
  <c r="K628" i="148"/>
  <c r="K1407" i="148"/>
  <c r="L1572" i="148"/>
  <c r="L1681" i="148"/>
  <c r="L1955" i="148"/>
  <c r="L2334" i="148"/>
  <c r="L2558" i="148"/>
  <c r="K2611" i="148"/>
  <c r="K3238" i="148"/>
  <c r="K3396" i="148"/>
  <c r="K4305" i="148"/>
  <c r="K5124" i="148"/>
  <c r="T540" i="148"/>
  <c r="T547" i="148"/>
  <c r="T549" i="148" s="1"/>
  <c r="U549" i="148" s="1"/>
  <c r="T543" i="148"/>
  <c r="T539" i="148"/>
  <c r="AG546" i="148" s="1"/>
  <c r="L344" i="148"/>
  <c r="K344" i="148"/>
  <c r="L335" i="148"/>
  <c r="L416" i="148"/>
  <c r="L418" i="148" s="1"/>
  <c r="L420" i="148" s="1"/>
  <c r="L421" i="148" s="1"/>
  <c r="K3535" i="148"/>
  <c r="K353" i="148"/>
  <c r="K387" i="148"/>
  <c r="K335" i="148"/>
  <c r="K405" i="148"/>
  <c r="K4761" i="148"/>
  <c r="K396" i="148"/>
  <c r="L141" i="148"/>
  <c r="E4760" i="148"/>
  <c r="F4760" i="148" s="1"/>
  <c r="K4760" i="148" s="1"/>
  <c r="E192" i="148"/>
  <c r="F192" i="148" s="1"/>
  <c r="K192" i="148" s="1"/>
  <c r="E1319" i="148"/>
  <c r="L1319" i="148" s="1"/>
  <c r="E4435" i="148"/>
  <c r="L4435" i="148" s="1"/>
  <c r="E4436" i="148"/>
  <c r="F4436" i="148" s="1"/>
  <c r="K4436" i="148" s="1"/>
  <c r="K706" i="148"/>
  <c r="L1157" i="148"/>
  <c r="K1278" i="148"/>
  <c r="L3050" i="148"/>
  <c r="L3096" i="148"/>
  <c r="K3474" i="148"/>
  <c r="L3759" i="148"/>
  <c r="K4721" i="148"/>
  <c r="L5103" i="148"/>
  <c r="K3532" i="148"/>
  <c r="L3106" i="148"/>
  <c r="K4497" i="148"/>
  <c r="K5102" i="148"/>
  <c r="L1607" i="148"/>
  <c r="K1052" i="148"/>
  <c r="K1062" i="148"/>
  <c r="L1709" i="148"/>
  <c r="K3583" i="148"/>
  <c r="L3797" i="148"/>
  <c r="K3919" i="148"/>
  <c r="L3952" i="148"/>
  <c r="K3432" i="148"/>
  <c r="L1552" i="148"/>
  <c r="K4237" i="148"/>
  <c r="K1175" i="148"/>
  <c r="L2741" i="148"/>
  <c r="L3148" i="148"/>
  <c r="L2029" i="148"/>
  <c r="L2045" i="148"/>
  <c r="K1716" i="148"/>
  <c r="K1877" i="148"/>
  <c r="L3599" i="148"/>
  <c r="K4485" i="148"/>
  <c r="K773" i="148"/>
  <c r="K1486" i="148"/>
  <c r="L1659" i="148"/>
  <c r="L4720" i="148"/>
  <c r="K4729" i="148"/>
  <c r="L4763" i="148"/>
  <c r="K4978" i="148"/>
  <c r="L4990" i="148"/>
  <c r="L3059" i="148"/>
  <c r="K3323" i="148"/>
  <c r="K3552" i="148"/>
  <c r="L4445" i="148"/>
  <c r="F132" i="148"/>
  <c r="K132" i="148" s="1"/>
  <c r="K1267" i="148"/>
  <c r="L1119" i="148"/>
  <c r="K1154" i="148"/>
  <c r="K1375" i="148"/>
  <c r="K2490" i="148"/>
  <c r="L2546" i="148"/>
  <c r="K3749" i="148"/>
  <c r="K4109" i="148"/>
  <c r="K4181" i="148"/>
  <c r="L4212" i="148"/>
  <c r="E1426" i="148"/>
  <c r="L1426" i="148" s="1"/>
  <c r="E2025" i="148"/>
  <c r="F2025" i="148" s="1"/>
  <c r="K2025" i="148" s="1"/>
  <c r="L36" i="148"/>
  <c r="K134" i="148"/>
  <c r="K456" i="148"/>
  <c r="K488" i="148"/>
  <c r="L774" i="148"/>
  <c r="L777" i="148" s="1"/>
  <c r="L1045" i="148"/>
  <c r="E1318" i="148"/>
  <c r="F1318" i="148" s="1"/>
  <c r="K1318" i="148" s="1"/>
  <c r="K1717" i="148"/>
  <c r="L2701" i="148"/>
  <c r="K2799" i="148"/>
  <c r="K4283" i="148"/>
  <c r="K5167" i="148"/>
  <c r="L708" i="148"/>
  <c r="L2635" i="148"/>
  <c r="L3652" i="148"/>
  <c r="L3962" i="148"/>
  <c r="L3965" i="148" s="1"/>
  <c r="E4384" i="148"/>
  <c r="L4384" i="148" s="1"/>
  <c r="L177" i="148"/>
  <c r="L1266" i="148"/>
  <c r="L1287" i="148"/>
  <c r="E1338" i="148"/>
  <c r="L1338" i="148" s="1"/>
  <c r="E4159" i="148"/>
  <c r="F4159" i="148" s="1"/>
  <c r="K4159" i="148" s="1"/>
  <c r="K4652" i="148"/>
  <c r="L5206" i="148"/>
  <c r="K2379" i="148"/>
  <c r="L2379" i="148"/>
  <c r="K2692" i="148"/>
  <c r="L2692" i="148"/>
  <c r="L2899" i="148"/>
  <c r="K2899" i="148"/>
  <c r="L3479" i="148"/>
  <c r="K3479" i="148"/>
  <c r="L830" i="148"/>
  <c r="K830" i="148"/>
  <c r="L1660" i="148"/>
  <c r="K1660" i="148"/>
  <c r="K1985" i="148"/>
  <c r="L1985" i="148"/>
  <c r="K3430" i="148"/>
  <c r="L3430" i="148"/>
  <c r="L4164" i="148"/>
  <c r="K4164" i="148"/>
  <c r="L764" i="148"/>
  <c r="K757" i="148"/>
  <c r="F761" i="148"/>
  <c r="K761" i="148" s="1"/>
  <c r="E1864" i="148"/>
  <c r="F1864" i="148" s="1"/>
  <c r="K1864" i="148" s="1"/>
  <c r="E1862" i="148"/>
  <c r="L1862" i="148" s="1"/>
  <c r="K4591" i="148"/>
  <c r="L4591" i="148"/>
  <c r="E5223" i="148"/>
  <c r="L5223" i="148" s="1"/>
  <c r="E5199" i="148"/>
  <c r="F5199" i="148" s="1"/>
  <c r="K5199" i="148" s="1"/>
  <c r="L2599" i="148"/>
  <c r="K2599" i="148"/>
  <c r="L2890" i="148"/>
  <c r="K2890" i="148"/>
  <c r="K1286" i="148"/>
  <c r="K2202" i="148"/>
  <c r="L2202" i="148"/>
  <c r="L2435" i="148"/>
  <c r="K2435" i="148"/>
  <c r="L3866" i="148"/>
  <c r="K3866" i="148"/>
  <c r="K289" i="148"/>
  <c r="L2267" i="148"/>
  <c r="L2528" i="148"/>
  <c r="E2581" i="148"/>
  <c r="F2581" i="148" s="1"/>
  <c r="K2581" i="148" s="1"/>
  <c r="K1770" i="148"/>
  <c r="L2028" i="148"/>
  <c r="K2322" i="148"/>
  <c r="K2361" i="148"/>
  <c r="K2371" i="148"/>
  <c r="F133" i="148"/>
  <c r="K133" i="148" s="1"/>
  <c r="L1651" i="148"/>
  <c r="K1987" i="148"/>
  <c r="L2246" i="148"/>
  <c r="L2258" i="148"/>
  <c r="K2481" i="148"/>
  <c r="L2891" i="148"/>
  <c r="L3146" i="148"/>
  <c r="L703" i="148"/>
  <c r="L1222" i="148"/>
  <c r="K1385" i="148"/>
  <c r="K1435" i="148"/>
  <c r="K1608" i="148"/>
  <c r="L2147" i="148"/>
  <c r="L2149" i="148" s="1"/>
  <c r="K2355" i="148"/>
  <c r="E2633" i="148"/>
  <c r="L2633" i="148" s="1"/>
  <c r="L3114" i="148"/>
  <c r="L3422" i="148"/>
  <c r="K3531" i="148"/>
  <c r="L3743" i="148"/>
  <c r="L3908" i="148"/>
  <c r="L3913" i="148" s="1"/>
  <c r="K4213" i="148"/>
  <c r="L4488" i="148"/>
  <c r="K4719" i="148"/>
  <c r="L4761" i="148"/>
  <c r="K5057" i="148"/>
  <c r="L5089" i="148"/>
  <c r="K1427" i="148"/>
  <c r="L1446" i="148"/>
  <c r="F141" i="148"/>
  <c r="K141" i="148" s="1"/>
  <c r="E2630" i="148"/>
  <c r="F2630" i="148" s="1"/>
  <c r="K2630" i="148" s="1"/>
  <c r="E2830" i="148"/>
  <c r="F2830" i="148" s="1"/>
  <c r="K2830" i="148" s="1"/>
  <c r="E4762" i="148"/>
  <c r="F4762" i="148" s="1"/>
  <c r="K4762" i="148" s="1"/>
  <c r="K73" i="148"/>
  <c r="L1118" i="148"/>
  <c r="L1265" i="148"/>
  <c r="K1270" i="148"/>
  <c r="K1339" i="148"/>
  <c r="K1609" i="148"/>
  <c r="L1869" i="148"/>
  <c r="K2243" i="148"/>
  <c r="L2416" i="148"/>
  <c r="L2466" i="148"/>
  <c r="L2483" i="148"/>
  <c r="K2521" i="148"/>
  <c r="L2536" i="148"/>
  <c r="K2841" i="148"/>
  <c r="L2984" i="148"/>
  <c r="K2995" i="148"/>
  <c r="L3153" i="148"/>
  <c r="L3203" i="148"/>
  <c r="K3325" i="148"/>
  <c r="L3700" i="148"/>
  <c r="L3766" i="148"/>
  <c r="K3954" i="148"/>
  <c r="E4156" i="148"/>
  <c r="L4156" i="148" s="1"/>
  <c r="E4180" i="148"/>
  <c r="F4180" i="148" s="1"/>
  <c r="K4180" i="148" s="1"/>
  <c r="L4653" i="148"/>
  <c r="K4665" i="148"/>
  <c r="E4810" i="148"/>
  <c r="L4810" i="148" s="1"/>
  <c r="L4813" i="148"/>
  <c r="L5281" i="148"/>
  <c r="L5320" i="148"/>
  <c r="L4559" i="148"/>
  <c r="L1724" i="148"/>
  <c r="L2245" i="148"/>
  <c r="K2304" i="148"/>
  <c r="K2370" i="148"/>
  <c r="K2468" i="148"/>
  <c r="L2480" i="148"/>
  <c r="F2635" i="148"/>
  <c r="K2635" i="148" s="1"/>
  <c r="L2986" i="148"/>
  <c r="L3149" i="148"/>
  <c r="L3374" i="148"/>
  <c r="L3385" i="148"/>
  <c r="K3609" i="148"/>
  <c r="L3922" i="148"/>
  <c r="K4921" i="148"/>
  <c r="E4977" i="148"/>
  <c r="F4977" i="148" s="1"/>
  <c r="K4977" i="148" s="1"/>
  <c r="L5031" i="148"/>
  <c r="L5038" i="148"/>
  <c r="E193" i="148"/>
  <c r="L193" i="148" s="1"/>
  <c r="E2153" i="148"/>
  <c r="F2153" i="148" s="1"/>
  <c r="K2153" i="148" s="1"/>
  <c r="L545" i="148"/>
  <c r="K597" i="148"/>
  <c r="L608" i="148"/>
  <c r="L717" i="148"/>
  <c r="K1111" i="148"/>
  <c r="K1211" i="148"/>
  <c r="K1376" i="148"/>
  <c r="L1428" i="148"/>
  <c r="L1553" i="148"/>
  <c r="L1652" i="148"/>
  <c r="K1866" i="148"/>
  <c r="K1870" i="148"/>
  <c r="L1887" i="148"/>
  <c r="K2194" i="148"/>
  <c r="K2256" i="148"/>
  <c r="K2303" i="148"/>
  <c r="K2413" i="148"/>
  <c r="L2418" i="148"/>
  <c r="K2529" i="148"/>
  <c r="K2644" i="148"/>
  <c r="K2700" i="148"/>
  <c r="K2740" i="148"/>
  <c r="K3162" i="148"/>
  <c r="L3282" i="148"/>
  <c r="L3334" i="148"/>
  <c r="K3801" i="148"/>
  <c r="K3918" i="148"/>
  <c r="K4065" i="148"/>
  <c r="K4074" i="148"/>
  <c r="L4220" i="148"/>
  <c r="L4326" i="148"/>
  <c r="L4600" i="148"/>
  <c r="L4662" i="148"/>
  <c r="L4824" i="148"/>
  <c r="K4868" i="148"/>
  <c r="L5049" i="148"/>
  <c r="K5095" i="148"/>
  <c r="K5208" i="148"/>
  <c r="E1037" i="148"/>
  <c r="F1037" i="148" s="1"/>
  <c r="K1037" i="148" s="1"/>
  <c r="L1986" i="148"/>
  <c r="E2782" i="148"/>
  <c r="F2782" i="148" s="1"/>
  <c r="K2782" i="148" s="1"/>
  <c r="L2882" i="148"/>
  <c r="K2996" i="148"/>
  <c r="K3210" i="148"/>
  <c r="L3261" i="148"/>
  <c r="L3471" i="148"/>
  <c r="K3477" i="148"/>
  <c r="L3544" i="148"/>
  <c r="K3584" i="148"/>
  <c r="K3650" i="148"/>
  <c r="L3817" i="148"/>
  <c r="K4006" i="148"/>
  <c r="L4273" i="148"/>
  <c r="L4294" i="148"/>
  <c r="K4332" i="148"/>
  <c r="L4540" i="148"/>
  <c r="L4560" i="148"/>
  <c r="K4592" i="148"/>
  <c r="K4597" i="148"/>
  <c r="K4616" i="148"/>
  <c r="K4648" i="148"/>
  <c r="K4707" i="148"/>
  <c r="L4769" i="148"/>
  <c r="L4780" i="148"/>
  <c r="L5039" i="148"/>
  <c r="K5090" i="148"/>
  <c r="K5149" i="148"/>
  <c r="F817" i="148"/>
  <c r="K817" i="148" s="1"/>
  <c r="K1055" i="148"/>
  <c r="L1212" i="148"/>
  <c r="K1377" i="148"/>
  <c r="K1429" i="148"/>
  <c r="L1504" i="148"/>
  <c r="K1653" i="148"/>
  <c r="K1718" i="148"/>
  <c r="K1879" i="148"/>
  <c r="L2948" i="148"/>
  <c r="F3043" i="148"/>
  <c r="K3043" i="148" s="1"/>
  <c r="L4992" i="148"/>
  <c r="L5169" i="148"/>
  <c r="L125" i="148"/>
  <c r="L1046" i="148"/>
  <c r="K1108" i="148"/>
  <c r="E1152" i="148"/>
  <c r="L1152" i="148" s="1"/>
  <c r="L1223" i="148"/>
  <c r="E1323" i="148"/>
  <c r="L1323" i="148" s="1"/>
  <c r="L1551" i="148"/>
  <c r="L1606" i="148"/>
  <c r="L1715" i="148"/>
  <c r="L1720" i="148" s="1"/>
  <c r="L1773" i="148"/>
  <c r="K1822" i="148"/>
  <c r="K1871" i="148"/>
  <c r="K2641" i="148"/>
  <c r="K2790" i="148"/>
  <c r="K2883" i="148"/>
  <c r="L2997" i="148"/>
  <c r="F3038" i="148"/>
  <c r="K3038" i="148" s="1"/>
  <c r="E3058" i="148"/>
  <c r="F3058" i="148" s="1"/>
  <c r="K3058" i="148" s="1"/>
  <c r="K3206" i="148"/>
  <c r="L3216" i="148"/>
  <c r="K3262" i="148"/>
  <c r="L3274" i="148"/>
  <c r="L3277" i="148" s="1"/>
  <c r="K3377" i="148"/>
  <c r="K3478" i="148"/>
  <c r="K3545" i="148"/>
  <c r="K3585" i="148"/>
  <c r="K3591" i="148"/>
  <c r="L3651" i="148"/>
  <c r="K3741" i="148"/>
  <c r="L3856" i="148"/>
  <c r="L4007" i="148"/>
  <c r="K4066" i="148"/>
  <c r="K4116" i="148"/>
  <c r="L4227" i="148"/>
  <c r="L4232" i="148" s="1"/>
  <c r="K4268" i="148"/>
  <c r="K4285" i="148"/>
  <c r="K4350" i="148"/>
  <c r="K4393" i="148"/>
  <c r="K4536" i="148"/>
  <c r="L4541" i="148"/>
  <c r="K4552" i="148"/>
  <c r="K4607" i="148"/>
  <c r="L4664" i="148"/>
  <c r="L4673" i="148"/>
  <c r="K4704" i="148"/>
  <c r="L4708" i="148"/>
  <c r="K4870" i="148"/>
  <c r="L4999" i="148"/>
  <c r="L4983" i="148"/>
  <c r="K5036" i="148"/>
  <c r="L5087" i="148"/>
  <c r="K5150" i="148"/>
  <c r="L5161" i="148"/>
  <c r="K5200" i="148"/>
  <c r="L5205" i="148"/>
  <c r="K280" i="148"/>
  <c r="K435" i="148"/>
  <c r="L35" i="148"/>
  <c r="L126" i="148"/>
  <c r="K176" i="148"/>
  <c r="K184" i="148"/>
  <c r="L228" i="148"/>
  <c r="L287" i="148"/>
  <c r="K437" i="148"/>
  <c r="L553" i="148"/>
  <c r="L557" i="148" s="1"/>
  <c r="L763" i="148"/>
  <c r="E1093" i="148"/>
  <c r="L1093" i="148" s="1"/>
  <c r="E1149" i="148"/>
  <c r="L1149" i="148" s="1"/>
  <c r="E1173" i="148"/>
  <c r="F1173" i="148" s="1"/>
  <c r="K1173" i="148" s="1"/>
  <c r="L1213" i="148"/>
  <c r="K1378" i="148"/>
  <c r="L1505" i="148"/>
  <c r="K1560" i="148"/>
  <c r="L1868" i="148"/>
  <c r="L1880" i="148"/>
  <c r="K2146" i="148"/>
  <c r="L2248" i="148"/>
  <c r="L2410" i="148"/>
  <c r="K2426" i="148"/>
  <c r="K2651" i="148"/>
  <c r="E2783" i="148"/>
  <c r="K2831" i="148"/>
  <c r="K2941" i="148"/>
  <c r="K3169" i="148"/>
  <c r="L3201" i="148"/>
  <c r="K3227" i="148"/>
  <c r="L3495" i="148"/>
  <c r="L3747" i="148"/>
  <c r="L3798" i="148"/>
  <c r="K3911" i="148"/>
  <c r="L3969" i="148"/>
  <c r="K3963" i="148"/>
  <c r="K4023" i="148"/>
  <c r="K4058" i="148"/>
  <c r="K4238" i="148"/>
  <c r="K4329" i="148"/>
  <c r="E4382" i="148"/>
  <c r="K4504" i="148"/>
  <c r="K4598" i="148"/>
  <c r="L4822" i="148"/>
  <c r="E4943" i="148"/>
  <c r="F4943" i="148" s="1"/>
  <c r="K4943" i="148" s="1"/>
  <c r="L5215" i="148"/>
  <c r="L5219" i="148" s="1"/>
  <c r="E5257" i="148"/>
  <c r="L5257" i="148" s="1"/>
  <c r="K237" i="148"/>
  <c r="K598" i="148"/>
  <c r="L815" i="148"/>
  <c r="E1101" i="148"/>
  <c r="L1101" i="148" s="1"/>
  <c r="K3160" i="148"/>
  <c r="K3495" i="148"/>
  <c r="E4487" i="148"/>
  <c r="L4487" i="148" s="1"/>
  <c r="L496" i="148"/>
  <c r="L194" i="148"/>
  <c r="F68" i="148"/>
  <c r="K68" i="148" s="1"/>
  <c r="L27" i="148"/>
  <c r="L30" i="148" s="1"/>
  <c r="K554" i="148"/>
  <c r="L617" i="148"/>
  <c r="F701" i="148"/>
  <c r="K701" i="148" s="1"/>
  <c r="F704" i="148"/>
  <c r="K704" i="148" s="1"/>
  <c r="K707" i="148"/>
  <c r="L2848" i="148"/>
  <c r="K3170" i="148"/>
  <c r="L3218" i="148"/>
  <c r="L3542" i="148"/>
  <c r="K3908" i="148"/>
  <c r="K3917" i="148"/>
  <c r="K3969" i="148"/>
  <c r="L4014" i="148"/>
  <c r="L4018" i="148" s="1"/>
  <c r="E4056" i="148"/>
  <c r="F4056" i="148" s="1"/>
  <c r="K4056" i="148" s="1"/>
  <c r="K4118" i="148"/>
  <c r="K4543" i="148"/>
  <c r="L4595" i="148"/>
  <c r="L4599" i="148"/>
  <c r="L4656" i="148"/>
  <c r="L4705" i="148"/>
  <c r="K4823" i="148"/>
  <c r="L4927" i="148"/>
  <c r="L5048" i="148"/>
  <c r="L5167" i="148"/>
  <c r="K5201" i="148"/>
  <c r="K5271" i="148"/>
  <c r="K555" i="148"/>
  <c r="L716" i="148"/>
  <c r="K719" i="148"/>
  <c r="L142" i="148"/>
  <c r="L229" i="148"/>
  <c r="L288" i="148"/>
  <c r="K436" i="148"/>
  <c r="K486" i="148"/>
  <c r="K596" i="148"/>
  <c r="L783" i="148"/>
  <c r="L123" i="148"/>
  <c r="L174" i="148"/>
  <c r="K499" i="148"/>
  <c r="K507" i="148"/>
  <c r="K447" i="148"/>
  <c r="K455" i="148"/>
  <c r="L66" i="148"/>
  <c r="K82" i="148"/>
  <c r="L226" i="148"/>
  <c r="K281" i="148"/>
  <c r="L434" i="148"/>
  <c r="L505" i="148"/>
  <c r="K616" i="148"/>
  <c r="K831" i="148"/>
  <c r="L831" i="148"/>
  <c r="K75" i="148"/>
  <c r="L72" i="148"/>
  <c r="L91" i="148"/>
  <c r="K542" i="148"/>
  <c r="F1373" i="148"/>
  <c r="K1373" i="148" s="1"/>
  <c r="L1373" i="148"/>
  <c r="K17" i="148"/>
  <c r="L278" i="148"/>
  <c r="L283" i="148" s="1"/>
  <c r="L822" i="148"/>
  <c r="K822" i="148"/>
  <c r="K448" i="148"/>
  <c r="K487" i="148"/>
  <c r="L70" i="148"/>
  <c r="L90" i="148"/>
  <c r="K185" i="148"/>
  <c r="K236" i="148"/>
  <c r="L246" i="148"/>
  <c r="K290" i="148"/>
  <c r="L497" i="148"/>
  <c r="L595" i="148"/>
  <c r="K710" i="148"/>
  <c r="K718" i="148"/>
  <c r="K727" i="148"/>
  <c r="L450" i="148"/>
  <c r="F615" i="148"/>
  <c r="K615" i="148" s="1"/>
  <c r="L766" i="148"/>
  <c r="K766" i="148"/>
  <c r="L829" i="148"/>
  <c r="K829" i="148"/>
  <c r="L1054" i="148"/>
  <c r="L1156" i="148"/>
  <c r="L1339" i="148"/>
  <c r="L1434" i="148"/>
  <c r="L1600" i="148"/>
  <c r="L1708" i="148"/>
  <c r="L1921" i="148"/>
  <c r="L1924" i="148"/>
  <c r="L1995" i="148"/>
  <c r="L2038" i="148"/>
  <c r="L2136" i="148"/>
  <c r="L2192" i="148"/>
  <c r="L2201" i="148"/>
  <c r="L2301" i="148"/>
  <c r="E2321" i="148"/>
  <c r="L2321" i="148" s="1"/>
  <c r="L2368" i="148"/>
  <c r="L2415" i="148"/>
  <c r="L2526" i="148"/>
  <c r="E2598" i="148"/>
  <c r="F2598" i="148" s="1"/>
  <c r="K2598" i="148" s="1"/>
  <c r="L2600" i="148"/>
  <c r="K3145" i="148"/>
  <c r="L3145" i="148"/>
  <c r="K3589" i="148"/>
  <c r="L3589" i="148"/>
  <c r="L3750" i="148"/>
  <c r="K3750" i="148"/>
  <c r="K3849" i="148"/>
  <c r="L3849" i="148"/>
  <c r="L3852" i="148" s="1"/>
  <c r="L3951" i="148"/>
  <c r="K3951" i="148"/>
  <c r="L4163" i="148"/>
  <c r="K4163" i="148"/>
  <c r="L4538" i="148"/>
  <c r="K4538" i="148"/>
  <c r="K5094" i="148"/>
  <c r="L5094" i="148"/>
  <c r="L5147" i="148"/>
  <c r="K5147" i="148"/>
  <c r="L759" i="148"/>
  <c r="L819" i="148"/>
  <c r="K1063" i="148"/>
  <c r="E1096" i="148"/>
  <c r="L1096" i="148" s="1"/>
  <c r="E1099" i="148"/>
  <c r="L1153" i="148"/>
  <c r="K1167" i="148"/>
  <c r="L1174" i="148"/>
  <c r="E1205" i="148"/>
  <c r="K1207" i="148"/>
  <c r="K1220" i="148"/>
  <c r="L1264" i="148"/>
  <c r="K1332" i="148"/>
  <c r="E1372" i="148"/>
  <c r="L1372" i="148" s="1"/>
  <c r="L1374" i="148"/>
  <c r="K1396" i="148"/>
  <c r="K1443" i="148"/>
  <c r="K1487" i="148"/>
  <c r="E1538" i="148"/>
  <c r="F1538" i="148" s="1"/>
  <c r="K1538" i="148" s="1"/>
  <c r="K1661" i="148"/>
  <c r="K1669" i="148"/>
  <c r="K1701" i="148"/>
  <c r="K1768" i="148"/>
  <c r="K1771" i="148"/>
  <c r="K1823" i="148"/>
  <c r="L1867" i="148"/>
  <c r="L1878" i="148"/>
  <c r="K1935" i="148"/>
  <c r="K1984" i="148"/>
  <c r="E2027" i="148"/>
  <c r="F2027" i="148" s="1"/>
  <c r="K2027" i="148" s="1"/>
  <c r="E2044" i="148"/>
  <c r="F2044" i="148" s="1"/>
  <c r="K2044" i="148" s="1"/>
  <c r="L2153" i="148"/>
  <c r="K2191" i="148"/>
  <c r="K2211" i="148"/>
  <c r="L2250" i="148"/>
  <c r="K2356" i="148"/>
  <c r="L2360" i="148"/>
  <c r="L2409" i="148"/>
  <c r="L2412" i="148"/>
  <c r="L2425" i="148"/>
  <c r="L2434" i="148"/>
  <c r="K2469" i="148"/>
  <c r="K2474" i="148"/>
  <c r="L2652" i="148"/>
  <c r="K2750" i="148"/>
  <c r="K2800" i="148"/>
  <c r="L2842" i="148"/>
  <c r="K2842" i="148"/>
  <c r="K2900" i="148"/>
  <c r="K2931" i="148"/>
  <c r="K3005" i="148"/>
  <c r="K3098" i="148"/>
  <c r="L3098" i="148"/>
  <c r="K3154" i="148"/>
  <c r="K3225" i="148"/>
  <c r="L3283" i="148"/>
  <c r="K3283" i="148"/>
  <c r="L3487" i="148"/>
  <c r="K3487" i="148"/>
  <c r="L3553" i="148"/>
  <c r="K3553" i="148"/>
  <c r="L3600" i="148"/>
  <c r="K3600" i="148"/>
  <c r="L3660" i="148"/>
  <c r="K3660" i="148"/>
  <c r="L3898" i="148"/>
  <c r="K3898" i="148"/>
  <c r="L4327" i="148"/>
  <c r="K4327" i="148"/>
  <c r="L4392" i="148"/>
  <c r="K4392" i="148"/>
  <c r="E1394" i="148"/>
  <c r="E1535" i="148"/>
  <c r="L1535" i="148" s="1"/>
  <c r="L1598" i="148"/>
  <c r="L1668" i="148"/>
  <c r="K1725" i="148"/>
  <c r="K1922" i="148"/>
  <c r="K1944" i="148"/>
  <c r="E1976" i="148"/>
  <c r="F1976" i="148" s="1"/>
  <c r="K1976" i="148" s="1"/>
  <c r="L2026" i="148"/>
  <c r="L2035" i="148"/>
  <c r="L2098" i="148"/>
  <c r="F2409" i="148"/>
  <c r="K2409" i="148" s="1"/>
  <c r="E2577" i="148"/>
  <c r="L2577" i="148" s="1"/>
  <c r="E2632" i="148"/>
  <c r="F2632" i="148" s="1"/>
  <c r="K2632" i="148" s="1"/>
  <c r="E2634" i="148"/>
  <c r="F2634" i="148" s="1"/>
  <c r="K2634" i="148" s="1"/>
  <c r="E2650" i="148"/>
  <c r="L2650" i="148" s="1"/>
  <c r="E2699" i="148"/>
  <c r="F2699" i="148" s="1"/>
  <c r="K2699" i="148" s="1"/>
  <c r="F2848" i="148"/>
  <c r="K2848" i="148" s="1"/>
  <c r="L2942" i="148"/>
  <c r="K2942" i="148"/>
  <c r="E3365" i="148"/>
  <c r="E3364" i="148"/>
  <c r="F3364" i="148" s="1"/>
  <c r="K3364" i="148" s="1"/>
  <c r="E3383" i="148"/>
  <c r="E3367" i="148"/>
  <c r="L3366" i="148"/>
  <c r="L3601" i="148"/>
  <c r="K3601" i="148"/>
  <c r="L3661" i="148"/>
  <c r="K3661" i="148"/>
  <c r="L3746" i="148"/>
  <c r="K3746" i="148"/>
  <c r="F4236" i="148"/>
  <c r="K4236" i="148" s="1"/>
  <c r="L4236" i="148"/>
  <c r="L4241" i="148" s="1"/>
  <c r="L4215" i="148"/>
  <c r="K4215" i="148"/>
  <c r="L4934" i="148"/>
  <c r="K4934" i="148"/>
  <c r="E5316" i="148"/>
  <c r="F5316" i="148" s="1"/>
  <c r="K5316" i="148" s="1"/>
  <c r="E5315" i="148"/>
  <c r="L5315" i="148" s="1"/>
  <c r="E5313" i="148"/>
  <c r="F5313" i="148" s="1"/>
  <c r="K5313" i="148" s="1"/>
  <c r="E5314" i="148"/>
  <c r="E5311" i="148"/>
  <c r="L5311" i="148" s="1"/>
  <c r="E2733" i="148"/>
  <c r="F2733" i="148" s="1"/>
  <c r="K2733" i="148" s="1"/>
  <c r="F2948" i="148"/>
  <c r="K2948" i="148" s="1"/>
  <c r="L3105" i="148"/>
  <c r="K3105" i="148"/>
  <c r="K3217" i="148"/>
  <c r="L3217" i="148"/>
  <c r="L3326" i="148"/>
  <c r="L3328" i="148" s="1"/>
  <c r="K3326" i="148"/>
  <c r="K4447" i="148"/>
  <c r="L4447" i="148"/>
  <c r="K4881" i="148"/>
  <c r="L4881" i="148"/>
  <c r="K5328" i="148"/>
  <c r="L5328" i="148"/>
  <c r="K820" i="148"/>
  <c r="E1039" i="148"/>
  <c r="L1039" i="148" s="1"/>
  <c r="E1041" i="148"/>
  <c r="F1041" i="148" s="1"/>
  <c r="K1041" i="148" s="1"/>
  <c r="E1095" i="148"/>
  <c r="E1097" i="148"/>
  <c r="L1097" i="148" s="1"/>
  <c r="L1208" i="148"/>
  <c r="K1269" i="148"/>
  <c r="L1329" i="148"/>
  <c r="L1427" i="148"/>
  <c r="K1441" i="148"/>
  <c r="K1485" i="148"/>
  <c r="K1494" i="148"/>
  <c r="E1539" i="148"/>
  <c r="L1539" i="148" s="1"/>
  <c r="K1561" i="148"/>
  <c r="E1593" i="148"/>
  <c r="F1593" i="148" s="1"/>
  <c r="K1593" i="148" s="1"/>
  <c r="K1599" i="148"/>
  <c r="K1662" i="148"/>
  <c r="K1769" i="148"/>
  <c r="K1821" i="148"/>
  <c r="L1865" i="148"/>
  <c r="K1923" i="148"/>
  <c r="K1927" i="148"/>
  <c r="K1936" i="148"/>
  <c r="K1994" i="148"/>
  <c r="L2036" i="148"/>
  <c r="L2091" i="148"/>
  <c r="L2093" i="148" s="1"/>
  <c r="K2135" i="148"/>
  <c r="E2489" i="148"/>
  <c r="F2489" i="148" s="1"/>
  <c r="K2489" i="148" s="1"/>
  <c r="L2789" i="148"/>
  <c r="K2789" i="148"/>
  <c r="K3051" i="148"/>
  <c r="L3051" i="148"/>
  <c r="L3151" i="148"/>
  <c r="K3202" i="148"/>
  <c r="L3592" i="148"/>
  <c r="K3592" i="148"/>
  <c r="K3694" i="148"/>
  <c r="L3694" i="148"/>
  <c r="L3742" i="148"/>
  <c r="K3742" i="148"/>
  <c r="L4611" i="148"/>
  <c r="E5319" i="148"/>
  <c r="L5319" i="148" s="1"/>
  <c r="L820" i="148"/>
  <c r="L1053" i="148"/>
  <c r="E1100" i="148"/>
  <c r="L1100" i="148" s="1"/>
  <c r="E1117" i="148"/>
  <c r="K1155" i="148"/>
  <c r="L1164" i="148"/>
  <c r="E1322" i="148"/>
  <c r="L1322" i="148" s="1"/>
  <c r="L1433" i="148"/>
  <c r="K1647" i="148"/>
  <c r="F1668" i="148"/>
  <c r="K1668" i="148" s="1"/>
  <c r="L1707" i="148"/>
  <c r="E2097" i="148"/>
  <c r="K2154" i="148"/>
  <c r="F2186" i="148"/>
  <c r="K2186" i="148" s="1"/>
  <c r="L2257" i="148"/>
  <c r="K2266" i="148"/>
  <c r="E2297" i="148"/>
  <c r="L2297" i="148" s="1"/>
  <c r="L2300" i="148"/>
  <c r="K2314" i="148"/>
  <c r="L2358" i="148"/>
  <c r="L2427" i="148"/>
  <c r="L2525" i="148"/>
  <c r="K2547" i="148"/>
  <c r="L2590" i="148"/>
  <c r="E2682" i="148"/>
  <c r="E2684" i="148"/>
  <c r="K2691" i="148"/>
  <c r="E2781" i="148"/>
  <c r="E2780" i="148"/>
  <c r="L2780" i="148" s="1"/>
  <c r="L2889" i="148"/>
  <c r="K2889" i="148"/>
  <c r="K2988" i="148"/>
  <c r="K3152" i="148"/>
  <c r="L3152" i="148"/>
  <c r="L3264" i="148"/>
  <c r="K3264" i="148"/>
  <c r="K3598" i="148"/>
  <c r="L3598" i="148"/>
  <c r="L3608" i="148"/>
  <c r="K3608" i="148"/>
  <c r="L3810" i="148"/>
  <c r="K3810" i="148"/>
  <c r="K3902" i="148"/>
  <c r="L3902" i="148"/>
  <c r="L4171" i="148"/>
  <c r="K4171" i="148"/>
  <c r="L4218" i="148"/>
  <c r="K4218" i="148"/>
  <c r="L4277" i="148"/>
  <c r="K4277" i="148"/>
  <c r="K4341" i="148"/>
  <c r="L4341" i="148"/>
  <c r="K4925" i="148"/>
  <c r="L4925" i="148"/>
  <c r="L5264" i="148"/>
  <c r="K5264" i="148"/>
  <c r="E1597" i="148"/>
  <c r="L1597" i="148" s="1"/>
  <c r="E2731" i="148"/>
  <c r="L2731" i="148" s="1"/>
  <c r="L3209" i="148"/>
  <c r="K3209" i="148"/>
  <c r="L3423" i="148"/>
  <c r="K3423" i="148"/>
  <c r="K3433" i="148"/>
  <c r="L3433" i="148"/>
  <c r="L3653" i="148"/>
  <c r="K3653" i="148"/>
  <c r="L3711" i="148"/>
  <c r="K3711" i="148"/>
  <c r="L3859" i="148"/>
  <c r="K3859" i="148"/>
  <c r="L4495" i="148"/>
  <c r="K4495" i="148"/>
  <c r="L4615" i="148"/>
  <c r="L4620" i="148" s="1"/>
  <c r="F4615" i="148"/>
  <c r="K4615" i="148" s="1"/>
  <c r="L4594" i="148"/>
  <c r="K4594" i="148"/>
  <c r="K813" i="148"/>
  <c r="E1040" i="148"/>
  <c r="L1263" i="148"/>
  <c r="L1331" i="148"/>
  <c r="L1395" i="148"/>
  <c r="K1442" i="148"/>
  <c r="E1594" i="148"/>
  <c r="L1594" i="148" s="1"/>
  <c r="K1616" i="148"/>
  <c r="K1648" i="148"/>
  <c r="K1700" i="148"/>
  <c r="L1832" i="148"/>
  <c r="L1978" i="148"/>
  <c r="E2078" i="148"/>
  <c r="L2078" i="148" s="1"/>
  <c r="L2315" i="148"/>
  <c r="L2317" i="148" s="1"/>
  <c r="K2359" i="148"/>
  <c r="K2433" i="148"/>
  <c r="L2473" i="148"/>
  <c r="E2545" i="148"/>
  <c r="F2545" i="148" s="1"/>
  <c r="K2545" i="148" s="1"/>
  <c r="K3107" i="148"/>
  <c r="L3107" i="148"/>
  <c r="K3219" i="148"/>
  <c r="K3258" i="148"/>
  <c r="L3424" i="148"/>
  <c r="K3424" i="148"/>
  <c r="L3480" i="148"/>
  <c r="K3480" i="148"/>
  <c r="K3529" i="148"/>
  <c r="L3529" i="148"/>
  <c r="L4331" i="148"/>
  <c r="K4331" i="148"/>
  <c r="K3041" i="148"/>
  <c r="F3037" i="148"/>
  <c r="K3037" i="148" s="1"/>
  <c r="F3042" i="148"/>
  <c r="K3042" i="148" s="1"/>
  <c r="E3257" i="148"/>
  <c r="F3257" i="148" s="1"/>
  <c r="K3257" i="148" s="1"/>
  <c r="E3415" i="148"/>
  <c r="E3418" i="148"/>
  <c r="L3418" i="148" s="1"/>
  <c r="E3709" i="148"/>
  <c r="F3709" i="148" s="1"/>
  <c r="K3709" i="148" s="1"/>
  <c r="E4160" i="148"/>
  <c r="L4160" i="148" s="1"/>
  <c r="E4401" i="148"/>
  <c r="K4671" i="148"/>
  <c r="L4671" i="148"/>
  <c r="L5102" i="148"/>
  <c r="E5111" i="148"/>
  <c r="E5261" i="148"/>
  <c r="L5261" i="148" s="1"/>
  <c r="K2985" i="148"/>
  <c r="F3093" i="148"/>
  <c r="K3093" i="148" s="1"/>
  <c r="K3161" i="148"/>
  <c r="K3205" i="148"/>
  <c r="K3226" i="148"/>
  <c r="K3275" i="148"/>
  <c r="L3376" i="148"/>
  <c r="K3497" i="148"/>
  <c r="K3961" i="148"/>
  <c r="K4013" i="148"/>
  <c r="K4064" i="148"/>
  <c r="K4228" i="148"/>
  <c r="K4274" i="148"/>
  <c r="K4286" i="148"/>
  <c r="L4385" i="148"/>
  <c r="E4453" i="148"/>
  <c r="L4453" i="148" s="1"/>
  <c r="L4458" i="148" s="1"/>
  <c r="K4535" i="148"/>
  <c r="K4551" i="148"/>
  <c r="K4651" i="148"/>
  <c r="K4654" i="148"/>
  <c r="K4706" i="148"/>
  <c r="K4770" i="148"/>
  <c r="F4810" i="148"/>
  <c r="K4810" i="148" s="1"/>
  <c r="K4825" i="148"/>
  <c r="K4871" i="148"/>
  <c r="L4920" i="148"/>
  <c r="L4982" i="148"/>
  <c r="E2930" i="148"/>
  <c r="L2930" i="148" s="1"/>
  <c r="F3035" i="148"/>
  <c r="K3035" i="148" s="1"/>
  <c r="E3281" i="148"/>
  <c r="F3281" i="148" s="1"/>
  <c r="K3281" i="148" s="1"/>
  <c r="E3693" i="148"/>
  <c r="E4054" i="148"/>
  <c r="L4054" i="148" s="1"/>
  <c r="E4057" i="148"/>
  <c r="F4057" i="148" s="1"/>
  <c r="K4057" i="148" s="1"/>
  <c r="F4073" i="148"/>
  <c r="K4073" i="148" s="1"/>
  <c r="F4385" i="148"/>
  <c r="K4385" i="148" s="1"/>
  <c r="E4975" i="148"/>
  <c r="L4975" i="148" s="1"/>
  <c r="K5270" i="148"/>
  <c r="E3419" i="148"/>
  <c r="L3419" i="148" s="1"/>
  <c r="K3607" i="148"/>
  <c r="K4216" i="148"/>
  <c r="K4270" i="148"/>
  <c r="K4348" i="148"/>
  <c r="E4380" i="148"/>
  <c r="F4380" i="148" s="1"/>
  <c r="K4380" i="148" s="1"/>
  <c r="L4711" i="148"/>
  <c r="E4919" i="148"/>
  <c r="L4919" i="148" s="1"/>
  <c r="K4935" i="148"/>
  <c r="E3691" i="148"/>
  <c r="L3691" i="148" s="1"/>
  <c r="L3701" i="148"/>
  <c r="K3710" i="148"/>
  <c r="K3848" i="148"/>
  <c r="K3897" i="148"/>
  <c r="K3901" i="148"/>
  <c r="K4024" i="148"/>
  <c r="L4069" i="148"/>
  <c r="L4117" i="148"/>
  <c r="K4126" i="148"/>
  <c r="K4165" i="148"/>
  <c r="L4174" i="148"/>
  <c r="K4217" i="148"/>
  <c r="K4230" i="148"/>
  <c r="K4276" i="148"/>
  <c r="K4284" i="148"/>
  <c r="K4454" i="148"/>
  <c r="K4544" i="148"/>
  <c r="K4608" i="148"/>
  <c r="L4772" i="148"/>
  <c r="K4815" i="148"/>
  <c r="K4869" i="148"/>
  <c r="K4889" i="148"/>
  <c r="K4936" i="148"/>
  <c r="L4945" i="148"/>
  <c r="L5035" i="148"/>
  <c r="K5104" i="148"/>
  <c r="K5336" i="148"/>
  <c r="L4395" i="148"/>
  <c r="E4503" i="148"/>
  <c r="L4503" i="148" s="1"/>
  <c r="L4508" i="148" s="1"/>
  <c r="L4553" i="148"/>
  <c r="L4555" i="148" s="1"/>
  <c r="E4812" i="148"/>
  <c r="F4812" i="148" s="1"/>
  <c r="K4812" i="148" s="1"/>
  <c r="L4833" i="148"/>
  <c r="L4865" i="148"/>
  <c r="L4880" i="148"/>
  <c r="F4920" i="148"/>
  <c r="K4920" i="148" s="1"/>
  <c r="L4924" i="148"/>
  <c r="K4928" i="148"/>
  <c r="K4993" i="148"/>
  <c r="L5146" i="148"/>
  <c r="K5216" i="148"/>
  <c r="L5327" i="148"/>
  <c r="F34" i="148"/>
  <c r="K34" i="148" s="1"/>
  <c r="K39" i="148" s="1"/>
  <c r="L34" i="148"/>
  <c r="L432" i="148"/>
  <c r="L296" i="148"/>
  <c r="F296" i="148"/>
  <c r="K296" i="148" s="1"/>
  <c r="K593" i="148"/>
  <c r="L593" i="148"/>
  <c r="L506" i="148"/>
  <c r="F506" i="148"/>
  <c r="K506" i="148" s="1"/>
  <c r="L67" i="148"/>
  <c r="K67" i="148"/>
  <c r="K244" i="148"/>
  <c r="L244" i="148"/>
  <c r="L21" i="148"/>
  <c r="L86" i="148"/>
  <c r="K18" i="148"/>
  <c r="K25" i="148"/>
  <c r="K83" i="148"/>
  <c r="K186" i="148"/>
  <c r="K276" i="148"/>
  <c r="L1209" i="148"/>
  <c r="K1209" i="148"/>
  <c r="K1268" i="148"/>
  <c r="K28" i="148"/>
  <c r="K92" i="148"/>
  <c r="K124" i="148"/>
  <c r="L134" i="148"/>
  <c r="L137" i="148" s="1"/>
  <c r="K143" i="148"/>
  <c r="K175" i="148"/>
  <c r="L224" i="148"/>
  <c r="K227" i="148"/>
  <c r="L238" i="148"/>
  <c r="K279" i="148"/>
  <c r="L297" i="148"/>
  <c r="L438" i="148"/>
  <c r="K446" i="148"/>
  <c r="L489" i="148"/>
  <c r="L492" i="148" s="1"/>
  <c r="K498" i="148"/>
  <c r="F505" i="148"/>
  <c r="K505" i="148" s="1"/>
  <c r="L543" i="148"/>
  <c r="K546" i="148"/>
  <c r="L562" i="148"/>
  <c r="L599" i="148"/>
  <c r="L606" i="148"/>
  <c r="K609" i="148"/>
  <c r="L709" i="148"/>
  <c r="L838" i="148"/>
  <c r="L1074" i="148"/>
  <c r="L1109" i="148"/>
  <c r="L1113" i="148" s="1"/>
  <c r="K1109" i="148"/>
  <c r="F1206" i="148"/>
  <c r="K1206" i="148" s="1"/>
  <c r="L1206" i="148"/>
  <c r="L1386" i="148"/>
  <c r="K1386" i="148"/>
  <c r="L1432" i="148"/>
  <c r="L2539" i="148"/>
  <c r="K2539" i="148"/>
  <c r="L71" i="148"/>
  <c r="K74" i="148"/>
  <c r="K81" i="148"/>
  <c r="F1102" i="148"/>
  <c r="K1102" i="148" s="1"/>
  <c r="L1102" i="148"/>
  <c r="L1158" i="148"/>
  <c r="K1158" i="148"/>
  <c r="L1230" i="148"/>
  <c r="K1230" i="148"/>
  <c r="L1702" i="148"/>
  <c r="K1702" i="148"/>
  <c r="K84" i="148"/>
  <c r="K122" i="148"/>
  <c r="K135" i="148"/>
  <c r="K173" i="148"/>
  <c r="K193" i="148"/>
  <c r="K225" i="148"/>
  <c r="K245" i="148"/>
  <c r="K277" i="148"/>
  <c r="K298" i="148"/>
  <c r="K439" i="148"/>
  <c r="E454" i="148"/>
  <c r="K490" i="148"/>
  <c r="K544" i="148"/>
  <c r="K563" i="148"/>
  <c r="K600" i="148"/>
  <c r="K607" i="148"/>
  <c r="F725" i="148"/>
  <c r="K725" i="148" s="1"/>
  <c r="L725" i="148"/>
  <c r="K782" i="148"/>
  <c r="F1061" i="148"/>
  <c r="K1061" i="148" s="1"/>
  <c r="L1061" i="148"/>
  <c r="L1066" i="148" s="1"/>
  <c r="L1130" i="148"/>
  <c r="K1214" i="148"/>
  <c r="F1285" i="148"/>
  <c r="K1285" i="148" s="1"/>
  <c r="L1285" i="148"/>
  <c r="L1330" i="148"/>
  <c r="K1330" i="148"/>
  <c r="L1824" i="148"/>
  <c r="L1826" i="148" s="1"/>
  <c r="K1824" i="148"/>
  <c r="K1221" i="148"/>
  <c r="K16" i="148"/>
  <c r="K19" i="148"/>
  <c r="K26" i="148"/>
  <c r="L726" i="148"/>
  <c r="K726" i="148"/>
  <c r="L1043" i="148"/>
  <c r="K1043" i="148"/>
  <c r="F1153" i="148"/>
  <c r="K1153" i="148" s="1"/>
  <c r="L1165" i="148"/>
  <c r="K1165" i="148"/>
  <c r="L2298" i="148"/>
  <c r="F2298" i="148"/>
  <c r="K2298" i="148" s="1"/>
  <c r="F1483" i="148"/>
  <c r="K1483" i="148" s="1"/>
  <c r="L1483" i="148"/>
  <c r="F763" i="148"/>
  <c r="K763" i="148" s="1"/>
  <c r="L1451" i="148"/>
  <c r="K1451" i="148"/>
  <c r="E781" i="148"/>
  <c r="L1407" i="148"/>
  <c r="L1495" i="148"/>
  <c r="K1495" i="148"/>
  <c r="L1542" i="148"/>
  <c r="K1542" i="148"/>
  <c r="L1757" i="148"/>
  <c r="F1757" i="148"/>
  <c r="K1757" i="148" s="1"/>
  <c r="L2155" i="148"/>
  <c r="K2155" i="148"/>
  <c r="E837" i="148"/>
  <c r="E1038" i="148"/>
  <c r="E1042" i="148"/>
  <c r="E1151" i="148"/>
  <c r="E1229" i="148"/>
  <c r="K1276" i="148"/>
  <c r="L1279" i="148"/>
  <c r="L1281" i="148" s="1"/>
  <c r="K1340" i="148"/>
  <c r="L1387" i="148"/>
  <c r="K1444" i="148"/>
  <c r="L1452" i="148"/>
  <c r="E1503" i="148"/>
  <c r="E1484" i="148"/>
  <c r="F1540" i="148"/>
  <c r="K1540" i="148" s="1"/>
  <c r="L1540" i="148"/>
  <c r="L1617" i="148"/>
  <c r="K1617" i="148"/>
  <c r="L1726" i="148"/>
  <c r="K1726" i="148"/>
  <c r="L2323" i="148"/>
  <c r="K2323" i="148"/>
  <c r="E1262" i="148"/>
  <c r="F1595" i="148"/>
  <c r="K1595" i="148" s="1"/>
  <c r="L1595" i="148"/>
  <c r="L1649" i="148"/>
  <c r="K1649" i="148"/>
  <c r="L2242" i="148"/>
  <c r="F2242" i="148"/>
  <c r="K2242" i="148" s="1"/>
  <c r="K765" i="148"/>
  <c r="K772" i="148"/>
  <c r="K839" i="148"/>
  <c r="K1044" i="148"/>
  <c r="K1110" i="148"/>
  <c r="E1150" i="148"/>
  <c r="K1166" i="148"/>
  <c r="K1210" i="148"/>
  <c r="K1231" i="148"/>
  <c r="K1277" i="148"/>
  <c r="E1321" i="148"/>
  <c r="L1379" i="148"/>
  <c r="K1379" i="148"/>
  <c r="L1388" i="148"/>
  <c r="L1430" i="148"/>
  <c r="K1430" i="148"/>
  <c r="E1482" i="148"/>
  <c r="L1497" i="148"/>
  <c r="L1544" i="148"/>
  <c r="L1830" i="148"/>
  <c r="F1830" i="148"/>
  <c r="K1830" i="148" s="1"/>
  <c r="L2134" i="148"/>
  <c r="K2134" i="148"/>
  <c r="L2414" i="148"/>
  <c r="K2414" i="148"/>
  <c r="K775" i="148"/>
  <c r="K821" i="148"/>
  <c r="K828" i="148"/>
  <c r="E1094" i="148"/>
  <c r="E1098" i="148"/>
  <c r="E1261" i="148"/>
  <c r="F1724" i="148"/>
  <c r="K1724" i="148" s="1"/>
  <c r="E1759" i="148"/>
  <c r="E1777" i="148"/>
  <c r="E1756" i="148"/>
  <c r="E1758" i="148"/>
  <c r="E1918" i="148"/>
  <c r="E1942" i="148"/>
  <c r="E1920" i="148"/>
  <c r="E1919" i="148"/>
  <c r="L2302" i="148"/>
  <c r="K2302" i="148"/>
  <c r="L2472" i="148"/>
  <c r="K2472" i="148"/>
  <c r="E1317" i="148"/>
  <c r="E1320" i="148"/>
  <c r="E1370" i="148"/>
  <c r="E1371" i="148"/>
  <c r="L1431" i="148"/>
  <c r="L1488" i="148"/>
  <c r="K1488" i="148"/>
  <c r="L1670" i="148"/>
  <c r="K1670" i="148"/>
  <c r="L1778" i="148"/>
  <c r="K1778" i="148"/>
  <c r="K1843" i="148"/>
  <c r="L1934" i="148"/>
  <c r="K1934" i="148"/>
  <c r="L1977" i="148"/>
  <c r="K1977" i="148"/>
  <c r="L2465" i="148"/>
  <c r="F2465" i="148"/>
  <c r="K2465" i="148" s="1"/>
  <c r="E1863" i="148"/>
  <c r="L2193" i="148"/>
  <c r="K2193" i="148"/>
  <c r="L2369" i="148"/>
  <c r="K2369" i="148"/>
  <c r="L2582" i="148"/>
  <c r="F2582" i="148"/>
  <c r="K2582" i="148" s="1"/>
  <c r="L2933" i="148"/>
  <c r="K2933" i="148"/>
  <c r="L2950" i="148"/>
  <c r="K2950" i="148"/>
  <c r="E1615" i="148"/>
  <c r="E1812" i="148"/>
  <c r="L1933" i="148"/>
  <c r="K1933" i="148"/>
  <c r="K1943" i="148"/>
  <c r="E2131" i="148"/>
  <c r="E2132" i="148"/>
  <c r="E2133" i="148"/>
  <c r="E2129" i="148"/>
  <c r="L2244" i="148"/>
  <c r="K2244" i="148"/>
  <c r="L2278" i="148"/>
  <c r="L2467" i="148"/>
  <c r="K2467" i="148"/>
  <c r="L2611" i="148"/>
  <c r="L2749" i="148"/>
  <c r="K2749" i="148"/>
  <c r="L2833" i="148"/>
  <c r="K2833" i="148"/>
  <c r="E1559" i="148"/>
  <c r="E1811" i="148"/>
  <c r="K2006" i="148"/>
  <c r="F2079" i="148"/>
  <c r="K2079" i="148" s="1"/>
  <c r="L2079" i="148"/>
  <c r="L2354" i="148"/>
  <c r="K2354" i="148"/>
  <c r="L2521" i="148"/>
  <c r="L2693" i="148"/>
  <c r="K2693" i="148"/>
  <c r="E1450" i="148"/>
  <c r="E1537" i="148"/>
  <c r="E1541" i="148"/>
  <c r="E1592" i="148"/>
  <c r="E1596" i="148"/>
  <c r="E1886" i="148"/>
  <c r="L1888" i="148"/>
  <c r="K1888" i="148"/>
  <c r="L1925" i="148"/>
  <c r="K1925" i="148"/>
  <c r="L2006" i="148"/>
  <c r="F2026" i="148"/>
  <c r="K2026" i="148" s="1"/>
  <c r="L2037" i="148"/>
  <c r="K2037" i="148"/>
  <c r="K2040" i="148" s="1"/>
  <c r="K2090" i="148"/>
  <c r="K2222" i="148"/>
  <c r="K2249" i="148"/>
  <c r="L2362" i="148"/>
  <c r="K2362" i="148"/>
  <c r="K2411" i="148"/>
  <c r="L2591" i="148"/>
  <c r="E1810" i="148"/>
  <c r="L1926" i="148"/>
  <c r="K1926" i="148"/>
  <c r="F1993" i="148"/>
  <c r="K1993" i="148" s="1"/>
  <c r="L1993" i="148"/>
  <c r="L2099" i="148"/>
  <c r="K2099" i="148"/>
  <c r="L2200" i="148"/>
  <c r="K2200" i="148"/>
  <c r="L2527" i="148"/>
  <c r="K2527" i="148"/>
  <c r="L2792" i="148"/>
  <c r="K2792" i="148"/>
  <c r="L2987" i="148"/>
  <c r="K2987" i="148"/>
  <c r="L3045" i="148"/>
  <c r="K1496" i="148"/>
  <c r="E1536" i="148"/>
  <c r="K1543" i="148"/>
  <c r="K1550" i="148"/>
  <c r="K1555" i="148" s="1"/>
  <c r="E1591" i="148"/>
  <c r="K1650" i="148"/>
  <c r="K1703" i="148"/>
  <c r="K1779" i="148"/>
  <c r="K1831" i="148"/>
  <c r="K1899" i="148"/>
  <c r="L2130" i="148"/>
  <c r="F2130" i="148"/>
  <c r="K2130" i="148" s="1"/>
  <c r="E2209" i="148"/>
  <c r="F2189" i="148"/>
  <c r="K2189" i="148" s="1"/>
  <c r="F2187" i="148"/>
  <c r="K2187" i="148" s="1"/>
  <c r="F2190" i="148"/>
  <c r="K2190" i="148" s="1"/>
  <c r="F2185" i="148"/>
  <c r="K2185" i="148" s="1"/>
  <c r="F2188" i="148"/>
  <c r="K2188" i="148" s="1"/>
  <c r="E2265" i="148"/>
  <c r="E2241" i="148"/>
  <c r="L2259" i="148"/>
  <c r="K2259" i="148"/>
  <c r="E2377" i="148"/>
  <c r="E2353" i="148"/>
  <c r="L2446" i="148"/>
  <c r="E1809" i="148"/>
  <c r="L2482" i="148"/>
  <c r="K2482" i="148"/>
  <c r="K2524" i="148"/>
  <c r="K2642" i="148"/>
  <c r="L2642" i="148"/>
  <c r="L2850" i="148"/>
  <c r="K2850" i="148"/>
  <c r="L3586" i="148"/>
  <c r="K3586" i="148"/>
  <c r="F3765" i="148"/>
  <c r="K3765" i="148" s="1"/>
  <c r="L3765" i="148"/>
  <c r="E2077" i="148"/>
  <c r="F2683" i="148"/>
  <c r="K2683" i="148" s="1"/>
  <c r="L2683" i="148"/>
  <c r="F2748" i="148"/>
  <c r="K2748" i="148" s="1"/>
  <c r="L2748" i="148"/>
  <c r="L2892" i="148"/>
  <c r="K2892" i="148"/>
  <c r="L2981" i="148"/>
  <c r="F2981" i="148"/>
  <c r="K2981" i="148" s="1"/>
  <c r="K2046" i="148"/>
  <c r="K2081" i="148"/>
  <c r="K2088" i="148"/>
  <c r="K2137" i="148"/>
  <c r="K2144" i="148"/>
  <c r="K2203" i="148"/>
  <c r="K2247" i="148"/>
  <c r="K2305" i="148"/>
  <c r="K2312" i="148"/>
  <c r="K2357" i="148"/>
  <c r="K2378" i="148"/>
  <c r="K2417" i="148"/>
  <c r="K2424" i="148"/>
  <c r="K2470" i="148"/>
  <c r="K2491" i="148"/>
  <c r="K2522" i="148"/>
  <c r="K2530" i="148"/>
  <c r="K2537" i="148"/>
  <c r="E2583" i="148"/>
  <c r="K2589" i="148"/>
  <c r="K2592" i="148"/>
  <c r="L2643" i="148"/>
  <c r="K2643" i="148"/>
  <c r="K2690" i="148"/>
  <c r="L2798" i="148"/>
  <c r="L2803" i="148" s="1"/>
  <c r="L2881" i="148"/>
  <c r="K2881" i="148"/>
  <c r="L2940" i="148"/>
  <c r="K2940" i="148"/>
  <c r="L2994" i="148"/>
  <c r="K2994" i="148"/>
  <c r="K3052" i="148"/>
  <c r="L3052" i="148"/>
  <c r="L3097" i="148"/>
  <c r="K3097" i="148"/>
  <c r="F3551" i="148"/>
  <c r="K3551" i="148" s="1"/>
  <c r="L3551" i="148"/>
  <c r="E1975" i="148"/>
  <c r="E2076" i="148"/>
  <c r="E2080" i="148"/>
  <c r="E2579" i="148"/>
  <c r="L2840" i="148"/>
  <c r="K2840" i="148"/>
  <c r="K2911" i="148"/>
  <c r="E2299" i="148"/>
  <c r="L2663" i="148"/>
  <c r="K2811" i="148"/>
  <c r="L3049" i="148"/>
  <c r="K3049" i="148"/>
  <c r="L3265" i="148"/>
  <c r="K3265" i="148"/>
  <c r="L3488" i="148"/>
  <c r="K3488" i="148"/>
  <c r="E1974" i="148"/>
  <c r="K2082" i="148"/>
  <c r="K2089" i="148"/>
  <c r="K2138" i="148"/>
  <c r="K2145" i="148"/>
  <c r="K2210" i="148"/>
  <c r="K2306" i="148"/>
  <c r="K2313" i="148"/>
  <c r="K2471" i="148"/>
  <c r="K2523" i="148"/>
  <c r="K2538" i="148"/>
  <c r="K2712" i="148"/>
  <c r="L2739" i="148"/>
  <c r="K2739" i="148"/>
  <c r="E2880" i="148"/>
  <c r="E2898" i="148"/>
  <c r="E3094" i="148"/>
  <c r="E3113" i="148"/>
  <c r="L3258" i="148"/>
  <c r="E3315" i="148"/>
  <c r="E3332" i="148"/>
  <c r="E3316" i="148"/>
  <c r="F3420" i="148"/>
  <c r="K3420" i="148" s="1"/>
  <c r="L3420" i="148"/>
  <c r="K3543" i="148"/>
  <c r="L3543" i="148"/>
  <c r="E2732" i="148"/>
  <c r="K2742" i="148"/>
  <c r="K2791" i="148"/>
  <c r="F2798" i="148"/>
  <c r="K2798" i="148" s="1"/>
  <c r="K2849" i="148"/>
  <c r="K2932" i="148"/>
  <c r="K2939" i="148"/>
  <c r="F3040" i="148"/>
  <c r="K3040" i="148" s="1"/>
  <c r="F3091" i="148"/>
  <c r="K3091" i="148" s="1"/>
  <c r="K3115" i="148"/>
  <c r="L3530" i="148"/>
  <c r="K3530" i="148"/>
  <c r="L3867" i="148"/>
  <c r="K3867" i="148"/>
  <c r="L3970" i="148"/>
  <c r="K3970" i="148"/>
  <c r="F3096" i="148"/>
  <c r="K3096" i="148" s="1"/>
  <c r="E3313" i="148"/>
  <c r="L3368" i="148"/>
  <c r="K3368" i="148"/>
  <c r="L3472" i="148"/>
  <c r="K3472" i="148"/>
  <c r="L3508" i="148"/>
  <c r="E3659" i="148"/>
  <c r="E3642" i="148"/>
  <c r="E3643" i="148"/>
  <c r="E3641" i="148"/>
  <c r="E3644" i="148"/>
  <c r="E3639" i="148"/>
  <c r="L3950" i="148"/>
  <c r="K3950" i="148"/>
  <c r="L3971" i="148"/>
  <c r="K3971" i="148"/>
  <c r="L3263" i="148"/>
  <c r="K3263" i="148"/>
  <c r="F3816" i="148"/>
  <c r="K3816" i="148" s="1"/>
  <c r="L3816" i="148"/>
  <c r="L3865" i="148"/>
  <c r="F3865" i="148"/>
  <c r="K3865" i="148" s="1"/>
  <c r="K2983" i="148"/>
  <c r="K3004" i="148"/>
  <c r="F3039" i="148"/>
  <c r="K3039" i="148" s="1"/>
  <c r="K3060" i="148"/>
  <c r="F3090" i="148"/>
  <c r="K3090" i="148" s="1"/>
  <c r="L3150" i="148"/>
  <c r="K3150" i="148"/>
  <c r="K3163" i="148"/>
  <c r="K3204" i="148"/>
  <c r="K3207" i="148"/>
  <c r="K3272" i="148"/>
  <c r="K3431" i="148"/>
  <c r="L4325" i="148"/>
  <c r="K4325" i="148"/>
  <c r="K2832" i="148"/>
  <c r="K2839" i="148"/>
  <c r="K2949" i="148"/>
  <c r="F3036" i="148"/>
  <c r="K3036" i="148" s="1"/>
  <c r="E3092" i="148"/>
  <c r="E3095" i="148"/>
  <c r="L3104" i="148"/>
  <c r="K3104" i="148"/>
  <c r="K3147" i="148"/>
  <c r="L3160" i="148"/>
  <c r="L3165" i="148" s="1"/>
  <c r="L3171" i="148"/>
  <c r="L3174" i="148" s="1"/>
  <c r="K3171" i="148"/>
  <c r="L3225" i="148"/>
  <c r="L3230" i="148" s="1"/>
  <c r="K3260" i="148"/>
  <c r="K3294" i="148"/>
  <c r="E3314" i="148"/>
  <c r="K3366" i="148"/>
  <c r="L3375" i="148"/>
  <c r="K3375" i="148"/>
  <c r="L3440" i="148"/>
  <c r="K3440" i="148"/>
  <c r="L3527" i="148"/>
  <c r="K3527" i="148"/>
  <c r="K3590" i="148"/>
  <c r="L3590" i="148"/>
  <c r="L3208" i="148"/>
  <c r="K3208" i="148"/>
  <c r="L3294" i="148"/>
  <c r="L4001" i="148"/>
  <c r="F4001" i="148"/>
  <c r="K4001" i="148" s="1"/>
  <c r="K3620" i="148"/>
  <c r="E3259" i="148"/>
  <c r="K3317" i="148"/>
  <c r="K3324" i="148"/>
  <c r="K3384" i="148"/>
  <c r="E3439" i="148"/>
  <c r="L3475" i="148"/>
  <c r="K3533" i="148"/>
  <c r="L3536" i="148"/>
  <c r="K3587" i="148"/>
  <c r="K3703" i="148"/>
  <c r="L3757" i="148"/>
  <c r="K3757" i="148"/>
  <c r="L3778" i="148"/>
  <c r="K3910" i="148"/>
  <c r="L4075" i="148"/>
  <c r="L4078" i="148" s="1"/>
  <c r="K4075" i="148"/>
  <c r="F4161" i="148"/>
  <c r="K4161" i="148" s="1"/>
  <c r="L4161" i="148"/>
  <c r="K3266" i="148"/>
  <c r="K3273" i="148"/>
  <c r="K3333" i="148"/>
  <c r="E3417" i="148"/>
  <c r="E3421" i="148"/>
  <c r="F3692" i="148"/>
  <c r="K3692" i="148" s="1"/>
  <c r="L3692" i="148"/>
  <c r="L3758" i="148"/>
  <c r="K3758" i="148"/>
  <c r="L3808" i="148"/>
  <c r="K3808" i="148"/>
  <c r="L3829" i="148"/>
  <c r="L3878" i="148"/>
  <c r="K4016" i="148"/>
  <c r="K4649" i="148"/>
  <c r="L4649" i="148"/>
  <c r="K3441" i="148"/>
  <c r="K3473" i="148"/>
  <c r="K3476" i="148"/>
  <c r="K3486" i="148"/>
  <c r="K3489" i="148"/>
  <c r="L3528" i="148"/>
  <c r="K3534" i="148"/>
  <c r="L3607" i="148"/>
  <c r="K3588" i="148"/>
  <c r="L3744" i="148"/>
  <c r="K3744" i="148"/>
  <c r="L3809" i="148"/>
  <c r="K3809" i="148"/>
  <c r="K3858" i="148"/>
  <c r="E3416" i="148"/>
  <c r="L3745" i="148"/>
  <c r="K3745" i="148"/>
  <c r="L3899" i="148"/>
  <c r="K3899" i="148"/>
  <c r="L4004" i="148"/>
  <c r="K4004" i="148"/>
  <c r="L4342" i="148"/>
  <c r="K4342" i="148"/>
  <c r="L3496" i="148"/>
  <c r="L3564" i="148"/>
  <c r="K3800" i="148"/>
  <c r="L3900" i="148"/>
  <c r="K3900" i="148"/>
  <c r="L3949" i="148"/>
  <c r="K3949" i="148"/>
  <c r="L4005" i="148"/>
  <c r="K4005" i="148"/>
  <c r="E4107" i="148"/>
  <c r="E4124" i="148"/>
  <c r="E4106" i="148"/>
  <c r="E4108" i="148"/>
  <c r="E4105" i="148"/>
  <c r="F4292" i="148"/>
  <c r="K4292" i="148" s="1"/>
  <c r="L4292" i="148"/>
  <c r="L4333" i="148"/>
  <c r="K4333" i="148"/>
  <c r="L4496" i="148"/>
  <c r="K4496" i="148"/>
  <c r="L4561" i="148"/>
  <c r="K4561" i="148"/>
  <c r="L5152" i="148"/>
  <c r="K5152" i="148"/>
  <c r="L4115" i="148"/>
  <c r="K4125" i="148"/>
  <c r="K4221" i="148"/>
  <c r="K4271" i="148"/>
  <c r="L4288" i="148"/>
  <c r="L4485" i="148"/>
  <c r="L5144" i="148"/>
  <c r="K5144" i="148"/>
  <c r="E4003" i="148"/>
  <c r="K4172" i="148"/>
  <c r="K4330" i="148"/>
  <c r="K4339" i="148"/>
  <c r="L4542" i="148"/>
  <c r="K4542" i="148"/>
  <c r="F4559" i="148"/>
  <c r="K4559" i="148" s="1"/>
  <c r="K4712" i="148"/>
  <c r="K4779" i="148"/>
  <c r="L5112" i="148"/>
  <c r="K5112" i="148"/>
  <c r="L4272" i="148"/>
  <c r="K4272" i="148"/>
  <c r="L4593" i="148"/>
  <c r="K4593" i="148"/>
  <c r="E4002" i="148"/>
  <c r="E4022" i="148"/>
  <c r="K4067" i="148"/>
  <c r="L4173" i="148"/>
  <c r="K4173" i="148"/>
  <c r="L4340" i="148"/>
  <c r="K4340" i="148"/>
  <c r="F4437" i="148"/>
  <c r="K4437" i="148" s="1"/>
  <c r="L4437" i="148"/>
  <c r="K4539" i="148"/>
  <c r="L4672" i="148"/>
  <c r="K4672" i="148"/>
  <c r="L4872" i="148"/>
  <c r="K4872" i="148"/>
  <c r="K3702" i="148"/>
  <c r="K3748" i="148"/>
  <c r="K3767" i="148"/>
  <c r="K3799" i="148"/>
  <c r="K3818" i="148"/>
  <c r="K3850" i="148"/>
  <c r="K3857" i="148"/>
  <c r="K3909" i="148"/>
  <c r="K3953" i="148"/>
  <c r="K3960" i="148"/>
  <c r="K4015" i="148"/>
  <c r="L4219" i="148"/>
  <c r="K4219" i="148"/>
  <c r="K4269" i="148"/>
  <c r="K4324" i="148"/>
  <c r="L4348" i="148"/>
  <c r="L4353" i="148" s="1"/>
  <c r="K4402" i="148"/>
  <c r="K4617" i="148"/>
  <c r="K4655" i="148"/>
  <c r="F4727" i="148"/>
  <c r="K4727" i="148" s="1"/>
  <c r="L4727" i="148"/>
  <c r="L4732" i="148" s="1"/>
  <c r="K4863" i="148"/>
  <c r="E4055" i="148"/>
  <c r="L4293" i="148"/>
  <c r="K4293" i="148"/>
  <c r="L4446" i="148"/>
  <c r="K4446" i="148"/>
  <c r="L5001" i="148"/>
  <c r="K5001" i="148"/>
  <c r="E4486" i="148"/>
  <c r="L4864" i="148"/>
  <c r="K4864" i="148"/>
  <c r="L4937" i="148"/>
  <c r="K4937" i="148"/>
  <c r="L5033" i="148"/>
  <c r="K5033" i="148"/>
  <c r="L5159" i="148"/>
  <c r="K5159" i="148"/>
  <c r="F5262" i="148"/>
  <c r="K5262" i="148" s="1"/>
  <c r="L5262" i="148"/>
  <c r="E4158" i="148"/>
  <c r="E4162" i="148"/>
  <c r="K4394" i="148"/>
  <c r="E4438" i="148"/>
  <c r="K4455" i="148"/>
  <c r="K4505" i="148"/>
  <c r="K4537" i="148"/>
  <c r="K4596" i="148"/>
  <c r="K4609" i="148"/>
  <c r="K4647" i="148"/>
  <c r="K4650" i="148"/>
  <c r="K4663" i="148"/>
  <c r="K4709" i="148"/>
  <c r="K4878" i="148"/>
  <c r="L4887" i="148"/>
  <c r="L4892" i="148" s="1"/>
  <c r="L4980" i="148"/>
  <c r="K4980" i="148"/>
  <c r="K4182" i="148"/>
  <c r="K4214" i="148"/>
  <c r="K4229" i="148"/>
  <c r="K4275" i="148"/>
  <c r="K4328" i="148"/>
  <c r="K4349" i="148"/>
  <c r="E4386" i="148"/>
  <c r="K4403" i="148"/>
  <c r="K4444" i="148"/>
  <c r="K4494" i="148"/>
  <c r="L4703" i="148"/>
  <c r="L4718" i="148"/>
  <c r="K4728" i="148"/>
  <c r="E4759" i="148"/>
  <c r="E4778" i="148"/>
  <c r="L4879" i="148"/>
  <c r="K4879" i="148"/>
  <c r="F5055" i="148"/>
  <c r="K5055" i="148" s="1"/>
  <c r="L5055" i="148"/>
  <c r="L5060" i="148" s="1"/>
  <c r="L5224" i="148"/>
  <c r="K5224" i="148"/>
  <c r="L5273" i="148"/>
  <c r="L5275" i="148" s="1"/>
  <c r="K5273" i="148"/>
  <c r="E4157" i="148"/>
  <c r="E4433" i="148"/>
  <c r="L4710" i="148"/>
  <c r="K4710" i="148"/>
  <c r="L4832" i="148"/>
  <c r="K4832" i="148"/>
  <c r="F4999" i="148"/>
  <c r="K4999" i="148" s="1"/>
  <c r="L5203" i="148"/>
  <c r="K5203" i="148"/>
  <c r="K4816" i="148"/>
  <c r="K4887" i="148"/>
  <c r="L4866" i="148"/>
  <c r="L4771" i="148"/>
  <c r="K4771" i="148"/>
  <c r="F4831" i="148"/>
  <c r="K4831" i="148" s="1"/>
  <c r="L4831" i="148"/>
  <c r="L4922" i="148"/>
  <c r="K4922" i="148"/>
  <c r="L5092" i="148"/>
  <c r="K5092" i="148"/>
  <c r="E5168" i="148"/>
  <c r="E5335" i="148"/>
  <c r="E5256" i="148"/>
  <c r="E5260" i="148"/>
  <c r="E5318" i="148"/>
  <c r="K5337" i="148"/>
  <c r="K4923" i="148"/>
  <c r="K4944" i="148"/>
  <c r="K4981" i="148"/>
  <c r="K5034" i="148"/>
  <c r="K5047" i="148"/>
  <c r="K5051" i="148" s="1"/>
  <c r="K5093" i="148"/>
  <c r="K5113" i="148"/>
  <c r="K5145" i="148"/>
  <c r="K5160" i="148"/>
  <c r="K5204" i="148"/>
  <c r="K5225" i="148"/>
  <c r="E5259" i="148"/>
  <c r="E5263" i="148"/>
  <c r="K5280" i="148"/>
  <c r="E5317" i="148"/>
  <c r="K5326" i="148"/>
  <c r="E4811" i="148"/>
  <c r="K4814" i="148"/>
  <c r="K4867" i="148"/>
  <c r="K4888" i="148"/>
  <c r="K4926" i="148"/>
  <c r="K4984" i="148"/>
  <c r="K4991" i="148"/>
  <c r="K5037" i="148"/>
  <c r="K5056" i="148"/>
  <c r="K5088" i="148"/>
  <c r="K5096" i="148"/>
  <c r="K5148" i="148"/>
  <c r="K5207" i="148"/>
  <c r="K5214" i="148"/>
  <c r="F5255" i="148"/>
  <c r="K5255" i="148" s="1"/>
  <c r="E5279" i="148"/>
  <c r="K5329" i="148"/>
  <c r="E4976" i="148"/>
  <c r="K4979" i="148"/>
  <c r="K5000" i="148"/>
  <c r="K5032" i="148"/>
  <c r="K5040" i="148"/>
  <c r="K5091" i="148"/>
  <c r="K5105" i="148"/>
  <c r="K5143" i="148"/>
  <c r="K5151" i="148"/>
  <c r="K5158" i="148"/>
  <c r="K5202" i="148"/>
  <c r="K5217" i="148"/>
  <c r="E5258" i="148"/>
  <c r="K5272" i="148"/>
  <c r="E5312" i="148"/>
  <c r="C13" i="140"/>
  <c r="E44" i="140"/>
  <c r="E43" i="140" s="1"/>
  <c r="G46" i="140"/>
  <c r="G45" i="140" s="1"/>
  <c r="P7" i="140"/>
  <c r="P9" i="140"/>
  <c r="D6" i="143"/>
  <c r="G5621" i="143"/>
  <c r="G392" i="143"/>
  <c r="K2485" i="148" l="1"/>
  <c r="L1864" i="148"/>
  <c r="L2830" i="148"/>
  <c r="L4943" i="148"/>
  <c r="F1862" i="148"/>
  <c r="K1862" i="148" s="1"/>
  <c r="L2630" i="148"/>
  <c r="E2631" i="148"/>
  <c r="F2631" i="148" s="1"/>
  <c r="K2631" i="148" s="1"/>
  <c r="F4435" i="148"/>
  <c r="K4435" i="148" s="1"/>
  <c r="F2731" i="148"/>
  <c r="K2731" i="148" s="1"/>
  <c r="K2704" i="148"/>
  <c r="L3491" i="148"/>
  <c r="L1037" i="148"/>
  <c r="L4436" i="148"/>
  <c r="K4185" i="148"/>
  <c r="E2578" i="148"/>
  <c r="L2578" i="148" s="1"/>
  <c r="L2027" i="148"/>
  <c r="F1426" i="148"/>
  <c r="K1426" i="148" s="1"/>
  <c r="K1437" i="148" s="1"/>
  <c r="K1334" i="148"/>
  <c r="L706" i="148"/>
  <c r="K4723" i="148"/>
  <c r="L704" i="148"/>
  <c r="L2044" i="148"/>
  <c r="L2049" i="148" s="1"/>
  <c r="L757" i="148"/>
  <c r="L364" i="148"/>
  <c r="L366" i="148" s="1"/>
  <c r="L368" i="148" s="1"/>
  <c r="L369" i="148" s="1"/>
  <c r="K687" i="148"/>
  <c r="K689" i="148" s="1"/>
  <c r="L146" i="148"/>
  <c r="K364" i="148"/>
  <c r="K366" i="148" s="1"/>
  <c r="K368" i="148" s="1"/>
  <c r="AG549" i="148"/>
  <c r="AH549" i="148" s="1"/>
  <c r="AI549" i="148" s="1"/>
  <c r="AG548" i="148"/>
  <c r="AH548" i="148" s="1"/>
  <c r="AI548" i="148" s="1"/>
  <c r="AH546" i="148"/>
  <c r="AG547" i="148"/>
  <c r="AH547" i="148" s="1"/>
  <c r="AI547" i="148" s="1"/>
  <c r="E537" i="148"/>
  <c r="L537" i="148" s="1"/>
  <c r="T550" i="148"/>
  <c r="E538" i="148" s="1"/>
  <c r="F538" i="148" s="1"/>
  <c r="K538" i="148" s="1"/>
  <c r="F703" i="148"/>
  <c r="K703" i="148" s="1"/>
  <c r="L5107" i="148"/>
  <c r="F2633" i="148"/>
  <c r="K2633" i="148" s="1"/>
  <c r="F4054" i="148"/>
  <c r="K4054" i="148" s="1"/>
  <c r="F5311" i="148"/>
  <c r="K5311" i="148" s="1"/>
  <c r="L1882" i="148"/>
  <c r="K416" i="148"/>
  <c r="K418" i="148" s="1"/>
  <c r="K420" i="148" s="1"/>
  <c r="F1535" i="148"/>
  <c r="K1535" i="148" s="1"/>
  <c r="L2594" i="148"/>
  <c r="F1096" i="148"/>
  <c r="K1096" i="148" s="1"/>
  <c r="K759" i="148"/>
  <c r="F2297" i="148"/>
  <c r="K2297" i="148" s="1"/>
  <c r="F4160" i="148"/>
  <c r="K4160" i="148" s="1"/>
  <c r="L761" i="148"/>
  <c r="K4611" i="148"/>
  <c r="L1169" i="148"/>
  <c r="F2321" i="148"/>
  <c r="K2321" i="148" s="1"/>
  <c r="K2326" i="148" s="1"/>
  <c r="L192" i="148"/>
  <c r="L197" i="148" s="1"/>
  <c r="L4760" i="148"/>
  <c r="F4919" i="148"/>
  <c r="K4919" i="148" s="1"/>
  <c r="K4930" i="148" s="1"/>
  <c r="E2580" i="148"/>
  <c r="L2580" i="148" s="1"/>
  <c r="F496" i="148"/>
  <c r="K496" i="148" s="1"/>
  <c r="K501" i="148" s="1"/>
  <c r="F1338" i="148"/>
  <c r="K1338" i="148" s="1"/>
  <c r="K1343" i="148" s="1"/>
  <c r="L4056" i="148"/>
  <c r="K595" i="148"/>
  <c r="L5316" i="148"/>
  <c r="L2598" i="148"/>
  <c r="L2603" i="148" s="1"/>
  <c r="L2733" i="148"/>
  <c r="L2581" i="148"/>
  <c r="L1673" i="148"/>
  <c r="F1319" i="148"/>
  <c r="K1319" i="148" s="1"/>
  <c r="F5319" i="148"/>
  <c r="K5319" i="148" s="1"/>
  <c r="F3419" i="148"/>
  <c r="K3419" i="148" s="1"/>
  <c r="F1372" i="148"/>
  <c r="K1372" i="148" s="1"/>
  <c r="L5199" i="148"/>
  <c r="L5210" i="148" s="1"/>
  <c r="L2489" i="148"/>
  <c r="L2494" i="148" s="1"/>
  <c r="L3364" i="148"/>
  <c r="F1597" i="148"/>
  <c r="K1597" i="148" s="1"/>
  <c r="L3709" i="148"/>
  <c r="L3714" i="148" s="1"/>
  <c r="F2078" i="148"/>
  <c r="K2078" i="148" s="1"/>
  <c r="L3058" i="148"/>
  <c r="L3063" i="148" s="1"/>
  <c r="F5257" i="148"/>
  <c r="K5257" i="148" s="1"/>
  <c r="L3705" i="148"/>
  <c r="K2429" i="148"/>
  <c r="K2373" i="148"/>
  <c r="L2782" i="148"/>
  <c r="F2930" i="148"/>
  <c r="K2930" i="148" s="1"/>
  <c r="K2935" i="148" s="1"/>
  <c r="L292" i="148"/>
  <c r="F708" i="148"/>
  <c r="K708" i="148" s="1"/>
  <c r="L1290" i="148"/>
  <c r="K1290" i="148"/>
  <c r="L2025" i="148"/>
  <c r="L501" i="148"/>
  <c r="L3500" i="148"/>
  <c r="L4176" i="148"/>
  <c r="L3257" i="148"/>
  <c r="L2634" i="148"/>
  <c r="K3500" i="148"/>
  <c r="K292" i="148"/>
  <c r="F1093" i="148"/>
  <c r="K1093" i="148" s="1"/>
  <c r="F4975" i="148"/>
  <c r="K4975" i="148" s="1"/>
  <c r="L2699" i="148"/>
  <c r="L2704" i="148" s="1"/>
  <c r="L3803" i="148"/>
  <c r="F2780" i="148"/>
  <c r="K2780" i="148" s="1"/>
  <c r="L1593" i="148"/>
  <c r="F1323" i="148"/>
  <c r="K1323" i="148" s="1"/>
  <c r="F764" i="148"/>
  <c r="K764" i="148" s="1"/>
  <c r="F1152" i="148"/>
  <c r="K1152" i="148" s="1"/>
  <c r="F4384" i="148"/>
  <c r="K4384" i="148" s="1"/>
  <c r="L4159" i="148"/>
  <c r="L4977" i="148"/>
  <c r="F4503" i="148"/>
  <c r="K4503" i="148" s="1"/>
  <c r="K4508" i="148" s="1"/>
  <c r="L2632" i="148"/>
  <c r="F1322" i="148"/>
  <c r="K1322" i="148" s="1"/>
  <c r="K450" i="148"/>
  <c r="F1539" i="148"/>
  <c r="K1539" i="148" s="1"/>
  <c r="L1538" i="148"/>
  <c r="L5313" i="148"/>
  <c r="L4057" i="148"/>
  <c r="L4180" i="148"/>
  <c r="L4185" i="148" s="1"/>
  <c r="E4383" i="148"/>
  <c r="F4383" i="148" s="1"/>
  <c r="K4383" i="148" s="1"/>
  <c r="L2844" i="148"/>
  <c r="L2545" i="148"/>
  <c r="L2550" i="148" s="1"/>
  <c r="K2261" i="148"/>
  <c r="K4827" i="148"/>
  <c r="F4487" i="148"/>
  <c r="K4487" i="148" s="1"/>
  <c r="F4156" i="148"/>
  <c r="K4156" i="148" s="1"/>
  <c r="L2695" i="148"/>
  <c r="L1611" i="148"/>
  <c r="L2999" i="148"/>
  <c r="L4279" i="148"/>
  <c r="L2794" i="148"/>
  <c r="L4658" i="148"/>
  <c r="L2373" i="148"/>
  <c r="L1729" i="148"/>
  <c r="K4676" i="148"/>
  <c r="L2744" i="148"/>
  <c r="K1225" i="148"/>
  <c r="L3861" i="148"/>
  <c r="K4397" i="148"/>
  <c r="L1998" i="148"/>
  <c r="L510" i="148"/>
  <c r="L2261" i="148"/>
  <c r="K1882" i="148"/>
  <c r="L3612" i="148"/>
  <c r="K3328" i="148"/>
  <c r="L2753" i="148"/>
  <c r="L1499" i="148"/>
  <c r="L4723" i="148"/>
  <c r="L833" i="148"/>
  <c r="L1225" i="148"/>
  <c r="L4995" i="148"/>
  <c r="L4223" i="148"/>
  <c r="L4252" i="148" s="1"/>
  <c r="L4254" i="148" s="1"/>
  <c r="L4256" i="148" s="1"/>
  <c r="L4257" i="148" s="1"/>
  <c r="K1057" i="148"/>
  <c r="K1998" i="148"/>
  <c r="L2894" i="148"/>
  <c r="K4449" i="148"/>
  <c r="L1334" i="148"/>
  <c r="L1057" i="148"/>
  <c r="K1989" i="148"/>
  <c r="K3922" i="148"/>
  <c r="L5163" i="148"/>
  <c r="K2999" i="148"/>
  <c r="L2853" i="148"/>
  <c r="L2953" i="148"/>
  <c r="L231" i="148"/>
  <c r="L3821" i="148"/>
  <c r="K2031" i="148"/>
  <c r="L611" i="148"/>
  <c r="K5107" i="148"/>
  <c r="L39" i="148"/>
  <c r="L50" i="148" s="1"/>
  <c r="L52" i="148" s="1"/>
  <c r="L54" i="148" s="1"/>
  <c r="L55" i="148" s="1"/>
  <c r="K3655" i="148"/>
  <c r="L4827" i="148"/>
  <c r="K1178" i="148"/>
  <c r="L1989" i="148"/>
  <c r="L179" i="148"/>
  <c r="L1664" i="148"/>
  <c r="K1720" i="148"/>
  <c r="L4939" i="148"/>
  <c r="L4676" i="148"/>
  <c r="L4602" i="148"/>
  <c r="L4631" i="148" s="1"/>
  <c r="L4633" i="148" s="1"/>
  <c r="L4635" i="148" s="1"/>
  <c r="L4636" i="148" s="1"/>
  <c r="L3556" i="148"/>
  <c r="L2205" i="148"/>
  <c r="K4774" i="148"/>
  <c r="L4564" i="148"/>
  <c r="L2944" i="148"/>
  <c r="K231" i="148"/>
  <c r="L1711" i="148"/>
  <c r="K1390" i="148"/>
  <c r="L3655" i="148"/>
  <c r="K4241" i="148"/>
  <c r="L5051" i="148"/>
  <c r="L1555" i="148"/>
  <c r="K4353" i="148"/>
  <c r="L3054" i="148"/>
  <c r="K4232" i="148"/>
  <c r="K4078" i="148"/>
  <c r="K2794" i="148"/>
  <c r="L5331" i="148"/>
  <c r="K1826" i="148"/>
  <c r="L2429" i="148"/>
  <c r="L2646" i="148"/>
  <c r="K4714" i="148"/>
  <c r="L3212" i="148"/>
  <c r="K3379" i="148"/>
  <c r="K2803" i="148"/>
  <c r="K2603" i="148"/>
  <c r="L3379" i="148"/>
  <c r="L721" i="148"/>
  <c r="L3435" i="148"/>
  <c r="L1343" i="148"/>
  <c r="L3603" i="148"/>
  <c r="L5098" i="148"/>
  <c r="K4667" i="148"/>
  <c r="L4499" i="148"/>
  <c r="L4883" i="148"/>
  <c r="K3904" i="148"/>
  <c r="L3482" i="148"/>
  <c r="L5042" i="148"/>
  <c r="L3109" i="148"/>
  <c r="L4667" i="148"/>
  <c r="L3547" i="148"/>
  <c r="L5004" i="148"/>
  <c r="K4069" i="148"/>
  <c r="K3435" i="148"/>
  <c r="L2326" i="148"/>
  <c r="L249" i="148"/>
  <c r="K2438" i="148"/>
  <c r="K557" i="148"/>
  <c r="K4120" i="148"/>
  <c r="F90" i="148"/>
  <c r="K90" i="148" s="1"/>
  <c r="K95" i="148" s="1"/>
  <c r="L95" i="148"/>
  <c r="K3547" i="148"/>
  <c r="K3556" i="148"/>
  <c r="K833" i="148"/>
  <c r="L701" i="148"/>
  <c r="L128" i="148"/>
  <c r="L3156" i="148"/>
  <c r="L3185" i="148" s="1"/>
  <c r="F1039" i="148"/>
  <c r="K1039" i="148" s="1"/>
  <c r="L3770" i="148"/>
  <c r="L4948" i="148"/>
  <c r="K3965" i="148"/>
  <c r="L4762" i="148"/>
  <c r="L817" i="148"/>
  <c r="L5228" i="148"/>
  <c r="L2541" i="148"/>
  <c r="K77" i="148"/>
  <c r="L1318" i="148"/>
  <c r="F5261" i="148"/>
  <c r="K5261" i="148" s="1"/>
  <c r="F1101" i="148"/>
  <c r="K1101" i="148" s="1"/>
  <c r="K3221" i="148"/>
  <c r="L2655" i="148"/>
  <c r="L4812" i="148"/>
  <c r="L4449" i="148"/>
  <c r="F4453" i="148"/>
  <c r="K4453" i="148" s="1"/>
  <c r="K4458" i="148" s="1"/>
  <c r="K3174" i="148"/>
  <c r="F2577" i="148"/>
  <c r="K2577" i="148" s="1"/>
  <c r="L2158" i="148"/>
  <c r="F5223" i="148"/>
  <c r="K5223" i="148" s="1"/>
  <c r="K5228" i="148" s="1"/>
  <c r="K2550" i="148"/>
  <c r="L2438" i="148"/>
  <c r="K1664" i="148"/>
  <c r="K4620" i="148"/>
  <c r="K3852" i="148"/>
  <c r="K1611" i="148"/>
  <c r="L1835" i="148"/>
  <c r="K611" i="148"/>
  <c r="L1173" i="148"/>
  <c r="L1178" i="148" s="1"/>
  <c r="K721" i="148"/>
  <c r="L1976" i="148"/>
  <c r="K815" i="148"/>
  <c r="L3281" i="148"/>
  <c r="L3286" i="148" s="1"/>
  <c r="L1655" i="148"/>
  <c r="F1097" i="148"/>
  <c r="K1097" i="148" s="1"/>
  <c r="K3705" i="148"/>
  <c r="L4380" i="148"/>
  <c r="L68" i="148"/>
  <c r="L77" i="148" s="1"/>
  <c r="L4774" i="148"/>
  <c r="E4381" i="148"/>
  <c r="L4381" i="148" s="1"/>
  <c r="K3803" i="148"/>
  <c r="L2485" i="148"/>
  <c r="F2650" i="148"/>
  <c r="K2650" i="148" s="1"/>
  <c r="K2655" i="148" s="1"/>
  <c r="L2420" i="148"/>
  <c r="L1390" i="148"/>
  <c r="K1066" i="148"/>
  <c r="K492" i="148"/>
  <c r="K4555" i="148"/>
  <c r="K4546" i="148"/>
  <c r="K137" i="148"/>
  <c r="F3418" i="148"/>
  <c r="K3418" i="148" s="1"/>
  <c r="K3156" i="148"/>
  <c r="K3870" i="148"/>
  <c r="K3054" i="148"/>
  <c r="F1149" i="148"/>
  <c r="K1149" i="148" s="1"/>
  <c r="L3221" i="148"/>
  <c r="K146" i="148"/>
  <c r="K5210" i="148"/>
  <c r="L5154" i="148"/>
  <c r="K5163" i="148"/>
  <c r="K3491" i="148"/>
  <c r="K3482" i="148"/>
  <c r="K2894" i="148"/>
  <c r="L3904" i="148"/>
  <c r="L3933" i="148" s="1"/>
  <c r="L3935" i="148" s="1"/>
  <c r="L3937" i="148" s="1"/>
  <c r="L3938" i="148" s="1"/>
  <c r="K4602" i="148"/>
  <c r="K3594" i="148"/>
  <c r="K1655" i="148"/>
  <c r="K3603" i="148"/>
  <c r="L707" i="148"/>
  <c r="L4714" i="148"/>
  <c r="K3212" i="148"/>
  <c r="K2541" i="148"/>
  <c r="K2420" i="148"/>
  <c r="K2158" i="148"/>
  <c r="K1169" i="148"/>
  <c r="K620" i="148"/>
  <c r="L3761" i="148"/>
  <c r="L4546" i="148"/>
  <c r="K2149" i="148"/>
  <c r="K3913" i="148"/>
  <c r="L3956" i="148"/>
  <c r="K4939" i="148"/>
  <c r="K4288" i="148"/>
  <c r="K3286" i="148"/>
  <c r="F4382" i="148"/>
  <c r="K4382" i="148" s="1"/>
  <c r="L4382" i="148"/>
  <c r="F2783" i="148"/>
  <c r="K2783" i="148" s="1"/>
  <c r="L2783" i="148"/>
  <c r="K5098" i="148"/>
  <c r="K4499" i="148"/>
  <c r="K4223" i="148"/>
  <c r="L4874" i="148"/>
  <c r="L4344" i="148"/>
  <c r="L4120" i="148"/>
  <c r="K3045" i="148"/>
  <c r="K2695" i="148"/>
  <c r="L3594" i="148"/>
  <c r="F1594" i="148"/>
  <c r="K1594" i="148" s="1"/>
  <c r="K86" i="148"/>
  <c r="F3693" i="148"/>
  <c r="K3693" i="148" s="1"/>
  <c r="L3693" i="148"/>
  <c r="L3696" i="148" s="1"/>
  <c r="L813" i="148"/>
  <c r="L1040" i="148"/>
  <c r="F1040" i="148"/>
  <c r="K1040" i="148" s="1"/>
  <c r="F3383" i="148"/>
  <c r="K3383" i="148" s="1"/>
  <c r="K3388" i="148" s="1"/>
  <c r="L3383" i="148"/>
  <c r="L3388" i="148" s="1"/>
  <c r="F3691" i="148"/>
  <c r="K3691" i="148" s="1"/>
  <c r="K2532" i="148"/>
  <c r="K1446" i="148"/>
  <c r="K1499" i="148"/>
  <c r="K819" i="148"/>
  <c r="L3365" i="148"/>
  <c r="F3365" i="148"/>
  <c r="K3365" i="148" s="1"/>
  <c r="K3230" i="148"/>
  <c r="F1099" i="148"/>
  <c r="K1099" i="148" s="1"/>
  <c r="L1099" i="148"/>
  <c r="L4930" i="148"/>
  <c r="K4658" i="148"/>
  <c r="K3109" i="148"/>
  <c r="K3165" i="148"/>
  <c r="F1100" i="148"/>
  <c r="K1100" i="148" s="1"/>
  <c r="K510" i="148"/>
  <c r="K3714" i="148"/>
  <c r="F816" i="148"/>
  <c r="K816" i="148" s="1"/>
  <c r="L816" i="148"/>
  <c r="L2781" i="148"/>
  <c r="F2781" i="148"/>
  <c r="K2781" i="148" s="1"/>
  <c r="L4397" i="148"/>
  <c r="K4176" i="148"/>
  <c r="K5275" i="148"/>
  <c r="L4836" i="148"/>
  <c r="K4564" i="148"/>
  <c r="K3956" i="148"/>
  <c r="K3752" i="148"/>
  <c r="L3752" i="148"/>
  <c r="K3538" i="148"/>
  <c r="L4335" i="148"/>
  <c r="K3974" i="148"/>
  <c r="K2853" i="148"/>
  <c r="L2040" i="148"/>
  <c r="K1673" i="148"/>
  <c r="K1711" i="148"/>
  <c r="L5111" i="148"/>
  <c r="L5116" i="148" s="1"/>
  <c r="F5111" i="148"/>
  <c r="K5111" i="148" s="1"/>
  <c r="K5116" i="148" s="1"/>
  <c r="L1205" i="148"/>
  <c r="L1216" i="148" s="1"/>
  <c r="F1205" i="148"/>
  <c r="K1205" i="148" s="1"/>
  <c r="K1216" i="148" s="1"/>
  <c r="K4995" i="148"/>
  <c r="K5219" i="148"/>
  <c r="K4732" i="148"/>
  <c r="L3812" i="148"/>
  <c r="L3974" i="148"/>
  <c r="K2646" i="148"/>
  <c r="L2196" i="148"/>
  <c r="K179" i="148"/>
  <c r="K3612" i="148"/>
  <c r="L3415" i="148"/>
  <c r="F3415" i="148"/>
  <c r="K3415" i="148" s="1"/>
  <c r="F2684" i="148"/>
  <c r="K2684" i="148" s="1"/>
  <c r="L2684" i="148"/>
  <c r="F4401" i="148"/>
  <c r="K4401" i="148" s="1"/>
  <c r="K4406" i="148" s="1"/>
  <c r="L4401" i="148"/>
  <c r="L4406" i="148" s="1"/>
  <c r="K3821" i="148"/>
  <c r="L730" i="148"/>
  <c r="F2682" i="148"/>
  <c r="K2682" i="148" s="1"/>
  <c r="L2682" i="148"/>
  <c r="L2097" i="148"/>
  <c r="L2102" i="148" s="1"/>
  <c r="F2097" i="148"/>
  <c r="K2097" i="148" s="1"/>
  <c r="K2102" i="148" s="1"/>
  <c r="L5314" i="148"/>
  <c r="F5314" i="148"/>
  <c r="K5314" i="148" s="1"/>
  <c r="K1773" i="148"/>
  <c r="K4018" i="148"/>
  <c r="F5315" i="148"/>
  <c r="K5315" i="148" s="1"/>
  <c r="K4279" i="148"/>
  <c r="K3861" i="148"/>
  <c r="K3063" i="148"/>
  <c r="K3770" i="148"/>
  <c r="K2196" i="148"/>
  <c r="L615" i="148"/>
  <c r="L620" i="148" s="1"/>
  <c r="K301" i="148"/>
  <c r="L1041" i="148"/>
  <c r="F1117" i="148"/>
  <c r="K1117" i="148" s="1"/>
  <c r="K1122" i="148" s="1"/>
  <c r="L1117" i="148"/>
  <c r="L1122" i="148" s="1"/>
  <c r="F1095" i="148"/>
  <c r="K1095" i="148" s="1"/>
  <c r="L1095" i="148"/>
  <c r="F3367" i="148"/>
  <c r="K3367" i="148" s="1"/>
  <c r="L3367" i="148"/>
  <c r="F1394" i="148"/>
  <c r="K1394" i="148" s="1"/>
  <c r="K1399" i="148" s="1"/>
  <c r="L1394" i="148"/>
  <c r="L1399" i="148" s="1"/>
  <c r="F4157" i="148"/>
  <c r="K4157" i="148" s="1"/>
  <c r="L4157" i="148"/>
  <c r="L5260" i="148"/>
  <c r="F5260" i="148"/>
  <c r="K5260" i="148" s="1"/>
  <c r="F4158" i="148"/>
  <c r="K4158" i="148" s="1"/>
  <c r="L4158" i="148"/>
  <c r="L2732" i="148"/>
  <c r="F2732" i="148"/>
  <c r="K2732" i="148" s="1"/>
  <c r="L1758" i="148"/>
  <c r="F1758" i="148"/>
  <c r="K1758" i="148" s="1"/>
  <c r="L1482" i="148"/>
  <c r="F1482" i="148"/>
  <c r="K1482" i="148" s="1"/>
  <c r="K30" i="148"/>
  <c r="F5263" i="148"/>
  <c r="K5263" i="148" s="1"/>
  <c r="L5263" i="148"/>
  <c r="F4124" i="148"/>
  <c r="K4124" i="148" s="1"/>
  <c r="K4129" i="148" s="1"/>
  <c r="L4124" i="148"/>
  <c r="L4129" i="148" s="1"/>
  <c r="L3095" i="148"/>
  <c r="F3095" i="148"/>
  <c r="K3095" i="148" s="1"/>
  <c r="L3313" i="148"/>
  <c r="F3313" i="148"/>
  <c r="K3313" i="148" s="1"/>
  <c r="F3315" i="148"/>
  <c r="K3315" i="148" s="1"/>
  <c r="L3315" i="148"/>
  <c r="F2579" i="148"/>
  <c r="K2579" i="148" s="1"/>
  <c r="L2579" i="148"/>
  <c r="F2377" i="148"/>
  <c r="K2377" i="148" s="1"/>
  <c r="K2382" i="148" s="1"/>
  <c r="L2377" i="148"/>
  <c r="L2382" i="148" s="1"/>
  <c r="F1537" i="148"/>
  <c r="K1537" i="148" s="1"/>
  <c r="L1537" i="148"/>
  <c r="F1811" i="148"/>
  <c r="K1811" i="148" s="1"/>
  <c r="L1811" i="148"/>
  <c r="F2133" i="148"/>
  <c r="K2133" i="148" s="1"/>
  <c r="L2133" i="148"/>
  <c r="K1938" i="148"/>
  <c r="L1371" i="148"/>
  <c r="F1371" i="148"/>
  <c r="K1371" i="148" s="1"/>
  <c r="F1756" i="148"/>
  <c r="K1756" i="148" s="1"/>
  <c r="L1756" i="148"/>
  <c r="F1261" i="148"/>
  <c r="K1261" i="148" s="1"/>
  <c r="L1261" i="148"/>
  <c r="K1835" i="148"/>
  <c r="K777" i="148"/>
  <c r="F1151" i="148"/>
  <c r="K1151" i="148" s="1"/>
  <c r="L1151" i="148"/>
  <c r="L433" i="148"/>
  <c r="L441" i="148" s="1"/>
  <c r="K730" i="148"/>
  <c r="K128" i="148"/>
  <c r="L301" i="148"/>
  <c r="L5318" i="148"/>
  <c r="F5318" i="148"/>
  <c r="K5318" i="148" s="1"/>
  <c r="F1592" i="148"/>
  <c r="K1592" i="148" s="1"/>
  <c r="L1592" i="148"/>
  <c r="F1918" i="148"/>
  <c r="K1918" i="148" s="1"/>
  <c r="L1918" i="148"/>
  <c r="F1503" i="148"/>
  <c r="K1503" i="148" s="1"/>
  <c r="K1508" i="148" s="1"/>
  <c r="L1503" i="148"/>
  <c r="L1508" i="148" s="1"/>
  <c r="L702" i="148"/>
  <c r="F702" i="148"/>
  <c r="K702" i="148" s="1"/>
  <c r="K2944" i="148"/>
  <c r="K2753" i="148"/>
  <c r="F2353" i="148"/>
  <c r="K2353" i="148" s="1"/>
  <c r="K2364" i="148" s="1"/>
  <c r="L2353" i="148"/>
  <c r="L2364" i="148" s="1"/>
  <c r="F1541" i="148"/>
  <c r="K1541" i="148" s="1"/>
  <c r="L1541" i="148"/>
  <c r="F2129" i="148"/>
  <c r="K2129" i="148" s="1"/>
  <c r="L2129" i="148"/>
  <c r="L5256" i="148"/>
  <c r="F5256" i="148"/>
  <c r="K5256" i="148" s="1"/>
  <c r="L4055" i="148"/>
  <c r="F4055" i="148"/>
  <c r="K4055" i="148" s="1"/>
  <c r="F3259" i="148"/>
  <c r="K3259" i="148" s="1"/>
  <c r="K3268" i="148" s="1"/>
  <c r="L3259" i="148"/>
  <c r="F5259" i="148"/>
  <c r="K5259" i="148" s="1"/>
  <c r="L5259" i="148"/>
  <c r="K4948" i="148"/>
  <c r="K5060" i="148"/>
  <c r="K4883" i="148"/>
  <c r="L4003" i="148"/>
  <c r="F4003" i="148"/>
  <c r="K4003" i="148" s="1"/>
  <c r="F4107" i="148"/>
  <c r="K4107" i="148" s="1"/>
  <c r="L4107" i="148"/>
  <c r="F3092" i="148"/>
  <c r="K3092" i="148" s="1"/>
  <c r="L3092" i="148"/>
  <c r="K2744" i="148"/>
  <c r="F1974" i="148"/>
  <c r="K1974" i="148" s="1"/>
  <c r="L1974" i="148"/>
  <c r="F2080" i="148"/>
  <c r="K2080" i="148" s="1"/>
  <c r="L2080" i="148"/>
  <c r="K2093" i="148"/>
  <c r="L1450" i="148"/>
  <c r="L1455" i="148" s="1"/>
  <c r="F1450" i="148"/>
  <c r="K1450" i="148" s="1"/>
  <c r="K1455" i="148" s="1"/>
  <c r="F1559" i="148"/>
  <c r="K1559" i="148" s="1"/>
  <c r="K1564" i="148" s="1"/>
  <c r="L1559" i="148"/>
  <c r="L1564" i="148" s="1"/>
  <c r="F2132" i="148"/>
  <c r="K2132" i="148" s="1"/>
  <c r="L2132" i="148"/>
  <c r="L1938" i="148"/>
  <c r="L1863" i="148"/>
  <c r="L1873" i="148" s="1"/>
  <c r="F1863" i="148"/>
  <c r="K1863" i="148" s="1"/>
  <c r="K1873" i="148" s="1"/>
  <c r="F1370" i="148"/>
  <c r="K1370" i="148" s="1"/>
  <c r="L1370" i="148"/>
  <c r="F1777" i="148"/>
  <c r="K1777" i="148" s="1"/>
  <c r="K1782" i="148" s="1"/>
  <c r="L1777" i="148"/>
  <c r="L1782" i="148" s="1"/>
  <c r="F1098" i="148"/>
  <c r="K1098" i="148" s="1"/>
  <c r="L1098" i="148"/>
  <c r="F760" i="148"/>
  <c r="K760" i="148" s="1"/>
  <c r="L760" i="148"/>
  <c r="K21" i="148"/>
  <c r="F5317" i="148"/>
  <c r="K5317" i="148" s="1"/>
  <c r="L5317" i="148"/>
  <c r="L4759" i="148"/>
  <c r="F4759" i="148"/>
  <c r="K4759" i="148" s="1"/>
  <c r="K4765" i="148" s="1"/>
  <c r="L4486" i="148"/>
  <c r="L4490" i="148" s="1"/>
  <c r="F4486" i="148"/>
  <c r="K4486" i="148" s="1"/>
  <c r="F4108" i="148"/>
  <c r="K4108" i="148" s="1"/>
  <c r="L4108" i="148"/>
  <c r="F3003" i="148"/>
  <c r="K3003" i="148" s="1"/>
  <c r="K3008" i="148" s="1"/>
  <c r="L3003" i="148"/>
  <c r="L3008" i="148" s="1"/>
  <c r="K4335" i="148"/>
  <c r="F3659" i="148"/>
  <c r="K3659" i="148" s="1"/>
  <c r="K3664" i="148" s="1"/>
  <c r="L3659" i="148"/>
  <c r="L3664" i="148" s="1"/>
  <c r="F2880" i="148"/>
  <c r="K2880" i="148" s="1"/>
  <c r="K2885" i="148" s="1"/>
  <c r="L2880" i="148"/>
  <c r="L2885" i="148" s="1"/>
  <c r="L2532" i="148"/>
  <c r="F1229" i="148"/>
  <c r="K1229" i="148" s="1"/>
  <c r="K1234" i="148" s="1"/>
  <c r="L1229" i="148"/>
  <c r="L1234" i="148" s="1"/>
  <c r="L3639" i="148"/>
  <c r="F3639" i="148"/>
  <c r="K3639" i="148" s="1"/>
  <c r="E3640" i="148"/>
  <c r="F2076" i="148"/>
  <c r="K2076" i="148" s="1"/>
  <c r="L2076" i="148"/>
  <c r="L2209" i="148"/>
  <c r="L2214" i="148" s="1"/>
  <c r="F2209" i="148"/>
  <c r="K2209" i="148" s="1"/>
  <c r="K2214" i="148" s="1"/>
  <c r="F1591" i="148"/>
  <c r="K1591" i="148" s="1"/>
  <c r="L1591" i="148"/>
  <c r="L2131" i="148"/>
  <c r="F2131" i="148"/>
  <c r="K2131" i="148" s="1"/>
  <c r="L1812" i="148"/>
  <c r="F1812" i="148"/>
  <c r="K1812" i="148" s="1"/>
  <c r="K2476" i="148"/>
  <c r="L1320" i="148"/>
  <c r="F1320" i="148"/>
  <c r="K1320" i="148" s="1"/>
  <c r="F1759" i="148"/>
  <c r="K1759" i="148" s="1"/>
  <c r="L1759" i="148"/>
  <c r="F1094" i="148"/>
  <c r="K1094" i="148" s="1"/>
  <c r="L1094" i="148"/>
  <c r="F1150" i="148"/>
  <c r="K1150" i="148" s="1"/>
  <c r="L1150" i="148"/>
  <c r="F1262" i="148"/>
  <c r="K1262" i="148" s="1"/>
  <c r="L1262" i="148"/>
  <c r="K235" i="148"/>
  <c r="K240" i="148" s="1"/>
  <c r="L235" i="148"/>
  <c r="L240" i="148" s="1"/>
  <c r="K249" i="148"/>
  <c r="K197" i="148"/>
  <c r="F4162" i="148"/>
  <c r="K4162" i="148" s="1"/>
  <c r="L4162" i="148"/>
  <c r="K3277" i="148"/>
  <c r="L3642" i="148"/>
  <c r="F3642" i="148"/>
  <c r="K3642" i="148" s="1"/>
  <c r="F2898" i="148"/>
  <c r="K2898" i="148" s="1"/>
  <c r="K2903" i="148" s="1"/>
  <c r="L2898" i="148"/>
  <c r="L2903" i="148" s="1"/>
  <c r="F5258" i="148"/>
  <c r="K5258" i="148" s="1"/>
  <c r="L5258" i="148"/>
  <c r="L3538" i="148"/>
  <c r="F3332" i="148"/>
  <c r="K3332" i="148" s="1"/>
  <c r="K3337" i="148" s="1"/>
  <c r="L3332" i="148"/>
  <c r="L3337" i="148" s="1"/>
  <c r="L5335" i="148"/>
  <c r="L5340" i="148" s="1"/>
  <c r="F5335" i="148"/>
  <c r="K5335" i="148" s="1"/>
  <c r="K5340" i="148" s="1"/>
  <c r="F4976" i="148"/>
  <c r="K4976" i="148" s="1"/>
  <c r="L4976" i="148"/>
  <c r="K4344" i="148"/>
  <c r="K4297" i="148"/>
  <c r="F3421" i="148"/>
  <c r="K3421" i="148" s="1"/>
  <c r="L3421" i="148"/>
  <c r="K3761" i="148"/>
  <c r="K2953" i="148"/>
  <c r="L3644" i="148"/>
  <c r="F3644" i="148"/>
  <c r="K3644" i="148" s="1"/>
  <c r="L3113" i="148"/>
  <c r="L3118" i="148" s="1"/>
  <c r="F3113" i="148"/>
  <c r="K3113" i="148" s="1"/>
  <c r="K3118" i="148" s="1"/>
  <c r="F2299" i="148"/>
  <c r="K2299" i="148" s="1"/>
  <c r="L2299" i="148"/>
  <c r="L2308" i="148" s="1"/>
  <c r="L1975" i="148"/>
  <c r="F1975" i="148"/>
  <c r="K1975" i="148" s="1"/>
  <c r="K2594" i="148"/>
  <c r="K2317" i="148"/>
  <c r="L2241" i="148"/>
  <c r="L2252" i="148" s="1"/>
  <c r="F2241" i="148"/>
  <c r="K2241" i="148" s="1"/>
  <c r="K2252" i="148" s="1"/>
  <c r="L1886" i="148"/>
  <c r="L1891" i="148" s="1"/>
  <c r="F1886" i="148"/>
  <c r="K1886" i="148" s="1"/>
  <c r="K1891" i="148" s="1"/>
  <c r="L2935" i="148"/>
  <c r="L1615" i="148"/>
  <c r="L1620" i="148" s="1"/>
  <c r="F1615" i="148"/>
  <c r="K1615" i="148" s="1"/>
  <c r="K1620" i="148" s="1"/>
  <c r="L2476" i="148"/>
  <c r="F1317" i="148"/>
  <c r="K1317" i="148" s="1"/>
  <c r="L1317" i="148"/>
  <c r="L1919" i="148"/>
  <c r="F1919" i="148"/>
  <c r="K1919" i="148" s="1"/>
  <c r="K1729" i="148"/>
  <c r="L2835" i="148"/>
  <c r="F1042" i="148"/>
  <c r="K1042" i="148" s="1"/>
  <c r="L1042" i="148"/>
  <c r="L781" i="148"/>
  <c r="L786" i="148" s="1"/>
  <c r="F781" i="148"/>
  <c r="K781" i="148" s="1"/>
  <c r="K786" i="148" s="1"/>
  <c r="K283" i="148"/>
  <c r="F4002" i="148"/>
  <c r="K4002" i="148" s="1"/>
  <c r="L4002" i="148"/>
  <c r="L4106" i="148"/>
  <c r="F4106" i="148"/>
  <c r="K4106" i="148" s="1"/>
  <c r="K5042" i="148"/>
  <c r="K4836" i="148"/>
  <c r="K4874" i="148"/>
  <c r="L4297" i="148"/>
  <c r="F3439" i="148"/>
  <c r="K3439" i="148" s="1"/>
  <c r="K3444" i="148" s="1"/>
  <c r="L3439" i="148"/>
  <c r="L3444" i="148" s="1"/>
  <c r="K5154" i="148"/>
  <c r="F4811" i="148"/>
  <c r="K4811" i="148" s="1"/>
  <c r="K4818" i="148" s="1"/>
  <c r="L4811" i="148"/>
  <c r="L5168" i="148"/>
  <c r="L5172" i="148" s="1"/>
  <c r="F5168" i="148"/>
  <c r="K5168" i="148" s="1"/>
  <c r="K5172" i="148" s="1"/>
  <c r="K4892" i="148"/>
  <c r="K5004" i="148"/>
  <c r="F4438" i="148"/>
  <c r="K4438" i="148" s="1"/>
  <c r="L4438" i="148"/>
  <c r="F3416" i="148"/>
  <c r="K3416" i="148" s="1"/>
  <c r="L3416" i="148"/>
  <c r="F3417" i="148"/>
  <c r="K3417" i="148" s="1"/>
  <c r="L3417" i="148"/>
  <c r="K2844" i="148"/>
  <c r="L3870" i="148"/>
  <c r="F3641" i="148"/>
  <c r="K3641" i="148" s="1"/>
  <c r="L3641" i="148"/>
  <c r="L3094" i="148"/>
  <c r="F3094" i="148"/>
  <c r="K3094" i="148" s="1"/>
  <c r="L2980" i="148"/>
  <c r="F2980" i="148"/>
  <c r="K2980" i="148" s="1"/>
  <c r="F2583" i="148"/>
  <c r="K2583" i="148" s="1"/>
  <c r="L2583" i="148"/>
  <c r="L2077" i="148"/>
  <c r="F2077" i="148"/>
  <c r="K2077" i="148" s="1"/>
  <c r="L1809" i="148"/>
  <c r="F1809" i="148"/>
  <c r="K1809" i="148" s="1"/>
  <c r="F2265" i="148"/>
  <c r="K2265" i="148" s="1"/>
  <c r="K2270" i="148" s="1"/>
  <c r="L2265" i="148"/>
  <c r="L2270" i="148" s="1"/>
  <c r="K2205" i="148"/>
  <c r="K2494" i="148"/>
  <c r="K2049" i="148"/>
  <c r="F1920" i="148"/>
  <c r="K1920" i="148" s="1"/>
  <c r="L1920" i="148"/>
  <c r="K2835" i="148"/>
  <c r="F1038" i="148"/>
  <c r="K1038" i="148" s="1"/>
  <c r="L1038" i="148"/>
  <c r="F837" i="148"/>
  <c r="K837" i="148" s="1"/>
  <c r="K842" i="148" s="1"/>
  <c r="L837" i="148"/>
  <c r="L842" i="148" s="1"/>
  <c r="L762" i="148"/>
  <c r="F762" i="148"/>
  <c r="K762" i="148" s="1"/>
  <c r="F3316" i="148"/>
  <c r="K3316" i="148" s="1"/>
  <c r="L3316" i="148"/>
  <c r="K1281" i="148"/>
  <c r="K814" i="148"/>
  <c r="L814" i="148"/>
  <c r="F5312" i="148"/>
  <c r="K5312" i="148" s="1"/>
  <c r="L5312" i="148"/>
  <c r="F5279" i="148"/>
  <c r="K5279" i="148" s="1"/>
  <c r="K5284" i="148" s="1"/>
  <c r="L5279" i="148"/>
  <c r="L5284" i="148" s="1"/>
  <c r="K5331" i="148"/>
  <c r="F4433" i="148"/>
  <c r="K4433" i="148" s="1"/>
  <c r="E4434" i="148"/>
  <c r="L4433" i="148"/>
  <c r="F4778" i="148"/>
  <c r="K4778" i="148" s="1"/>
  <c r="K4783" i="148" s="1"/>
  <c r="L4778" i="148"/>
  <c r="L4783" i="148" s="1"/>
  <c r="F4386" i="148"/>
  <c r="K4386" i="148" s="1"/>
  <c r="L4386" i="148"/>
  <c r="F4022" i="148"/>
  <c r="K4022" i="148" s="1"/>
  <c r="K4027" i="148" s="1"/>
  <c r="L4022" i="148"/>
  <c r="L4027" i="148" s="1"/>
  <c r="L4105" i="148"/>
  <c r="F4105" i="148"/>
  <c r="K4105" i="148" s="1"/>
  <c r="K3812" i="148"/>
  <c r="L3314" i="148"/>
  <c r="F3314" i="148"/>
  <c r="K3314" i="148" s="1"/>
  <c r="L3643" i="148"/>
  <c r="F3643" i="148"/>
  <c r="K3643" i="148" s="1"/>
  <c r="F2982" i="148"/>
  <c r="K2982" i="148" s="1"/>
  <c r="L2982" i="148"/>
  <c r="F1536" i="148"/>
  <c r="K1536" i="148" s="1"/>
  <c r="L1536" i="148"/>
  <c r="F1810" i="148"/>
  <c r="K1810" i="148" s="1"/>
  <c r="L1810" i="148"/>
  <c r="F1596" i="148"/>
  <c r="K1596" i="148" s="1"/>
  <c r="L1596" i="148"/>
  <c r="F1942" i="148"/>
  <c r="K1942" i="148" s="1"/>
  <c r="K1947" i="148" s="1"/>
  <c r="L1942" i="148"/>
  <c r="L1947" i="148" s="1"/>
  <c r="F1321" i="148"/>
  <c r="K1321" i="148" s="1"/>
  <c r="L1321" i="148"/>
  <c r="F1484" i="148"/>
  <c r="K1484" i="148" s="1"/>
  <c r="L1484" i="148"/>
  <c r="K818" i="148"/>
  <c r="L818" i="148"/>
  <c r="L758" i="148"/>
  <c r="F758" i="148"/>
  <c r="K758" i="148" s="1"/>
  <c r="L1437" i="148"/>
  <c r="L705" i="148"/>
  <c r="F705" i="148"/>
  <c r="K705" i="148" s="1"/>
  <c r="F454" i="148"/>
  <c r="K454" i="148" s="1"/>
  <c r="K459" i="148" s="1"/>
  <c r="L454" i="148"/>
  <c r="L459" i="148" s="1"/>
  <c r="K183" i="148"/>
  <c r="K188" i="148" s="1"/>
  <c r="L183" i="148"/>
  <c r="L188" i="148" s="1"/>
  <c r="L594" i="148"/>
  <c r="L602" i="148" s="1"/>
  <c r="K594" i="148"/>
  <c r="K1113" i="148"/>
  <c r="L561" i="148"/>
  <c r="L566" i="148" s="1"/>
  <c r="K561" i="148"/>
  <c r="K566" i="148" s="1"/>
  <c r="E4" i="146"/>
  <c r="E5" i="146"/>
  <c r="E6" i="146"/>
  <c r="D7" i="143"/>
  <c r="E7" i="146"/>
  <c r="L2631" i="148" l="1"/>
  <c r="K2735" i="148"/>
  <c r="K2637" i="148"/>
  <c r="K2666" i="148" s="1"/>
  <c r="K2668" i="148" s="1"/>
  <c r="K2670" i="148" s="1"/>
  <c r="I18" i="1"/>
  <c r="M18" i="1" s="1"/>
  <c r="O18" i="1" s="1"/>
  <c r="K4060" i="148"/>
  <c r="K4089" i="148" s="1"/>
  <c r="K4091" i="148" s="1"/>
  <c r="K4093" i="148" s="1"/>
  <c r="K768" i="148"/>
  <c r="F2578" i="148"/>
  <c r="K2578" i="148" s="1"/>
  <c r="L521" i="148"/>
  <c r="L523" i="148" s="1"/>
  <c r="L3268" i="148"/>
  <c r="L3297" i="148" s="1"/>
  <c r="L3299" i="148" s="1"/>
  <c r="L3301" i="148" s="1"/>
  <c r="L3302" i="148" s="1"/>
  <c r="K712" i="148"/>
  <c r="K741" i="148" s="1"/>
  <c r="L2337" i="148"/>
  <c r="L2339" i="148" s="1"/>
  <c r="L2341" i="148" s="1"/>
  <c r="L2342" i="148" s="1"/>
  <c r="L157" i="148"/>
  <c r="L159" i="148" s="1"/>
  <c r="L161" i="148" s="1"/>
  <c r="L162" i="148" s="1"/>
  <c r="L2031" i="148"/>
  <c r="L2060" i="148" s="1"/>
  <c r="L2062" i="148" s="1"/>
  <c r="L2064" i="148" s="1"/>
  <c r="L2065" i="148" s="1"/>
  <c r="L538" i="148"/>
  <c r="F537" i="148"/>
  <c r="K537" i="148" s="1"/>
  <c r="K2308" i="148"/>
  <c r="K2337" i="148" s="1"/>
  <c r="L2864" i="148"/>
  <c r="L2866" i="148" s="1"/>
  <c r="L2868" i="148" s="1"/>
  <c r="L2869" i="148" s="1"/>
  <c r="M369" i="148"/>
  <c r="AJ547" i="148"/>
  <c r="E539" i="148"/>
  <c r="AJ548" i="148"/>
  <c r="E540" i="148"/>
  <c r="AJ549" i="148"/>
  <c r="E541" i="148"/>
  <c r="L3881" i="148"/>
  <c r="L3883" i="148" s="1"/>
  <c r="L3885" i="148" s="1"/>
  <c r="L3886" i="148" s="1"/>
  <c r="L4383" i="148"/>
  <c r="L4388" i="148" s="1"/>
  <c r="L4417" i="148" s="1"/>
  <c r="L4419" i="148" s="1"/>
  <c r="L4421" i="148" s="1"/>
  <c r="L4422" i="148" s="1"/>
  <c r="L312" i="148"/>
  <c r="L314" i="148" s="1"/>
  <c r="L316" i="148" s="1"/>
  <c r="L317" i="148" s="1"/>
  <c r="L1740" i="148"/>
  <c r="L1742" i="148" s="1"/>
  <c r="L1744" i="148" s="1"/>
  <c r="L1745" i="148" s="1"/>
  <c r="L5071" i="148"/>
  <c r="L5073" i="148" s="1"/>
  <c r="L5075" i="148" s="1"/>
  <c r="L5076" i="148" s="1"/>
  <c r="K2060" i="148"/>
  <c r="K2062" i="148" s="1"/>
  <c r="K2064" i="148" s="1"/>
  <c r="L4743" i="148"/>
  <c r="L4745" i="148" s="1"/>
  <c r="L4747" i="148" s="1"/>
  <c r="L4748" i="148" s="1"/>
  <c r="L4308" i="148"/>
  <c r="L4310" i="148" s="1"/>
  <c r="L4312" i="148" s="1"/>
  <c r="L4313" i="148" s="1"/>
  <c r="K4490" i="148"/>
  <c r="K4519" i="148" s="1"/>
  <c r="L2637" i="148"/>
  <c r="L2666" i="148" s="1"/>
  <c r="L2668" i="148" s="1"/>
  <c r="L2670" i="148" s="1"/>
  <c r="L2671" i="148" s="1"/>
  <c r="F2580" i="148"/>
  <c r="K2580" i="148" s="1"/>
  <c r="K2585" i="148" s="1"/>
  <c r="K2614" i="148" s="1"/>
  <c r="K2616" i="148" s="1"/>
  <c r="L2735" i="148"/>
  <c r="L2764" i="148" s="1"/>
  <c r="L2766" i="148" s="1"/>
  <c r="L2768" i="148" s="1"/>
  <c r="L2769" i="148" s="1"/>
  <c r="L3511" i="148"/>
  <c r="L3513" i="148" s="1"/>
  <c r="L3515" i="148" s="1"/>
  <c r="L3516" i="148" s="1"/>
  <c r="K521" i="148"/>
  <c r="K523" i="148" s="1"/>
  <c r="K525" i="148" s="1"/>
  <c r="L3074" i="148"/>
  <c r="L3076" i="148" s="1"/>
  <c r="L3078" i="148" s="1"/>
  <c r="L3079" i="148" s="1"/>
  <c r="K4986" i="148"/>
  <c r="K5015" i="148" s="1"/>
  <c r="K5017" i="148" s="1"/>
  <c r="K5019" i="148" s="1"/>
  <c r="M421" i="148"/>
  <c r="I19" i="1"/>
  <c r="F4381" i="148"/>
  <c r="K4381" i="148" s="1"/>
  <c r="K4388" i="148" s="1"/>
  <c r="K4417" i="148" s="1"/>
  <c r="K4419" i="148" s="1"/>
  <c r="K4421" i="148" s="1"/>
  <c r="K2785" i="148"/>
  <c r="K2814" i="148" s="1"/>
  <c r="K2816" i="148" s="1"/>
  <c r="K2818" i="148" s="1"/>
  <c r="K441" i="148"/>
  <c r="K470" i="148" s="1"/>
  <c r="K472" i="148" s="1"/>
  <c r="K474" i="148" s="1"/>
  <c r="L4060" i="148"/>
  <c r="L4089" i="148" s="1"/>
  <c r="L4091" i="148" s="1"/>
  <c r="L4093" i="148" s="1"/>
  <c r="L4094" i="148" s="1"/>
  <c r="K602" i="148"/>
  <c r="K631" i="148" s="1"/>
  <c r="K633" i="148" s="1"/>
  <c r="K635" i="148" s="1"/>
  <c r="K3933" i="148"/>
  <c r="K3935" i="148" s="1"/>
  <c r="K3937" i="148" s="1"/>
  <c r="M3938" i="148" s="1"/>
  <c r="L4986" i="148"/>
  <c r="L5015" i="148" s="1"/>
  <c r="L5017" i="148" s="1"/>
  <c r="L5019" i="148" s="1"/>
  <c r="L5020" i="148" s="1"/>
  <c r="K1381" i="148"/>
  <c r="K1410" i="148" s="1"/>
  <c r="K1412" i="148" s="1"/>
  <c r="K1414" i="148" s="1"/>
  <c r="K1546" i="148"/>
  <c r="K1575" i="148" s="1"/>
  <c r="K1577" i="148" s="1"/>
  <c r="K1579" i="148" s="1"/>
  <c r="L3370" i="148"/>
  <c r="L3399" i="148" s="1"/>
  <c r="L3401" i="148" s="1"/>
  <c r="L3403" i="148" s="1"/>
  <c r="L3404" i="148" s="1"/>
  <c r="L260" i="148"/>
  <c r="L262" i="148" s="1"/>
  <c r="L264" i="148" s="1"/>
  <c r="L265" i="148" s="1"/>
  <c r="L1684" i="148"/>
  <c r="L1686" i="148" s="1"/>
  <c r="L1688" i="148" s="1"/>
  <c r="L1689" i="148" s="1"/>
  <c r="L5239" i="148"/>
  <c r="L5241" i="148" s="1"/>
  <c r="L5243" i="148" s="1"/>
  <c r="L5244" i="148" s="1"/>
  <c r="L631" i="148"/>
  <c r="L633" i="148" s="1"/>
  <c r="L635" i="148" s="1"/>
  <c r="L636" i="148" s="1"/>
  <c r="L3985" i="148"/>
  <c r="L3987" i="148" s="1"/>
  <c r="L3989" i="148" s="1"/>
  <c r="L3990" i="148" s="1"/>
  <c r="K106" i="148"/>
  <c r="K108" i="148" s="1"/>
  <c r="K4743" i="148"/>
  <c r="K4745" i="148" s="1"/>
  <c r="K4747" i="148" s="1"/>
  <c r="L4519" i="148"/>
  <c r="L4521" i="148" s="1"/>
  <c r="L4523" i="148" s="1"/>
  <c r="L4524" i="148" s="1"/>
  <c r="K4687" i="148"/>
  <c r="K4689" i="148" s="1"/>
  <c r="K4691" i="148" s="1"/>
  <c r="K4252" i="148"/>
  <c r="K4254" i="148" s="1"/>
  <c r="K4256" i="148" s="1"/>
  <c r="M4257" i="148" s="1"/>
  <c r="L3567" i="148"/>
  <c r="L3569" i="148" s="1"/>
  <c r="L3571" i="148" s="1"/>
  <c r="L3572" i="148" s="1"/>
  <c r="K3567" i="148"/>
  <c r="K3569" i="148" s="1"/>
  <c r="K3571" i="148" s="1"/>
  <c r="K3370" i="148"/>
  <c r="K3399" i="148" s="1"/>
  <c r="K3401" i="148" s="1"/>
  <c r="K3403" i="148" s="1"/>
  <c r="L4687" i="148"/>
  <c r="L4689" i="148" s="1"/>
  <c r="L4691" i="148" s="1"/>
  <c r="L4692" i="148" s="1"/>
  <c r="L4765" i="148"/>
  <c r="L4794" i="148" s="1"/>
  <c r="K1466" i="148"/>
  <c r="K1468" i="148" s="1"/>
  <c r="K1470" i="148" s="1"/>
  <c r="L4959" i="148"/>
  <c r="L4961" i="148" s="1"/>
  <c r="L4963" i="148" s="1"/>
  <c r="L4964" i="148" s="1"/>
  <c r="L3623" i="148"/>
  <c r="L3625" i="148" s="1"/>
  <c r="L3627" i="148" s="1"/>
  <c r="L3628" i="148" s="1"/>
  <c r="I29" i="1"/>
  <c r="L5127" i="148"/>
  <c r="L5129" i="148" s="1"/>
  <c r="L5131" i="148" s="1"/>
  <c r="L5132" i="148" s="1"/>
  <c r="L5183" i="148"/>
  <c r="L5185" i="148" s="1"/>
  <c r="L5187" i="148" s="1"/>
  <c r="L5188" i="148" s="1"/>
  <c r="L4818" i="148"/>
  <c r="L4847" i="148" s="1"/>
  <c r="L4849" i="148" s="1"/>
  <c r="L4851" i="148" s="1"/>
  <c r="L4852" i="148" s="1"/>
  <c r="L1245" i="148"/>
  <c r="L1247" i="148" s="1"/>
  <c r="L1249" i="148" s="1"/>
  <c r="L1250" i="148" s="1"/>
  <c r="K1684" i="148"/>
  <c r="K1686" i="148" s="1"/>
  <c r="K1688" i="148" s="1"/>
  <c r="L2785" i="148"/>
  <c r="L2814" i="148" s="1"/>
  <c r="L2816" i="148" s="1"/>
  <c r="L2818" i="148" s="1"/>
  <c r="L2819" i="148" s="1"/>
  <c r="K2449" i="148"/>
  <c r="K2451" i="148" s="1"/>
  <c r="K2453" i="148" s="1"/>
  <c r="L2225" i="148"/>
  <c r="L2227" i="148" s="1"/>
  <c r="L2229" i="148" s="1"/>
  <c r="L2230" i="148" s="1"/>
  <c r="L2964" i="148"/>
  <c r="L2966" i="148" s="1"/>
  <c r="L2968" i="148" s="1"/>
  <c r="L2969" i="148" s="1"/>
  <c r="L1902" i="148"/>
  <c r="L1904" i="148" s="1"/>
  <c r="L1906" i="148" s="1"/>
  <c r="L1907" i="148" s="1"/>
  <c r="K3241" i="148"/>
  <c r="K3243" i="148" s="1"/>
  <c r="K3245" i="148" s="1"/>
  <c r="K4308" i="148"/>
  <c r="K4310" i="148" s="1"/>
  <c r="K4312" i="148" s="1"/>
  <c r="L3781" i="148"/>
  <c r="L3783" i="148" s="1"/>
  <c r="L3785" i="148" s="1"/>
  <c r="L3786" i="148" s="1"/>
  <c r="K3832" i="148"/>
  <c r="K3834" i="148" s="1"/>
  <c r="K3836" i="148" s="1"/>
  <c r="K1740" i="148"/>
  <c r="K1742" i="148" s="1"/>
  <c r="K1744" i="148" s="1"/>
  <c r="L768" i="148"/>
  <c r="L797" i="148" s="1"/>
  <c r="L799" i="148" s="1"/>
  <c r="L801" i="148" s="1"/>
  <c r="L802" i="148" s="1"/>
  <c r="L2561" i="148"/>
  <c r="L2563" i="148" s="1"/>
  <c r="L2565" i="148" s="1"/>
  <c r="L2566" i="148" s="1"/>
  <c r="L4575" i="148"/>
  <c r="L4577" i="148" s="1"/>
  <c r="L4579" i="148" s="1"/>
  <c r="L4580" i="148" s="1"/>
  <c r="L2449" i="148"/>
  <c r="L2451" i="148" s="1"/>
  <c r="L2453" i="148" s="1"/>
  <c r="L2454" i="148" s="1"/>
  <c r="L4903" i="148"/>
  <c r="L4905" i="148" s="1"/>
  <c r="L4907" i="148" s="1"/>
  <c r="L4908" i="148" s="1"/>
  <c r="L3241" i="148"/>
  <c r="L3243" i="148" s="1"/>
  <c r="L3245" i="148" s="1"/>
  <c r="L3246" i="148" s="1"/>
  <c r="K3511" i="148"/>
  <c r="K3513" i="148" s="1"/>
  <c r="K260" i="148"/>
  <c r="L3832" i="148"/>
  <c r="L3834" i="148" s="1"/>
  <c r="L3836" i="148" s="1"/>
  <c r="L3837" i="148" s="1"/>
  <c r="K2561" i="148"/>
  <c r="K2563" i="148" s="1"/>
  <c r="K2565" i="148" s="1"/>
  <c r="K4009" i="148"/>
  <c r="K4038" i="148" s="1"/>
  <c r="K4040" i="148" s="1"/>
  <c r="K3185" i="148"/>
  <c r="K3187" i="148" s="1"/>
  <c r="K3189" i="148" s="1"/>
  <c r="K1048" i="148"/>
  <c r="K1077" i="148" s="1"/>
  <c r="K1079" i="148" s="1"/>
  <c r="K1081" i="148" s="1"/>
  <c r="L106" i="148"/>
  <c r="L108" i="148" s="1"/>
  <c r="L110" i="148" s="1"/>
  <c r="L111" i="148" s="1"/>
  <c r="K4631" i="148"/>
  <c r="K4633" i="148" s="1"/>
  <c r="K4635" i="148" s="1"/>
  <c r="M4636" i="148" s="1"/>
  <c r="L4111" i="148"/>
  <c r="L4140" i="148" s="1"/>
  <c r="L4142" i="148" s="1"/>
  <c r="L4144" i="148" s="1"/>
  <c r="L4145" i="148" s="1"/>
  <c r="L1466" i="148"/>
  <c r="L1468" i="148" s="1"/>
  <c r="L1470" i="148" s="1"/>
  <c r="L1471" i="148" s="1"/>
  <c r="L1160" i="148"/>
  <c r="L1189" i="148" s="1"/>
  <c r="L1191" i="148" s="1"/>
  <c r="L1193" i="148" s="1"/>
  <c r="L1194" i="148" s="1"/>
  <c r="K50" i="148"/>
  <c r="K3985" i="148"/>
  <c r="K3987" i="148" s="1"/>
  <c r="K3989" i="148" s="1"/>
  <c r="L685" i="148"/>
  <c r="L687" i="148" s="1"/>
  <c r="L689" i="148" s="1"/>
  <c r="L690" i="148" s="1"/>
  <c r="L2686" i="148"/>
  <c r="L2715" i="148" s="1"/>
  <c r="L2717" i="148" s="1"/>
  <c r="L2719" i="148" s="1"/>
  <c r="L2720" i="148" s="1"/>
  <c r="K4575" i="148"/>
  <c r="K4577" i="148" s="1"/>
  <c r="K4579" i="148" s="1"/>
  <c r="L208" i="148"/>
  <c r="L210" i="148" s="1"/>
  <c r="K1160" i="148"/>
  <c r="K1189" i="148" s="1"/>
  <c r="K1191" i="148" s="1"/>
  <c r="K1193" i="148" s="1"/>
  <c r="L1104" i="148"/>
  <c r="L1133" i="148" s="1"/>
  <c r="L1135" i="148" s="1"/>
  <c r="L1137" i="148" s="1"/>
  <c r="L1138" i="148" s="1"/>
  <c r="L4167" i="148"/>
  <c r="L4196" i="148" s="1"/>
  <c r="L4198" i="148" s="1"/>
  <c r="L4200" i="148" s="1"/>
  <c r="L4201" i="148" s="1"/>
  <c r="K3696" i="148"/>
  <c r="K3725" i="148" s="1"/>
  <c r="K3727" i="148" s="1"/>
  <c r="K3729" i="148" s="1"/>
  <c r="L4364" i="148"/>
  <c r="L4366" i="148" s="1"/>
  <c r="L4368" i="148" s="1"/>
  <c r="L4369" i="148" s="1"/>
  <c r="K3881" i="148"/>
  <c r="K3883" i="148" s="1"/>
  <c r="K3885" i="148" s="1"/>
  <c r="L712" i="148"/>
  <c r="L741" i="148" s="1"/>
  <c r="L743" i="148" s="1"/>
  <c r="L745" i="148" s="1"/>
  <c r="L746" i="148" s="1"/>
  <c r="K312" i="148"/>
  <c r="K314" i="148" s="1"/>
  <c r="K316" i="148" s="1"/>
  <c r="K5127" i="148"/>
  <c r="K5129" i="148" s="1"/>
  <c r="K5131" i="148" s="1"/>
  <c r="L3725" i="148"/>
  <c r="L3727" i="148" s="1"/>
  <c r="L3729" i="148" s="1"/>
  <c r="L3730" i="148" s="1"/>
  <c r="K157" i="148"/>
  <c r="K159" i="148" s="1"/>
  <c r="K161" i="148" s="1"/>
  <c r="K4167" i="148"/>
  <c r="K4196" i="148" s="1"/>
  <c r="K4198" i="148" s="1"/>
  <c r="K4200" i="148" s="1"/>
  <c r="K3623" i="148"/>
  <c r="K3625" i="148" s="1"/>
  <c r="K3627" i="148" s="1"/>
  <c r="K2225" i="148"/>
  <c r="K2227" i="148" s="1"/>
  <c r="K2229" i="148" s="1"/>
  <c r="L5322" i="148"/>
  <c r="L5351" i="148" s="1"/>
  <c r="L5353" i="148" s="1"/>
  <c r="L5355" i="148" s="1"/>
  <c r="L5356" i="148" s="1"/>
  <c r="K2764" i="148"/>
  <c r="K2766" i="148" s="1"/>
  <c r="K2768" i="148" s="1"/>
  <c r="K4111" i="148"/>
  <c r="K4140" i="148" s="1"/>
  <c r="K4142" i="148" s="1"/>
  <c r="K4144" i="148" s="1"/>
  <c r="L2505" i="148"/>
  <c r="L2507" i="148" s="1"/>
  <c r="L2509" i="148" s="1"/>
  <c r="L2510" i="148" s="1"/>
  <c r="K5239" i="148"/>
  <c r="K5241" i="148" s="1"/>
  <c r="K5243" i="148" s="1"/>
  <c r="K4847" i="148"/>
  <c r="K4849" i="148" s="1"/>
  <c r="K4851" i="148" s="1"/>
  <c r="K5266" i="148"/>
  <c r="K5295" i="148" s="1"/>
  <c r="K5297" i="148" s="1"/>
  <c r="K5299" i="148" s="1"/>
  <c r="K4959" i="148"/>
  <c r="K4961" i="148" s="1"/>
  <c r="K4963" i="148" s="1"/>
  <c r="L470" i="148"/>
  <c r="L472" i="148" s="1"/>
  <c r="L474" i="148" s="1"/>
  <c r="L475" i="148" s="1"/>
  <c r="K824" i="148"/>
  <c r="K853" i="148" s="1"/>
  <c r="K855" i="148" s="1"/>
  <c r="K857" i="148" s="1"/>
  <c r="L4009" i="148"/>
  <c r="L4038" i="148" s="1"/>
  <c r="K1602" i="148"/>
  <c r="K1631" i="148" s="1"/>
  <c r="K1633" i="148" s="1"/>
  <c r="K1635" i="148" s="1"/>
  <c r="L1325" i="148"/>
  <c r="L1354" i="148" s="1"/>
  <c r="L1356" i="148" s="1"/>
  <c r="L1358" i="148" s="1"/>
  <c r="L1359" i="148" s="1"/>
  <c r="L1546" i="148"/>
  <c r="L1575" i="148" s="1"/>
  <c r="L1577" i="148" s="1"/>
  <c r="L1579" i="148" s="1"/>
  <c r="L1580" i="148" s="1"/>
  <c r="K3781" i="148"/>
  <c r="K3783" i="148" s="1"/>
  <c r="K3785" i="148" s="1"/>
  <c r="K2686" i="148"/>
  <c r="K2715" i="148" s="1"/>
  <c r="K2717" i="148" s="1"/>
  <c r="K2719" i="148" s="1"/>
  <c r="K1902" i="148"/>
  <c r="K1904" i="148" s="1"/>
  <c r="K1906" i="148" s="1"/>
  <c r="K3100" i="148"/>
  <c r="K3129" i="148" s="1"/>
  <c r="K3131" i="148" s="1"/>
  <c r="K3133" i="148" s="1"/>
  <c r="K3074" i="148"/>
  <c r="K5322" i="148"/>
  <c r="K5351" i="148" s="1"/>
  <c r="K5353" i="148" s="1"/>
  <c r="K5355" i="148" s="1"/>
  <c r="K208" i="148"/>
  <c r="K3297" i="148"/>
  <c r="K3299" i="148" s="1"/>
  <c r="K3301" i="148" s="1"/>
  <c r="K1490" i="148"/>
  <c r="K1519" i="148" s="1"/>
  <c r="K1521" i="148" s="1"/>
  <c r="K1523" i="148" s="1"/>
  <c r="L1272" i="148"/>
  <c r="L1301" i="148" s="1"/>
  <c r="L1303" i="148" s="1"/>
  <c r="L1305" i="148" s="1"/>
  <c r="L1306" i="148" s="1"/>
  <c r="L2585" i="148"/>
  <c r="L2614" i="148" s="1"/>
  <c r="L2616" i="148" s="1"/>
  <c r="L1490" i="148"/>
  <c r="L1519" i="148" s="1"/>
  <c r="L1521" i="148" s="1"/>
  <c r="K797" i="148"/>
  <c r="K5183" i="148"/>
  <c r="K5185" i="148" s="1"/>
  <c r="K5187" i="148" s="1"/>
  <c r="K1245" i="148"/>
  <c r="K1247" i="148" s="1"/>
  <c r="K1249" i="148" s="1"/>
  <c r="L1381" i="148"/>
  <c r="L1410" i="148" s="1"/>
  <c r="L1412" i="148" s="1"/>
  <c r="L1414" i="148" s="1"/>
  <c r="L1415" i="148" s="1"/>
  <c r="L1929" i="148"/>
  <c r="L1958" i="148" s="1"/>
  <c r="K1929" i="148"/>
  <c r="K1958" i="148" s="1"/>
  <c r="F4434" i="148"/>
  <c r="K4434" i="148" s="1"/>
  <c r="K4440" i="148" s="1"/>
  <c r="K4469" i="148" s="1"/>
  <c r="L4434" i="148"/>
  <c r="L4440" i="148" s="1"/>
  <c r="L4469" i="148" s="1"/>
  <c r="K1817" i="148"/>
  <c r="K1846" i="148" s="1"/>
  <c r="L2990" i="148"/>
  <c r="L3019" i="148" s="1"/>
  <c r="K1104" i="148"/>
  <c r="K1133" i="148" s="1"/>
  <c r="K4364" i="148"/>
  <c r="L2393" i="148"/>
  <c r="K1272" i="148"/>
  <c r="K1301" i="148" s="1"/>
  <c r="L1817" i="148"/>
  <c r="L1846" i="148" s="1"/>
  <c r="L3426" i="148"/>
  <c r="L3455" i="148" s="1"/>
  <c r="K4903" i="148"/>
  <c r="L2084" i="148"/>
  <c r="L2113" i="148" s="1"/>
  <c r="K4794" i="148"/>
  <c r="K2393" i="148"/>
  <c r="L1764" i="148"/>
  <c r="L1793" i="148" s="1"/>
  <c r="K3426" i="148"/>
  <c r="K3455" i="148" s="1"/>
  <c r="K2281" i="148"/>
  <c r="K2964" i="148"/>
  <c r="K2084" i="148"/>
  <c r="K2113" i="148" s="1"/>
  <c r="L2914" i="148"/>
  <c r="L1980" i="148"/>
  <c r="L2009" i="148" s="1"/>
  <c r="L5266" i="148"/>
  <c r="L5295" i="148" s="1"/>
  <c r="K1764" i="148"/>
  <c r="K1793" i="148" s="1"/>
  <c r="K2990" i="148"/>
  <c r="K3019" i="148" s="1"/>
  <c r="L824" i="148"/>
  <c r="L853" i="148" s="1"/>
  <c r="K2864" i="148"/>
  <c r="K5071" i="148"/>
  <c r="K1325" i="148"/>
  <c r="K1354" i="148" s="1"/>
  <c r="L2281" i="148"/>
  <c r="K2914" i="148"/>
  <c r="K1980" i="148"/>
  <c r="K2009" i="148" s="1"/>
  <c r="K3319" i="148"/>
  <c r="K3348" i="148" s="1"/>
  <c r="L3640" i="148"/>
  <c r="L3646" i="148" s="1"/>
  <c r="L3675" i="148" s="1"/>
  <c r="F3640" i="148"/>
  <c r="K3640" i="148" s="1"/>
  <c r="K3646" i="148" s="1"/>
  <c r="K3675" i="148" s="1"/>
  <c r="L2140" i="148"/>
  <c r="L2169" i="148" s="1"/>
  <c r="L3319" i="148"/>
  <c r="L3348" i="148" s="1"/>
  <c r="L1048" i="148"/>
  <c r="L1077" i="148" s="1"/>
  <c r="K2505" i="148"/>
  <c r="L1602" i="148"/>
  <c r="L1631" i="148" s="1"/>
  <c r="L3100" i="148"/>
  <c r="L3129" i="148" s="1"/>
  <c r="K2140" i="148"/>
  <c r="K2169" i="148" s="1"/>
  <c r="L3187" i="148"/>
  <c r="L3189" i="148" s="1"/>
  <c r="L3190" i="148" s="1"/>
  <c r="K701" i="143"/>
  <c r="I701" i="143"/>
  <c r="E706" i="143" s="1"/>
  <c r="D701" i="143"/>
  <c r="B701" i="143"/>
  <c r="L740" i="143"/>
  <c r="K740" i="143"/>
  <c r="L739" i="143"/>
  <c r="K739" i="143"/>
  <c r="L738" i="143"/>
  <c r="K738" i="143"/>
  <c r="L732" i="143"/>
  <c r="I731" i="143"/>
  <c r="K731" i="143" s="1"/>
  <c r="I730" i="143"/>
  <c r="K730" i="143" s="1"/>
  <c r="I729" i="143"/>
  <c r="G729" i="143"/>
  <c r="I723" i="143"/>
  <c r="L723" i="143" s="1"/>
  <c r="I722" i="143"/>
  <c r="L722" i="143" s="1"/>
  <c r="I721" i="143"/>
  <c r="K721" i="143" s="1"/>
  <c r="I720" i="143"/>
  <c r="K720" i="143" s="1"/>
  <c r="I714" i="143"/>
  <c r="K714" i="143" s="1"/>
  <c r="I713" i="143"/>
  <c r="K713" i="143" s="1"/>
  <c r="I712" i="143"/>
  <c r="I711" i="143"/>
  <c r="I710" i="143"/>
  <c r="I709" i="143"/>
  <c r="I708" i="143"/>
  <c r="G708" i="143"/>
  <c r="I707" i="143"/>
  <c r="G707" i="143"/>
  <c r="I706" i="143"/>
  <c r="G706" i="143"/>
  <c r="I705" i="143"/>
  <c r="G705" i="143"/>
  <c r="K5760" i="143"/>
  <c r="I5760" i="143"/>
  <c r="E5764" i="143" s="1"/>
  <c r="D5760" i="143"/>
  <c r="B5760" i="143"/>
  <c r="L5799" i="143"/>
  <c r="K5799" i="143"/>
  <c r="L5798" i="143"/>
  <c r="K5798" i="143"/>
  <c r="L5797" i="143"/>
  <c r="K5797" i="143"/>
  <c r="L5791" i="143"/>
  <c r="I5790" i="143"/>
  <c r="K5790" i="143" s="1"/>
  <c r="I5789" i="143"/>
  <c r="L5789" i="143" s="1"/>
  <c r="I5788" i="143"/>
  <c r="G5788" i="143"/>
  <c r="I5782" i="143"/>
  <c r="L5782" i="143" s="1"/>
  <c r="I5781" i="143"/>
  <c r="L5781" i="143" s="1"/>
  <c r="I5780" i="143"/>
  <c r="L5780" i="143" s="1"/>
  <c r="I5779" i="143"/>
  <c r="L5779" i="143" s="1"/>
  <c r="I5773" i="143"/>
  <c r="L5773" i="143" s="1"/>
  <c r="I5772" i="143"/>
  <c r="G5772" i="143"/>
  <c r="I5771" i="143"/>
  <c r="G5771" i="143"/>
  <c r="I5770" i="143"/>
  <c r="G5770" i="143"/>
  <c r="I5769" i="143"/>
  <c r="G5769" i="143"/>
  <c r="I5768" i="143"/>
  <c r="G5768" i="143"/>
  <c r="I5767" i="143"/>
  <c r="G5767" i="143"/>
  <c r="I5766" i="143"/>
  <c r="G5766" i="143"/>
  <c r="I5765" i="143"/>
  <c r="G5765" i="143"/>
  <c r="I5764" i="143"/>
  <c r="G5764" i="143"/>
  <c r="K5704" i="143"/>
  <c r="I5704" i="143"/>
  <c r="D5704" i="143"/>
  <c r="B5704" i="143"/>
  <c r="L5743" i="143"/>
  <c r="K5743" i="143"/>
  <c r="L5742" i="143"/>
  <c r="K5742" i="143"/>
  <c r="L5741" i="143"/>
  <c r="K5741" i="143"/>
  <c r="L5735" i="143"/>
  <c r="I5734" i="143"/>
  <c r="K5734" i="143" s="1"/>
  <c r="I5733" i="143"/>
  <c r="L5733" i="143" s="1"/>
  <c r="I5732" i="143"/>
  <c r="G5732" i="143"/>
  <c r="I5726" i="143"/>
  <c r="L5726" i="143" s="1"/>
  <c r="I5725" i="143"/>
  <c r="K5725" i="143" s="1"/>
  <c r="I5724" i="143"/>
  <c r="L5724" i="143" s="1"/>
  <c r="I5723" i="143"/>
  <c r="L5723" i="143" s="1"/>
  <c r="I5717" i="143"/>
  <c r="I5716" i="143"/>
  <c r="G5716" i="143"/>
  <c r="I5715" i="143"/>
  <c r="G5715" i="143"/>
  <c r="I5714" i="143"/>
  <c r="G5714" i="143"/>
  <c r="I5713" i="143"/>
  <c r="G5713" i="143"/>
  <c r="I5712" i="143"/>
  <c r="G5712" i="143"/>
  <c r="I5711" i="143"/>
  <c r="G5711" i="143"/>
  <c r="I5710" i="143"/>
  <c r="G5710" i="143"/>
  <c r="I5709" i="143"/>
  <c r="G5709" i="143"/>
  <c r="I5708" i="143"/>
  <c r="L5708" i="143" s="1"/>
  <c r="G5708" i="143"/>
  <c r="I5652" i="143"/>
  <c r="G5652" i="143"/>
  <c r="K5648" i="143"/>
  <c r="I5648" i="143"/>
  <c r="E5652" i="143" s="1"/>
  <c r="E224" i="149" s="1"/>
  <c r="F224" i="149" s="1"/>
  <c r="D5648" i="143"/>
  <c r="B5648" i="143"/>
  <c r="L5687" i="143"/>
  <c r="K5687" i="143"/>
  <c r="L5686" i="143"/>
  <c r="K5686" i="143"/>
  <c r="L5685" i="143"/>
  <c r="K5685" i="143"/>
  <c r="L5679" i="143"/>
  <c r="I5678" i="143"/>
  <c r="K5678" i="143" s="1"/>
  <c r="I5677" i="143"/>
  <c r="L5677" i="143" s="1"/>
  <c r="I5676" i="143"/>
  <c r="G5676" i="143"/>
  <c r="I5670" i="143"/>
  <c r="L5670" i="143" s="1"/>
  <c r="I5669" i="143"/>
  <c r="L5669" i="143" s="1"/>
  <c r="I5668" i="143"/>
  <c r="L5668" i="143" s="1"/>
  <c r="I5667" i="143"/>
  <c r="K5667" i="143" s="1"/>
  <c r="I5661" i="143"/>
  <c r="L5661" i="143" s="1"/>
  <c r="I5660" i="143"/>
  <c r="L5660" i="143" s="1"/>
  <c r="I5659" i="143"/>
  <c r="L5659" i="143" s="1"/>
  <c r="I5658" i="143"/>
  <c r="L5658" i="143" s="1"/>
  <c r="I5657" i="143"/>
  <c r="L5657" i="143" s="1"/>
  <c r="I5656" i="143"/>
  <c r="L5656" i="143" s="1"/>
  <c r="I5655" i="143"/>
  <c r="L5655" i="143" s="1"/>
  <c r="I5654" i="143"/>
  <c r="L5654" i="143" s="1"/>
  <c r="I5653" i="143"/>
  <c r="L5653" i="143" s="1"/>
  <c r="K5592" i="143"/>
  <c r="I5592" i="143"/>
  <c r="E5621" i="143" s="1"/>
  <c r="D5592" i="143"/>
  <c r="B5592" i="143"/>
  <c r="L5631" i="143"/>
  <c r="K5631" i="143"/>
  <c r="L5630" i="143"/>
  <c r="K5630" i="143"/>
  <c r="L5629" i="143"/>
  <c r="K5629" i="143"/>
  <c r="L5623" i="143"/>
  <c r="I5622" i="143"/>
  <c r="K5622" i="143" s="1"/>
  <c r="I5621" i="143"/>
  <c r="I5620" i="143"/>
  <c r="G5620" i="143"/>
  <c r="I5614" i="143"/>
  <c r="L5614" i="143" s="1"/>
  <c r="I5613" i="143"/>
  <c r="L5613" i="143" s="1"/>
  <c r="I5612" i="143"/>
  <c r="L5612" i="143" s="1"/>
  <c r="I5611" i="143"/>
  <c r="I5605" i="143"/>
  <c r="L5605" i="143" s="1"/>
  <c r="I5604" i="143"/>
  <c r="L5604" i="143" s="1"/>
  <c r="I5603" i="143"/>
  <c r="L5603" i="143" s="1"/>
  <c r="I5602" i="143"/>
  <c r="K5602" i="143" s="1"/>
  <c r="I5601" i="143"/>
  <c r="L5601" i="143" s="1"/>
  <c r="I5600" i="143"/>
  <c r="L5600" i="143" s="1"/>
  <c r="I5599" i="143"/>
  <c r="L5599" i="143" s="1"/>
  <c r="I5598" i="143"/>
  <c r="K5598" i="143" s="1"/>
  <c r="I5597" i="143"/>
  <c r="L5597" i="143" s="1"/>
  <c r="I5596" i="143"/>
  <c r="L5596" i="143" s="1"/>
  <c r="K5536" i="143"/>
  <c r="I5536" i="143"/>
  <c r="E5564" i="143" s="1"/>
  <c r="D5536" i="143"/>
  <c r="B5536" i="143"/>
  <c r="K5480" i="143"/>
  <c r="I5480" i="143"/>
  <c r="E5508" i="143" s="1"/>
  <c r="D5480" i="143"/>
  <c r="B5480" i="143"/>
  <c r="L5575" i="143"/>
  <c r="K5575" i="143"/>
  <c r="L5574" i="143"/>
  <c r="K5574" i="143"/>
  <c r="L5573" i="143"/>
  <c r="K5573" i="143"/>
  <c r="L5567" i="143"/>
  <c r="I5566" i="143"/>
  <c r="K5566" i="143" s="1"/>
  <c r="I5565" i="143"/>
  <c r="L5565" i="143" s="1"/>
  <c r="I5564" i="143"/>
  <c r="G5564" i="143"/>
  <c r="I5558" i="143"/>
  <c r="L5558" i="143" s="1"/>
  <c r="I5557" i="143"/>
  <c r="K5557" i="143" s="1"/>
  <c r="I5556" i="143"/>
  <c r="K5556" i="143" s="1"/>
  <c r="I5555" i="143"/>
  <c r="G5555" i="143"/>
  <c r="I5549" i="143"/>
  <c r="L5549" i="143" s="1"/>
  <c r="I5548" i="143"/>
  <c r="L5548" i="143" s="1"/>
  <c r="I5547" i="143"/>
  <c r="L5547" i="143" s="1"/>
  <c r="I5546" i="143"/>
  <c r="K5546" i="143" s="1"/>
  <c r="I5545" i="143"/>
  <c r="L5545" i="143" s="1"/>
  <c r="I5544" i="143"/>
  <c r="L5544" i="143" s="1"/>
  <c r="I5543" i="143"/>
  <c r="L5543" i="143" s="1"/>
  <c r="I5542" i="143"/>
  <c r="L5542" i="143" s="1"/>
  <c r="I5541" i="143"/>
  <c r="L5541" i="143" s="1"/>
  <c r="I5540" i="143"/>
  <c r="L5540" i="143" s="1"/>
  <c r="L5519" i="143"/>
  <c r="K5519" i="143"/>
  <c r="L5518" i="143"/>
  <c r="K5518" i="143"/>
  <c r="L5517" i="143"/>
  <c r="K5517" i="143"/>
  <c r="L5511" i="143"/>
  <c r="I5510" i="143"/>
  <c r="L5510" i="143" s="1"/>
  <c r="I5509" i="143"/>
  <c r="L5509" i="143" s="1"/>
  <c r="I5508" i="143"/>
  <c r="G5508" i="143"/>
  <c r="I5502" i="143"/>
  <c r="K5502" i="143" s="1"/>
  <c r="I5501" i="143"/>
  <c r="L5501" i="143" s="1"/>
  <c r="I5500" i="143"/>
  <c r="L5500" i="143" s="1"/>
  <c r="L5499" i="143"/>
  <c r="I5493" i="143"/>
  <c r="K5493" i="143" s="1"/>
  <c r="I5492" i="143"/>
  <c r="K5492" i="143" s="1"/>
  <c r="I5491" i="143"/>
  <c r="L5491" i="143" s="1"/>
  <c r="I5490" i="143"/>
  <c r="L5490" i="143" s="1"/>
  <c r="I5489" i="143"/>
  <c r="L5489" i="143" s="1"/>
  <c r="I5488" i="143"/>
  <c r="K5488" i="143" s="1"/>
  <c r="I5487" i="143"/>
  <c r="L5487" i="143" s="1"/>
  <c r="I5486" i="143"/>
  <c r="L5486" i="143" s="1"/>
  <c r="I5485" i="143"/>
  <c r="L5485" i="143" s="1"/>
  <c r="I5484" i="143"/>
  <c r="L5484" i="143" s="1"/>
  <c r="K5424" i="143"/>
  <c r="I5424" i="143"/>
  <c r="E5430" i="143" s="1"/>
  <c r="D5424" i="143"/>
  <c r="B5424" i="143"/>
  <c r="K5368" i="143"/>
  <c r="I5368" i="143"/>
  <c r="E5396" i="143" s="1"/>
  <c r="D5368" i="143"/>
  <c r="B5368" i="143"/>
  <c r="L5463" i="143"/>
  <c r="K5463" i="143"/>
  <c r="L5462" i="143"/>
  <c r="K5462" i="143"/>
  <c r="L5461" i="143"/>
  <c r="K5461" i="143"/>
  <c r="L5455" i="143"/>
  <c r="I5454" i="143"/>
  <c r="K5454" i="143" s="1"/>
  <c r="I5453" i="143"/>
  <c r="L5453" i="143" s="1"/>
  <c r="I5452" i="143"/>
  <c r="G5452" i="143"/>
  <c r="I5446" i="143"/>
  <c r="L5446" i="143" s="1"/>
  <c r="I5445" i="143"/>
  <c r="K5445" i="143" s="1"/>
  <c r="I5444" i="143"/>
  <c r="L5444" i="143" s="1"/>
  <c r="I5443" i="143"/>
  <c r="L5443" i="143" s="1"/>
  <c r="I5437" i="143"/>
  <c r="K5437" i="143" s="1"/>
  <c r="I5436" i="143"/>
  <c r="L5436" i="143" s="1"/>
  <c r="I5435" i="143"/>
  <c r="L5435" i="143" s="1"/>
  <c r="I5434" i="143"/>
  <c r="K5434" i="143" s="1"/>
  <c r="I5433" i="143"/>
  <c r="K5433" i="143" s="1"/>
  <c r="I5432" i="143"/>
  <c r="L5432" i="143" s="1"/>
  <c r="I5431" i="143"/>
  <c r="L5431" i="143" s="1"/>
  <c r="I5430" i="143"/>
  <c r="G5430" i="143"/>
  <c r="I5429" i="143"/>
  <c r="G5429" i="143"/>
  <c r="I5428" i="143"/>
  <c r="G5428" i="143"/>
  <c r="L5407" i="143"/>
  <c r="K5407" i="143"/>
  <c r="L5406" i="143"/>
  <c r="K5406" i="143"/>
  <c r="L5405" i="143"/>
  <c r="K5405" i="143"/>
  <c r="L5399" i="143"/>
  <c r="I5398" i="143"/>
  <c r="L5398" i="143" s="1"/>
  <c r="I5397" i="143"/>
  <c r="K5397" i="143" s="1"/>
  <c r="I5396" i="143"/>
  <c r="G5396" i="143"/>
  <c r="I5390" i="143"/>
  <c r="L5390" i="143" s="1"/>
  <c r="I5389" i="143"/>
  <c r="L5389" i="143" s="1"/>
  <c r="I5388" i="143"/>
  <c r="L5388" i="143" s="1"/>
  <c r="I5387" i="143"/>
  <c r="K5387" i="143" s="1"/>
  <c r="I5381" i="143"/>
  <c r="L5381" i="143" s="1"/>
  <c r="I5380" i="143"/>
  <c r="K5380" i="143" s="1"/>
  <c r="I5379" i="143"/>
  <c r="L5379" i="143" s="1"/>
  <c r="I5378" i="143"/>
  <c r="L5378" i="143" s="1"/>
  <c r="I5377" i="143"/>
  <c r="L5377" i="143" s="1"/>
  <c r="I5376" i="143"/>
  <c r="K5376" i="143" s="1"/>
  <c r="I5375" i="143"/>
  <c r="L5375" i="143" s="1"/>
  <c r="I5374" i="143"/>
  <c r="L5374" i="143" s="1"/>
  <c r="I5373" i="143"/>
  <c r="G5373" i="143"/>
  <c r="I5372" i="143"/>
  <c r="G5372" i="143"/>
  <c r="K5312" i="143"/>
  <c r="I5312" i="143"/>
  <c r="E5340" i="143" s="1"/>
  <c r="D5312" i="143"/>
  <c r="B5312" i="143"/>
  <c r="L5351" i="143"/>
  <c r="K5351" i="143"/>
  <c r="L5350" i="143"/>
  <c r="K5350" i="143"/>
  <c r="L5349" i="143"/>
  <c r="K5349" i="143"/>
  <c r="L5343" i="143"/>
  <c r="I5342" i="143"/>
  <c r="K5342" i="143" s="1"/>
  <c r="I5341" i="143"/>
  <c r="L5341" i="143" s="1"/>
  <c r="I5340" i="143"/>
  <c r="G5340" i="143"/>
  <c r="I5334" i="143"/>
  <c r="L5334" i="143" s="1"/>
  <c r="I5333" i="143"/>
  <c r="L5333" i="143" s="1"/>
  <c r="I5332" i="143"/>
  <c r="L5332" i="143" s="1"/>
  <c r="I5331" i="143"/>
  <c r="L5331" i="143" s="1"/>
  <c r="I5325" i="143"/>
  <c r="K5325" i="143" s="1"/>
  <c r="I5324" i="143"/>
  <c r="L5324" i="143" s="1"/>
  <c r="I5323" i="143"/>
  <c r="L5323" i="143" s="1"/>
  <c r="I5322" i="143"/>
  <c r="L5322" i="143" s="1"/>
  <c r="I5321" i="143"/>
  <c r="K5321" i="143" s="1"/>
  <c r="I5320" i="143"/>
  <c r="L5320" i="143" s="1"/>
  <c r="I5319" i="143"/>
  <c r="L5319" i="143" s="1"/>
  <c r="I5318" i="143"/>
  <c r="L5318" i="143" s="1"/>
  <c r="I5317" i="143"/>
  <c r="K5317" i="143" s="1"/>
  <c r="I5316" i="143"/>
  <c r="L5316" i="143" s="1"/>
  <c r="K5259" i="143"/>
  <c r="I5259" i="143"/>
  <c r="E5264" i="143" s="1"/>
  <c r="D5259" i="143"/>
  <c r="B5259" i="143"/>
  <c r="L5295" i="143"/>
  <c r="K5295" i="143"/>
  <c r="L5294" i="143"/>
  <c r="K5294" i="143"/>
  <c r="L5293" i="143"/>
  <c r="K5293" i="143"/>
  <c r="L5287" i="143"/>
  <c r="I5286" i="143"/>
  <c r="K5286" i="143" s="1"/>
  <c r="I5285" i="143"/>
  <c r="L5285" i="143" s="1"/>
  <c r="I5284" i="143"/>
  <c r="G5284" i="143"/>
  <c r="I5278" i="143"/>
  <c r="L5278" i="143" s="1"/>
  <c r="I5277" i="143"/>
  <c r="L5277" i="143" s="1"/>
  <c r="I5276" i="143"/>
  <c r="K5276" i="143" s="1"/>
  <c r="I5275" i="143"/>
  <c r="L5275" i="143" s="1"/>
  <c r="I5269" i="143"/>
  <c r="K5269" i="143" s="1"/>
  <c r="I5268" i="143"/>
  <c r="L5268" i="143" s="1"/>
  <c r="I5267" i="143"/>
  <c r="L5267" i="143" s="1"/>
  <c r="I5266" i="143"/>
  <c r="L5266" i="143" s="1"/>
  <c r="I5265" i="143"/>
  <c r="G5265" i="143"/>
  <c r="I5264" i="143"/>
  <c r="G5264" i="143"/>
  <c r="I5263" i="143"/>
  <c r="G5263" i="143"/>
  <c r="K5208" i="143"/>
  <c r="I5208" i="143"/>
  <c r="E5214" i="143" s="1"/>
  <c r="D5208" i="143"/>
  <c r="B5208" i="143"/>
  <c r="L5242" i="143"/>
  <c r="K5242" i="143"/>
  <c r="L5241" i="143"/>
  <c r="K5241" i="143"/>
  <c r="L5240" i="143"/>
  <c r="K5240" i="143"/>
  <c r="I5234" i="143"/>
  <c r="L5234" i="143" s="1"/>
  <c r="I5233" i="143"/>
  <c r="L5233" i="143" s="1"/>
  <c r="I5232" i="143"/>
  <c r="K5232" i="143" s="1"/>
  <c r="I5231" i="143"/>
  <c r="G5231" i="143"/>
  <c r="I5225" i="143"/>
  <c r="L5225" i="143" s="1"/>
  <c r="I5224" i="143"/>
  <c r="L5224" i="143" s="1"/>
  <c r="I5223" i="143"/>
  <c r="L5223" i="143" s="1"/>
  <c r="I5222" i="143"/>
  <c r="K5222" i="143" s="1"/>
  <c r="I5216" i="143"/>
  <c r="L5216" i="143" s="1"/>
  <c r="I5215" i="143"/>
  <c r="G5215" i="143"/>
  <c r="I5214" i="143"/>
  <c r="G5214" i="143"/>
  <c r="I5213" i="143"/>
  <c r="G5213" i="143"/>
  <c r="I5212" i="143"/>
  <c r="G5212" i="143"/>
  <c r="K5152" i="143"/>
  <c r="I5152" i="143"/>
  <c r="E5180" i="143" s="1"/>
  <c r="D5152" i="143"/>
  <c r="B5152" i="143"/>
  <c r="L5191" i="143"/>
  <c r="K5191" i="143"/>
  <c r="L5190" i="143"/>
  <c r="K5190" i="143"/>
  <c r="L5189" i="143"/>
  <c r="K5189" i="143"/>
  <c r="I5183" i="143"/>
  <c r="L5183" i="143" s="1"/>
  <c r="I5182" i="143"/>
  <c r="L5182" i="143" s="1"/>
  <c r="I5181" i="143"/>
  <c r="K5181" i="143" s="1"/>
  <c r="I5180" i="143"/>
  <c r="G5180" i="143"/>
  <c r="I5174" i="143"/>
  <c r="K5174" i="143" s="1"/>
  <c r="I5173" i="143"/>
  <c r="L5173" i="143" s="1"/>
  <c r="I5172" i="143"/>
  <c r="L5172" i="143" s="1"/>
  <c r="I5171" i="143"/>
  <c r="K5171" i="143" s="1"/>
  <c r="I5165" i="143"/>
  <c r="L5165" i="143" s="1"/>
  <c r="I5164" i="143"/>
  <c r="K5164" i="143" s="1"/>
  <c r="I5163" i="143"/>
  <c r="L5163" i="143" s="1"/>
  <c r="I5162" i="143"/>
  <c r="L5162" i="143" s="1"/>
  <c r="I5161" i="143"/>
  <c r="L5161" i="143" s="1"/>
  <c r="I5160" i="143"/>
  <c r="K5160" i="143" s="1"/>
  <c r="I5159" i="143"/>
  <c r="L5159" i="143" s="1"/>
  <c r="I5158" i="143"/>
  <c r="L5158" i="143" s="1"/>
  <c r="I5157" i="143"/>
  <c r="L5157" i="143" s="1"/>
  <c r="I5156" i="143"/>
  <c r="K5156" i="143" s="1"/>
  <c r="K5096" i="143"/>
  <c r="I5096" i="143"/>
  <c r="E5124" i="143" s="1"/>
  <c r="D5096" i="143"/>
  <c r="B5096" i="143"/>
  <c r="K5040" i="143"/>
  <c r="I5040" i="143"/>
  <c r="E5068" i="143" s="1"/>
  <c r="D5040" i="143"/>
  <c r="B5040" i="143"/>
  <c r="K4984" i="143"/>
  <c r="I4984" i="143"/>
  <c r="E5012" i="143" s="1"/>
  <c r="D4984" i="143"/>
  <c r="B4984" i="143"/>
  <c r="L5135" i="143"/>
  <c r="K5135" i="143"/>
  <c r="L5134" i="143"/>
  <c r="K5134" i="143"/>
  <c r="L5133" i="143"/>
  <c r="K5133" i="143"/>
  <c r="L5127" i="143"/>
  <c r="I5126" i="143"/>
  <c r="K5126" i="143" s="1"/>
  <c r="I5125" i="143"/>
  <c r="L5125" i="143" s="1"/>
  <c r="I5124" i="143"/>
  <c r="G5124" i="143"/>
  <c r="I5118" i="143"/>
  <c r="L5118" i="143" s="1"/>
  <c r="I5117" i="143"/>
  <c r="K5117" i="143" s="1"/>
  <c r="I5116" i="143"/>
  <c r="L5116" i="143" s="1"/>
  <c r="I5115" i="143"/>
  <c r="L5115" i="143" s="1"/>
  <c r="I5109" i="143"/>
  <c r="L5109" i="143" s="1"/>
  <c r="I5108" i="143"/>
  <c r="L5108" i="143" s="1"/>
  <c r="I5107" i="143"/>
  <c r="L5107" i="143" s="1"/>
  <c r="I5106" i="143"/>
  <c r="K5106" i="143" s="1"/>
  <c r="I5105" i="143"/>
  <c r="L5105" i="143" s="1"/>
  <c r="I5104" i="143"/>
  <c r="L5104" i="143" s="1"/>
  <c r="I5103" i="143"/>
  <c r="L5103" i="143" s="1"/>
  <c r="I5102" i="143"/>
  <c r="K5102" i="143" s="1"/>
  <c r="I5101" i="143"/>
  <c r="L5101" i="143" s="1"/>
  <c r="I5100" i="143"/>
  <c r="L5100" i="143" s="1"/>
  <c r="L5079" i="143"/>
  <c r="K5079" i="143"/>
  <c r="L5078" i="143"/>
  <c r="K5078" i="143"/>
  <c r="L5077" i="143"/>
  <c r="K5077" i="143"/>
  <c r="L5071" i="143"/>
  <c r="I5070" i="143"/>
  <c r="L5070" i="143" s="1"/>
  <c r="I5069" i="143"/>
  <c r="L5069" i="143" s="1"/>
  <c r="I5068" i="143"/>
  <c r="G5068" i="143"/>
  <c r="I5062" i="143"/>
  <c r="L5062" i="143" s="1"/>
  <c r="I5061" i="143"/>
  <c r="L5061" i="143" s="1"/>
  <c r="I5060" i="143"/>
  <c r="L5060" i="143" s="1"/>
  <c r="L5059" i="143"/>
  <c r="I5053" i="143"/>
  <c r="L5053" i="143" s="1"/>
  <c r="I5052" i="143"/>
  <c r="L5052" i="143" s="1"/>
  <c r="I5051" i="143"/>
  <c r="L5051" i="143" s="1"/>
  <c r="I5050" i="143"/>
  <c r="L5050" i="143" s="1"/>
  <c r="I5049" i="143"/>
  <c r="L5049" i="143" s="1"/>
  <c r="I5048" i="143"/>
  <c r="L5048" i="143" s="1"/>
  <c r="I5047" i="143"/>
  <c r="K5047" i="143" s="1"/>
  <c r="I5046" i="143"/>
  <c r="L5046" i="143" s="1"/>
  <c r="I5045" i="143"/>
  <c r="L5045" i="143" s="1"/>
  <c r="I5044" i="143"/>
  <c r="L5044" i="143" s="1"/>
  <c r="L5023" i="143"/>
  <c r="K5023" i="143"/>
  <c r="L5022" i="143"/>
  <c r="K5022" i="143"/>
  <c r="L5021" i="143"/>
  <c r="K5021" i="143"/>
  <c r="L5015" i="143"/>
  <c r="I5014" i="143"/>
  <c r="K5014" i="143" s="1"/>
  <c r="I5013" i="143"/>
  <c r="L5013" i="143" s="1"/>
  <c r="I5012" i="143"/>
  <c r="G5012" i="143"/>
  <c r="I5006" i="143"/>
  <c r="L5006" i="143" s="1"/>
  <c r="I5005" i="143"/>
  <c r="L5005" i="143" s="1"/>
  <c r="I5004" i="143"/>
  <c r="L5004" i="143" s="1"/>
  <c r="L5003" i="143"/>
  <c r="I4997" i="143"/>
  <c r="L4997" i="143" s="1"/>
  <c r="I4996" i="143"/>
  <c r="K4996" i="143" s="1"/>
  <c r="I4995" i="143"/>
  <c r="L4995" i="143" s="1"/>
  <c r="I4994" i="143"/>
  <c r="L4994" i="143" s="1"/>
  <c r="I4993" i="143"/>
  <c r="L4993" i="143" s="1"/>
  <c r="I4992" i="143"/>
  <c r="L4992" i="143" s="1"/>
  <c r="I4991" i="143"/>
  <c r="K4991" i="143" s="1"/>
  <c r="I4990" i="143"/>
  <c r="L4990" i="143" s="1"/>
  <c r="I4989" i="143"/>
  <c r="L4989" i="143" s="1"/>
  <c r="I4988" i="143"/>
  <c r="L4988" i="143" s="1"/>
  <c r="K4934" i="143"/>
  <c r="I4934" i="143"/>
  <c r="E4939" i="143" s="1"/>
  <c r="D4934" i="143"/>
  <c r="B4934" i="143"/>
  <c r="K4882" i="143"/>
  <c r="I4882" i="143"/>
  <c r="D4882" i="143"/>
  <c r="B4882" i="143"/>
  <c r="K4829" i="143"/>
  <c r="I4829" i="143"/>
  <c r="E4835" i="143" s="1"/>
  <c r="D4829" i="143"/>
  <c r="B4829" i="143"/>
  <c r="L4865" i="143"/>
  <c r="K4865" i="143"/>
  <c r="L4864" i="143"/>
  <c r="K4864" i="143"/>
  <c r="L4863" i="143"/>
  <c r="K4863" i="143"/>
  <c r="L4857" i="143"/>
  <c r="I4856" i="143"/>
  <c r="K4856" i="143" s="1"/>
  <c r="I4855" i="143"/>
  <c r="L4855" i="143" s="1"/>
  <c r="I4854" i="143"/>
  <c r="G4854" i="143"/>
  <c r="I4848" i="143"/>
  <c r="L4848" i="143" s="1"/>
  <c r="I4847" i="143"/>
  <c r="K4847" i="143" s="1"/>
  <c r="I4846" i="143"/>
  <c r="L4846" i="143" s="1"/>
  <c r="I4845" i="143"/>
  <c r="L4845" i="143" s="1"/>
  <c r="I4839" i="143"/>
  <c r="G4839" i="143"/>
  <c r="I4838" i="143"/>
  <c r="G4838" i="143"/>
  <c r="I4837" i="143"/>
  <c r="G4837" i="143"/>
  <c r="I4836" i="143"/>
  <c r="G4836" i="143"/>
  <c r="I4835" i="143"/>
  <c r="G4835" i="143"/>
  <c r="I4834" i="143"/>
  <c r="G4834" i="143"/>
  <c r="I4833" i="143"/>
  <c r="G4833" i="143"/>
  <c r="K4773" i="143"/>
  <c r="I4773" i="143"/>
  <c r="E4801" i="143" s="1"/>
  <c r="F4801" i="143" s="1"/>
  <c r="D4773" i="143"/>
  <c r="B4773" i="143"/>
  <c r="K4717" i="143"/>
  <c r="I4717" i="143"/>
  <c r="E4745" i="143" s="1"/>
  <c r="D4717" i="143"/>
  <c r="B4717" i="143"/>
  <c r="K4661" i="143"/>
  <c r="I4661" i="143"/>
  <c r="E4689" i="143" s="1"/>
  <c r="D4661" i="143"/>
  <c r="B4661" i="143"/>
  <c r="K4605" i="143"/>
  <c r="I4605" i="143"/>
  <c r="D4605" i="143"/>
  <c r="B4605" i="143"/>
  <c r="K4554" i="143"/>
  <c r="I4554" i="143"/>
  <c r="E4559" i="143" s="1"/>
  <c r="D4554" i="143"/>
  <c r="B4554" i="143"/>
  <c r="K4503" i="143"/>
  <c r="I4503" i="143"/>
  <c r="D4503" i="143"/>
  <c r="B4503" i="143"/>
  <c r="K4450" i="143"/>
  <c r="I4450" i="143"/>
  <c r="E4475" i="143" s="1"/>
  <c r="D4450" i="143"/>
  <c r="B4450" i="143"/>
  <c r="L4967" i="143"/>
  <c r="K4967" i="143"/>
  <c r="L4966" i="143"/>
  <c r="K4966" i="143"/>
  <c r="L4965" i="143"/>
  <c r="K4965" i="143"/>
  <c r="L4959" i="143"/>
  <c r="I4958" i="143"/>
  <c r="K4958" i="143" s="1"/>
  <c r="I4957" i="143"/>
  <c r="L4957" i="143" s="1"/>
  <c r="I4956" i="143"/>
  <c r="G4956" i="143"/>
  <c r="I4950" i="143"/>
  <c r="I4949" i="143"/>
  <c r="L4949" i="143" s="1"/>
  <c r="I4948" i="143"/>
  <c r="L4948" i="143" s="1"/>
  <c r="I4947" i="143"/>
  <c r="L4947" i="143" s="1"/>
  <c r="I4941" i="143"/>
  <c r="L4941" i="143" s="1"/>
  <c r="I4940" i="143"/>
  <c r="G4940" i="143"/>
  <c r="I4939" i="143"/>
  <c r="G4939" i="143"/>
  <c r="I4938" i="143"/>
  <c r="G4938" i="143"/>
  <c r="L4917" i="143"/>
  <c r="K4917" i="143"/>
  <c r="L4916" i="143"/>
  <c r="K4916" i="143"/>
  <c r="L4915" i="143"/>
  <c r="K4915" i="143"/>
  <c r="L4909" i="143"/>
  <c r="I4908" i="143"/>
  <c r="K4908" i="143" s="1"/>
  <c r="I4907" i="143"/>
  <c r="L4907" i="143" s="1"/>
  <c r="I4906" i="143"/>
  <c r="G4906" i="143"/>
  <c r="I4900" i="143"/>
  <c r="I4899" i="143"/>
  <c r="K4899" i="143" s="1"/>
  <c r="I4898" i="143"/>
  <c r="L4898" i="143" s="1"/>
  <c r="I4897" i="143"/>
  <c r="L4897" i="143" s="1"/>
  <c r="I4891" i="143"/>
  <c r="G4891" i="143"/>
  <c r="I4890" i="143"/>
  <c r="G4890" i="143"/>
  <c r="I4889" i="143"/>
  <c r="G4889" i="143"/>
  <c r="I4888" i="143"/>
  <c r="G4888" i="143"/>
  <c r="I4887" i="143"/>
  <c r="G4887" i="143"/>
  <c r="I4886" i="143"/>
  <c r="G4886" i="143"/>
  <c r="L4812" i="143"/>
  <c r="K4812" i="143"/>
  <c r="L4811" i="143"/>
  <c r="K4811" i="143"/>
  <c r="L4810" i="143"/>
  <c r="K4810" i="143"/>
  <c r="L4804" i="143"/>
  <c r="I4803" i="143"/>
  <c r="L4803" i="143" s="1"/>
  <c r="I4802" i="143"/>
  <c r="I4801" i="143"/>
  <c r="G4801" i="143"/>
  <c r="I4795" i="143"/>
  <c r="K4795" i="143" s="1"/>
  <c r="I4794" i="143"/>
  <c r="K4794" i="143" s="1"/>
  <c r="I4793" i="143"/>
  <c r="L4793" i="143" s="1"/>
  <c r="I4792" i="143"/>
  <c r="I4786" i="143"/>
  <c r="L4786" i="143" s="1"/>
  <c r="I4785" i="143"/>
  <c r="I4784" i="143"/>
  <c r="K4784" i="143" s="1"/>
  <c r="I4783" i="143"/>
  <c r="L4783" i="143" s="1"/>
  <c r="I4782" i="143"/>
  <c r="L4782" i="143" s="1"/>
  <c r="I4781" i="143"/>
  <c r="I4780" i="143"/>
  <c r="K4780" i="143" s="1"/>
  <c r="I4779" i="143"/>
  <c r="K4779" i="143" s="1"/>
  <c r="I4778" i="143"/>
  <c r="L4778" i="143" s="1"/>
  <c r="I4777" i="143"/>
  <c r="L4756" i="143"/>
  <c r="K4756" i="143"/>
  <c r="L4755" i="143"/>
  <c r="K4755" i="143"/>
  <c r="L4754" i="143"/>
  <c r="K4754" i="143"/>
  <c r="L4748" i="143"/>
  <c r="I4747" i="143"/>
  <c r="L4747" i="143" s="1"/>
  <c r="I4746" i="143"/>
  <c r="L4746" i="143" s="1"/>
  <c r="I4745" i="143"/>
  <c r="G4745" i="143"/>
  <c r="I4739" i="143"/>
  <c r="I4738" i="143"/>
  <c r="K4738" i="143" s="1"/>
  <c r="I4737" i="143"/>
  <c r="L4737" i="143" s="1"/>
  <c r="I4736" i="143"/>
  <c r="L4736" i="143" s="1"/>
  <c r="I4730" i="143"/>
  <c r="K4730" i="143" s="1"/>
  <c r="I4729" i="143"/>
  <c r="L4729" i="143" s="1"/>
  <c r="I4728" i="143"/>
  <c r="I4727" i="143"/>
  <c r="K4727" i="143" s="1"/>
  <c r="I4726" i="143"/>
  <c r="K4726" i="143" s="1"/>
  <c r="I4725" i="143"/>
  <c r="L4725" i="143" s="1"/>
  <c r="I4724" i="143"/>
  <c r="I4723" i="143"/>
  <c r="K4723" i="143" s="1"/>
  <c r="I4722" i="143"/>
  <c r="L4722" i="143" s="1"/>
  <c r="I4721" i="143"/>
  <c r="L4721" i="143" s="1"/>
  <c r="L4700" i="143"/>
  <c r="K4700" i="143"/>
  <c r="L4699" i="143"/>
  <c r="K4699" i="143"/>
  <c r="L4698" i="143"/>
  <c r="K4698" i="143"/>
  <c r="L4692" i="143"/>
  <c r="I4691" i="143"/>
  <c r="K4691" i="143" s="1"/>
  <c r="I4690" i="143"/>
  <c r="L4690" i="143" s="1"/>
  <c r="I4689" i="143"/>
  <c r="G4689" i="143"/>
  <c r="I4683" i="143"/>
  <c r="L4683" i="143" s="1"/>
  <c r="I4682" i="143"/>
  <c r="I4681" i="143"/>
  <c r="L4681" i="143" s="1"/>
  <c r="I4680" i="143"/>
  <c r="L4680" i="143" s="1"/>
  <c r="I4674" i="143"/>
  <c r="L4674" i="143" s="1"/>
  <c r="I4673" i="143"/>
  <c r="K4673" i="143" s="1"/>
  <c r="I4672" i="143"/>
  <c r="L4672" i="143" s="1"/>
  <c r="I4671" i="143"/>
  <c r="I4670" i="143"/>
  <c r="L4670" i="143" s="1"/>
  <c r="I4669" i="143"/>
  <c r="L4669" i="143" s="1"/>
  <c r="I4668" i="143"/>
  <c r="L4668" i="143" s="1"/>
  <c r="I4667" i="143"/>
  <c r="I4666" i="143"/>
  <c r="L4666" i="143" s="1"/>
  <c r="I4665" i="143"/>
  <c r="L4665" i="143" s="1"/>
  <c r="L4644" i="143"/>
  <c r="K4644" i="143"/>
  <c r="L4643" i="143"/>
  <c r="K4643" i="143"/>
  <c r="L4642" i="143"/>
  <c r="K4642" i="143"/>
  <c r="L4636" i="143"/>
  <c r="I4635" i="143"/>
  <c r="I4634" i="143"/>
  <c r="K4634" i="143" s="1"/>
  <c r="I4633" i="143"/>
  <c r="G4633" i="143"/>
  <c r="I4627" i="143"/>
  <c r="L4627" i="143" s="1"/>
  <c r="I4626" i="143"/>
  <c r="L4626" i="143" s="1"/>
  <c r="I4625" i="143"/>
  <c r="I4624" i="143"/>
  <c r="K4624" i="143" s="1"/>
  <c r="I4618" i="143"/>
  <c r="I4617" i="143"/>
  <c r="K4617" i="143" s="1"/>
  <c r="I4616" i="143"/>
  <c r="L4616" i="143" s="1"/>
  <c r="I4615" i="143"/>
  <c r="G4615" i="143"/>
  <c r="I4614" i="143"/>
  <c r="G4614" i="143"/>
  <c r="I4613" i="143"/>
  <c r="G4613" i="143"/>
  <c r="I4612" i="143"/>
  <c r="G4612" i="143"/>
  <c r="I4611" i="143"/>
  <c r="G4611" i="143"/>
  <c r="I4610" i="143"/>
  <c r="G4610" i="143"/>
  <c r="I4609" i="143"/>
  <c r="G4609" i="143"/>
  <c r="L4588" i="143"/>
  <c r="K4588" i="143"/>
  <c r="L4587" i="143"/>
  <c r="K4587" i="143"/>
  <c r="L4586" i="143"/>
  <c r="K4586" i="143"/>
  <c r="I4580" i="143"/>
  <c r="L4580" i="143" s="1"/>
  <c r="I4579" i="143"/>
  <c r="K4579" i="143" s="1"/>
  <c r="I4578" i="143"/>
  <c r="K4578" i="143" s="1"/>
  <c r="I4577" i="143"/>
  <c r="G4577" i="143"/>
  <c r="I4571" i="143"/>
  <c r="L4571" i="143" s="1"/>
  <c r="I4570" i="143"/>
  <c r="L4570" i="143" s="1"/>
  <c r="I4569" i="143"/>
  <c r="K4569" i="143" s="1"/>
  <c r="I4568" i="143"/>
  <c r="K4568" i="143" s="1"/>
  <c r="I4562" i="143"/>
  <c r="K4562" i="143" s="1"/>
  <c r="I4561" i="143"/>
  <c r="G4561" i="143"/>
  <c r="I4560" i="143"/>
  <c r="G4560" i="143"/>
  <c r="I4559" i="143"/>
  <c r="G4559" i="143"/>
  <c r="I4558" i="143"/>
  <c r="G4558" i="143"/>
  <c r="L4537" i="143"/>
  <c r="K4537" i="143"/>
  <c r="L4536" i="143"/>
  <c r="K4536" i="143"/>
  <c r="L4535" i="143"/>
  <c r="K4535" i="143"/>
  <c r="I4529" i="143"/>
  <c r="L4529" i="143" s="1"/>
  <c r="I4528" i="143"/>
  <c r="K4528" i="143" s="1"/>
  <c r="I4527" i="143"/>
  <c r="L4527" i="143" s="1"/>
  <c r="I4526" i="143"/>
  <c r="G4526" i="143"/>
  <c r="I4520" i="143"/>
  <c r="L4520" i="143" s="1"/>
  <c r="I4519" i="143"/>
  <c r="K4519" i="143" s="1"/>
  <c r="I4518" i="143"/>
  <c r="L4518" i="143" s="1"/>
  <c r="I4517" i="143"/>
  <c r="L4517" i="143" s="1"/>
  <c r="I4511" i="143"/>
  <c r="K4511" i="143" s="1"/>
  <c r="I4510" i="143"/>
  <c r="G4510" i="143"/>
  <c r="I4509" i="143"/>
  <c r="G4509" i="143"/>
  <c r="I4508" i="143"/>
  <c r="G4508" i="143"/>
  <c r="I4507" i="143"/>
  <c r="G4507" i="143"/>
  <c r="L4486" i="143"/>
  <c r="K4486" i="143"/>
  <c r="L4485" i="143"/>
  <c r="K4485" i="143"/>
  <c r="L4484" i="143"/>
  <c r="K4484" i="143"/>
  <c r="I4478" i="143"/>
  <c r="L4478" i="143" s="1"/>
  <c r="I4477" i="143"/>
  <c r="K4477" i="143" s="1"/>
  <c r="I4476" i="143"/>
  <c r="L4476" i="143" s="1"/>
  <c r="I4475" i="143"/>
  <c r="G4475" i="143"/>
  <c r="I4469" i="143"/>
  <c r="K4469" i="143" s="1"/>
  <c r="I4468" i="143"/>
  <c r="L4468" i="143" s="1"/>
  <c r="I4467" i="143"/>
  <c r="K4467" i="143" s="1"/>
  <c r="I4466" i="143"/>
  <c r="L4466" i="143" s="1"/>
  <c r="I4460" i="143"/>
  <c r="K4460" i="143" s="1"/>
  <c r="I4459" i="143"/>
  <c r="K4459" i="143" s="1"/>
  <c r="I4458" i="143"/>
  <c r="L4458" i="143" s="1"/>
  <c r="I4457" i="143"/>
  <c r="K4457" i="143" s="1"/>
  <c r="I4456" i="143"/>
  <c r="G4456" i="143"/>
  <c r="I4455" i="143"/>
  <c r="G4455" i="143"/>
  <c r="I4454" i="143"/>
  <c r="G4454" i="143"/>
  <c r="K4398" i="143"/>
  <c r="I4398" i="143"/>
  <c r="E4422" i="143" s="1"/>
  <c r="D4398" i="143"/>
  <c r="B4398" i="143"/>
  <c r="K4346" i="143"/>
  <c r="I4346" i="143"/>
  <c r="E4361" i="143" s="1"/>
  <c r="D4346" i="143"/>
  <c r="B4346" i="143"/>
  <c r="L4433" i="143"/>
  <c r="K4433" i="143"/>
  <c r="L4432" i="143"/>
  <c r="K4432" i="143"/>
  <c r="L4431" i="143"/>
  <c r="K4431" i="143"/>
  <c r="I4425" i="143"/>
  <c r="L4425" i="143" s="1"/>
  <c r="I4424" i="143"/>
  <c r="L4424" i="143" s="1"/>
  <c r="I4423" i="143"/>
  <c r="K4423" i="143" s="1"/>
  <c r="I4422" i="143"/>
  <c r="G4422" i="143"/>
  <c r="I4416" i="143"/>
  <c r="L4416" i="143" s="1"/>
  <c r="I4415" i="143"/>
  <c r="L4415" i="143" s="1"/>
  <c r="I4414" i="143"/>
  <c r="K4414" i="143" s="1"/>
  <c r="I4413" i="143"/>
  <c r="K4413" i="143" s="1"/>
  <c r="I4407" i="143"/>
  <c r="K4407" i="143" s="1"/>
  <c r="I4406" i="143"/>
  <c r="K4406" i="143" s="1"/>
  <c r="I4405" i="143"/>
  <c r="L4405" i="143" s="1"/>
  <c r="I4404" i="143"/>
  <c r="L4404" i="143" s="1"/>
  <c r="I4403" i="143"/>
  <c r="K4403" i="143" s="1"/>
  <c r="I4402" i="143"/>
  <c r="K4402" i="143" s="1"/>
  <c r="L4381" i="143"/>
  <c r="K4381" i="143"/>
  <c r="L4380" i="143"/>
  <c r="K4380" i="143"/>
  <c r="L4379" i="143"/>
  <c r="K4379" i="143"/>
  <c r="I4373" i="143"/>
  <c r="L4373" i="143" s="1"/>
  <c r="I4372" i="143"/>
  <c r="L4372" i="143" s="1"/>
  <c r="I4371" i="143"/>
  <c r="L4371" i="143" s="1"/>
  <c r="I4370" i="143"/>
  <c r="L4370" i="143" s="1"/>
  <c r="I4364" i="143"/>
  <c r="L4364" i="143" s="1"/>
  <c r="I4363" i="143"/>
  <c r="L4363" i="143" s="1"/>
  <c r="I4362" i="143"/>
  <c r="K4362" i="143" s="1"/>
  <c r="I4361" i="143"/>
  <c r="G4361" i="143"/>
  <c r="I4355" i="143"/>
  <c r="L4355" i="143" s="1"/>
  <c r="I4354" i="143"/>
  <c r="L4354" i="143" s="1"/>
  <c r="I4353" i="143"/>
  <c r="L4353" i="143" s="1"/>
  <c r="I4352" i="143"/>
  <c r="K4352" i="143" s="1"/>
  <c r="I4351" i="143"/>
  <c r="L4351" i="143" s="1"/>
  <c r="I4350" i="143"/>
  <c r="L4350" i="143" s="1"/>
  <c r="K4297" i="143"/>
  <c r="I4297" i="143"/>
  <c r="E4318" i="143" s="1"/>
  <c r="D4297" i="143"/>
  <c r="B4297" i="143"/>
  <c r="K4246" i="143"/>
  <c r="I4246" i="143"/>
  <c r="E4269" i="143" s="1"/>
  <c r="D4246" i="143"/>
  <c r="B4246" i="143"/>
  <c r="K4190" i="143"/>
  <c r="I4190" i="143"/>
  <c r="E4218" i="143" s="1"/>
  <c r="D4190" i="143"/>
  <c r="B4190" i="143"/>
  <c r="L4329" i="143"/>
  <c r="K4329" i="143"/>
  <c r="L4328" i="143"/>
  <c r="K4328" i="143"/>
  <c r="L4327" i="143"/>
  <c r="K4327" i="143"/>
  <c r="L4321" i="143"/>
  <c r="I4320" i="143"/>
  <c r="K4320" i="143" s="1"/>
  <c r="I4319" i="143"/>
  <c r="L4319" i="143" s="1"/>
  <c r="I4318" i="143"/>
  <c r="G4318" i="143"/>
  <c r="I4312" i="143"/>
  <c r="L4312" i="143" s="1"/>
  <c r="I4311" i="143"/>
  <c r="K4311" i="143" s="1"/>
  <c r="I4310" i="143"/>
  <c r="L4310" i="143" s="1"/>
  <c r="I4309" i="143"/>
  <c r="L4309" i="143" s="1"/>
  <c r="I4303" i="143"/>
  <c r="L4303" i="143" s="1"/>
  <c r="I4302" i="143"/>
  <c r="L4302" i="143" s="1"/>
  <c r="I4301" i="143"/>
  <c r="L4301" i="143" s="1"/>
  <c r="L4280" i="143"/>
  <c r="K4280" i="143"/>
  <c r="L4279" i="143"/>
  <c r="K4279" i="143"/>
  <c r="L4278" i="143"/>
  <c r="K4278" i="143"/>
  <c r="L4272" i="143"/>
  <c r="I4271" i="143"/>
  <c r="L4271" i="143" s="1"/>
  <c r="I4270" i="143"/>
  <c r="L4270" i="143" s="1"/>
  <c r="I4269" i="143"/>
  <c r="G4269" i="143"/>
  <c r="I4263" i="143"/>
  <c r="L4263" i="143" s="1"/>
  <c r="I4262" i="143"/>
  <c r="L4262" i="143" s="1"/>
  <c r="I4261" i="143"/>
  <c r="L4261" i="143" s="1"/>
  <c r="L4260" i="143"/>
  <c r="I4254" i="143"/>
  <c r="L4254" i="143" s="1"/>
  <c r="I4253" i="143"/>
  <c r="K4253" i="143" s="1"/>
  <c r="I4252" i="143"/>
  <c r="K4252" i="143" s="1"/>
  <c r="I4251" i="143"/>
  <c r="L4251" i="143" s="1"/>
  <c r="I4250" i="143"/>
  <c r="L4250" i="143" s="1"/>
  <c r="L4229" i="143"/>
  <c r="K4229" i="143"/>
  <c r="L4228" i="143"/>
  <c r="K4228" i="143"/>
  <c r="L4227" i="143"/>
  <c r="K4227" i="143"/>
  <c r="L4221" i="143"/>
  <c r="I4220" i="143"/>
  <c r="K4220" i="143" s="1"/>
  <c r="I4219" i="143"/>
  <c r="L4219" i="143" s="1"/>
  <c r="I4218" i="143"/>
  <c r="G4218" i="143"/>
  <c r="I4212" i="143"/>
  <c r="L4212" i="143" s="1"/>
  <c r="I4211" i="143"/>
  <c r="L4211" i="143" s="1"/>
  <c r="I4210" i="143"/>
  <c r="L4210" i="143" s="1"/>
  <c r="L4209" i="143"/>
  <c r="I4203" i="143"/>
  <c r="L4203" i="143" s="1"/>
  <c r="I4202" i="143"/>
  <c r="K4202" i="143" s="1"/>
  <c r="I4201" i="143"/>
  <c r="L4201" i="143" s="1"/>
  <c r="I4200" i="143"/>
  <c r="L4200" i="143" s="1"/>
  <c r="I4199" i="143"/>
  <c r="L4199" i="143" s="1"/>
  <c r="I4198" i="143"/>
  <c r="L4198" i="143" s="1"/>
  <c r="I4197" i="143"/>
  <c r="K4197" i="143" s="1"/>
  <c r="I4196" i="143"/>
  <c r="L4196" i="143" s="1"/>
  <c r="I4195" i="143"/>
  <c r="L4195" i="143" s="1"/>
  <c r="I4194" i="143"/>
  <c r="L4194" i="143" s="1"/>
  <c r="I4162" i="143"/>
  <c r="K4140" i="143"/>
  <c r="I4140" i="143"/>
  <c r="E4146" i="143" s="1"/>
  <c r="D4140" i="143"/>
  <c r="B4140" i="143"/>
  <c r="L4173" i="143"/>
  <c r="K4173" i="143"/>
  <c r="L4172" i="143"/>
  <c r="K4172" i="143"/>
  <c r="L4171" i="143"/>
  <c r="K4171" i="143"/>
  <c r="L4165" i="143"/>
  <c r="I4164" i="143"/>
  <c r="K4164" i="143" s="1"/>
  <c r="I4163" i="143"/>
  <c r="L4163" i="143" s="1"/>
  <c r="G4162" i="143"/>
  <c r="I4156" i="143"/>
  <c r="L4156" i="143" s="1"/>
  <c r="I4155" i="143"/>
  <c r="L4155" i="143" s="1"/>
  <c r="I4154" i="143"/>
  <c r="L4154" i="143" s="1"/>
  <c r="I4153" i="143"/>
  <c r="K4153" i="143" s="1"/>
  <c r="I4147" i="143"/>
  <c r="I4146" i="143"/>
  <c r="G4146" i="143"/>
  <c r="I4145" i="143"/>
  <c r="G4145" i="143"/>
  <c r="I4144" i="143"/>
  <c r="G4144" i="143"/>
  <c r="K4088" i="143"/>
  <c r="I4088" i="143"/>
  <c r="E4092" i="143" s="1"/>
  <c r="E4093" i="143" s="1"/>
  <c r="D4088" i="143"/>
  <c r="B4088" i="143"/>
  <c r="L4123" i="143"/>
  <c r="K4123" i="143"/>
  <c r="L4122" i="143"/>
  <c r="K4122" i="143"/>
  <c r="L4121" i="143"/>
  <c r="K4121" i="143"/>
  <c r="L4115" i="143"/>
  <c r="I4114" i="143"/>
  <c r="K4114" i="143" s="1"/>
  <c r="I4113" i="143"/>
  <c r="L4113" i="143" s="1"/>
  <c r="I4112" i="143"/>
  <c r="G4112" i="143"/>
  <c r="I4106" i="143"/>
  <c r="K4106" i="143" s="1"/>
  <c r="I4105" i="143"/>
  <c r="L4105" i="143" s="1"/>
  <c r="I4104" i="143"/>
  <c r="K4104" i="143" s="1"/>
  <c r="I4103" i="143"/>
  <c r="L4103" i="143" s="1"/>
  <c r="I4097" i="143"/>
  <c r="G4097" i="143"/>
  <c r="I4096" i="143"/>
  <c r="G4096" i="143"/>
  <c r="I4095" i="143"/>
  <c r="G4095" i="143"/>
  <c r="I4094" i="143"/>
  <c r="G4094" i="143"/>
  <c r="I4093" i="143"/>
  <c r="G4093" i="143"/>
  <c r="I4092" i="143"/>
  <c r="G4092" i="143"/>
  <c r="K4032" i="143"/>
  <c r="I4032" i="143"/>
  <c r="E4060" i="143" s="1"/>
  <c r="D4032" i="143"/>
  <c r="B4032" i="143"/>
  <c r="L4071" i="143"/>
  <c r="K4071" i="143"/>
  <c r="L4070" i="143"/>
  <c r="K4070" i="143"/>
  <c r="L4069" i="143"/>
  <c r="K4069" i="143"/>
  <c r="L4063" i="143"/>
  <c r="I4062" i="143"/>
  <c r="K4062" i="143" s="1"/>
  <c r="I4061" i="143"/>
  <c r="L4061" i="143" s="1"/>
  <c r="I4060" i="143"/>
  <c r="G4060" i="143"/>
  <c r="I4054" i="143"/>
  <c r="L4054" i="143" s="1"/>
  <c r="I4053" i="143"/>
  <c r="L4053" i="143" s="1"/>
  <c r="I4052" i="143"/>
  <c r="L4052" i="143" s="1"/>
  <c r="I4051" i="143"/>
  <c r="L4051" i="143" s="1"/>
  <c r="I4045" i="143"/>
  <c r="L4045" i="143" s="1"/>
  <c r="I4044" i="143"/>
  <c r="L4044" i="143" s="1"/>
  <c r="I4043" i="143"/>
  <c r="L4043" i="143" s="1"/>
  <c r="I4042" i="143"/>
  <c r="K4042" i="143" s="1"/>
  <c r="I4041" i="143"/>
  <c r="L4041" i="143" s="1"/>
  <c r="I4040" i="143"/>
  <c r="L4040" i="143" s="1"/>
  <c r="I4039" i="143"/>
  <c r="L4039" i="143" s="1"/>
  <c r="I4038" i="143"/>
  <c r="L4038" i="143" s="1"/>
  <c r="I4037" i="143"/>
  <c r="K4037" i="143" s="1"/>
  <c r="I4036" i="143"/>
  <c r="L4036" i="143" s="1"/>
  <c r="K3976" i="143"/>
  <c r="I3976" i="143"/>
  <c r="E4004" i="143" s="1"/>
  <c r="L132" i="149" s="1"/>
  <c r="M132" i="149" s="1"/>
  <c r="D3976" i="143"/>
  <c r="B3976" i="143"/>
  <c r="L4015" i="143"/>
  <c r="K4015" i="143"/>
  <c r="L4014" i="143"/>
  <c r="K4014" i="143"/>
  <c r="L4013" i="143"/>
  <c r="K4013" i="143"/>
  <c r="L4007" i="143"/>
  <c r="I4006" i="143"/>
  <c r="K4006" i="143" s="1"/>
  <c r="I4005" i="143"/>
  <c r="L4005" i="143" s="1"/>
  <c r="I4004" i="143"/>
  <c r="G4004" i="143"/>
  <c r="I3998" i="143"/>
  <c r="L3998" i="143" s="1"/>
  <c r="I3997" i="143"/>
  <c r="L3997" i="143" s="1"/>
  <c r="I3996" i="143"/>
  <c r="L3996" i="143" s="1"/>
  <c r="I3995" i="143"/>
  <c r="K3995" i="143" s="1"/>
  <c r="I3989" i="143"/>
  <c r="L3989" i="143" s="1"/>
  <c r="I3988" i="143"/>
  <c r="L3988" i="143" s="1"/>
  <c r="I3987" i="143"/>
  <c r="L3987" i="143" s="1"/>
  <c r="I3986" i="143"/>
  <c r="L3986" i="143" s="1"/>
  <c r="I3985" i="143"/>
  <c r="L3985" i="143" s="1"/>
  <c r="I3984" i="143"/>
  <c r="L3984" i="143" s="1"/>
  <c r="I3983" i="143"/>
  <c r="L3983" i="143" s="1"/>
  <c r="I3982" i="143"/>
  <c r="L3982" i="143" s="1"/>
  <c r="I3981" i="143"/>
  <c r="L3981" i="143" s="1"/>
  <c r="I3980" i="143"/>
  <c r="L3980" i="143" s="1"/>
  <c r="K3920" i="143"/>
  <c r="I3920" i="143"/>
  <c r="D3920" i="143"/>
  <c r="B3920" i="143"/>
  <c r="L3959" i="143"/>
  <c r="K3959" i="143"/>
  <c r="L3958" i="143"/>
  <c r="K3958" i="143"/>
  <c r="L3957" i="143"/>
  <c r="K3957" i="143"/>
  <c r="L3951" i="143"/>
  <c r="I3950" i="143"/>
  <c r="K3950" i="143" s="1"/>
  <c r="I3949" i="143"/>
  <c r="L3949" i="143" s="1"/>
  <c r="I3948" i="143"/>
  <c r="G3948" i="143"/>
  <c r="I3942" i="143"/>
  <c r="L3942" i="143" s="1"/>
  <c r="I3941" i="143"/>
  <c r="K3941" i="143" s="1"/>
  <c r="I3940" i="143"/>
  <c r="K3940" i="143" s="1"/>
  <c r="I3939" i="143"/>
  <c r="L3939" i="143" s="1"/>
  <c r="I3933" i="143"/>
  <c r="L3933" i="143" s="1"/>
  <c r="I3932" i="143"/>
  <c r="L3932" i="143" s="1"/>
  <c r="I3931" i="143"/>
  <c r="L3931" i="143" s="1"/>
  <c r="I3930" i="143"/>
  <c r="I3929" i="143"/>
  <c r="I3928" i="143"/>
  <c r="I3927" i="143"/>
  <c r="I3926" i="143"/>
  <c r="I3925" i="143"/>
  <c r="I3924" i="143"/>
  <c r="K3864" i="143"/>
  <c r="I3864" i="143"/>
  <c r="E3892" i="143" s="1"/>
  <c r="D3864" i="143"/>
  <c r="B3864" i="143"/>
  <c r="L3903" i="143"/>
  <c r="K3903" i="143"/>
  <c r="L3902" i="143"/>
  <c r="K3902" i="143"/>
  <c r="L3901" i="143"/>
  <c r="K3901" i="143"/>
  <c r="L3895" i="143"/>
  <c r="I3894" i="143"/>
  <c r="K3894" i="143" s="1"/>
  <c r="I3893" i="143"/>
  <c r="L3893" i="143" s="1"/>
  <c r="I3892" i="143"/>
  <c r="G3892" i="143"/>
  <c r="I3886" i="143"/>
  <c r="K3886" i="143" s="1"/>
  <c r="I3885" i="143"/>
  <c r="L3885" i="143" s="1"/>
  <c r="I3884" i="143"/>
  <c r="L3884" i="143" s="1"/>
  <c r="I3883" i="143"/>
  <c r="L3883" i="143" s="1"/>
  <c r="I3877" i="143"/>
  <c r="L3877" i="143" s="1"/>
  <c r="I3876" i="143"/>
  <c r="K3876" i="143" s="1"/>
  <c r="I3875" i="143"/>
  <c r="K3875" i="143" s="1"/>
  <c r="I3874" i="143"/>
  <c r="G3874" i="143"/>
  <c r="I3873" i="143"/>
  <c r="G3873" i="143"/>
  <c r="I3872" i="143"/>
  <c r="G3872" i="143"/>
  <c r="I3871" i="143"/>
  <c r="G3871" i="143"/>
  <c r="I3870" i="143"/>
  <c r="G3870" i="143"/>
  <c r="I3869" i="143"/>
  <c r="G3869" i="143"/>
  <c r="I3868" i="143"/>
  <c r="G3868" i="143"/>
  <c r="K3813" i="143"/>
  <c r="I3813" i="143"/>
  <c r="E3817" i="143" s="1"/>
  <c r="D3813" i="143"/>
  <c r="B3813" i="143"/>
  <c r="L3847" i="143"/>
  <c r="K3847" i="143"/>
  <c r="L3846" i="143"/>
  <c r="K3846" i="143"/>
  <c r="L3845" i="143"/>
  <c r="K3845" i="143"/>
  <c r="I3839" i="143"/>
  <c r="L3839" i="143" s="1"/>
  <c r="I3838" i="143"/>
  <c r="L3838" i="143" s="1"/>
  <c r="I3837" i="143"/>
  <c r="K3837" i="143" s="1"/>
  <c r="I3836" i="143"/>
  <c r="G3836" i="143"/>
  <c r="I3830" i="143"/>
  <c r="L3830" i="143" s="1"/>
  <c r="I3829" i="143"/>
  <c r="L3829" i="143" s="1"/>
  <c r="I3828" i="143"/>
  <c r="L3828" i="143" s="1"/>
  <c r="I3827" i="143"/>
  <c r="L3827" i="143" s="1"/>
  <c r="I3821" i="143"/>
  <c r="L3821" i="143" s="1"/>
  <c r="I3820" i="143"/>
  <c r="G3820" i="143"/>
  <c r="I3819" i="143"/>
  <c r="G3819" i="143"/>
  <c r="I3818" i="143"/>
  <c r="G3818" i="143"/>
  <c r="I3817" i="143"/>
  <c r="G3817" i="143"/>
  <c r="I3786" i="143"/>
  <c r="L3786" i="143" s="1"/>
  <c r="I3787" i="143"/>
  <c r="I3788" i="143"/>
  <c r="L3788" i="143" s="1"/>
  <c r="I3785" i="143"/>
  <c r="I3777" i="143"/>
  <c r="L3777" i="143" s="1"/>
  <c r="I3778" i="143"/>
  <c r="K3778" i="143" s="1"/>
  <c r="I3779" i="143"/>
  <c r="L3779" i="143" s="1"/>
  <c r="I3776" i="143"/>
  <c r="L3776" i="143" s="1"/>
  <c r="I3767" i="143"/>
  <c r="I3768" i="143"/>
  <c r="I3769" i="143"/>
  <c r="I3770" i="143"/>
  <c r="K3770" i="143" s="1"/>
  <c r="I3766" i="143"/>
  <c r="I3735" i="143"/>
  <c r="L3735" i="143" s="1"/>
  <c r="I3736" i="143"/>
  <c r="K3736" i="143" s="1"/>
  <c r="I3737" i="143"/>
  <c r="I3734" i="143"/>
  <c r="I3726" i="143"/>
  <c r="L3726" i="143" s="1"/>
  <c r="I3727" i="143"/>
  <c r="L3727" i="143" s="1"/>
  <c r="I3728" i="143"/>
  <c r="L3728" i="143" s="1"/>
  <c r="I3725" i="143"/>
  <c r="L3725" i="143" s="1"/>
  <c r="I3711" i="143"/>
  <c r="I3712" i="143"/>
  <c r="I3713" i="143"/>
  <c r="L3713" i="143" s="1"/>
  <c r="I3714" i="143"/>
  <c r="L3714" i="143" s="1"/>
  <c r="I3715" i="143"/>
  <c r="L3715" i="143" s="1"/>
  <c r="I3716" i="143"/>
  <c r="K3716" i="143" s="1"/>
  <c r="I3717" i="143"/>
  <c r="L3717" i="143" s="1"/>
  <c r="I3718" i="143"/>
  <c r="L3718" i="143" s="1"/>
  <c r="I3719" i="143"/>
  <c r="L3719" i="143" s="1"/>
  <c r="I3710" i="143"/>
  <c r="I3670" i="143"/>
  <c r="L3670" i="143" s="1"/>
  <c r="I3671" i="143"/>
  <c r="L3671" i="143" s="1"/>
  <c r="I3672" i="143"/>
  <c r="L3672" i="143" s="1"/>
  <c r="I3669" i="143"/>
  <c r="I3679" i="143"/>
  <c r="L3679" i="143" s="1"/>
  <c r="I3680" i="143"/>
  <c r="K3680" i="143" s="1"/>
  <c r="I3681" i="143"/>
  <c r="L3681" i="143" s="1"/>
  <c r="I3678" i="143"/>
  <c r="I3655" i="143"/>
  <c r="K3655" i="143" s="1"/>
  <c r="I3656" i="143"/>
  <c r="L3656" i="143" s="1"/>
  <c r="I3657" i="143"/>
  <c r="K3657" i="143" s="1"/>
  <c r="I3658" i="143"/>
  <c r="K3658" i="143" s="1"/>
  <c r="I3659" i="143"/>
  <c r="K3659" i="143" s="1"/>
  <c r="I3660" i="143"/>
  <c r="L3660" i="143" s="1"/>
  <c r="I3661" i="143"/>
  <c r="L3661" i="143" s="1"/>
  <c r="I3662" i="143"/>
  <c r="K3662" i="143" s="1"/>
  <c r="I3663" i="143"/>
  <c r="K3663" i="143" s="1"/>
  <c r="I3654" i="143"/>
  <c r="L3654" i="143" s="1"/>
  <c r="I3623" i="143"/>
  <c r="K3623" i="143" s="1"/>
  <c r="I3624" i="143"/>
  <c r="K3624" i="143" s="1"/>
  <c r="I3625" i="143"/>
  <c r="L3625" i="143" s="1"/>
  <c r="I3622" i="143"/>
  <c r="K3622" i="143" s="1"/>
  <c r="I3614" i="143"/>
  <c r="L3614" i="143" s="1"/>
  <c r="I3615" i="143"/>
  <c r="K3615" i="143" s="1"/>
  <c r="I3616" i="143"/>
  <c r="K3616" i="143" s="1"/>
  <c r="I3599" i="143"/>
  <c r="K3599" i="143" s="1"/>
  <c r="I3600" i="143"/>
  <c r="L3600" i="143" s="1"/>
  <c r="I3601" i="143"/>
  <c r="L3601" i="143" s="1"/>
  <c r="I3602" i="143"/>
  <c r="L3602" i="143" s="1"/>
  <c r="I3603" i="143"/>
  <c r="K3603" i="143" s="1"/>
  <c r="I3604" i="143"/>
  <c r="L3604" i="143" s="1"/>
  <c r="I3605" i="143"/>
  <c r="L3605" i="143" s="1"/>
  <c r="I3606" i="143"/>
  <c r="L3606" i="143" s="1"/>
  <c r="I3607" i="143"/>
  <c r="K3607" i="143" s="1"/>
  <c r="I3598" i="143"/>
  <c r="L3598" i="143" s="1"/>
  <c r="G3785" i="143"/>
  <c r="G3767" i="143"/>
  <c r="G3768" i="143"/>
  <c r="G3769" i="143"/>
  <c r="G3766" i="143"/>
  <c r="K3762" i="143"/>
  <c r="I3762" i="143"/>
  <c r="E3768" i="143" s="1"/>
  <c r="D3762" i="143"/>
  <c r="B3762" i="143"/>
  <c r="L3796" i="143"/>
  <c r="K3796" i="143"/>
  <c r="L3795" i="143"/>
  <c r="K3795" i="143"/>
  <c r="L3794" i="143"/>
  <c r="K3794" i="143"/>
  <c r="K3787" i="143"/>
  <c r="G3711" i="143"/>
  <c r="G3712" i="143"/>
  <c r="G3710" i="143"/>
  <c r="K3706" i="143"/>
  <c r="I3706" i="143"/>
  <c r="E3712" i="143" s="1"/>
  <c r="D3706" i="143"/>
  <c r="B3706" i="143"/>
  <c r="L3745" i="143"/>
  <c r="K3745" i="143"/>
  <c r="L3744" i="143"/>
  <c r="K3744" i="143"/>
  <c r="L3743" i="143"/>
  <c r="K3743" i="143"/>
  <c r="L3737" i="143"/>
  <c r="G3734" i="143"/>
  <c r="G3678" i="143"/>
  <c r="K3650" i="143"/>
  <c r="I3650" i="143"/>
  <c r="E3678" i="143" s="1"/>
  <c r="D3650" i="143"/>
  <c r="B3650" i="143"/>
  <c r="L3689" i="143"/>
  <c r="K3689" i="143"/>
  <c r="L3688" i="143"/>
  <c r="K3688" i="143"/>
  <c r="L3687" i="143"/>
  <c r="K3687" i="143"/>
  <c r="I3613" i="143"/>
  <c r="G3613" i="143"/>
  <c r="K3594" i="143"/>
  <c r="I3594" i="143"/>
  <c r="E3613" i="143" s="1"/>
  <c r="D3594" i="143"/>
  <c r="B3594" i="143"/>
  <c r="L3633" i="143"/>
  <c r="K3633" i="143"/>
  <c r="L3632" i="143"/>
  <c r="K3632" i="143"/>
  <c r="L3631" i="143"/>
  <c r="K3631" i="143"/>
  <c r="L525" i="148" l="1"/>
  <c r="L526" i="148" s="1"/>
  <c r="I40" i="1"/>
  <c r="I17" i="1"/>
  <c r="M17" i="1" s="1"/>
  <c r="J18" i="1"/>
  <c r="I25" i="1"/>
  <c r="J25" i="1" s="1"/>
  <c r="I22" i="1"/>
  <c r="M22" i="1" s="1"/>
  <c r="I21" i="1"/>
  <c r="M21" i="1" s="1"/>
  <c r="M162" i="148"/>
  <c r="J40" i="1"/>
  <c r="M40" i="1"/>
  <c r="O40" i="1" s="1"/>
  <c r="K799" i="148"/>
  <c r="K801" i="148" s="1"/>
  <c r="M29" i="1"/>
  <c r="O29" i="1" s="1"/>
  <c r="J29" i="1"/>
  <c r="F541" i="148"/>
  <c r="K541" i="148" s="1"/>
  <c r="L541" i="148"/>
  <c r="L540" i="148"/>
  <c r="F540" i="148"/>
  <c r="K540" i="148" s="1"/>
  <c r="F539" i="148"/>
  <c r="K539" i="148" s="1"/>
  <c r="L539" i="148"/>
  <c r="M19" i="1"/>
  <c r="O19" i="1" s="1"/>
  <c r="J19" i="1"/>
  <c r="M526" i="148"/>
  <c r="E4839" i="143"/>
  <c r="L4839" i="143" s="1"/>
  <c r="M3730" i="148"/>
  <c r="K52" i="148"/>
  <c r="K54" i="148" s="1"/>
  <c r="M4748" i="148"/>
  <c r="K110" i="148"/>
  <c r="M3786" i="148"/>
  <c r="M4692" i="148"/>
  <c r="K262" i="148"/>
  <c r="K264" i="148" s="1"/>
  <c r="M1689" i="148"/>
  <c r="M2454" i="148"/>
  <c r="M3572" i="148"/>
  <c r="M4964" i="148"/>
  <c r="M2065" i="148"/>
  <c r="M3246" i="148"/>
  <c r="M5188" i="148"/>
  <c r="M4580" i="148"/>
  <c r="L212" i="148"/>
  <c r="L213" i="148" s="1"/>
  <c r="M3628" i="148"/>
  <c r="K3515" i="148"/>
  <c r="M3516" i="148" s="1"/>
  <c r="K2618" i="148"/>
  <c r="M4852" i="148"/>
  <c r="M4422" i="148"/>
  <c r="M1250" i="148"/>
  <c r="L128" i="149"/>
  <c r="M128" i="149" s="1"/>
  <c r="F3678" i="143"/>
  <c r="K3678" i="143" s="1"/>
  <c r="L49" i="149"/>
  <c r="M49" i="149" s="1"/>
  <c r="F5621" i="143"/>
  <c r="K5621" i="143" s="1"/>
  <c r="L46" i="149"/>
  <c r="M46" i="149" s="1"/>
  <c r="M4145" i="148"/>
  <c r="K2339" i="148"/>
  <c r="K2341" i="148" s="1"/>
  <c r="M2342" i="148" s="1"/>
  <c r="M1194" i="148"/>
  <c r="I14" i="1"/>
  <c r="M14" i="1" s="1"/>
  <c r="K210" i="148"/>
  <c r="K212" i="148" s="1"/>
  <c r="M3886" i="148"/>
  <c r="M2230" i="148"/>
  <c r="M475" i="148"/>
  <c r="M2720" i="148"/>
  <c r="M2819" i="148"/>
  <c r="L1523" i="148"/>
  <c r="L1524" i="148" s="1"/>
  <c r="M1524" i="148" s="1"/>
  <c r="M690" i="148"/>
  <c r="M2671" i="148"/>
  <c r="M636" i="148"/>
  <c r="M3837" i="148"/>
  <c r="M5356" i="148"/>
  <c r="K4042" i="148"/>
  <c r="M1580" i="148"/>
  <c r="M4094" i="148"/>
  <c r="M4201" i="148"/>
  <c r="K743" i="148"/>
  <c r="K745" i="148" s="1"/>
  <c r="M2566" i="148"/>
  <c r="M317" i="148"/>
  <c r="M1745" i="148"/>
  <c r="L2618" i="148"/>
  <c r="L2619" i="148" s="1"/>
  <c r="K3076" i="148"/>
  <c r="K3078" i="148" s="1"/>
  <c r="M3079" i="148" s="1"/>
  <c r="K4471" i="148"/>
  <c r="K4473" i="148" s="1"/>
  <c r="M5020" i="148"/>
  <c r="M2769" i="148"/>
  <c r="M1471" i="148"/>
  <c r="K2171" i="148"/>
  <c r="K2173" i="148" s="1"/>
  <c r="K1356" i="148"/>
  <c r="K1358" i="148" s="1"/>
  <c r="M1359" i="148" s="1"/>
  <c r="L4471" i="148"/>
  <c r="L4473" i="148" s="1"/>
  <c r="L4474" i="148" s="1"/>
  <c r="L3021" i="148"/>
  <c r="L3023" i="148" s="1"/>
  <c r="L3024" i="148" s="1"/>
  <c r="M1907" i="148"/>
  <c r="L2171" i="148"/>
  <c r="L2173" i="148" s="1"/>
  <c r="L2174" i="148" s="1"/>
  <c r="K3021" i="148"/>
  <c r="K3023" i="148" s="1"/>
  <c r="K4796" i="148"/>
  <c r="K4798" i="148" s="1"/>
  <c r="K3350" i="148"/>
  <c r="K3352" i="148" s="1"/>
  <c r="K1795" i="148"/>
  <c r="K1797" i="148" s="1"/>
  <c r="K2966" i="148"/>
  <c r="K2968" i="148" s="1"/>
  <c r="M2969" i="148" s="1"/>
  <c r="L3457" i="148"/>
  <c r="L3459" i="148" s="1"/>
  <c r="L3460" i="148" s="1"/>
  <c r="K2115" i="148"/>
  <c r="K2117" i="148" s="1"/>
  <c r="K1848" i="148"/>
  <c r="K1850" i="148" s="1"/>
  <c r="K1960" i="148"/>
  <c r="K1962" i="148" s="1"/>
  <c r="L1079" i="148"/>
  <c r="L1081" i="148" s="1"/>
  <c r="L1082" i="148" s="1"/>
  <c r="M1082" i="148" s="1"/>
  <c r="K2866" i="148"/>
  <c r="K2868" i="148" s="1"/>
  <c r="M2869" i="148" s="1"/>
  <c r="L5297" i="148"/>
  <c r="L5299" i="148" s="1"/>
  <c r="L5300" i="148" s="1"/>
  <c r="M5300" i="148" s="1"/>
  <c r="L1795" i="148"/>
  <c r="L1797" i="148" s="1"/>
  <c r="L1798" i="148" s="1"/>
  <c r="L1848" i="148"/>
  <c r="L1850" i="148" s="1"/>
  <c r="L1851" i="148" s="1"/>
  <c r="K1303" i="148"/>
  <c r="K1305" i="148" s="1"/>
  <c r="M1306" i="148" s="1"/>
  <c r="K3677" i="148"/>
  <c r="K3679" i="148" s="1"/>
  <c r="M3302" i="148"/>
  <c r="M3990" i="148"/>
  <c r="L855" i="148"/>
  <c r="L857" i="148" s="1"/>
  <c r="L858" i="148" s="1"/>
  <c r="M858" i="148" s="1"/>
  <c r="L2011" i="148"/>
  <c r="L2013" i="148" s="1"/>
  <c r="L2014" i="148" s="1"/>
  <c r="K2283" i="148"/>
  <c r="K2285" i="148" s="1"/>
  <c r="K2395" i="148"/>
  <c r="K2397" i="148" s="1"/>
  <c r="L2115" i="148"/>
  <c r="L2117" i="148" s="1"/>
  <c r="L2118" i="148" s="1"/>
  <c r="L2395" i="148"/>
  <c r="L2397" i="148" s="1"/>
  <c r="L2398" i="148" s="1"/>
  <c r="M5132" i="148"/>
  <c r="K4521" i="148"/>
  <c r="K4523" i="148" s="1"/>
  <c r="M4524" i="148" s="1"/>
  <c r="M4313" i="148"/>
  <c r="M5244" i="148"/>
  <c r="L3677" i="148"/>
  <c r="L3679" i="148" s="1"/>
  <c r="L3680" i="148" s="1"/>
  <c r="L1633" i="148"/>
  <c r="L1635" i="148" s="1"/>
  <c r="L1636" i="148" s="1"/>
  <c r="M1636" i="148" s="1"/>
  <c r="L3350" i="148"/>
  <c r="L3352" i="148" s="1"/>
  <c r="L3353" i="148" s="1"/>
  <c r="K2011" i="148"/>
  <c r="K2013" i="148" s="1"/>
  <c r="M1415" i="148"/>
  <c r="M3404" i="148"/>
  <c r="L1960" i="148"/>
  <c r="L1962" i="148" s="1"/>
  <c r="L1963" i="148" s="1"/>
  <c r="L4040" i="148"/>
  <c r="L4042" i="148" s="1"/>
  <c r="L4043" i="148" s="1"/>
  <c r="L2916" i="148"/>
  <c r="L2918" i="148" s="1"/>
  <c r="L2919" i="148" s="1"/>
  <c r="K1135" i="148"/>
  <c r="K1137" i="148" s="1"/>
  <c r="M1138" i="148" s="1"/>
  <c r="L3131" i="148"/>
  <c r="L3133" i="148" s="1"/>
  <c r="L3134" i="148" s="1"/>
  <c r="M3134" i="148" s="1"/>
  <c r="K5073" i="148"/>
  <c r="K5075" i="148" s="1"/>
  <c r="M5076" i="148" s="1"/>
  <c r="K4905" i="148"/>
  <c r="K4907" i="148" s="1"/>
  <c r="M4908" i="148" s="1"/>
  <c r="K2507" i="148"/>
  <c r="K2509" i="148" s="1"/>
  <c r="M2510" i="148" s="1"/>
  <c r="K2916" i="148"/>
  <c r="K2918" i="148" s="1"/>
  <c r="L2283" i="148"/>
  <c r="L2285" i="148" s="1"/>
  <c r="L2286" i="148" s="1"/>
  <c r="M3190" i="148"/>
  <c r="L4796" i="148"/>
  <c r="L4798" i="148" s="1"/>
  <c r="L4799" i="148" s="1"/>
  <c r="K3457" i="148"/>
  <c r="K3459" i="148" s="1"/>
  <c r="K4366" i="148"/>
  <c r="K4368" i="148" s="1"/>
  <c r="M4369" i="148" s="1"/>
  <c r="E5620" i="143"/>
  <c r="L5620" i="143" s="1"/>
  <c r="K5577" i="143"/>
  <c r="K742" i="143"/>
  <c r="L5621" i="143"/>
  <c r="E729" i="143"/>
  <c r="E5771" i="143"/>
  <c r="F5771" i="143" s="1"/>
  <c r="K5771" i="143" s="1"/>
  <c r="K5689" i="143"/>
  <c r="K5745" i="143"/>
  <c r="E5712" i="143"/>
  <c r="F5712" i="143" s="1"/>
  <c r="K5712" i="143" s="1"/>
  <c r="E5716" i="143"/>
  <c r="F5716" i="143" s="1"/>
  <c r="E5711" i="143"/>
  <c r="F5711" i="143" s="1"/>
  <c r="E5715" i="143"/>
  <c r="F5715" i="143" s="1"/>
  <c r="E5710" i="143"/>
  <c r="F5710" i="143" s="1"/>
  <c r="K5710" i="143" s="1"/>
  <c r="E5714" i="143"/>
  <c r="E5709" i="143"/>
  <c r="F5709" i="143" s="1"/>
  <c r="E5713" i="143"/>
  <c r="F5713" i="143" s="1"/>
  <c r="F5708" i="143"/>
  <c r="K5708" i="143" s="1"/>
  <c r="E5765" i="143"/>
  <c r="F5765" i="143" s="1"/>
  <c r="L742" i="143"/>
  <c r="L5353" i="143"/>
  <c r="K5409" i="143"/>
  <c r="L5633" i="143"/>
  <c r="L5689" i="143"/>
  <c r="L5801" i="143"/>
  <c r="E5766" i="143"/>
  <c r="F5766" i="143" s="1"/>
  <c r="K5766" i="143" s="1"/>
  <c r="E708" i="143"/>
  <c r="E705" i="143"/>
  <c r="F5764" i="143"/>
  <c r="K5764" i="143" s="1"/>
  <c r="E5770" i="143"/>
  <c r="E707" i="143"/>
  <c r="L720" i="143"/>
  <c r="L731" i="143"/>
  <c r="L713" i="143"/>
  <c r="L714" i="143"/>
  <c r="L730" i="143"/>
  <c r="L721" i="143"/>
  <c r="L711" i="143"/>
  <c r="K711" i="143"/>
  <c r="K723" i="143"/>
  <c r="E5769" i="143"/>
  <c r="F5769" i="143" s="1"/>
  <c r="K722" i="143"/>
  <c r="E5767" i="143"/>
  <c r="F5767" i="143" s="1"/>
  <c r="E5676" i="143"/>
  <c r="L5025" i="143"/>
  <c r="L5081" i="143"/>
  <c r="L5193" i="143"/>
  <c r="L5244" i="143"/>
  <c r="K5297" i="143"/>
  <c r="K5465" i="143"/>
  <c r="L5745" i="143"/>
  <c r="K5801" i="143"/>
  <c r="E5772" i="143"/>
  <c r="F5772" i="143" s="1"/>
  <c r="K5772" i="143" s="1"/>
  <c r="K4969" i="143"/>
  <c r="K5137" i="143"/>
  <c r="L5297" i="143"/>
  <c r="L5409" i="143"/>
  <c r="L5465" i="143"/>
  <c r="K5633" i="143"/>
  <c r="L5764" i="143"/>
  <c r="E5768" i="143"/>
  <c r="F5768" i="143" s="1"/>
  <c r="K5768" i="143" s="1"/>
  <c r="K5779" i="143"/>
  <c r="K5773" i="143"/>
  <c r="K5781" i="143"/>
  <c r="L5790" i="143"/>
  <c r="K5780" i="143"/>
  <c r="K5724" i="143"/>
  <c r="L5784" i="143"/>
  <c r="K5789" i="143"/>
  <c r="K5782" i="143"/>
  <c r="E5788" i="143"/>
  <c r="L29" i="149" s="1"/>
  <c r="M29" i="149" s="1"/>
  <c r="K5723" i="143"/>
  <c r="K5733" i="143"/>
  <c r="L5725" i="143"/>
  <c r="L5728" i="143" s="1"/>
  <c r="L5734" i="143"/>
  <c r="L5717" i="143"/>
  <c r="K5717" i="143"/>
  <c r="K5726" i="143"/>
  <c r="E5732" i="143"/>
  <c r="L21" i="149" s="1"/>
  <c r="M21" i="149" s="1"/>
  <c r="K5668" i="143"/>
  <c r="L5667" i="143"/>
  <c r="L5672" i="143" s="1"/>
  <c r="L5652" i="143"/>
  <c r="L5663" i="143" s="1"/>
  <c r="F5652" i="143"/>
  <c r="K5652" i="143" s="1"/>
  <c r="K5653" i="143"/>
  <c r="K5657" i="143"/>
  <c r="K5661" i="143"/>
  <c r="L5678" i="143"/>
  <c r="K5656" i="143"/>
  <c r="K5660" i="143"/>
  <c r="K5677" i="143"/>
  <c r="L130" i="145"/>
  <c r="M130" i="145" s="1"/>
  <c r="K5655" i="143"/>
  <c r="K5659" i="143"/>
  <c r="K5670" i="143"/>
  <c r="K5654" i="143"/>
  <c r="K5658" i="143"/>
  <c r="K5669" i="143"/>
  <c r="K5612" i="143"/>
  <c r="L5598" i="143"/>
  <c r="L5602" i="143"/>
  <c r="K5597" i="143"/>
  <c r="K5601" i="143"/>
  <c r="K5605" i="143"/>
  <c r="L5622" i="143"/>
  <c r="K5599" i="143"/>
  <c r="K5603" i="143"/>
  <c r="L5611" i="143"/>
  <c r="L5616" i="143" s="1"/>
  <c r="K5596" i="143"/>
  <c r="K5600" i="143"/>
  <c r="K5604" i="143"/>
  <c r="K5611" i="143"/>
  <c r="K5614" i="143"/>
  <c r="K5541" i="143"/>
  <c r="K5613" i="143"/>
  <c r="L5493" i="143"/>
  <c r="L5488" i="143"/>
  <c r="L3798" i="143"/>
  <c r="L4175" i="143"/>
  <c r="L4231" i="143"/>
  <c r="L4282" i="143"/>
  <c r="K4383" i="143"/>
  <c r="L4435" i="143"/>
  <c r="L4646" i="143"/>
  <c r="K4702" i="143"/>
  <c r="L4758" i="143"/>
  <c r="K4814" i="143"/>
  <c r="L4919" i="143"/>
  <c r="L4969" i="143"/>
  <c r="K5331" i="143"/>
  <c r="L5492" i="143"/>
  <c r="L5502" i="143"/>
  <c r="L5504" i="143" s="1"/>
  <c r="K5521" i="143"/>
  <c r="L5546" i="143"/>
  <c r="L5551" i="143" s="1"/>
  <c r="L5577" i="143"/>
  <c r="L5556" i="143"/>
  <c r="L3635" i="143"/>
  <c r="K3691" i="143"/>
  <c r="K4331" i="143"/>
  <c r="K4488" i="143"/>
  <c r="K4590" i="143"/>
  <c r="K4646" i="143"/>
  <c r="L4702" i="143"/>
  <c r="K4758" i="143"/>
  <c r="K5193" i="143"/>
  <c r="K5244" i="143"/>
  <c r="K5353" i="143"/>
  <c r="L5521" i="143"/>
  <c r="K5374" i="143"/>
  <c r="K5485" i="143"/>
  <c r="K5487" i="143"/>
  <c r="K5501" i="143"/>
  <c r="K5543" i="143"/>
  <c r="K5545" i="143"/>
  <c r="L5566" i="143"/>
  <c r="L5387" i="143"/>
  <c r="L5392" i="143" s="1"/>
  <c r="K5432" i="143"/>
  <c r="K5484" i="143"/>
  <c r="K5489" i="143"/>
  <c r="K5491" i="143"/>
  <c r="K5510" i="143"/>
  <c r="K5542" i="143"/>
  <c r="K5547" i="143"/>
  <c r="K5549" i="143"/>
  <c r="L5557" i="143"/>
  <c r="K5500" i="143"/>
  <c r="E5555" i="143"/>
  <c r="L5555" i="143" s="1"/>
  <c r="K5565" i="143"/>
  <c r="L5508" i="143"/>
  <c r="L5513" i="143" s="1"/>
  <c r="F5508" i="143"/>
  <c r="K5508" i="143" s="1"/>
  <c r="L5564" i="143"/>
  <c r="F5564" i="143"/>
  <c r="K5564" i="143" s="1"/>
  <c r="K5486" i="143"/>
  <c r="K5490" i="143"/>
  <c r="K5509" i="143"/>
  <c r="K5540" i="143"/>
  <c r="K5544" i="143"/>
  <c r="K5548" i="143"/>
  <c r="K5558" i="143"/>
  <c r="K5378" i="143"/>
  <c r="K5389" i="143"/>
  <c r="K5443" i="143"/>
  <c r="K5436" i="143"/>
  <c r="L5434" i="143"/>
  <c r="L5376" i="143"/>
  <c r="L5380" i="143"/>
  <c r="K5390" i="143"/>
  <c r="K5332" i="143"/>
  <c r="K5375" i="143"/>
  <c r="K5379" i="143"/>
  <c r="L5397" i="143"/>
  <c r="L5433" i="143"/>
  <c r="L5437" i="143"/>
  <c r="K5444" i="143"/>
  <c r="K5453" i="143"/>
  <c r="L5445" i="143"/>
  <c r="L5448" i="143" s="1"/>
  <c r="L5454" i="143"/>
  <c r="L5396" i="143"/>
  <c r="F5396" i="143"/>
  <c r="K5396" i="143" s="1"/>
  <c r="L5430" i="143"/>
  <c r="F5430" i="143"/>
  <c r="K5430" i="143" s="1"/>
  <c r="E5373" i="143"/>
  <c r="K5377" i="143"/>
  <c r="K5381" i="143"/>
  <c r="K5388" i="143"/>
  <c r="K5398" i="143"/>
  <c r="K5431" i="143"/>
  <c r="K5435" i="143"/>
  <c r="K5446" i="143"/>
  <c r="E5452" i="143"/>
  <c r="E5429" i="143"/>
  <c r="E5428" i="143"/>
  <c r="E5372" i="143"/>
  <c r="L5342" i="143"/>
  <c r="K5316" i="143"/>
  <c r="L5317" i="143"/>
  <c r="K5320" i="143"/>
  <c r="L5321" i="143"/>
  <c r="K5324" i="143"/>
  <c r="L5325" i="143"/>
  <c r="K5341" i="143"/>
  <c r="L5340" i="143"/>
  <c r="F5340" i="143"/>
  <c r="K5340" i="143" s="1"/>
  <c r="L5336" i="143"/>
  <c r="K5319" i="143"/>
  <c r="K5323" i="143"/>
  <c r="K5334" i="143"/>
  <c r="K5318" i="143"/>
  <c r="K5322" i="143"/>
  <c r="K5333" i="143"/>
  <c r="L5276" i="143"/>
  <c r="L5280" i="143" s="1"/>
  <c r="E5265" i="143"/>
  <c r="L5265" i="143" s="1"/>
  <c r="K5275" i="143"/>
  <c r="L5286" i="143"/>
  <c r="K5268" i="143"/>
  <c r="L5269" i="143"/>
  <c r="K5285" i="143"/>
  <c r="E5215" i="143"/>
  <c r="F5215" i="143" s="1"/>
  <c r="K5215" i="143" s="1"/>
  <c r="E5231" i="143"/>
  <c r="L5231" i="143" s="1"/>
  <c r="L5232" i="143"/>
  <c r="K5267" i="143"/>
  <c r="K5278" i="143"/>
  <c r="E5284" i="143"/>
  <c r="L83" i="149" s="1"/>
  <c r="M83" i="149" s="1"/>
  <c r="E5212" i="143"/>
  <c r="F5212" i="143" s="1"/>
  <c r="K5212" i="143" s="1"/>
  <c r="K5266" i="143"/>
  <c r="K5277" i="143"/>
  <c r="E5263" i="143"/>
  <c r="L5222" i="143"/>
  <c r="L5227" i="143" s="1"/>
  <c r="K5225" i="143"/>
  <c r="L5164" i="143"/>
  <c r="L5214" i="143"/>
  <c r="K5224" i="143"/>
  <c r="F5214" i="143"/>
  <c r="K5214" i="143" s="1"/>
  <c r="K5216" i="143"/>
  <c r="K5223" i="143"/>
  <c r="K5233" i="143"/>
  <c r="E5213" i="143"/>
  <c r="L5174" i="143"/>
  <c r="L5181" i="143"/>
  <c r="K5163" i="143"/>
  <c r="L4996" i="143"/>
  <c r="L5156" i="143"/>
  <c r="K5159" i="143"/>
  <c r="L5160" i="143"/>
  <c r="L5171" i="143"/>
  <c r="L5180" i="143"/>
  <c r="F5180" i="143"/>
  <c r="K5180" i="143" s="1"/>
  <c r="K5158" i="143"/>
  <c r="K5162" i="143"/>
  <c r="K5173" i="143"/>
  <c r="K5157" i="143"/>
  <c r="K5161" i="143"/>
  <c r="K5165" i="143"/>
  <c r="K5172" i="143"/>
  <c r="K5182" i="143"/>
  <c r="K5046" i="143"/>
  <c r="L5014" i="143"/>
  <c r="K5005" i="143"/>
  <c r="K3905" i="143"/>
  <c r="L4017" i="143"/>
  <c r="L4488" i="143"/>
  <c r="L4539" i="143"/>
  <c r="L4590" i="143"/>
  <c r="L4814" i="143"/>
  <c r="K4919" i="143"/>
  <c r="K4867" i="143"/>
  <c r="K5025" i="143"/>
  <c r="L5047" i="143"/>
  <c r="K5104" i="143"/>
  <c r="L5137" i="143"/>
  <c r="L4991" i="143"/>
  <c r="K3635" i="143"/>
  <c r="K3798" i="143"/>
  <c r="L3849" i="143"/>
  <c r="L3905" i="143"/>
  <c r="K3961" i="143"/>
  <c r="K4073" i="143"/>
  <c r="L4125" i="143"/>
  <c r="K4175" i="143"/>
  <c r="L4383" i="143"/>
  <c r="K4435" i="143"/>
  <c r="K4539" i="143"/>
  <c r="L4867" i="143"/>
  <c r="K5081" i="143"/>
  <c r="K4995" i="143"/>
  <c r="K5004" i="143"/>
  <c r="K5060" i="143"/>
  <c r="K5062" i="143"/>
  <c r="K5070" i="143"/>
  <c r="L5102" i="143"/>
  <c r="K5115" i="143"/>
  <c r="K5051" i="143"/>
  <c r="K5053" i="143"/>
  <c r="L5068" i="143"/>
  <c r="L5073" i="143" s="1"/>
  <c r="K5069" i="143"/>
  <c r="K5100" i="143"/>
  <c r="K5108" i="143"/>
  <c r="K5049" i="143"/>
  <c r="L5106" i="143"/>
  <c r="L5055" i="143"/>
  <c r="K4988" i="143"/>
  <c r="K4990" i="143"/>
  <c r="L5008" i="143"/>
  <c r="K5013" i="143"/>
  <c r="K5050" i="143"/>
  <c r="L5064" i="143"/>
  <c r="K5101" i="143"/>
  <c r="K5105" i="143"/>
  <c r="K5109" i="143"/>
  <c r="L5117" i="143"/>
  <c r="L5120" i="143" s="1"/>
  <c r="L5126" i="143"/>
  <c r="K4992" i="143"/>
  <c r="K4994" i="143"/>
  <c r="K5045" i="143"/>
  <c r="K5116" i="143"/>
  <c r="K5125" i="143"/>
  <c r="L5012" i="143"/>
  <c r="F5012" i="143"/>
  <c r="K5012" i="143" s="1"/>
  <c r="L5124" i="143"/>
  <c r="F5124" i="143"/>
  <c r="K5124" i="143" s="1"/>
  <c r="K4989" i="143"/>
  <c r="K4993" i="143"/>
  <c r="K4997" i="143"/>
  <c r="K5006" i="143"/>
  <c r="K5044" i="143"/>
  <c r="K5048" i="143"/>
  <c r="K5052" i="143"/>
  <c r="K5061" i="143"/>
  <c r="F5068" i="143"/>
  <c r="K5068" i="143" s="1"/>
  <c r="K5103" i="143"/>
  <c r="K5107" i="143"/>
  <c r="K5118" i="143"/>
  <c r="K4846" i="143"/>
  <c r="L4847" i="143"/>
  <c r="L4850" i="143" s="1"/>
  <c r="L128" i="145"/>
  <c r="M128" i="145" s="1"/>
  <c r="E4940" i="143"/>
  <c r="L4940" i="143" s="1"/>
  <c r="K4845" i="143"/>
  <c r="K4855" i="143"/>
  <c r="L4856" i="143"/>
  <c r="E4838" i="143"/>
  <c r="K4848" i="143"/>
  <c r="E4854" i="143"/>
  <c r="E4833" i="143"/>
  <c r="E210" i="149" s="1"/>
  <c r="F210" i="149" s="1"/>
  <c r="E4837" i="143"/>
  <c r="L4528" i="143"/>
  <c r="K4737" i="143"/>
  <c r="L4779" i="143"/>
  <c r="L4475" i="143"/>
  <c r="L4624" i="143"/>
  <c r="L4634" i="143"/>
  <c r="L4726" i="143"/>
  <c r="L4617" i="143"/>
  <c r="L4730" i="143"/>
  <c r="L4899" i="143"/>
  <c r="K4947" i="143"/>
  <c r="L4467" i="143"/>
  <c r="L4511" i="143"/>
  <c r="L4568" i="143"/>
  <c r="L4578" i="143"/>
  <c r="L4673" i="143"/>
  <c r="K4681" i="143"/>
  <c r="K4683" i="143"/>
  <c r="K4690" i="143"/>
  <c r="K4898" i="143"/>
  <c r="K4626" i="143"/>
  <c r="L4723" i="143"/>
  <c r="K4746" i="143"/>
  <c r="K4801" i="143"/>
  <c r="L4794" i="143"/>
  <c r="L4908" i="143"/>
  <c r="E4938" i="143"/>
  <c r="L4938" i="143" s="1"/>
  <c r="K4518" i="143"/>
  <c r="K4520" i="143"/>
  <c r="K4527" i="143"/>
  <c r="K4616" i="143"/>
  <c r="K4666" i="143"/>
  <c r="K4670" i="143"/>
  <c r="K4672" i="143"/>
  <c r="K4680" i="143"/>
  <c r="K4722" i="143"/>
  <c r="L4784" i="143"/>
  <c r="K4803" i="143"/>
  <c r="K4907" i="143"/>
  <c r="K4941" i="143"/>
  <c r="K4949" i="143"/>
  <c r="L4958" i="143"/>
  <c r="L4414" i="143"/>
  <c r="L4460" i="143"/>
  <c r="K4468" i="143"/>
  <c r="K4517" i="143"/>
  <c r="K4627" i="143"/>
  <c r="K4665" i="143"/>
  <c r="K4669" i="143"/>
  <c r="K4674" i="143"/>
  <c r="K4736" i="143"/>
  <c r="K4747" i="143"/>
  <c r="L4780" i="143"/>
  <c r="K4783" i="143"/>
  <c r="L4795" i="143"/>
  <c r="L4801" i="143"/>
  <c r="K4897" i="143"/>
  <c r="K4948" i="143"/>
  <c r="L4477" i="143"/>
  <c r="L4459" i="143"/>
  <c r="K4570" i="143"/>
  <c r="L4691" i="143"/>
  <c r="L4727" i="143"/>
  <c r="L4738" i="143"/>
  <c r="K4957" i="143"/>
  <c r="L4559" i="143"/>
  <c r="F4559" i="143"/>
  <c r="K4559" i="143" s="1"/>
  <c r="E4614" i="143"/>
  <c r="E4615" i="143"/>
  <c r="L4375" i="143"/>
  <c r="K4458" i="143"/>
  <c r="K4466" i="143"/>
  <c r="K4476" i="143"/>
  <c r="E4509" i="143"/>
  <c r="E4507" i="143"/>
  <c r="E4510" i="143"/>
  <c r="E4577" i="143"/>
  <c r="E4612" i="143"/>
  <c r="L4745" i="143"/>
  <c r="L4750" i="143" s="1"/>
  <c r="F4745" i="143"/>
  <c r="K4745" i="143" s="1"/>
  <c r="L4724" i="143"/>
  <c r="K4724" i="143"/>
  <c r="L4792" i="143"/>
  <c r="K4792" i="143"/>
  <c r="E4455" i="143"/>
  <c r="E4456" i="143"/>
  <c r="E279" i="145" s="1"/>
  <c r="F279" i="145" s="1"/>
  <c r="F4475" i="143"/>
  <c r="K4475" i="143" s="1"/>
  <c r="E4560" i="143"/>
  <c r="E4561" i="143"/>
  <c r="L4728" i="143"/>
  <c r="K4728" i="143"/>
  <c r="L4777" i="143"/>
  <c r="K4777" i="143"/>
  <c r="L4469" i="143"/>
  <c r="E4454" i="143"/>
  <c r="L4519" i="143"/>
  <c r="L4522" i="143" s="1"/>
  <c r="E4558" i="143"/>
  <c r="L4569" i="143"/>
  <c r="K4571" i="143"/>
  <c r="E4609" i="143"/>
  <c r="E4610" i="143"/>
  <c r="E4611" i="143"/>
  <c r="E4633" i="143"/>
  <c r="L4785" i="143"/>
  <c r="K4785" i="143"/>
  <c r="L4457" i="143"/>
  <c r="E4508" i="143"/>
  <c r="E4526" i="143"/>
  <c r="L4562" i="143"/>
  <c r="L4579" i="143"/>
  <c r="E4613" i="143"/>
  <c r="L4618" i="143"/>
  <c r="K4618" i="143"/>
  <c r="L4635" i="143"/>
  <c r="K4635" i="143"/>
  <c r="L4689" i="143"/>
  <c r="F4689" i="143"/>
  <c r="K4689" i="143" s="1"/>
  <c r="L4667" i="143"/>
  <c r="K4667" i="143"/>
  <c r="L4781" i="143"/>
  <c r="K4781" i="143"/>
  <c r="L4900" i="143"/>
  <c r="L4902" i="143" s="1"/>
  <c r="K4900" i="143"/>
  <c r="L4939" i="143"/>
  <c r="F4939" i="143"/>
  <c r="K4939" i="143" s="1"/>
  <c r="L4625" i="143"/>
  <c r="K4625" i="143"/>
  <c r="L4671" i="143"/>
  <c r="K4671" i="143"/>
  <c r="L4682" i="143"/>
  <c r="L4685" i="143" s="1"/>
  <c r="K4682" i="143"/>
  <c r="L4739" i="143"/>
  <c r="K4739" i="143"/>
  <c r="L4802" i="143"/>
  <c r="K4802" i="143"/>
  <c r="E4891" i="143"/>
  <c r="E4889" i="143"/>
  <c r="E4906" i="143"/>
  <c r="E4890" i="143"/>
  <c r="E4888" i="143"/>
  <c r="E4886" i="143"/>
  <c r="K4668" i="143"/>
  <c r="K4721" i="143"/>
  <c r="K4725" i="143"/>
  <c r="K4729" i="143"/>
  <c r="K4778" i="143"/>
  <c r="K4782" i="143"/>
  <c r="K4786" i="143"/>
  <c r="K4793" i="143"/>
  <c r="L4950" i="143"/>
  <c r="L4952" i="143" s="1"/>
  <c r="K4950" i="143"/>
  <c r="E4956" i="143"/>
  <c r="K4363" i="143"/>
  <c r="K4370" i="143"/>
  <c r="K4372" i="143"/>
  <c r="L4403" i="143"/>
  <c r="L4407" i="143"/>
  <c r="K4416" i="143"/>
  <c r="L4423" i="143"/>
  <c r="L4253" i="143"/>
  <c r="K4351" i="143"/>
  <c r="K4353" i="143"/>
  <c r="K4355" i="143"/>
  <c r="L4402" i="143"/>
  <c r="L4406" i="143"/>
  <c r="L4361" i="143"/>
  <c r="L4362" i="143"/>
  <c r="L4413" i="143"/>
  <c r="L4352" i="143"/>
  <c r="K4405" i="143"/>
  <c r="L4422" i="143"/>
  <c r="F4422" i="143"/>
  <c r="K4422" i="143" s="1"/>
  <c r="K4350" i="143"/>
  <c r="K4354" i="143"/>
  <c r="F4361" i="143"/>
  <c r="K4361" i="143" s="1"/>
  <c r="K4364" i="143"/>
  <c r="K4371" i="143"/>
  <c r="K4404" i="143"/>
  <c r="K4415" i="143"/>
  <c r="K4424" i="143"/>
  <c r="L4220" i="143"/>
  <c r="L4252" i="143"/>
  <c r="L3961" i="143"/>
  <c r="K4211" i="143"/>
  <c r="K4017" i="143"/>
  <c r="K4231" i="143"/>
  <c r="L4331" i="143"/>
  <c r="L3691" i="143"/>
  <c r="K3747" i="143"/>
  <c r="L3747" i="143"/>
  <c r="K3849" i="143"/>
  <c r="L4073" i="143"/>
  <c r="K4125" i="143"/>
  <c r="K4282" i="143"/>
  <c r="L4197" i="143"/>
  <c r="L4202" i="143"/>
  <c r="K4210" i="143"/>
  <c r="K4261" i="143"/>
  <c r="K4263" i="143"/>
  <c r="K4271" i="143"/>
  <c r="K4309" i="143"/>
  <c r="K4201" i="143"/>
  <c r="K4254" i="143"/>
  <c r="L4269" i="143"/>
  <c r="L4274" i="143" s="1"/>
  <c r="K4270" i="143"/>
  <c r="K4301" i="143"/>
  <c r="K4194" i="143"/>
  <c r="K4196" i="143"/>
  <c r="L4214" i="143"/>
  <c r="K4219" i="143"/>
  <c r="L4265" i="143"/>
  <c r="K4302" i="143"/>
  <c r="K4303" i="143"/>
  <c r="L4311" i="143"/>
  <c r="L4314" i="143" s="1"/>
  <c r="L4320" i="143"/>
  <c r="K4198" i="143"/>
  <c r="K4200" i="143"/>
  <c r="K4251" i="143"/>
  <c r="K4310" i="143"/>
  <c r="K4319" i="143"/>
  <c r="L4218" i="143"/>
  <c r="L4223" i="143" s="1"/>
  <c r="F4218" i="143"/>
  <c r="K4218" i="143" s="1"/>
  <c r="L4318" i="143"/>
  <c r="F4318" i="143"/>
  <c r="K4318" i="143" s="1"/>
  <c r="K4195" i="143"/>
  <c r="K4199" i="143"/>
  <c r="K4203" i="143"/>
  <c r="K4212" i="143"/>
  <c r="K4250" i="143"/>
  <c r="K4262" i="143"/>
  <c r="F4269" i="143"/>
  <c r="K4269" i="143" s="1"/>
  <c r="K4312" i="143"/>
  <c r="E4094" i="143"/>
  <c r="L4094" i="143" s="1"/>
  <c r="E4144" i="143"/>
  <c r="L4144" i="143" s="1"/>
  <c r="L4153" i="143"/>
  <c r="L4158" i="143" s="1"/>
  <c r="E4162" i="143"/>
  <c r="L4146" i="143"/>
  <c r="E4097" i="143"/>
  <c r="L4097" i="143" s="1"/>
  <c r="E4112" i="143"/>
  <c r="F4112" i="143" s="1"/>
  <c r="K4112" i="143" s="1"/>
  <c r="K4154" i="143"/>
  <c r="K4163" i="143"/>
  <c r="E4096" i="143"/>
  <c r="F4096" i="143" s="1"/>
  <c r="K4096" i="143" s="1"/>
  <c r="L4164" i="143"/>
  <c r="L4147" i="143"/>
  <c r="K4147" i="143"/>
  <c r="L4104" i="143"/>
  <c r="K4156" i="143"/>
  <c r="K4103" i="143"/>
  <c r="F4146" i="143"/>
  <c r="K4146" i="143" s="1"/>
  <c r="K4155" i="143"/>
  <c r="E4145" i="143"/>
  <c r="L4114" i="143"/>
  <c r="K4113" i="143"/>
  <c r="L4093" i="143"/>
  <c r="F4093" i="143"/>
  <c r="K4093" i="143" s="1"/>
  <c r="F4092" i="143"/>
  <c r="K4092" i="143" s="1"/>
  <c r="L4092" i="143"/>
  <c r="K4105" i="143"/>
  <c r="L4106" i="143"/>
  <c r="E4095" i="143"/>
  <c r="K4041" i="143"/>
  <c r="K4051" i="143"/>
  <c r="L4037" i="143"/>
  <c r="L4042" i="143"/>
  <c r="K4036" i="143"/>
  <c r="K4045" i="143"/>
  <c r="K4053" i="143"/>
  <c r="K4038" i="143"/>
  <c r="K4040" i="143"/>
  <c r="K4052" i="143"/>
  <c r="L4062" i="143"/>
  <c r="K4044" i="143"/>
  <c r="L4056" i="143"/>
  <c r="K4061" i="143"/>
  <c r="L4060" i="143"/>
  <c r="F4060" i="143"/>
  <c r="K4060" i="143" s="1"/>
  <c r="K4039" i="143"/>
  <c r="K4043" i="143"/>
  <c r="K4054" i="143"/>
  <c r="L132" i="145"/>
  <c r="M132" i="145" s="1"/>
  <c r="K3996" i="143"/>
  <c r="L3991" i="143"/>
  <c r="L3995" i="143"/>
  <c r="L4000" i="143" s="1"/>
  <c r="K3981" i="143"/>
  <c r="K3985" i="143"/>
  <c r="K3989" i="143"/>
  <c r="L4006" i="143"/>
  <c r="K3980" i="143"/>
  <c r="K3984" i="143"/>
  <c r="K3988" i="143"/>
  <c r="K4005" i="143"/>
  <c r="L4004" i="143"/>
  <c r="F4004" i="143"/>
  <c r="K4004" i="143" s="1"/>
  <c r="K3983" i="143"/>
  <c r="K3987" i="143"/>
  <c r="K3998" i="143"/>
  <c r="K3982" i="143"/>
  <c r="K3986" i="143"/>
  <c r="K3997" i="143"/>
  <c r="K3932" i="143"/>
  <c r="L3940" i="143"/>
  <c r="K3939" i="143"/>
  <c r="L3950" i="143"/>
  <c r="K3933" i="143"/>
  <c r="L3941" i="143"/>
  <c r="K3883" i="143"/>
  <c r="K3949" i="143"/>
  <c r="L3930" i="143"/>
  <c r="K3930" i="143"/>
  <c r="L3876" i="143"/>
  <c r="K3931" i="143"/>
  <c r="K3942" i="143"/>
  <c r="E3948" i="143"/>
  <c r="L66" i="149" s="1"/>
  <c r="M66" i="149" s="1"/>
  <c r="K3884" i="143"/>
  <c r="K3877" i="143"/>
  <c r="L3894" i="143"/>
  <c r="K3893" i="143"/>
  <c r="L3892" i="143"/>
  <c r="F3892" i="143"/>
  <c r="K3892" i="143" s="1"/>
  <c r="E3868" i="143"/>
  <c r="E3870" i="143"/>
  <c r="E3872" i="143"/>
  <c r="E3874" i="143"/>
  <c r="L3875" i="143"/>
  <c r="K3885" i="143"/>
  <c r="L3886" i="143"/>
  <c r="L3888" i="143" s="1"/>
  <c r="E3869" i="143"/>
  <c r="E3871" i="143"/>
  <c r="E3873" i="143"/>
  <c r="E3819" i="143"/>
  <c r="L3819" i="143" s="1"/>
  <c r="L3817" i="143"/>
  <c r="E3820" i="143"/>
  <c r="L3832" i="143"/>
  <c r="E3836" i="143"/>
  <c r="L3836" i="143" s="1"/>
  <c r="L3837" i="143"/>
  <c r="K3827" i="143"/>
  <c r="K3830" i="143"/>
  <c r="K3829" i="143"/>
  <c r="F3817" i="143"/>
  <c r="K3817" i="143" s="1"/>
  <c r="K3821" i="143"/>
  <c r="K3828" i="143"/>
  <c r="K3838" i="143"/>
  <c r="E3818" i="143"/>
  <c r="E3766" i="143"/>
  <c r="K3776" i="143"/>
  <c r="L3787" i="143"/>
  <c r="L3770" i="143"/>
  <c r="K3777" i="143"/>
  <c r="K3786" i="143"/>
  <c r="L3778" i="143"/>
  <c r="L3781" i="143" s="1"/>
  <c r="L3768" i="143"/>
  <c r="F3768" i="143"/>
  <c r="K3768" i="143" s="1"/>
  <c r="E3767" i="143"/>
  <c r="E3769" i="143"/>
  <c r="K3779" i="143"/>
  <c r="E3785" i="143"/>
  <c r="K3725" i="143"/>
  <c r="K3714" i="143"/>
  <c r="K3718" i="143"/>
  <c r="F3712" i="143"/>
  <c r="K3712" i="143" s="1"/>
  <c r="L3712" i="143"/>
  <c r="L3716" i="143"/>
  <c r="E3711" i="143"/>
  <c r="E3734" i="143"/>
  <c r="L15" i="149" s="1"/>
  <c r="M15" i="149" s="1"/>
  <c r="E3710" i="143"/>
  <c r="K3715" i="143"/>
  <c r="K3719" i="143"/>
  <c r="K3727" i="143"/>
  <c r="L3736" i="143"/>
  <c r="K3726" i="143"/>
  <c r="L3730" i="143"/>
  <c r="K3735" i="143"/>
  <c r="K3713" i="143"/>
  <c r="K3717" i="143"/>
  <c r="K3728" i="143"/>
  <c r="L3678" i="143"/>
  <c r="L3658" i="143"/>
  <c r="L3655" i="143"/>
  <c r="K3672" i="143"/>
  <c r="L3662" i="143"/>
  <c r="K3654" i="143"/>
  <c r="L3680" i="143"/>
  <c r="L3663" i="143"/>
  <c r="L3659" i="143"/>
  <c r="K3679" i="143"/>
  <c r="K3669" i="143"/>
  <c r="L3669" i="143"/>
  <c r="L3674" i="143" s="1"/>
  <c r="K3661" i="143"/>
  <c r="K3671" i="143"/>
  <c r="K3656" i="143"/>
  <c r="L3657" i="143"/>
  <c r="K3660" i="143"/>
  <c r="K3670" i="143"/>
  <c r="L3624" i="143"/>
  <c r="L3607" i="143"/>
  <c r="L3603" i="143"/>
  <c r="K3606" i="143"/>
  <c r="K3602" i="143"/>
  <c r="K3598" i="143"/>
  <c r="L3616" i="143"/>
  <c r="L3623" i="143"/>
  <c r="L3599" i="143"/>
  <c r="K3627" i="143"/>
  <c r="L3613" i="143"/>
  <c r="F3613" i="143"/>
  <c r="K3613" i="143" s="1"/>
  <c r="K3601" i="143"/>
  <c r="K3605" i="143"/>
  <c r="K3614" i="143"/>
  <c r="L3615" i="143"/>
  <c r="L3622" i="143"/>
  <c r="K3600" i="143"/>
  <c r="K3604" i="143"/>
  <c r="I97" i="1" l="1"/>
  <c r="I34" i="1"/>
  <c r="M34" i="1" s="1"/>
  <c r="I13" i="1"/>
  <c r="M13" i="1" s="1"/>
  <c r="M25" i="1"/>
  <c r="O25" i="1" s="1"/>
  <c r="M802" i="148"/>
  <c r="I39" i="1"/>
  <c r="E277" i="149"/>
  <c r="F277" i="149" s="1"/>
  <c r="M746" i="148"/>
  <c r="F4839" i="143"/>
  <c r="K4839" i="143" s="1"/>
  <c r="K548" i="148"/>
  <c r="K577" i="148" s="1"/>
  <c r="K579" i="148" s="1"/>
  <c r="K581" i="148" s="1"/>
  <c r="L548" i="148"/>
  <c r="L577" i="148" s="1"/>
  <c r="L579" i="148" s="1"/>
  <c r="L581" i="148" s="1"/>
  <c r="L582" i="148" s="1"/>
  <c r="M111" i="148"/>
  <c r="M55" i="148"/>
  <c r="I12" i="1"/>
  <c r="I16" i="1"/>
  <c r="M265" i="148"/>
  <c r="E279" i="149"/>
  <c r="F279" i="149" s="1"/>
  <c r="M2619" i="148"/>
  <c r="M3460" i="148"/>
  <c r="E278" i="149"/>
  <c r="F278" i="149" s="1"/>
  <c r="F5620" i="143"/>
  <c r="K5620" i="143" s="1"/>
  <c r="K5625" i="143" s="1"/>
  <c r="L130" i="149"/>
  <c r="M130" i="149" s="1"/>
  <c r="L3820" i="143"/>
  <c r="E281" i="149"/>
  <c r="F281" i="149" s="1"/>
  <c r="L4162" i="143"/>
  <c r="L4167" i="143" s="1"/>
  <c r="L113" i="149"/>
  <c r="M113" i="149" s="1"/>
  <c r="E280" i="149"/>
  <c r="F280" i="149" s="1"/>
  <c r="F5714" i="143"/>
  <c r="K5714" i="143" s="1"/>
  <c r="E240" i="149"/>
  <c r="F240" i="149" s="1"/>
  <c r="F5770" i="143"/>
  <c r="K5770" i="143" s="1"/>
  <c r="E42" i="149"/>
  <c r="F42" i="149" s="1"/>
  <c r="L5676" i="143"/>
  <c r="L5681" i="143" s="1"/>
  <c r="L5692" i="143" s="1"/>
  <c r="L111" i="149"/>
  <c r="M111" i="149" s="1"/>
  <c r="I15" i="1"/>
  <c r="M15" i="1" s="1"/>
  <c r="M213" i="148"/>
  <c r="M2286" i="148"/>
  <c r="M1798" i="148"/>
  <c r="M3353" i="148"/>
  <c r="M2919" i="148"/>
  <c r="M4043" i="148"/>
  <c r="M2118" i="148"/>
  <c r="M4799" i="148"/>
  <c r="M2174" i="148"/>
  <c r="K5129" i="143"/>
  <c r="M2398" i="148"/>
  <c r="M3024" i="148"/>
  <c r="M2014" i="148"/>
  <c r="M1963" i="148"/>
  <c r="M4474" i="148"/>
  <c r="M3680" i="148"/>
  <c r="M1851" i="148"/>
  <c r="K5176" i="143"/>
  <c r="L5345" i="143"/>
  <c r="L5212" i="143"/>
  <c r="K4418" i="143"/>
  <c r="L5768" i="143"/>
  <c r="L5766" i="143"/>
  <c r="L5771" i="143"/>
  <c r="L5714" i="143"/>
  <c r="L5017" i="143"/>
  <c r="L5710" i="143"/>
  <c r="L5770" i="143"/>
  <c r="L725" i="143"/>
  <c r="F5676" i="143"/>
  <c r="K5676" i="143" s="1"/>
  <c r="K5681" i="143" s="1"/>
  <c r="K725" i="143"/>
  <c r="L5772" i="143"/>
  <c r="L5712" i="143"/>
  <c r="L707" i="143"/>
  <c r="F707" i="143"/>
  <c r="K707" i="143" s="1"/>
  <c r="L710" i="143"/>
  <c r="K710" i="143"/>
  <c r="K709" i="143"/>
  <c r="L709" i="143"/>
  <c r="L712" i="143"/>
  <c r="K712" i="143"/>
  <c r="L705" i="143"/>
  <c r="F705" i="143"/>
  <c r="K705" i="143" s="1"/>
  <c r="L729" i="143"/>
  <c r="L734" i="143" s="1"/>
  <c r="F729" i="143"/>
  <c r="K729" i="143" s="1"/>
  <c r="K734" i="143" s="1"/>
  <c r="L708" i="143"/>
  <c r="F708" i="143"/>
  <c r="K708" i="143" s="1"/>
  <c r="L706" i="143"/>
  <c r="F706" i="143"/>
  <c r="K706" i="143" s="1"/>
  <c r="K5784" i="143"/>
  <c r="K5728" i="143"/>
  <c r="L5767" i="143"/>
  <c r="K5767" i="143"/>
  <c r="L5765" i="143"/>
  <c r="K5765" i="143"/>
  <c r="L5769" i="143"/>
  <c r="K5769" i="143"/>
  <c r="L5788" i="143"/>
  <c r="L5793" i="143" s="1"/>
  <c r="F5788" i="143"/>
  <c r="K5788" i="143" s="1"/>
  <c r="K5793" i="143" s="1"/>
  <c r="L3944" i="143"/>
  <c r="L5713" i="143"/>
  <c r="K5713" i="143"/>
  <c r="L5711" i="143"/>
  <c r="K5711" i="143"/>
  <c r="L5716" i="143"/>
  <c r="K5716" i="143"/>
  <c r="L5709" i="143"/>
  <c r="K5709" i="143"/>
  <c r="K5715" i="143"/>
  <c r="L5715" i="143"/>
  <c r="L5732" i="143"/>
  <c r="L5737" i="143" s="1"/>
  <c r="F5732" i="143"/>
  <c r="K5732" i="143" s="1"/>
  <c r="K5737" i="143" s="1"/>
  <c r="L5607" i="143"/>
  <c r="K5672" i="143"/>
  <c r="K5663" i="143"/>
  <c r="K5569" i="143"/>
  <c r="K5448" i="143"/>
  <c r="K5616" i="143"/>
  <c r="K5504" i="143"/>
  <c r="L5560" i="143"/>
  <c r="L5625" i="143"/>
  <c r="L5495" i="143"/>
  <c r="L5524" i="143" s="1"/>
  <c r="L5526" i="143" s="1"/>
  <c r="L5528" i="143" s="1"/>
  <c r="L5529" i="143" s="1"/>
  <c r="K5607" i="143"/>
  <c r="F5555" i="143"/>
  <c r="K5555" i="143" s="1"/>
  <c r="K5560" i="143" s="1"/>
  <c r="L5569" i="143"/>
  <c r="K5513" i="143"/>
  <c r="K5495" i="143"/>
  <c r="F5231" i="143"/>
  <c r="K5231" i="143" s="1"/>
  <c r="L5327" i="143"/>
  <c r="K5551" i="143"/>
  <c r="K5392" i="143"/>
  <c r="L5401" i="143"/>
  <c r="K5401" i="143"/>
  <c r="K5327" i="143"/>
  <c r="L5372" i="143"/>
  <c r="F5372" i="143"/>
  <c r="K5372" i="143" s="1"/>
  <c r="L5428" i="143"/>
  <c r="F5428" i="143"/>
  <c r="K5428" i="143" s="1"/>
  <c r="L5215" i="143"/>
  <c r="K5336" i="143"/>
  <c r="L5429" i="143"/>
  <c r="F5429" i="143"/>
  <c r="K5429" i="143" s="1"/>
  <c r="L5452" i="143"/>
  <c r="L5457" i="143" s="1"/>
  <c r="F5452" i="143"/>
  <c r="K5452" i="143" s="1"/>
  <c r="K5457" i="143" s="1"/>
  <c r="L5373" i="143"/>
  <c r="F5373" i="143"/>
  <c r="K5373" i="143" s="1"/>
  <c r="K5345" i="143"/>
  <c r="K5280" i="143"/>
  <c r="F5265" i="143"/>
  <c r="K5265" i="143" s="1"/>
  <c r="L5236" i="143"/>
  <c r="L5264" i="143"/>
  <c r="F5264" i="143"/>
  <c r="K5264" i="143" s="1"/>
  <c r="L5176" i="143"/>
  <c r="L5263" i="143"/>
  <c r="F5263" i="143"/>
  <c r="K5263" i="143" s="1"/>
  <c r="L5284" i="143"/>
  <c r="L5289" i="143" s="1"/>
  <c r="F5284" i="143"/>
  <c r="K5284" i="143" s="1"/>
  <c r="K5289" i="143" s="1"/>
  <c r="L5167" i="143"/>
  <c r="K5227" i="143"/>
  <c r="K5236" i="143"/>
  <c r="L5185" i="143"/>
  <c r="L5213" i="143"/>
  <c r="F5213" i="143"/>
  <c r="K5213" i="143" s="1"/>
  <c r="K5218" i="143" s="1"/>
  <c r="K5008" i="143"/>
  <c r="L4999" i="143"/>
  <c r="K5167" i="143"/>
  <c r="L5111" i="143"/>
  <c r="K5185" i="143"/>
  <c r="K5073" i="143"/>
  <c r="K5120" i="143"/>
  <c r="K5064" i="143"/>
  <c r="K5017" i="143"/>
  <c r="L5129" i="143"/>
  <c r="K5111" i="143"/>
  <c r="K5055" i="143"/>
  <c r="K4999" i="143"/>
  <c r="L5084" i="143"/>
  <c r="K4741" i="143"/>
  <c r="F4940" i="143"/>
  <c r="K4940" i="143" s="1"/>
  <c r="K4806" i="143"/>
  <c r="E4836" i="143"/>
  <c r="L4837" i="143"/>
  <c r="F4837" i="143"/>
  <c r="K4837" i="143" s="1"/>
  <c r="K4850" i="143"/>
  <c r="L4835" i="143"/>
  <c r="F4835" i="143"/>
  <c r="K4835" i="143" s="1"/>
  <c r="L4838" i="143"/>
  <c r="F4838" i="143"/>
  <c r="K4838" i="143" s="1"/>
  <c r="E4834" i="143"/>
  <c r="L4833" i="143"/>
  <c r="F4833" i="143"/>
  <c r="K4833" i="143" s="1"/>
  <c r="L4854" i="143"/>
  <c r="L4859" i="143" s="1"/>
  <c r="F4854" i="143"/>
  <c r="K4854" i="143" s="1"/>
  <c r="K4859" i="143" s="1"/>
  <c r="L4629" i="143"/>
  <c r="K4902" i="143"/>
  <c r="K4750" i="143"/>
  <c r="L4480" i="143"/>
  <c r="K4694" i="143"/>
  <c r="L4573" i="143"/>
  <c r="L4427" i="143"/>
  <c r="K4629" i="143"/>
  <c r="L4741" i="143"/>
  <c r="F4938" i="143"/>
  <c r="K4938" i="143" s="1"/>
  <c r="K4685" i="143"/>
  <c r="K4480" i="143"/>
  <c r="L4797" i="143"/>
  <c r="K4522" i="143"/>
  <c r="L4418" i="143"/>
  <c r="L4806" i="143"/>
  <c r="L4471" i="143"/>
  <c r="K4573" i="143"/>
  <c r="K4676" i="143"/>
  <c r="L4676" i="143"/>
  <c r="K4788" i="143"/>
  <c r="L4732" i="143"/>
  <c r="K4375" i="143"/>
  <c r="K4952" i="143"/>
  <c r="L4694" i="143"/>
  <c r="K4471" i="143"/>
  <c r="L4455" i="143"/>
  <c r="F4455" i="143"/>
  <c r="K4455" i="143" s="1"/>
  <c r="L4612" i="143"/>
  <c r="F4612" i="143"/>
  <c r="K4612" i="143" s="1"/>
  <c r="L4615" i="143"/>
  <c r="F4615" i="143"/>
  <c r="K4615" i="143" s="1"/>
  <c r="L4357" i="143"/>
  <c r="L4256" i="143"/>
  <c r="L4285" i="143" s="1"/>
  <c r="L4287" i="143" s="1"/>
  <c r="L4289" i="143" s="1"/>
  <c r="L4290" i="143" s="1"/>
  <c r="L4956" i="143"/>
  <c r="L4961" i="143" s="1"/>
  <c r="F4956" i="143"/>
  <c r="K4956" i="143" s="1"/>
  <c r="K4961" i="143" s="1"/>
  <c r="L4890" i="143"/>
  <c r="F4890" i="143"/>
  <c r="K4890" i="143" s="1"/>
  <c r="L4611" i="143"/>
  <c r="F4611" i="143"/>
  <c r="K4611" i="143" s="1"/>
  <c r="L4788" i="143"/>
  <c r="L4560" i="143"/>
  <c r="F4560" i="143"/>
  <c r="K4560" i="143" s="1"/>
  <c r="K4797" i="143"/>
  <c r="L4577" i="143"/>
  <c r="L4582" i="143" s="1"/>
  <c r="F4577" i="143"/>
  <c r="K4577" i="143" s="1"/>
  <c r="K4582" i="143" s="1"/>
  <c r="F4614" i="143"/>
  <c r="K4614" i="143" s="1"/>
  <c r="L4614" i="143"/>
  <c r="K4732" i="143"/>
  <c r="L4943" i="143"/>
  <c r="L4906" i="143"/>
  <c r="L4911" i="143" s="1"/>
  <c r="F4906" i="143"/>
  <c r="K4906" i="143" s="1"/>
  <c r="K4911" i="143" s="1"/>
  <c r="L4613" i="143"/>
  <c r="F4613" i="143"/>
  <c r="K4613" i="143" s="1"/>
  <c r="L4526" i="143"/>
  <c r="L4531" i="143" s="1"/>
  <c r="F4526" i="143"/>
  <c r="K4526" i="143" s="1"/>
  <c r="K4531" i="143" s="1"/>
  <c r="L4610" i="143"/>
  <c r="F4610" i="143"/>
  <c r="K4610" i="143" s="1"/>
  <c r="L4558" i="143"/>
  <c r="F4558" i="143"/>
  <c r="K4558" i="143" s="1"/>
  <c r="L4510" i="143"/>
  <c r="F4510" i="143"/>
  <c r="K4510" i="143" s="1"/>
  <c r="L4888" i="143"/>
  <c r="F4888" i="143"/>
  <c r="K4888" i="143" s="1"/>
  <c r="L4891" i="143"/>
  <c r="F4891" i="143"/>
  <c r="K4891" i="143" s="1"/>
  <c r="L4454" i="143"/>
  <c r="F4454" i="143"/>
  <c r="K4454" i="143" s="1"/>
  <c r="L4561" i="143"/>
  <c r="F4561" i="143"/>
  <c r="K4561" i="143" s="1"/>
  <c r="L4509" i="143"/>
  <c r="F4509" i="143"/>
  <c r="K4509" i="143" s="1"/>
  <c r="L4886" i="143"/>
  <c r="F4886" i="143"/>
  <c r="K4886" i="143" s="1"/>
  <c r="E4887" i="143"/>
  <c r="F4889" i="143"/>
  <c r="K4889" i="143" s="1"/>
  <c r="L4889" i="143"/>
  <c r="L4508" i="143"/>
  <c r="F4508" i="143"/>
  <c r="K4508" i="143" s="1"/>
  <c r="L4633" i="143"/>
  <c r="L4638" i="143" s="1"/>
  <c r="F4633" i="143"/>
  <c r="K4633" i="143" s="1"/>
  <c r="K4638" i="143" s="1"/>
  <c r="L4609" i="143"/>
  <c r="F4609" i="143"/>
  <c r="K4609" i="143" s="1"/>
  <c r="L4456" i="143"/>
  <c r="F4456" i="143"/>
  <c r="K4456" i="143" s="1"/>
  <c r="F4507" i="143"/>
  <c r="K4507" i="143" s="1"/>
  <c r="L4507" i="143"/>
  <c r="K4427" i="143"/>
  <c r="L4366" i="143"/>
  <c r="K4409" i="143"/>
  <c r="K4366" i="143"/>
  <c r="L4409" i="143"/>
  <c r="L4323" i="143"/>
  <c r="K4357" i="143"/>
  <c r="L4305" i="143"/>
  <c r="K4323" i="143"/>
  <c r="L4205" i="143"/>
  <c r="L4234" i="143" s="1"/>
  <c r="L4236" i="143" s="1"/>
  <c r="L4238" i="143" s="1"/>
  <c r="L4239" i="143" s="1"/>
  <c r="K4274" i="143"/>
  <c r="K4314" i="143"/>
  <c r="K4265" i="143"/>
  <c r="K4214" i="143"/>
  <c r="K4305" i="143"/>
  <c r="K4223" i="143"/>
  <c r="K4205" i="143"/>
  <c r="K4256" i="143"/>
  <c r="F4094" i="143"/>
  <c r="K4094" i="143" s="1"/>
  <c r="F4144" i="143"/>
  <c r="K4144" i="143" s="1"/>
  <c r="K4158" i="143"/>
  <c r="L4065" i="143"/>
  <c r="L4112" i="143"/>
  <c r="L4117" i="143" s="1"/>
  <c r="F4162" i="143"/>
  <c r="K4162" i="143" s="1"/>
  <c r="K4167" i="143" s="1"/>
  <c r="F4097" i="143"/>
  <c r="K4097" i="143" s="1"/>
  <c r="L4096" i="143"/>
  <c r="L4047" i="143"/>
  <c r="L4108" i="143"/>
  <c r="L4145" i="143"/>
  <c r="L4149" i="143" s="1"/>
  <c r="F4145" i="143"/>
  <c r="K4145" i="143" s="1"/>
  <c r="K4108" i="143"/>
  <c r="K4117" i="143"/>
  <c r="L4095" i="143"/>
  <c r="F4095" i="143"/>
  <c r="K4095" i="143" s="1"/>
  <c r="K4065" i="143"/>
  <c r="K4056" i="143"/>
  <c r="K4047" i="143"/>
  <c r="L3897" i="143"/>
  <c r="K3991" i="143"/>
  <c r="K4009" i="143"/>
  <c r="K4000" i="143"/>
  <c r="L4009" i="143"/>
  <c r="L4020" i="143" s="1"/>
  <c r="L4022" i="143" s="1"/>
  <c r="K3944" i="143"/>
  <c r="K3888" i="143"/>
  <c r="L3926" i="143"/>
  <c r="K3926" i="143"/>
  <c r="L3925" i="143"/>
  <c r="K3925" i="143"/>
  <c r="L3928" i="143"/>
  <c r="K3928" i="143"/>
  <c r="L3927" i="143"/>
  <c r="K3927" i="143"/>
  <c r="L3924" i="143"/>
  <c r="K3924" i="143"/>
  <c r="L3948" i="143"/>
  <c r="L3953" i="143" s="1"/>
  <c r="F3948" i="143"/>
  <c r="K3948" i="143" s="1"/>
  <c r="K3953" i="143" s="1"/>
  <c r="L3929" i="143"/>
  <c r="K3929" i="143"/>
  <c r="K3897" i="143"/>
  <c r="L3874" i="143"/>
  <c r="F3874" i="143"/>
  <c r="K3874" i="143" s="1"/>
  <c r="L3841" i="143"/>
  <c r="L3872" i="143"/>
  <c r="F3872" i="143"/>
  <c r="K3872" i="143" s="1"/>
  <c r="L3873" i="143"/>
  <c r="F3873" i="143"/>
  <c r="K3873" i="143" s="1"/>
  <c r="L3870" i="143"/>
  <c r="F3870" i="143"/>
  <c r="K3870" i="143" s="1"/>
  <c r="L3869" i="143"/>
  <c r="F3869" i="143"/>
  <c r="K3869" i="143" s="1"/>
  <c r="L3871" i="143"/>
  <c r="F3871" i="143"/>
  <c r="K3871" i="143" s="1"/>
  <c r="L3868" i="143"/>
  <c r="F3868" i="143"/>
  <c r="K3868" i="143" s="1"/>
  <c r="F3819" i="143"/>
  <c r="K3819" i="143" s="1"/>
  <c r="K3832" i="143"/>
  <c r="F3820" i="143"/>
  <c r="K3820" i="143" s="1"/>
  <c r="F3836" i="143"/>
  <c r="K3836" i="143" s="1"/>
  <c r="K3841" i="143" s="1"/>
  <c r="E280" i="145"/>
  <c r="F280" i="145" s="1"/>
  <c r="E281" i="145"/>
  <c r="F281" i="145" s="1"/>
  <c r="L3818" i="143"/>
  <c r="F3818" i="143"/>
  <c r="K3818" i="143" s="1"/>
  <c r="K3781" i="143"/>
  <c r="L3769" i="143"/>
  <c r="F3769" i="143"/>
  <c r="K3769" i="143" s="1"/>
  <c r="L3785" i="143"/>
  <c r="L3790" i="143" s="1"/>
  <c r="F3785" i="143"/>
  <c r="K3785" i="143" s="1"/>
  <c r="K3790" i="143" s="1"/>
  <c r="L3766" i="143"/>
  <c r="F3766" i="143"/>
  <c r="K3766" i="143" s="1"/>
  <c r="L3767" i="143"/>
  <c r="F3767" i="143"/>
  <c r="K3767" i="143" s="1"/>
  <c r="L3734" i="143"/>
  <c r="L3739" i="143" s="1"/>
  <c r="L15" i="145"/>
  <c r="M15" i="145" s="1"/>
  <c r="F3734" i="143"/>
  <c r="K3734" i="143" s="1"/>
  <c r="K3739" i="143" s="1"/>
  <c r="F3710" i="143"/>
  <c r="K3710" i="143" s="1"/>
  <c r="E277" i="145"/>
  <c r="F277" i="145" s="1"/>
  <c r="F3711" i="143"/>
  <c r="K3711" i="143" s="1"/>
  <c r="E278" i="145"/>
  <c r="F278" i="145" s="1"/>
  <c r="L3711" i="143"/>
  <c r="L3710" i="143"/>
  <c r="K3730" i="143"/>
  <c r="L3683" i="143"/>
  <c r="L3665" i="143"/>
  <c r="K3683" i="143"/>
  <c r="K3674" i="143"/>
  <c r="K3665" i="143"/>
  <c r="L3609" i="143"/>
  <c r="L3618" i="143"/>
  <c r="K3618" i="143"/>
  <c r="L3627" i="143"/>
  <c r="K3609" i="143"/>
  <c r="L3823" i="143" l="1"/>
  <c r="J34" i="1"/>
  <c r="I23" i="1"/>
  <c r="M23" i="1" s="1"/>
  <c r="M97" i="1"/>
  <c r="M39" i="1"/>
  <c r="O39" i="1" s="1"/>
  <c r="J39" i="1"/>
  <c r="O34" i="1"/>
  <c r="M582" i="148"/>
  <c r="M12" i="1"/>
  <c r="M16" i="1"/>
  <c r="L5356" i="143"/>
  <c r="L5358" i="143" s="1"/>
  <c r="K5140" i="143"/>
  <c r="K5142" i="143" s="1"/>
  <c r="K5144" i="143" s="1"/>
  <c r="K5028" i="143"/>
  <c r="K5030" i="143" s="1"/>
  <c r="K5032" i="143" s="1"/>
  <c r="K4943" i="143"/>
  <c r="K4972" i="143" s="1"/>
  <c r="K4974" i="143" s="1"/>
  <c r="L4386" i="143"/>
  <c r="L4388" i="143" s="1"/>
  <c r="L4390" i="143" s="1"/>
  <c r="L4391" i="143" s="1"/>
  <c r="L5028" i="143"/>
  <c r="L5030" i="143" s="1"/>
  <c r="L5032" i="143" s="1"/>
  <c r="L5033" i="143" s="1"/>
  <c r="K716" i="143"/>
  <c r="K745" i="143" s="1"/>
  <c r="K747" i="143" s="1"/>
  <c r="L716" i="143"/>
  <c r="L745" i="143" s="1"/>
  <c r="K5775" i="143"/>
  <c r="K5804" i="143" s="1"/>
  <c r="K5806" i="143" s="1"/>
  <c r="K5808" i="143" s="1"/>
  <c r="L5775" i="143"/>
  <c r="L5804" i="143" s="1"/>
  <c r="L5719" i="143"/>
  <c r="L5748" i="143" s="1"/>
  <c r="L5750" i="143" s="1"/>
  <c r="L5752" i="143" s="1"/>
  <c r="L5753" i="143" s="1"/>
  <c r="K5719" i="143"/>
  <c r="K5748" i="143" s="1"/>
  <c r="L5636" i="143"/>
  <c r="L5638" i="143" s="1"/>
  <c r="L5640" i="143" s="1"/>
  <c r="L5641" i="143" s="1"/>
  <c r="K5692" i="143"/>
  <c r="K5694" i="143" s="1"/>
  <c r="K5696" i="143" s="1"/>
  <c r="L5694" i="143"/>
  <c r="L5696" i="143" s="1"/>
  <c r="L5697" i="143" s="1"/>
  <c r="K5636" i="143"/>
  <c r="K5638" i="143" s="1"/>
  <c r="K5640" i="143" s="1"/>
  <c r="L5580" i="143"/>
  <c r="L5582" i="143" s="1"/>
  <c r="L5584" i="143" s="1"/>
  <c r="L5585" i="143" s="1"/>
  <c r="K5580" i="143"/>
  <c r="K5582" i="143" s="1"/>
  <c r="K5584" i="143" s="1"/>
  <c r="K5524" i="143"/>
  <c r="K5526" i="143" s="1"/>
  <c r="K5528" i="143" s="1"/>
  <c r="K5356" i="143"/>
  <c r="K5358" i="143" s="1"/>
  <c r="K5360" i="143" s="1"/>
  <c r="K5383" i="143"/>
  <c r="K5412" i="143" s="1"/>
  <c r="K5414" i="143" s="1"/>
  <c r="K5416" i="143" s="1"/>
  <c r="K5439" i="143"/>
  <c r="K5468" i="143" s="1"/>
  <c r="K5470" i="143" s="1"/>
  <c r="K5472" i="143" s="1"/>
  <c r="L5218" i="143"/>
  <c r="L5247" i="143" s="1"/>
  <c r="L5249" i="143" s="1"/>
  <c r="L5251" i="143" s="1"/>
  <c r="L5252" i="143" s="1"/>
  <c r="L5439" i="143"/>
  <c r="L5468" i="143" s="1"/>
  <c r="L5383" i="143"/>
  <c r="L5412" i="143" s="1"/>
  <c r="L5196" i="143"/>
  <c r="L5198" i="143" s="1"/>
  <c r="L5200" i="143" s="1"/>
  <c r="L5201" i="143" s="1"/>
  <c r="L5271" i="143"/>
  <c r="L5300" i="143" s="1"/>
  <c r="L5302" i="143" s="1"/>
  <c r="L5304" i="143" s="1"/>
  <c r="L5305" i="143" s="1"/>
  <c r="K5247" i="143"/>
  <c r="K5271" i="143"/>
  <c r="K5300" i="143" s="1"/>
  <c r="L5140" i="143"/>
  <c r="L5142" i="143" s="1"/>
  <c r="L5144" i="143" s="1"/>
  <c r="L5145" i="143" s="1"/>
  <c r="K5084" i="143"/>
  <c r="K5086" i="143" s="1"/>
  <c r="K5088" i="143" s="1"/>
  <c r="K5196" i="143"/>
  <c r="K5198" i="143" s="1"/>
  <c r="K5200" i="143" s="1"/>
  <c r="L5086" i="143"/>
  <c r="L5088" i="143" s="1"/>
  <c r="L5089" i="143" s="1"/>
  <c r="L4438" i="143"/>
  <c r="L4440" i="143" s="1"/>
  <c r="K4705" i="143"/>
  <c r="K4707" i="143" s="1"/>
  <c r="K4709" i="143" s="1"/>
  <c r="L4761" i="143"/>
  <c r="L4763" i="143" s="1"/>
  <c r="L4765" i="143" s="1"/>
  <c r="L4766" i="143" s="1"/>
  <c r="K4438" i="143"/>
  <c r="K4440" i="143" s="1"/>
  <c r="K4442" i="143" s="1"/>
  <c r="L4834" i="143"/>
  <c r="F4834" i="143"/>
  <c r="K4834" i="143" s="1"/>
  <c r="L4836" i="143"/>
  <c r="F4836" i="143"/>
  <c r="K4836" i="143" s="1"/>
  <c r="K4761" i="143"/>
  <c r="K4763" i="143" s="1"/>
  <c r="K4765" i="143" s="1"/>
  <c r="K4620" i="143"/>
  <c r="K4649" i="143" s="1"/>
  <c r="K4651" i="143" s="1"/>
  <c r="K4653" i="143" s="1"/>
  <c r="K4564" i="143"/>
  <c r="K4593" i="143" s="1"/>
  <c r="K4595" i="143" s="1"/>
  <c r="K4597" i="143" s="1"/>
  <c r="K4513" i="143"/>
  <c r="K4542" i="143" s="1"/>
  <c r="K4544" i="143" s="1"/>
  <c r="K4546" i="143" s="1"/>
  <c r="L4972" i="143"/>
  <c r="L4974" i="143" s="1"/>
  <c r="L4976" i="143" s="1"/>
  <c r="L4977" i="143" s="1"/>
  <c r="L4817" i="143"/>
  <c r="L4819" i="143" s="1"/>
  <c r="L4821" i="143" s="1"/>
  <c r="L4822" i="143" s="1"/>
  <c r="K4462" i="143"/>
  <c r="K4491" i="143" s="1"/>
  <c r="K4493" i="143" s="1"/>
  <c r="K4495" i="143" s="1"/>
  <c r="K4817" i="143"/>
  <c r="K4819" i="143" s="1"/>
  <c r="K4821" i="143" s="1"/>
  <c r="L4705" i="143"/>
  <c r="L4513" i="143"/>
  <c r="L4542" i="143" s="1"/>
  <c r="L4544" i="143" s="1"/>
  <c r="L4546" i="143" s="1"/>
  <c r="L4547" i="143" s="1"/>
  <c r="L4462" i="143"/>
  <c r="L4491" i="143" s="1"/>
  <c r="L4564" i="143"/>
  <c r="L4593" i="143" s="1"/>
  <c r="L4595" i="143" s="1"/>
  <c r="L4597" i="143" s="1"/>
  <c r="L4598" i="143" s="1"/>
  <c r="L4887" i="143"/>
  <c r="L4893" i="143" s="1"/>
  <c r="L4922" i="143" s="1"/>
  <c r="F4887" i="143"/>
  <c r="K4887" i="143" s="1"/>
  <c r="K4893" i="143" s="1"/>
  <c r="K4922" i="143" s="1"/>
  <c r="K4924" i="143" s="1"/>
  <c r="K4926" i="143" s="1"/>
  <c r="L4620" i="143"/>
  <c r="L4649" i="143" s="1"/>
  <c r="K4386" i="143"/>
  <c r="K4388" i="143" s="1"/>
  <c r="K4390" i="143" s="1"/>
  <c r="L4334" i="143"/>
  <c r="L4336" i="143" s="1"/>
  <c r="L4338" i="143" s="1"/>
  <c r="L4339" i="143" s="1"/>
  <c r="K4334" i="143"/>
  <c r="K4336" i="143" s="1"/>
  <c r="K4338" i="143" s="1"/>
  <c r="K4285" i="143"/>
  <c r="K4287" i="143" s="1"/>
  <c r="K4289" i="143" s="1"/>
  <c r="K4234" i="143"/>
  <c r="K4236" i="143" s="1"/>
  <c r="K4238" i="143" s="1"/>
  <c r="K4149" i="143"/>
  <c r="K4178" i="143" s="1"/>
  <c r="K4180" i="143" s="1"/>
  <c r="K4182" i="143" s="1"/>
  <c r="L4076" i="143"/>
  <c r="L4078" i="143" s="1"/>
  <c r="L4080" i="143" s="1"/>
  <c r="L4081" i="143" s="1"/>
  <c r="K4099" i="143"/>
  <c r="K4128" i="143" s="1"/>
  <c r="K4130" i="143" s="1"/>
  <c r="K4132" i="143" s="1"/>
  <c r="L4099" i="143"/>
  <c r="L4128" i="143" s="1"/>
  <c r="L4130" i="143" s="1"/>
  <c r="L4132" i="143" s="1"/>
  <c r="L4133" i="143" s="1"/>
  <c r="L4178" i="143"/>
  <c r="L4180" i="143" s="1"/>
  <c r="L4182" i="143" s="1"/>
  <c r="L4183" i="143" s="1"/>
  <c r="K4076" i="143"/>
  <c r="K4078" i="143" s="1"/>
  <c r="K4080" i="143" s="1"/>
  <c r="L4024" i="143"/>
  <c r="L4025" i="143" s="1"/>
  <c r="K4020" i="143"/>
  <c r="K3935" i="143"/>
  <c r="K3964" i="143" s="1"/>
  <c r="K3879" i="143"/>
  <c r="K3908" i="143" s="1"/>
  <c r="K3910" i="143" s="1"/>
  <c r="K3912" i="143" s="1"/>
  <c r="L3935" i="143"/>
  <c r="L3964" i="143" s="1"/>
  <c r="K3823" i="143"/>
  <c r="K3852" i="143" s="1"/>
  <c r="K3854" i="143" s="1"/>
  <c r="K3856" i="143" s="1"/>
  <c r="L3852" i="143"/>
  <c r="L3854" i="143" s="1"/>
  <c r="L3879" i="143"/>
  <c r="L3908" i="143" s="1"/>
  <c r="K3772" i="143"/>
  <c r="K3801" i="143" s="1"/>
  <c r="L3772" i="143"/>
  <c r="L3801" i="143" s="1"/>
  <c r="K3721" i="143"/>
  <c r="K3750" i="143" s="1"/>
  <c r="K3752" i="143" s="1"/>
  <c r="K3754" i="143" s="1"/>
  <c r="L3694" i="143"/>
  <c r="L3696" i="143" s="1"/>
  <c r="L3698" i="143" s="1"/>
  <c r="L3699" i="143" s="1"/>
  <c r="L3721" i="143"/>
  <c r="L3750" i="143" s="1"/>
  <c r="L3752" i="143" s="1"/>
  <c r="K3694" i="143"/>
  <c r="K3696" i="143" s="1"/>
  <c r="K3698" i="143" s="1"/>
  <c r="L3638" i="143"/>
  <c r="L3640" i="143" s="1"/>
  <c r="L3642" i="143" s="1"/>
  <c r="L3643" i="143" s="1"/>
  <c r="K3638" i="143"/>
  <c r="K3640" i="143" s="1"/>
  <c r="K3642" i="143" s="1"/>
  <c r="H107" i="1" l="1"/>
  <c r="H139" i="1"/>
  <c r="H125" i="1"/>
  <c r="H113" i="1"/>
  <c r="H142" i="1"/>
  <c r="H164" i="1"/>
  <c r="H130" i="1"/>
  <c r="H121" i="1"/>
  <c r="H146" i="1"/>
  <c r="H159" i="1"/>
  <c r="H132" i="1"/>
  <c r="H128" i="1"/>
  <c r="H126" i="1"/>
  <c r="H148" i="1"/>
  <c r="H133" i="1"/>
  <c r="H156" i="1"/>
  <c r="H161" i="1"/>
  <c r="H112" i="1"/>
  <c r="H120" i="1"/>
  <c r="H109" i="1"/>
  <c r="H106" i="1"/>
  <c r="H134" i="1"/>
  <c r="H136" i="1"/>
  <c r="H155" i="1"/>
  <c r="H127" i="1"/>
  <c r="L5360" i="143"/>
  <c r="L5361" i="143" s="1"/>
  <c r="M5361" i="143" s="1"/>
  <c r="K749" i="143"/>
  <c r="L747" i="143"/>
  <c r="L749" i="143" s="1"/>
  <c r="L750" i="143" s="1"/>
  <c r="L5806" i="143"/>
  <c r="L5808" i="143" s="1"/>
  <c r="L5809" i="143" s="1"/>
  <c r="M5809" i="143" s="1"/>
  <c r="K5750" i="143"/>
  <c r="K5752" i="143" s="1"/>
  <c r="M5697" i="143"/>
  <c r="M5641" i="143"/>
  <c r="M5529" i="143"/>
  <c r="H147" i="1"/>
  <c r="M5585" i="143"/>
  <c r="L5414" i="143"/>
  <c r="L5416" i="143" s="1"/>
  <c r="L5417" i="143" s="1"/>
  <c r="M5417" i="143" s="1"/>
  <c r="H153" i="1"/>
  <c r="L5470" i="143"/>
  <c r="L5472" i="143" s="1"/>
  <c r="L5473" i="143" s="1"/>
  <c r="M5473" i="143" s="1"/>
  <c r="K5249" i="143"/>
  <c r="K5251" i="143" s="1"/>
  <c r="M5201" i="143"/>
  <c r="K5302" i="143"/>
  <c r="K5304" i="143" s="1"/>
  <c r="M5089" i="143"/>
  <c r="M5033" i="143"/>
  <c r="M5145" i="143"/>
  <c r="L4442" i="143"/>
  <c r="L4443" i="143" s="1"/>
  <c r="M4443" i="143" s="1"/>
  <c r="K4841" i="143"/>
  <c r="K4870" i="143" s="1"/>
  <c r="K4872" i="143" s="1"/>
  <c r="K4874" i="143" s="1"/>
  <c r="L4841" i="143"/>
  <c r="L4870" i="143" s="1"/>
  <c r="L4872" i="143" s="1"/>
  <c r="L4874" i="143" s="1"/>
  <c r="L4875" i="143" s="1"/>
  <c r="M4766" i="143"/>
  <c r="H138" i="1"/>
  <c r="M4339" i="143"/>
  <c r="L4493" i="143"/>
  <c r="L4495" i="143" s="1"/>
  <c r="L4496" i="143" s="1"/>
  <c r="M4496" i="143" s="1"/>
  <c r="K4976" i="143"/>
  <c r="L4707" i="143"/>
  <c r="L4709" i="143" s="1"/>
  <c r="L4710" i="143" s="1"/>
  <c r="M4710" i="143" s="1"/>
  <c r="M4598" i="143"/>
  <c r="M4547" i="143"/>
  <c r="M4822" i="143"/>
  <c r="L4924" i="143"/>
  <c r="L4926" i="143" s="1"/>
  <c r="L4927" i="143" s="1"/>
  <c r="M4927" i="143" s="1"/>
  <c r="L4651" i="143"/>
  <c r="L4653" i="143" s="1"/>
  <c r="L4654" i="143" s="1"/>
  <c r="M4654" i="143" s="1"/>
  <c r="M4391" i="143"/>
  <c r="H124" i="1"/>
  <c r="M4290" i="143"/>
  <c r="H105" i="1"/>
  <c r="M4239" i="143"/>
  <c r="H104" i="1"/>
  <c r="M4183" i="143"/>
  <c r="M4133" i="143"/>
  <c r="M4081" i="143"/>
  <c r="H118" i="1"/>
  <c r="K4022" i="143"/>
  <c r="K4024" i="143" s="1"/>
  <c r="L3966" i="143"/>
  <c r="L3968" i="143" s="1"/>
  <c r="L3969" i="143" s="1"/>
  <c r="K3966" i="143"/>
  <c r="K3968" i="143" s="1"/>
  <c r="L3856" i="143"/>
  <c r="L3857" i="143" s="1"/>
  <c r="M3857" i="143" s="1"/>
  <c r="L3910" i="143"/>
  <c r="L3912" i="143" s="1"/>
  <c r="L3913" i="143" s="1"/>
  <c r="M3913" i="143" s="1"/>
  <c r="L3803" i="143"/>
  <c r="L3805" i="143" s="1"/>
  <c r="L3806" i="143" s="1"/>
  <c r="K3803" i="143"/>
  <c r="K3805" i="143" s="1"/>
  <c r="L3754" i="143"/>
  <c r="L3755" i="143" s="1"/>
  <c r="M3755" i="143" s="1"/>
  <c r="M3699" i="143"/>
  <c r="M3643" i="143"/>
  <c r="H103" i="1"/>
  <c r="H141" i="1" l="1"/>
  <c r="H111" i="1"/>
  <c r="H31" i="1"/>
  <c r="L31" i="1" s="1"/>
  <c r="L112" i="1"/>
  <c r="K112" i="1"/>
  <c r="I112" i="1"/>
  <c r="H143" i="1"/>
  <c r="I107" i="1"/>
  <c r="L107" i="1"/>
  <c r="K107" i="1"/>
  <c r="M750" i="143"/>
  <c r="M5753" i="143"/>
  <c r="H163" i="1"/>
  <c r="M5305" i="143"/>
  <c r="H151" i="1"/>
  <c r="H150" i="1"/>
  <c r="M5252" i="143"/>
  <c r="M4977" i="143"/>
  <c r="M4875" i="143"/>
  <c r="M4025" i="143"/>
  <c r="H117" i="1"/>
  <c r="M3969" i="143"/>
  <c r="H115" i="1"/>
  <c r="M3806" i="143"/>
  <c r="J31" i="1" l="1"/>
  <c r="K31" i="1"/>
  <c r="O31" i="1" s="1"/>
  <c r="M112" i="1"/>
  <c r="O112" i="1" s="1"/>
  <c r="J112" i="1"/>
  <c r="N112" i="1"/>
  <c r="I115" i="1"/>
  <c r="L115" i="1"/>
  <c r="K115" i="1"/>
  <c r="N107" i="1"/>
  <c r="M107" i="1"/>
  <c r="O107" i="1" s="1"/>
  <c r="J107" i="1"/>
  <c r="N31" i="1"/>
  <c r="K3539" i="143"/>
  <c r="I3539" i="143"/>
  <c r="D3539" i="143"/>
  <c r="B3539" i="143"/>
  <c r="G3491" i="143"/>
  <c r="G3492" i="143"/>
  <c r="G3493" i="143"/>
  <c r="G3494" i="143"/>
  <c r="G3495" i="143"/>
  <c r="G3496" i="143"/>
  <c r="K3484" i="143"/>
  <c r="I3484" i="143"/>
  <c r="E3511" i="143" s="1"/>
  <c r="L105" i="149" s="1"/>
  <c r="M105" i="149" s="1"/>
  <c r="D3484" i="143"/>
  <c r="B3484" i="143"/>
  <c r="L3522" i="143"/>
  <c r="K3522" i="143"/>
  <c r="L3521" i="143"/>
  <c r="K3521" i="143"/>
  <c r="L3520" i="143"/>
  <c r="K3520" i="143"/>
  <c r="L3514" i="143"/>
  <c r="I3513" i="143"/>
  <c r="K3513" i="143" s="1"/>
  <c r="I3512" i="143"/>
  <c r="L3512" i="143" s="1"/>
  <c r="I3511" i="143"/>
  <c r="G3511" i="143"/>
  <c r="I3505" i="143"/>
  <c r="L3505" i="143" s="1"/>
  <c r="I3504" i="143"/>
  <c r="L3504" i="143" s="1"/>
  <c r="I3503" i="143"/>
  <c r="L3503" i="143" s="1"/>
  <c r="I3502" i="143"/>
  <c r="L3502" i="143" s="1"/>
  <c r="I3496" i="143"/>
  <c r="L3496" i="143" s="1"/>
  <c r="I3495" i="143"/>
  <c r="L3495" i="143" s="1"/>
  <c r="I3494" i="143"/>
  <c r="L3494" i="143" s="1"/>
  <c r="I3493" i="143"/>
  <c r="L3493" i="143" s="1"/>
  <c r="I3492" i="143"/>
  <c r="L3492" i="143" s="1"/>
  <c r="I3491" i="143"/>
  <c r="L3491" i="143" s="1"/>
  <c r="I3490" i="143"/>
  <c r="G3490" i="143"/>
  <c r="I3489" i="143"/>
  <c r="G3489" i="143"/>
  <c r="I3488" i="143"/>
  <c r="G3488" i="143"/>
  <c r="K3429" i="143"/>
  <c r="I3429" i="143"/>
  <c r="D3429" i="143"/>
  <c r="B3429" i="143"/>
  <c r="L3467" i="143"/>
  <c r="K3467" i="143"/>
  <c r="L3466" i="143"/>
  <c r="K3466" i="143"/>
  <c r="L3465" i="143"/>
  <c r="K3465" i="143"/>
  <c r="L3459" i="143"/>
  <c r="I3458" i="143"/>
  <c r="K3458" i="143" s="1"/>
  <c r="I3457" i="143"/>
  <c r="L3457" i="143" s="1"/>
  <c r="I3456" i="143"/>
  <c r="G3456" i="143"/>
  <c r="I3450" i="143"/>
  <c r="L3450" i="143" s="1"/>
  <c r="I3449" i="143"/>
  <c r="K3449" i="143" s="1"/>
  <c r="I3448" i="143"/>
  <c r="L3448" i="143" s="1"/>
  <c r="I3447" i="143"/>
  <c r="L3447" i="143" s="1"/>
  <c r="I3441" i="143"/>
  <c r="L3441" i="143" s="1"/>
  <c r="I3440" i="143"/>
  <c r="L3440" i="143" s="1"/>
  <c r="I3439" i="143"/>
  <c r="I3438" i="143"/>
  <c r="I3437" i="143"/>
  <c r="I3436" i="143"/>
  <c r="L3436" i="143" s="1"/>
  <c r="I3435" i="143"/>
  <c r="G3435" i="143"/>
  <c r="I3434" i="143"/>
  <c r="G3434" i="143"/>
  <c r="I3433" i="143"/>
  <c r="G3433" i="143"/>
  <c r="K3379" i="143"/>
  <c r="I3379" i="143"/>
  <c r="E3383" i="143" s="1"/>
  <c r="E66" i="149" s="1"/>
  <c r="F66" i="149" s="1"/>
  <c r="D3379" i="143"/>
  <c r="B3379" i="143"/>
  <c r="L3412" i="143"/>
  <c r="K3412" i="143"/>
  <c r="L3411" i="143"/>
  <c r="K3411" i="143"/>
  <c r="L3410" i="143"/>
  <c r="K3410" i="143"/>
  <c r="L3404" i="143"/>
  <c r="I3403" i="143"/>
  <c r="K3403" i="143" s="1"/>
  <c r="I3402" i="143"/>
  <c r="L3402" i="143" s="1"/>
  <c r="I3401" i="143"/>
  <c r="G3401" i="143"/>
  <c r="I3395" i="143"/>
  <c r="L3395" i="143" s="1"/>
  <c r="I3394" i="143"/>
  <c r="L3394" i="143" s="1"/>
  <c r="I3393" i="143"/>
  <c r="L3393" i="143" s="1"/>
  <c r="I3392" i="143"/>
  <c r="L3392" i="143" s="1"/>
  <c r="I3386" i="143"/>
  <c r="L3386" i="143" s="1"/>
  <c r="I3385" i="143"/>
  <c r="L3385" i="143" s="1"/>
  <c r="I3384" i="143"/>
  <c r="L3384" i="143" s="1"/>
  <c r="I3383" i="143"/>
  <c r="G3383" i="143"/>
  <c r="K3329" i="143"/>
  <c r="I3329" i="143"/>
  <c r="E3333" i="143" s="1"/>
  <c r="E276" i="149" s="1"/>
  <c r="F276" i="149" s="1"/>
  <c r="D3329" i="143"/>
  <c r="B3329" i="143"/>
  <c r="L3362" i="143"/>
  <c r="K3362" i="143"/>
  <c r="L3361" i="143"/>
  <c r="K3361" i="143"/>
  <c r="L3360" i="143"/>
  <c r="K3360" i="143"/>
  <c r="L3354" i="143"/>
  <c r="I3353" i="143"/>
  <c r="K3353" i="143" s="1"/>
  <c r="I3352" i="143"/>
  <c r="L3352" i="143" s="1"/>
  <c r="I3351" i="143"/>
  <c r="G3351" i="143"/>
  <c r="I3345" i="143"/>
  <c r="L3345" i="143" s="1"/>
  <c r="I3344" i="143"/>
  <c r="K3344" i="143" s="1"/>
  <c r="I3343" i="143"/>
  <c r="K3343" i="143" s="1"/>
  <c r="I3342" i="143"/>
  <c r="L3342" i="143" s="1"/>
  <c r="I3336" i="143"/>
  <c r="L3336" i="143" s="1"/>
  <c r="I3335" i="143"/>
  <c r="L3335" i="143" s="1"/>
  <c r="I3334" i="143"/>
  <c r="L3334" i="143" s="1"/>
  <c r="I3333" i="143"/>
  <c r="G3333" i="143"/>
  <c r="K3279" i="143"/>
  <c r="I3279" i="143"/>
  <c r="E3283" i="143" s="1"/>
  <c r="E108" i="149" s="1"/>
  <c r="F108" i="149" s="1"/>
  <c r="D3279" i="143"/>
  <c r="B3279" i="143"/>
  <c r="L3312" i="143"/>
  <c r="K3312" i="143"/>
  <c r="L3311" i="143"/>
  <c r="K3311" i="143"/>
  <c r="L3310" i="143"/>
  <c r="K3310" i="143"/>
  <c r="L3304" i="143"/>
  <c r="I3303" i="143"/>
  <c r="K3303" i="143" s="1"/>
  <c r="I3302" i="143"/>
  <c r="K3302" i="143" s="1"/>
  <c r="I3301" i="143"/>
  <c r="G3301" i="143"/>
  <c r="I3295" i="143"/>
  <c r="L3295" i="143" s="1"/>
  <c r="I3294" i="143"/>
  <c r="L3294" i="143" s="1"/>
  <c r="I3293" i="143"/>
  <c r="K3293" i="143" s="1"/>
  <c r="I3292" i="143"/>
  <c r="K3292" i="143" s="1"/>
  <c r="I3286" i="143"/>
  <c r="I3285" i="143"/>
  <c r="I3284" i="143"/>
  <c r="I3283" i="143"/>
  <c r="G3283" i="143"/>
  <c r="K3229" i="143"/>
  <c r="I3229" i="143"/>
  <c r="D3229" i="143"/>
  <c r="B3229" i="143"/>
  <c r="K3180" i="143"/>
  <c r="I3180" i="143"/>
  <c r="E3186" i="143" s="1"/>
  <c r="D3180" i="143"/>
  <c r="B3180" i="143"/>
  <c r="L3212" i="143"/>
  <c r="K3212" i="143"/>
  <c r="L3211" i="143"/>
  <c r="K3211" i="143"/>
  <c r="L3210" i="143"/>
  <c r="K3210" i="143"/>
  <c r="L3204" i="143"/>
  <c r="I3203" i="143"/>
  <c r="K3203" i="143" s="1"/>
  <c r="I3202" i="143"/>
  <c r="L3202" i="143" s="1"/>
  <c r="I3201" i="143"/>
  <c r="G3201" i="143"/>
  <c r="I3195" i="143"/>
  <c r="L3195" i="143" s="1"/>
  <c r="I3194" i="143"/>
  <c r="L3194" i="143" s="1"/>
  <c r="I3193" i="143"/>
  <c r="L3193" i="143" s="1"/>
  <c r="I3192" i="143"/>
  <c r="L3192" i="143" s="1"/>
  <c r="I3186" i="143"/>
  <c r="G3186" i="143"/>
  <c r="I3185" i="143"/>
  <c r="G3185" i="143"/>
  <c r="I3184" i="143"/>
  <c r="G3184" i="143"/>
  <c r="K3131" i="143"/>
  <c r="I3131" i="143"/>
  <c r="D3131" i="143"/>
  <c r="B3131" i="143"/>
  <c r="K3079" i="143"/>
  <c r="I3079" i="143"/>
  <c r="E3085" i="143" s="1"/>
  <c r="D3079" i="143"/>
  <c r="B3079" i="143"/>
  <c r="K3026" i="143"/>
  <c r="I3026" i="143"/>
  <c r="E3032" i="143" s="1"/>
  <c r="E59" i="149" s="1"/>
  <c r="F59" i="149" s="1"/>
  <c r="D3026" i="143"/>
  <c r="B3026" i="143"/>
  <c r="K2970" i="143"/>
  <c r="I2970" i="143"/>
  <c r="E2998" i="143" s="1"/>
  <c r="D2970" i="143"/>
  <c r="B2970" i="143"/>
  <c r="L3009" i="143"/>
  <c r="K3009" i="143"/>
  <c r="L3008" i="143"/>
  <c r="K3008" i="143"/>
  <c r="L3007" i="143"/>
  <c r="K3007" i="143"/>
  <c r="L3001" i="143"/>
  <c r="I3000" i="143"/>
  <c r="K3000" i="143" s="1"/>
  <c r="I2999" i="143"/>
  <c r="L2999" i="143" s="1"/>
  <c r="I2998" i="143"/>
  <c r="G2998" i="143"/>
  <c r="I2992" i="143"/>
  <c r="L2992" i="143" s="1"/>
  <c r="I2991" i="143"/>
  <c r="K2991" i="143" s="1"/>
  <c r="I2990" i="143"/>
  <c r="K2990" i="143" s="1"/>
  <c r="I2989" i="143"/>
  <c r="L2989" i="143" s="1"/>
  <c r="I2983" i="143"/>
  <c r="L2983" i="143" s="1"/>
  <c r="I2982" i="143"/>
  <c r="L2982" i="143" s="1"/>
  <c r="I2981" i="143"/>
  <c r="L2981" i="143" s="1"/>
  <c r="I2980" i="143"/>
  <c r="K2980" i="143" s="1"/>
  <c r="I2979" i="143"/>
  <c r="L2979" i="143" s="1"/>
  <c r="I2978" i="143"/>
  <c r="L2978" i="143" s="1"/>
  <c r="I2977" i="143"/>
  <c r="L2977" i="143" s="1"/>
  <c r="I2976" i="143"/>
  <c r="K2976" i="143" s="1"/>
  <c r="I2975" i="143"/>
  <c r="L2975" i="143" s="1"/>
  <c r="I2974" i="143"/>
  <c r="G2974" i="143"/>
  <c r="K2914" i="143"/>
  <c r="I2914" i="143"/>
  <c r="E2942" i="143" s="1"/>
  <c r="L92" i="149" s="1"/>
  <c r="M92" i="149" s="1"/>
  <c r="D2914" i="143"/>
  <c r="B2914" i="143"/>
  <c r="L2953" i="143"/>
  <c r="K2953" i="143"/>
  <c r="L2952" i="143"/>
  <c r="K2952" i="143"/>
  <c r="L2951" i="143"/>
  <c r="K2951" i="143"/>
  <c r="L2945" i="143"/>
  <c r="I2944" i="143"/>
  <c r="K2944" i="143" s="1"/>
  <c r="I2943" i="143"/>
  <c r="L2943" i="143" s="1"/>
  <c r="I2942" i="143"/>
  <c r="G2942" i="143"/>
  <c r="I2936" i="143"/>
  <c r="L2936" i="143" s="1"/>
  <c r="I2935" i="143"/>
  <c r="L2935" i="143" s="1"/>
  <c r="I2934" i="143"/>
  <c r="L2934" i="143" s="1"/>
  <c r="I2933" i="143"/>
  <c r="L2933" i="143" s="1"/>
  <c r="I2927" i="143"/>
  <c r="L2927" i="143" s="1"/>
  <c r="I2926" i="143"/>
  <c r="L2926" i="143" s="1"/>
  <c r="I2925" i="143"/>
  <c r="L2925" i="143" s="1"/>
  <c r="I2924" i="143"/>
  <c r="L2924" i="143" s="1"/>
  <c r="I2923" i="143"/>
  <c r="L2923" i="143" s="1"/>
  <c r="I2922" i="143"/>
  <c r="L2922" i="143" s="1"/>
  <c r="I2921" i="143"/>
  <c r="L2921" i="143" s="1"/>
  <c r="I2920" i="143"/>
  <c r="L2920" i="143" s="1"/>
  <c r="I2919" i="143"/>
  <c r="K2919" i="143" s="1"/>
  <c r="I2918" i="143"/>
  <c r="G2918" i="143"/>
  <c r="K2858" i="143"/>
  <c r="I2858" i="143"/>
  <c r="E2862" i="143" s="1"/>
  <c r="E99" i="149" s="1"/>
  <c r="F99" i="149" s="1"/>
  <c r="D2858" i="143"/>
  <c r="B2858" i="143"/>
  <c r="L2897" i="143"/>
  <c r="K2897" i="143"/>
  <c r="L2896" i="143"/>
  <c r="K2896" i="143"/>
  <c r="L2895" i="143"/>
  <c r="K2895" i="143"/>
  <c r="L2889" i="143"/>
  <c r="I2888" i="143"/>
  <c r="K2888" i="143" s="1"/>
  <c r="I2887" i="143"/>
  <c r="L2887" i="143" s="1"/>
  <c r="I2886" i="143"/>
  <c r="G2886" i="143"/>
  <c r="I2880" i="143"/>
  <c r="L2880" i="143" s="1"/>
  <c r="I2879" i="143"/>
  <c r="K2879" i="143" s="1"/>
  <c r="I2878" i="143"/>
  <c r="L2878" i="143" s="1"/>
  <c r="I2877" i="143"/>
  <c r="L2877" i="143" s="1"/>
  <c r="I2871" i="143"/>
  <c r="L2871" i="143" s="1"/>
  <c r="I2870" i="143"/>
  <c r="L2870" i="143" s="1"/>
  <c r="I2869" i="143"/>
  <c r="L2869" i="143" s="1"/>
  <c r="I2868" i="143"/>
  <c r="K2868" i="143" s="1"/>
  <c r="I2867" i="143"/>
  <c r="L2867" i="143" s="1"/>
  <c r="I2866" i="143"/>
  <c r="L2866" i="143" s="1"/>
  <c r="I2865" i="143"/>
  <c r="L2865" i="143" s="1"/>
  <c r="I2864" i="143"/>
  <c r="K2864" i="143" s="1"/>
  <c r="I2863" i="143"/>
  <c r="L2863" i="143" s="1"/>
  <c r="I2862" i="143"/>
  <c r="G2862" i="143"/>
  <c r="G2830" i="143"/>
  <c r="K2802" i="143"/>
  <c r="I2802" i="143"/>
  <c r="E2806" i="143" s="1"/>
  <c r="E98" i="149" s="1"/>
  <c r="F98" i="149" s="1"/>
  <c r="D2802" i="143"/>
  <c r="B2802" i="143"/>
  <c r="L2841" i="143"/>
  <c r="K2841" i="143"/>
  <c r="L2840" i="143"/>
  <c r="K2840" i="143"/>
  <c r="L2839" i="143"/>
  <c r="K2839" i="143"/>
  <c r="L2833" i="143"/>
  <c r="I2832" i="143"/>
  <c r="K2832" i="143" s="1"/>
  <c r="I2831" i="143"/>
  <c r="L2831" i="143" s="1"/>
  <c r="I2830" i="143"/>
  <c r="I2824" i="143"/>
  <c r="L2824" i="143" s="1"/>
  <c r="I2823" i="143"/>
  <c r="L2823" i="143" s="1"/>
  <c r="I2822" i="143"/>
  <c r="K2822" i="143" s="1"/>
  <c r="I2821" i="143"/>
  <c r="K2821" i="143" s="1"/>
  <c r="I2815" i="143"/>
  <c r="L2815" i="143" s="1"/>
  <c r="I2814" i="143"/>
  <c r="K2814" i="143" s="1"/>
  <c r="I2813" i="143"/>
  <c r="L2813" i="143" s="1"/>
  <c r="I2812" i="143"/>
  <c r="L2812" i="143" s="1"/>
  <c r="I2811" i="143"/>
  <c r="L2811" i="143" s="1"/>
  <c r="I2810" i="143"/>
  <c r="K2810" i="143" s="1"/>
  <c r="I2809" i="143"/>
  <c r="L2809" i="143" s="1"/>
  <c r="I2808" i="143"/>
  <c r="L2808" i="143" s="1"/>
  <c r="I2807" i="143"/>
  <c r="L2807" i="143" s="1"/>
  <c r="I2806" i="143"/>
  <c r="G2806" i="143"/>
  <c r="K2746" i="143"/>
  <c r="I2746" i="143"/>
  <c r="E2750" i="143" s="1"/>
  <c r="E51" i="149" s="1"/>
  <c r="F51" i="149" s="1"/>
  <c r="D2746" i="143"/>
  <c r="B2746" i="143"/>
  <c r="L2785" i="143"/>
  <c r="K2785" i="143"/>
  <c r="L2784" i="143"/>
  <c r="K2784" i="143"/>
  <c r="L2783" i="143"/>
  <c r="K2783" i="143"/>
  <c r="L2777" i="143"/>
  <c r="I2776" i="143"/>
  <c r="K2776" i="143" s="1"/>
  <c r="I2775" i="143"/>
  <c r="L2775" i="143" s="1"/>
  <c r="I2774" i="143"/>
  <c r="I2768" i="143"/>
  <c r="L2768" i="143" s="1"/>
  <c r="I2767" i="143"/>
  <c r="K2767" i="143" s="1"/>
  <c r="I2766" i="143"/>
  <c r="L2766" i="143" s="1"/>
  <c r="I2765" i="143"/>
  <c r="L2765" i="143" s="1"/>
  <c r="I2759" i="143"/>
  <c r="L2759" i="143" s="1"/>
  <c r="I2758" i="143"/>
  <c r="L2758" i="143" s="1"/>
  <c r="I2757" i="143"/>
  <c r="L2757" i="143" s="1"/>
  <c r="I2756" i="143"/>
  <c r="K2756" i="143" s="1"/>
  <c r="I2755" i="143"/>
  <c r="L2755" i="143" s="1"/>
  <c r="I2754" i="143"/>
  <c r="L2754" i="143" s="1"/>
  <c r="I2753" i="143"/>
  <c r="L2753" i="143" s="1"/>
  <c r="I2752" i="143"/>
  <c r="K2752" i="143" s="1"/>
  <c r="I2751" i="143"/>
  <c r="L2751" i="143" s="1"/>
  <c r="I2750" i="143"/>
  <c r="G2750" i="143"/>
  <c r="K2690" i="143"/>
  <c r="I2690" i="143"/>
  <c r="D2690" i="143"/>
  <c r="B2690" i="143"/>
  <c r="L2729" i="143"/>
  <c r="K2729" i="143"/>
  <c r="L2728" i="143"/>
  <c r="K2728" i="143"/>
  <c r="L2727" i="143"/>
  <c r="K2727" i="143"/>
  <c r="L2721" i="143"/>
  <c r="I2720" i="143"/>
  <c r="K2720" i="143" s="1"/>
  <c r="I2719" i="143"/>
  <c r="K2719" i="143" s="1"/>
  <c r="I2718" i="143"/>
  <c r="G2718" i="143"/>
  <c r="I2712" i="143"/>
  <c r="L2712" i="143" s="1"/>
  <c r="I2711" i="143"/>
  <c r="L2711" i="143" s="1"/>
  <c r="I2710" i="143"/>
  <c r="K2710" i="143" s="1"/>
  <c r="I2709" i="143"/>
  <c r="L2709" i="143" s="1"/>
  <c r="I2703" i="143"/>
  <c r="K2703" i="143" s="1"/>
  <c r="I2702" i="143"/>
  <c r="L2702" i="143" s="1"/>
  <c r="I2701" i="143"/>
  <c r="L2701" i="143" s="1"/>
  <c r="I2700" i="143"/>
  <c r="L2700" i="143" s="1"/>
  <c r="I2699" i="143"/>
  <c r="K2699" i="143" s="1"/>
  <c r="I2698" i="143"/>
  <c r="L2698" i="143" s="1"/>
  <c r="I2697" i="143"/>
  <c r="L2697" i="143" s="1"/>
  <c r="I2696" i="143"/>
  <c r="I2695" i="143"/>
  <c r="I2694" i="143"/>
  <c r="G2694" i="143"/>
  <c r="G2640" i="143"/>
  <c r="K2634" i="143"/>
  <c r="I2634" i="143"/>
  <c r="E2640" i="143" s="1"/>
  <c r="D2634" i="143"/>
  <c r="B2634" i="143"/>
  <c r="L2673" i="143"/>
  <c r="K2673" i="143"/>
  <c r="L2672" i="143"/>
  <c r="K2672" i="143"/>
  <c r="L2671" i="143"/>
  <c r="K2671" i="143"/>
  <c r="L2665" i="143"/>
  <c r="I2664" i="143"/>
  <c r="K2664" i="143" s="1"/>
  <c r="I2663" i="143"/>
  <c r="L2663" i="143" s="1"/>
  <c r="I2662" i="143"/>
  <c r="G2662" i="143"/>
  <c r="I2656" i="143"/>
  <c r="L2656" i="143" s="1"/>
  <c r="I2655" i="143"/>
  <c r="K2655" i="143" s="1"/>
  <c r="I2654" i="143"/>
  <c r="K2654" i="143" s="1"/>
  <c r="I2653" i="143"/>
  <c r="L2653" i="143" s="1"/>
  <c r="I2647" i="143"/>
  <c r="L2647" i="143" s="1"/>
  <c r="I2646" i="143"/>
  <c r="L2646" i="143" s="1"/>
  <c r="I2645" i="143"/>
  <c r="L2645" i="143" s="1"/>
  <c r="I2644" i="143"/>
  <c r="K2644" i="143" s="1"/>
  <c r="I2643" i="143"/>
  <c r="L2643" i="143" s="1"/>
  <c r="I2642" i="143"/>
  <c r="L2642" i="143" s="1"/>
  <c r="I2641" i="143"/>
  <c r="L2641" i="143" s="1"/>
  <c r="I2640" i="143"/>
  <c r="I2639" i="143"/>
  <c r="G2639" i="143"/>
  <c r="I2638" i="143"/>
  <c r="G2638" i="143"/>
  <c r="K2578" i="143"/>
  <c r="I2578" i="143"/>
  <c r="E2583" i="143" s="1"/>
  <c r="D2578" i="143"/>
  <c r="B2578" i="143"/>
  <c r="L2617" i="143"/>
  <c r="K2617" i="143"/>
  <c r="L2616" i="143"/>
  <c r="K2616" i="143"/>
  <c r="L2615" i="143"/>
  <c r="K2615" i="143"/>
  <c r="L2609" i="143"/>
  <c r="I2608" i="143"/>
  <c r="K2608" i="143" s="1"/>
  <c r="I2607" i="143"/>
  <c r="L2607" i="143" s="1"/>
  <c r="I2606" i="143"/>
  <c r="G2606" i="143"/>
  <c r="I2600" i="143"/>
  <c r="L2600" i="143" s="1"/>
  <c r="I2599" i="143"/>
  <c r="L2599" i="143" s="1"/>
  <c r="I2598" i="143"/>
  <c r="L2598" i="143" s="1"/>
  <c r="I2597" i="143"/>
  <c r="L2597" i="143" s="1"/>
  <c r="I2591" i="143"/>
  <c r="L2591" i="143" s="1"/>
  <c r="I2590" i="143"/>
  <c r="L2590" i="143" s="1"/>
  <c r="I2589" i="143"/>
  <c r="L2589" i="143" s="1"/>
  <c r="I2588" i="143"/>
  <c r="L2588" i="143" s="1"/>
  <c r="I2587" i="143"/>
  <c r="L2587" i="143" s="1"/>
  <c r="I2586" i="143"/>
  <c r="L2586" i="143" s="1"/>
  <c r="I2585" i="143"/>
  <c r="L2585" i="143" s="1"/>
  <c r="I2584" i="143"/>
  <c r="L2584" i="143" s="1"/>
  <c r="I2583" i="143"/>
  <c r="G2583" i="143"/>
  <c r="I2582" i="143"/>
  <c r="G2582" i="143"/>
  <c r="G2531" i="143"/>
  <c r="G2532" i="143"/>
  <c r="K2522" i="143"/>
  <c r="I2522" i="143"/>
  <c r="F2532" i="143" s="1"/>
  <c r="D2522" i="143"/>
  <c r="B2522" i="143"/>
  <c r="L2561" i="143"/>
  <c r="K2561" i="143"/>
  <c r="L2560" i="143"/>
  <c r="K2560" i="143"/>
  <c r="L2559" i="143"/>
  <c r="K2559" i="143"/>
  <c r="L2553" i="143"/>
  <c r="I2552" i="143"/>
  <c r="K2552" i="143" s="1"/>
  <c r="I2551" i="143"/>
  <c r="L2551" i="143" s="1"/>
  <c r="I2550" i="143"/>
  <c r="G2550" i="143"/>
  <c r="I2544" i="143"/>
  <c r="L2544" i="143" s="1"/>
  <c r="I2543" i="143"/>
  <c r="K2543" i="143" s="1"/>
  <c r="I2542" i="143"/>
  <c r="L2542" i="143" s="1"/>
  <c r="I2541" i="143"/>
  <c r="L2541" i="143" s="1"/>
  <c r="I2535" i="143"/>
  <c r="L2535" i="143" s="1"/>
  <c r="I2534" i="143"/>
  <c r="L2534" i="143" s="1"/>
  <c r="I2533" i="143"/>
  <c r="L2533" i="143" s="1"/>
  <c r="I2532" i="143"/>
  <c r="I2531" i="143"/>
  <c r="L2531" i="143" s="1"/>
  <c r="I2530" i="143"/>
  <c r="G2530" i="143"/>
  <c r="I2529" i="143"/>
  <c r="G2529" i="143"/>
  <c r="I2528" i="143"/>
  <c r="L2528" i="143" s="1"/>
  <c r="G2528" i="143"/>
  <c r="I2527" i="143"/>
  <c r="G2527" i="143"/>
  <c r="I2526" i="143"/>
  <c r="L2526" i="143" s="1"/>
  <c r="G2526" i="143"/>
  <c r="K2466" i="143"/>
  <c r="I2466" i="143"/>
  <c r="E2494" i="143" s="1"/>
  <c r="D2466" i="143"/>
  <c r="B2466" i="143"/>
  <c r="L2505" i="143"/>
  <c r="K2505" i="143"/>
  <c r="L2504" i="143"/>
  <c r="K2504" i="143"/>
  <c r="L2503" i="143"/>
  <c r="K2503" i="143"/>
  <c r="L2497" i="143"/>
  <c r="I2496" i="143"/>
  <c r="K2496" i="143" s="1"/>
  <c r="I2495" i="143"/>
  <c r="L2495" i="143" s="1"/>
  <c r="I2494" i="143"/>
  <c r="G2494" i="143"/>
  <c r="I2488" i="143"/>
  <c r="L2488" i="143" s="1"/>
  <c r="I2487" i="143"/>
  <c r="L2487" i="143" s="1"/>
  <c r="I2486" i="143"/>
  <c r="K2486" i="143" s="1"/>
  <c r="I2485" i="143"/>
  <c r="L2485" i="143" s="1"/>
  <c r="I2479" i="143"/>
  <c r="K2479" i="143" s="1"/>
  <c r="I2478" i="143"/>
  <c r="L2478" i="143" s="1"/>
  <c r="I2477" i="143"/>
  <c r="L2477" i="143" s="1"/>
  <c r="I2476" i="143"/>
  <c r="L2476" i="143" s="1"/>
  <c r="I2475" i="143"/>
  <c r="K2475" i="143" s="1"/>
  <c r="I2474" i="143"/>
  <c r="G2474" i="143"/>
  <c r="I2473" i="143"/>
  <c r="G2473" i="143"/>
  <c r="I2472" i="143"/>
  <c r="G2472" i="143"/>
  <c r="I2471" i="143"/>
  <c r="G2471" i="143"/>
  <c r="I2470" i="143"/>
  <c r="G2470" i="143"/>
  <c r="G2420" i="143"/>
  <c r="G2421" i="143"/>
  <c r="K2413" i="143"/>
  <c r="I2413" i="143"/>
  <c r="E2418" i="143" s="1"/>
  <c r="D2413" i="143"/>
  <c r="B2413" i="143"/>
  <c r="L2449" i="143"/>
  <c r="K2449" i="143"/>
  <c r="L2448" i="143"/>
  <c r="K2448" i="143"/>
  <c r="L2447" i="143"/>
  <c r="K2447" i="143"/>
  <c r="L2441" i="143"/>
  <c r="I2440" i="143"/>
  <c r="K2440" i="143" s="1"/>
  <c r="I2439" i="143"/>
  <c r="L2439" i="143" s="1"/>
  <c r="I2438" i="143"/>
  <c r="G2438" i="143"/>
  <c r="I2432" i="143"/>
  <c r="L2432" i="143" s="1"/>
  <c r="I2431" i="143"/>
  <c r="L2431" i="143" s="1"/>
  <c r="I2430" i="143"/>
  <c r="L2430" i="143" s="1"/>
  <c r="I2429" i="143"/>
  <c r="L2429" i="143" s="1"/>
  <c r="I2423" i="143"/>
  <c r="L2423" i="143" s="1"/>
  <c r="I2422" i="143"/>
  <c r="L2422" i="143" s="1"/>
  <c r="I2421" i="143"/>
  <c r="I2420" i="143"/>
  <c r="I2419" i="143"/>
  <c r="G2419" i="143"/>
  <c r="I2418" i="143"/>
  <c r="G2418" i="143"/>
  <c r="I2417" i="143"/>
  <c r="G2417" i="143"/>
  <c r="K2362" i="143"/>
  <c r="I2362" i="143"/>
  <c r="E2368" i="143" s="1"/>
  <c r="F2368" i="143" s="1"/>
  <c r="D2362" i="143"/>
  <c r="B2362" i="143"/>
  <c r="L2396" i="143"/>
  <c r="K2396" i="143"/>
  <c r="L2395" i="143"/>
  <c r="K2395" i="143"/>
  <c r="L2394" i="143"/>
  <c r="K2394" i="143"/>
  <c r="L2388" i="143"/>
  <c r="I2387" i="143"/>
  <c r="K2387" i="143" s="1"/>
  <c r="I2386" i="143"/>
  <c r="L2386" i="143" s="1"/>
  <c r="I2385" i="143"/>
  <c r="G2385" i="143"/>
  <c r="I2379" i="143"/>
  <c r="L2379" i="143" s="1"/>
  <c r="I2378" i="143"/>
  <c r="L2378" i="143" s="1"/>
  <c r="I2377" i="143"/>
  <c r="L2377" i="143" s="1"/>
  <c r="I2376" i="143"/>
  <c r="L2376" i="143" s="1"/>
  <c r="I2370" i="143"/>
  <c r="K2370" i="143" s="1"/>
  <c r="I2369" i="143"/>
  <c r="L2369" i="143" s="1"/>
  <c r="I2368" i="143"/>
  <c r="G2368" i="143"/>
  <c r="I2367" i="143"/>
  <c r="G2367" i="143"/>
  <c r="I2366" i="143"/>
  <c r="G2366" i="143"/>
  <c r="K2311" i="143"/>
  <c r="I2311" i="143"/>
  <c r="E2317" i="143" s="1"/>
  <c r="D2311" i="143"/>
  <c r="B2311" i="143"/>
  <c r="L2345" i="143"/>
  <c r="K2345" i="143"/>
  <c r="L2344" i="143"/>
  <c r="K2344" i="143"/>
  <c r="L2343" i="143"/>
  <c r="K2343" i="143"/>
  <c r="L2337" i="143"/>
  <c r="I2336" i="143"/>
  <c r="K2336" i="143" s="1"/>
  <c r="I2335" i="143"/>
  <c r="L2335" i="143" s="1"/>
  <c r="I2334" i="143"/>
  <c r="G2334" i="143"/>
  <c r="I2328" i="143"/>
  <c r="L2328" i="143" s="1"/>
  <c r="I2327" i="143"/>
  <c r="L2327" i="143" s="1"/>
  <c r="I2326" i="143"/>
  <c r="L2326" i="143" s="1"/>
  <c r="I2325" i="143"/>
  <c r="L2325" i="143" s="1"/>
  <c r="I2319" i="143"/>
  <c r="L2319" i="143" s="1"/>
  <c r="I2318" i="143"/>
  <c r="L2318" i="143" s="1"/>
  <c r="I2317" i="143"/>
  <c r="G2317" i="143"/>
  <c r="I2316" i="143"/>
  <c r="G2316" i="143"/>
  <c r="I2315" i="143"/>
  <c r="G2315" i="143"/>
  <c r="K2255" i="143"/>
  <c r="I2255" i="143"/>
  <c r="E2261" i="143" s="1"/>
  <c r="D2255" i="143"/>
  <c r="B2255" i="143"/>
  <c r="L2294" i="143"/>
  <c r="K2294" i="143"/>
  <c r="L2293" i="143"/>
  <c r="K2293" i="143"/>
  <c r="L2292" i="143"/>
  <c r="K2292" i="143"/>
  <c r="L2286" i="143"/>
  <c r="I2285" i="143"/>
  <c r="K2285" i="143" s="1"/>
  <c r="I2284" i="143"/>
  <c r="L2284" i="143" s="1"/>
  <c r="I2283" i="143"/>
  <c r="G2283" i="143"/>
  <c r="I2277" i="143"/>
  <c r="L2277" i="143" s="1"/>
  <c r="I2276" i="143"/>
  <c r="K2276" i="143" s="1"/>
  <c r="I2275" i="143"/>
  <c r="K2275" i="143" s="1"/>
  <c r="I2274" i="143"/>
  <c r="L2274" i="143" s="1"/>
  <c r="I2268" i="143"/>
  <c r="L2268" i="143" s="1"/>
  <c r="I2267" i="143"/>
  <c r="L2267" i="143" s="1"/>
  <c r="I2266" i="143"/>
  <c r="L2266" i="143" s="1"/>
  <c r="I2265" i="143"/>
  <c r="K2265" i="143" s="1"/>
  <c r="I2264" i="143"/>
  <c r="L2264" i="143" s="1"/>
  <c r="I2263" i="143"/>
  <c r="L2263" i="143" s="1"/>
  <c r="I2262" i="143"/>
  <c r="L2262" i="143" s="1"/>
  <c r="I2261" i="143"/>
  <c r="G2261" i="143"/>
  <c r="I2260" i="143"/>
  <c r="G2260" i="143"/>
  <c r="I2259" i="143"/>
  <c r="G2259" i="143"/>
  <c r="I2206" i="143"/>
  <c r="K2206" i="143" s="1"/>
  <c r="I2207" i="143"/>
  <c r="K2207" i="143" s="1"/>
  <c r="I2208" i="143"/>
  <c r="L2208" i="143" s="1"/>
  <c r="I2209" i="143"/>
  <c r="K2209" i="143" s="1"/>
  <c r="K2199" i="143"/>
  <c r="I2199" i="143"/>
  <c r="E2203" i="143" s="1"/>
  <c r="E246" i="149" s="1"/>
  <c r="F246" i="149" s="1"/>
  <c r="D2199" i="143"/>
  <c r="B2199" i="143"/>
  <c r="L2238" i="143"/>
  <c r="K2238" i="143"/>
  <c r="L2237" i="143"/>
  <c r="K2237" i="143"/>
  <c r="L2236" i="143"/>
  <c r="K2236" i="143"/>
  <c r="L2230" i="143"/>
  <c r="I2229" i="143"/>
  <c r="K2229" i="143" s="1"/>
  <c r="I2228" i="143"/>
  <c r="L2228" i="143" s="1"/>
  <c r="I2227" i="143"/>
  <c r="G2227" i="143"/>
  <c r="I2221" i="143"/>
  <c r="L2221" i="143" s="1"/>
  <c r="I2220" i="143"/>
  <c r="L2220" i="143" s="1"/>
  <c r="I2219" i="143"/>
  <c r="L2219" i="143" s="1"/>
  <c r="I2218" i="143"/>
  <c r="L2218" i="143" s="1"/>
  <c r="I2212" i="143"/>
  <c r="L2212" i="143" s="1"/>
  <c r="I2211" i="143"/>
  <c r="L2211" i="143" s="1"/>
  <c r="I2210" i="143"/>
  <c r="L2210" i="143" s="1"/>
  <c r="I2205" i="143"/>
  <c r="G2205" i="143"/>
  <c r="I2204" i="143"/>
  <c r="G2204" i="143"/>
  <c r="I2203" i="143"/>
  <c r="G2203" i="143"/>
  <c r="D2146" i="143"/>
  <c r="B2146" i="143"/>
  <c r="L2182" i="143"/>
  <c r="K2182" i="143"/>
  <c r="L2181" i="143"/>
  <c r="K2181" i="143"/>
  <c r="L2180" i="143"/>
  <c r="K2180" i="143"/>
  <c r="L2174" i="143"/>
  <c r="I2173" i="143"/>
  <c r="K2173" i="143" s="1"/>
  <c r="I2172" i="143"/>
  <c r="L2172" i="143" s="1"/>
  <c r="I2171" i="143"/>
  <c r="G2171" i="143"/>
  <c r="I2165" i="143"/>
  <c r="L2165" i="143" s="1"/>
  <c r="I2164" i="143"/>
  <c r="L2164" i="143" s="1"/>
  <c r="I2163" i="143"/>
  <c r="K2163" i="143" s="1"/>
  <c r="I2162" i="143"/>
  <c r="L2162" i="143" s="1"/>
  <c r="I2153" i="143"/>
  <c r="G2153" i="143"/>
  <c r="I2152" i="143"/>
  <c r="G2152" i="143"/>
  <c r="I2151" i="143"/>
  <c r="G2151" i="143"/>
  <c r="I2150" i="143"/>
  <c r="G2150" i="143"/>
  <c r="K2146" i="143"/>
  <c r="I2146" i="143"/>
  <c r="E2153" i="143" s="1"/>
  <c r="G2098" i="143"/>
  <c r="G2099" i="143"/>
  <c r="G2100" i="143"/>
  <c r="D2037" i="143"/>
  <c r="B2037" i="143"/>
  <c r="K1928" i="143"/>
  <c r="I1928" i="143"/>
  <c r="E1932" i="143" s="1"/>
  <c r="D1928" i="143"/>
  <c r="B1928" i="143"/>
  <c r="L1967" i="143"/>
  <c r="K1967" i="143"/>
  <c r="L1966" i="143"/>
  <c r="K1966" i="143"/>
  <c r="L1965" i="143"/>
  <c r="K1965" i="143"/>
  <c r="L1959" i="143"/>
  <c r="I1958" i="143"/>
  <c r="K1958" i="143" s="1"/>
  <c r="I1957" i="143"/>
  <c r="L1957" i="143" s="1"/>
  <c r="I1956" i="143"/>
  <c r="G1956" i="143"/>
  <c r="I1950" i="143"/>
  <c r="L1950" i="143" s="1"/>
  <c r="I1949" i="143"/>
  <c r="K1949" i="143" s="1"/>
  <c r="I1948" i="143"/>
  <c r="K1948" i="143" s="1"/>
  <c r="I1947" i="143"/>
  <c r="L1947" i="143" s="1"/>
  <c r="I1941" i="143"/>
  <c r="L1941" i="143" s="1"/>
  <c r="I1940" i="143"/>
  <c r="L1940" i="143" s="1"/>
  <c r="I1939" i="143"/>
  <c r="L1939" i="143" s="1"/>
  <c r="I1938" i="143"/>
  <c r="G1938" i="143"/>
  <c r="I1937" i="143"/>
  <c r="G1937" i="143"/>
  <c r="I1936" i="143"/>
  <c r="G1936" i="143"/>
  <c r="I1935" i="143"/>
  <c r="G1935" i="143"/>
  <c r="I1934" i="143"/>
  <c r="G1934" i="143"/>
  <c r="I1933" i="143"/>
  <c r="G1933" i="143"/>
  <c r="I1932" i="143"/>
  <c r="G1932" i="143"/>
  <c r="K1872" i="143"/>
  <c r="I1872" i="143"/>
  <c r="E1880" i="143" s="1"/>
  <c r="D1872" i="143"/>
  <c r="B1872" i="143"/>
  <c r="K1819" i="143"/>
  <c r="I1819" i="143"/>
  <c r="D1819" i="143"/>
  <c r="B1819" i="143"/>
  <c r="K1763" i="143"/>
  <c r="I1763" i="143"/>
  <c r="E1768" i="143" s="1"/>
  <c r="D1763" i="143"/>
  <c r="B1763" i="143"/>
  <c r="L1802" i="143"/>
  <c r="K1802" i="143"/>
  <c r="L1801" i="143"/>
  <c r="K1801" i="143"/>
  <c r="L1800" i="143"/>
  <c r="K1800" i="143"/>
  <c r="L1794" i="143"/>
  <c r="I1793" i="143"/>
  <c r="K1793" i="143" s="1"/>
  <c r="I1792" i="143"/>
  <c r="L1792" i="143" s="1"/>
  <c r="I1791" i="143"/>
  <c r="G1791" i="143"/>
  <c r="I1785" i="143"/>
  <c r="L1785" i="143" s="1"/>
  <c r="I1784" i="143"/>
  <c r="K1784" i="143" s="1"/>
  <c r="I1783" i="143"/>
  <c r="L1783" i="143" s="1"/>
  <c r="I1782" i="143"/>
  <c r="L1782" i="143" s="1"/>
  <c r="I1776" i="143"/>
  <c r="L1776" i="143" s="1"/>
  <c r="I1775" i="143"/>
  <c r="L1775" i="143" s="1"/>
  <c r="I1774" i="143"/>
  <c r="L1774" i="143" s="1"/>
  <c r="I1773" i="143"/>
  <c r="K1773" i="143" s="1"/>
  <c r="I1772" i="143"/>
  <c r="K1772" i="143" s="1"/>
  <c r="I1771" i="143"/>
  <c r="L1771" i="143" s="1"/>
  <c r="I1770" i="143"/>
  <c r="I1769" i="143"/>
  <c r="I1768" i="143"/>
  <c r="G1768" i="143"/>
  <c r="I1767" i="143"/>
  <c r="G1767" i="143"/>
  <c r="I1715" i="143"/>
  <c r="K1715" i="143" s="1"/>
  <c r="I1716" i="143"/>
  <c r="K1716" i="143" s="1"/>
  <c r="I1717" i="143"/>
  <c r="K1717" i="143" s="1"/>
  <c r="K1707" i="143"/>
  <c r="I1707" i="143"/>
  <c r="E1711" i="143" s="1"/>
  <c r="D1707" i="143"/>
  <c r="B1707" i="143"/>
  <c r="L1746" i="143"/>
  <c r="K1746" i="143"/>
  <c r="L1745" i="143"/>
  <c r="K1745" i="143"/>
  <c r="L1744" i="143"/>
  <c r="K1744" i="143"/>
  <c r="L1738" i="143"/>
  <c r="I1737" i="143"/>
  <c r="K1737" i="143" s="1"/>
  <c r="I1736" i="143"/>
  <c r="I1735" i="143"/>
  <c r="G1735" i="143"/>
  <c r="I1729" i="143"/>
  <c r="L1729" i="143" s="1"/>
  <c r="I1728" i="143"/>
  <c r="K1728" i="143" s="1"/>
  <c r="I1727" i="143"/>
  <c r="K1727" i="143" s="1"/>
  <c r="I1726" i="143"/>
  <c r="L1726" i="143" s="1"/>
  <c r="I1720" i="143"/>
  <c r="I1719" i="143"/>
  <c r="I1718" i="143"/>
  <c r="I1714" i="143"/>
  <c r="G1714" i="143"/>
  <c r="I1713" i="143"/>
  <c r="G1713" i="143"/>
  <c r="I1712" i="143"/>
  <c r="G1712" i="143"/>
  <c r="I1711" i="143"/>
  <c r="G1711" i="143"/>
  <c r="K1654" i="143"/>
  <c r="I1654" i="143"/>
  <c r="E1658" i="143" s="1"/>
  <c r="D1654" i="143"/>
  <c r="B1654" i="143"/>
  <c r="L1690" i="143"/>
  <c r="K1690" i="143"/>
  <c r="L1689" i="143"/>
  <c r="K1689" i="143"/>
  <c r="L1688" i="143"/>
  <c r="K1688" i="143"/>
  <c r="L1682" i="143"/>
  <c r="I1681" i="143"/>
  <c r="K1681" i="143" s="1"/>
  <c r="I1680" i="143"/>
  <c r="G1680" i="143"/>
  <c r="I1679" i="143"/>
  <c r="G1679" i="143"/>
  <c r="I1673" i="143"/>
  <c r="L1673" i="143" s="1"/>
  <c r="I1672" i="143"/>
  <c r="K1672" i="143" s="1"/>
  <c r="I1671" i="143"/>
  <c r="L1671" i="143" s="1"/>
  <c r="I1670" i="143"/>
  <c r="L1670" i="143" s="1"/>
  <c r="I1664" i="143"/>
  <c r="G1664" i="143"/>
  <c r="I1663" i="143"/>
  <c r="G1663" i="143"/>
  <c r="I1662" i="143"/>
  <c r="G1662" i="143"/>
  <c r="I1661" i="143"/>
  <c r="G1661" i="143"/>
  <c r="I1660" i="143"/>
  <c r="G1660" i="143"/>
  <c r="I1659" i="143"/>
  <c r="G1659" i="143"/>
  <c r="I1658" i="143"/>
  <c r="G1658" i="143"/>
  <c r="K1598" i="143"/>
  <c r="I1598" i="143"/>
  <c r="E1603" i="143" s="1"/>
  <c r="D1598" i="143"/>
  <c r="B1598" i="143"/>
  <c r="L1637" i="143"/>
  <c r="K1637" i="143"/>
  <c r="L1636" i="143"/>
  <c r="K1636" i="143"/>
  <c r="L1635" i="143"/>
  <c r="K1635" i="143"/>
  <c r="L1629" i="143"/>
  <c r="I1628" i="143"/>
  <c r="K1628" i="143" s="1"/>
  <c r="I1627" i="143"/>
  <c r="L1627" i="143" s="1"/>
  <c r="I1626" i="143"/>
  <c r="G1626" i="143"/>
  <c r="I1620" i="143"/>
  <c r="L1620" i="143" s="1"/>
  <c r="I1619" i="143"/>
  <c r="K1619" i="143" s="1"/>
  <c r="I1618" i="143"/>
  <c r="L1618" i="143" s="1"/>
  <c r="I1617" i="143"/>
  <c r="L1617" i="143" s="1"/>
  <c r="I1611" i="143"/>
  <c r="L1611" i="143" s="1"/>
  <c r="I1610" i="143"/>
  <c r="L1610" i="143" s="1"/>
  <c r="I1609" i="143"/>
  <c r="L1609" i="143" s="1"/>
  <c r="I1608" i="143"/>
  <c r="K1608" i="143" s="1"/>
  <c r="I1607" i="143"/>
  <c r="L1607" i="143" s="1"/>
  <c r="I1606" i="143"/>
  <c r="L1606" i="143" s="1"/>
  <c r="I1605" i="143"/>
  <c r="L1605" i="143" s="1"/>
  <c r="I1604" i="143"/>
  <c r="K1604" i="143" s="1"/>
  <c r="I1603" i="143"/>
  <c r="G1603" i="143"/>
  <c r="I1602" i="143"/>
  <c r="G1602" i="143"/>
  <c r="I1550" i="143"/>
  <c r="K1550" i="143" s="1"/>
  <c r="I1551" i="143"/>
  <c r="K1551" i="143" s="1"/>
  <c r="I1552" i="143"/>
  <c r="L1552" i="143" s="1"/>
  <c r="P109" i="1"/>
  <c r="P148" i="1"/>
  <c r="G1494" i="143"/>
  <c r="I1495" i="143"/>
  <c r="K1495" i="143" s="1"/>
  <c r="I1496" i="143"/>
  <c r="K1496" i="143" s="1"/>
  <c r="G1491" i="143"/>
  <c r="G1492" i="143"/>
  <c r="G1493" i="143"/>
  <c r="G1490" i="143"/>
  <c r="K1486" i="143"/>
  <c r="I1486" i="143"/>
  <c r="D1486" i="143"/>
  <c r="B1486" i="143"/>
  <c r="L1525" i="143"/>
  <c r="K1525" i="143"/>
  <c r="L1524" i="143"/>
  <c r="K1524" i="143"/>
  <c r="L1523" i="143"/>
  <c r="K1523" i="143"/>
  <c r="L1517" i="143"/>
  <c r="I1516" i="143"/>
  <c r="K1516" i="143" s="1"/>
  <c r="I1515" i="143"/>
  <c r="L1515" i="143" s="1"/>
  <c r="I1514" i="143"/>
  <c r="G1514" i="143"/>
  <c r="I1508" i="143"/>
  <c r="L1508" i="143" s="1"/>
  <c r="I1507" i="143"/>
  <c r="L1507" i="143" s="1"/>
  <c r="I1506" i="143"/>
  <c r="L1506" i="143" s="1"/>
  <c r="I1505" i="143"/>
  <c r="L1505" i="143" s="1"/>
  <c r="I1499" i="143"/>
  <c r="I1498" i="143"/>
  <c r="I1497" i="143"/>
  <c r="I1494" i="143"/>
  <c r="I1493" i="143"/>
  <c r="I1492" i="143"/>
  <c r="I1491" i="143"/>
  <c r="I1490" i="143"/>
  <c r="I1330" i="143"/>
  <c r="K1330" i="143" s="1"/>
  <c r="K1318" i="143"/>
  <c r="I1318" i="143"/>
  <c r="E1322" i="143" s="1"/>
  <c r="D1318" i="143"/>
  <c r="B1318" i="143"/>
  <c r="L1357" i="143"/>
  <c r="K1357" i="143"/>
  <c r="L1356" i="143"/>
  <c r="K1356" i="143"/>
  <c r="L1355" i="143"/>
  <c r="K1355" i="143"/>
  <c r="L1349" i="143"/>
  <c r="I1348" i="143"/>
  <c r="K1348" i="143" s="1"/>
  <c r="I1347" i="143"/>
  <c r="L1347" i="143" s="1"/>
  <c r="I1346" i="143"/>
  <c r="G1346" i="143"/>
  <c r="I1340" i="143"/>
  <c r="L1340" i="143" s="1"/>
  <c r="I1339" i="143"/>
  <c r="K1339" i="143" s="1"/>
  <c r="I1338" i="143"/>
  <c r="K1338" i="143" s="1"/>
  <c r="I1337" i="143"/>
  <c r="L1337" i="143" s="1"/>
  <c r="I1331" i="143"/>
  <c r="L1331" i="143" s="1"/>
  <c r="I1329" i="143"/>
  <c r="L1329" i="143" s="1"/>
  <c r="I1328" i="143"/>
  <c r="G1328" i="143"/>
  <c r="I1327" i="143"/>
  <c r="G1327" i="143"/>
  <c r="I1326" i="143"/>
  <c r="G1326" i="143"/>
  <c r="I1325" i="143"/>
  <c r="G1325" i="143"/>
  <c r="I1324" i="143"/>
  <c r="G1324" i="143"/>
  <c r="I1323" i="143"/>
  <c r="G1323" i="143"/>
  <c r="I1322" i="143"/>
  <c r="G1322" i="143"/>
  <c r="K1262" i="143"/>
  <c r="I1262" i="143"/>
  <c r="E1269" i="143" s="1"/>
  <c r="D1262" i="143"/>
  <c r="B1262" i="143"/>
  <c r="L1301" i="143"/>
  <c r="K1301" i="143"/>
  <c r="L1300" i="143"/>
  <c r="K1300" i="143"/>
  <c r="L1299" i="143"/>
  <c r="K1299" i="143"/>
  <c r="L1293" i="143"/>
  <c r="I1292" i="143"/>
  <c r="K1292" i="143" s="1"/>
  <c r="I1291" i="143"/>
  <c r="L1291" i="143" s="1"/>
  <c r="I1290" i="143"/>
  <c r="G1290" i="143"/>
  <c r="I1284" i="143"/>
  <c r="L1284" i="143" s="1"/>
  <c r="I1283" i="143"/>
  <c r="L1283" i="143" s="1"/>
  <c r="I1282" i="143"/>
  <c r="L1282" i="143" s="1"/>
  <c r="I1281" i="143"/>
  <c r="L1281" i="143" s="1"/>
  <c r="I1275" i="143"/>
  <c r="L1275" i="143" s="1"/>
  <c r="I1273" i="143"/>
  <c r="I1272" i="143"/>
  <c r="G1272" i="143"/>
  <c r="I1271" i="143"/>
  <c r="G1271" i="143"/>
  <c r="E1271" i="143"/>
  <c r="I1270" i="143"/>
  <c r="G1270" i="143"/>
  <c r="I1269" i="143"/>
  <c r="G1269" i="143"/>
  <c r="I1268" i="143"/>
  <c r="G1268" i="143"/>
  <c r="I1267" i="143"/>
  <c r="G1267" i="143"/>
  <c r="I1266" i="143"/>
  <c r="G1266" i="143"/>
  <c r="I1218" i="143"/>
  <c r="G1218" i="143"/>
  <c r="K1206" i="143"/>
  <c r="I1206" i="143"/>
  <c r="E1216" i="143" s="1"/>
  <c r="D1206" i="143"/>
  <c r="B1206" i="143"/>
  <c r="L1245" i="143"/>
  <c r="K1245" i="143"/>
  <c r="L1244" i="143"/>
  <c r="K1244" i="143"/>
  <c r="L1243" i="143"/>
  <c r="K1243" i="143"/>
  <c r="L1237" i="143"/>
  <c r="I1236" i="143"/>
  <c r="K1236" i="143" s="1"/>
  <c r="I1235" i="143"/>
  <c r="L1235" i="143" s="1"/>
  <c r="I1234" i="143"/>
  <c r="G1234" i="143"/>
  <c r="I1228" i="143"/>
  <c r="L1228" i="143" s="1"/>
  <c r="I1227" i="143"/>
  <c r="L1227" i="143" s="1"/>
  <c r="I1226" i="143"/>
  <c r="L1226" i="143" s="1"/>
  <c r="I1225" i="143"/>
  <c r="L1225" i="143" s="1"/>
  <c r="I1219" i="143"/>
  <c r="L1219" i="143" s="1"/>
  <c r="I1217" i="143"/>
  <c r="G1217" i="143"/>
  <c r="I1216" i="143"/>
  <c r="G1216" i="143"/>
  <c r="I1215" i="143"/>
  <c r="G1215" i="143"/>
  <c r="I1214" i="143"/>
  <c r="G1214" i="143"/>
  <c r="I1213" i="143"/>
  <c r="E1218" i="143" s="1"/>
  <c r="G1213" i="143"/>
  <c r="I1212" i="143"/>
  <c r="G1212" i="143"/>
  <c r="I1211" i="143"/>
  <c r="G1211" i="143"/>
  <c r="I1210" i="143"/>
  <c r="G1210" i="143"/>
  <c r="K1150" i="143"/>
  <c r="I1150" i="143"/>
  <c r="E1154" i="143" s="1"/>
  <c r="D1150" i="143"/>
  <c r="B1150" i="143"/>
  <c r="L1189" i="143"/>
  <c r="K1189" i="143"/>
  <c r="L1188" i="143"/>
  <c r="K1188" i="143"/>
  <c r="L1187" i="143"/>
  <c r="K1187" i="143"/>
  <c r="L1181" i="143"/>
  <c r="I1180" i="143"/>
  <c r="K1180" i="143" s="1"/>
  <c r="I1179" i="143"/>
  <c r="L1179" i="143" s="1"/>
  <c r="I1178" i="143"/>
  <c r="G1178" i="143"/>
  <c r="I1172" i="143"/>
  <c r="L1172" i="143" s="1"/>
  <c r="I1171" i="143"/>
  <c r="L1171" i="143" s="1"/>
  <c r="I1170" i="143"/>
  <c r="L1170" i="143" s="1"/>
  <c r="I1169" i="143"/>
  <c r="L1169" i="143" s="1"/>
  <c r="I1163" i="143"/>
  <c r="L1163" i="143" s="1"/>
  <c r="I1162" i="143"/>
  <c r="L1162" i="143" s="1"/>
  <c r="I1161" i="143"/>
  <c r="G1161" i="143"/>
  <c r="I1160" i="143"/>
  <c r="G1160" i="143"/>
  <c r="I1159" i="143"/>
  <c r="G1159" i="143"/>
  <c r="I1158" i="143"/>
  <c r="G1158" i="143"/>
  <c r="I1157" i="143"/>
  <c r="G1157" i="143"/>
  <c r="I1156" i="143"/>
  <c r="G1156" i="143"/>
  <c r="I1155" i="143"/>
  <c r="G1155" i="143"/>
  <c r="I1154" i="143"/>
  <c r="G1154" i="143"/>
  <c r="K1094" i="143"/>
  <c r="I1094" i="143"/>
  <c r="E1104" i="143" s="1"/>
  <c r="D1094" i="143"/>
  <c r="B1094" i="143"/>
  <c r="L1133" i="143"/>
  <c r="K1133" i="143"/>
  <c r="L1132" i="143"/>
  <c r="K1132" i="143"/>
  <c r="L1131" i="143"/>
  <c r="K1131" i="143"/>
  <c r="L1125" i="143"/>
  <c r="I1124" i="143"/>
  <c r="K1124" i="143" s="1"/>
  <c r="I1123" i="143"/>
  <c r="L1123" i="143" s="1"/>
  <c r="I1122" i="143"/>
  <c r="G1122" i="143"/>
  <c r="I1116" i="143"/>
  <c r="L1116" i="143" s="1"/>
  <c r="I1115" i="143"/>
  <c r="K1115" i="143" s="1"/>
  <c r="I1114" i="143"/>
  <c r="L1114" i="143" s="1"/>
  <c r="I1113" i="143"/>
  <c r="L1113" i="143" s="1"/>
  <c r="I1107" i="143"/>
  <c r="L1107" i="143" s="1"/>
  <c r="I1106" i="143"/>
  <c r="L1106" i="143" s="1"/>
  <c r="I1105" i="143"/>
  <c r="G1105" i="143"/>
  <c r="I1104" i="143"/>
  <c r="G1104" i="143"/>
  <c r="I1103" i="143"/>
  <c r="G1103" i="143"/>
  <c r="I1102" i="143"/>
  <c r="G1102" i="143"/>
  <c r="I1101" i="143"/>
  <c r="G1101" i="143"/>
  <c r="I1100" i="143"/>
  <c r="G1100" i="143"/>
  <c r="I1099" i="143"/>
  <c r="G1099" i="143"/>
  <c r="I1098" i="143"/>
  <c r="G1098" i="143"/>
  <c r="K1038" i="143"/>
  <c r="I1038" i="143"/>
  <c r="E1048" i="143" s="1"/>
  <c r="D1038" i="143"/>
  <c r="B1038" i="143"/>
  <c r="L1077" i="143"/>
  <c r="K1077" i="143"/>
  <c r="L1076" i="143"/>
  <c r="K1076" i="143"/>
  <c r="L1075" i="143"/>
  <c r="K1075" i="143"/>
  <c r="L1069" i="143"/>
  <c r="I1068" i="143"/>
  <c r="K1068" i="143" s="1"/>
  <c r="I1067" i="143"/>
  <c r="L1067" i="143" s="1"/>
  <c r="I1066" i="143"/>
  <c r="G1066" i="143"/>
  <c r="I1060" i="143"/>
  <c r="L1060" i="143" s="1"/>
  <c r="I1059" i="143"/>
  <c r="L1059" i="143" s="1"/>
  <c r="I1058" i="143"/>
  <c r="K1058" i="143" s="1"/>
  <c r="I1057" i="143"/>
  <c r="L1057" i="143" s="1"/>
  <c r="I1051" i="143"/>
  <c r="K1051" i="143" s="1"/>
  <c r="I1050" i="143"/>
  <c r="L1050" i="143" s="1"/>
  <c r="I1049" i="143"/>
  <c r="G1049" i="143"/>
  <c r="I1048" i="143"/>
  <c r="G1048" i="143"/>
  <c r="I1047" i="143"/>
  <c r="G1047" i="143"/>
  <c r="I1046" i="143"/>
  <c r="G1046" i="143"/>
  <c r="I1045" i="143"/>
  <c r="G1045" i="143"/>
  <c r="I1044" i="143"/>
  <c r="G1044" i="143"/>
  <c r="I1043" i="143"/>
  <c r="G1043" i="143"/>
  <c r="I1042" i="143"/>
  <c r="G1042" i="143"/>
  <c r="K982" i="143"/>
  <c r="I982" i="143"/>
  <c r="E991" i="143" s="1"/>
  <c r="D982" i="143"/>
  <c r="B982" i="143"/>
  <c r="L1021" i="143"/>
  <c r="K1021" i="143"/>
  <c r="L1020" i="143"/>
  <c r="K1020" i="143"/>
  <c r="L1019" i="143"/>
  <c r="K1019" i="143"/>
  <c r="L1013" i="143"/>
  <c r="I1012" i="143"/>
  <c r="K1012" i="143" s="1"/>
  <c r="I1011" i="143"/>
  <c r="L1011" i="143" s="1"/>
  <c r="I1010" i="143"/>
  <c r="G1010" i="143"/>
  <c r="I1004" i="143"/>
  <c r="L1004" i="143" s="1"/>
  <c r="I1003" i="143"/>
  <c r="L1003" i="143" s="1"/>
  <c r="I1002" i="143"/>
  <c r="L1002" i="143" s="1"/>
  <c r="I1001" i="143"/>
  <c r="L1001" i="143" s="1"/>
  <c r="I995" i="143"/>
  <c r="L995" i="143" s="1"/>
  <c r="I994" i="143"/>
  <c r="K994" i="143" s="1"/>
  <c r="I993" i="143"/>
  <c r="G993" i="143"/>
  <c r="I992" i="143"/>
  <c r="G992" i="143"/>
  <c r="I991" i="143"/>
  <c r="G991" i="143"/>
  <c r="I990" i="143"/>
  <c r="G990" i="143"/>
  <c r="I989" i="143"/>
  <c r="G989" i="143"/>
  <c r="I988" i="143"/>
  <c r="G988" i="143"/>
  <c r="I987" i="143"/>
  <c r="G987" i="143"/>
  <c r="I986" i="143"/>
  <c r="G986" i="143"/>
  <c r="K926" i="143"/>
  <c r="I926" i="143"/>
  <c r="E931" i="143" s="1"/>
  <c r="D926" i="143"/>
  <c r="B926" i="143"/>
  <c r="L965" i="143"/>
  <c r="K965" i="143"/>
  <c r="L964" i="143"/>
  <c r="K964" i="143"/>
  <c r="L963" i="143"/>
  <c r="K963" i="143"/>
  <c r="L957" i="143"/>
  <c r="I956" i="143"/>
  <c r="K956" i="143" s="1"/>
  <c r="I955" i="143"/>
  <c r="L955" i="143" s="1"/>
  <c r="I954" i="143"/>
  <c r="G954" i="143"/>
  <c r="I948" i="143"/>
  <c r="L948" i="143" s="1"/>
  <c r="I947" i="143"/>
  <c r="L947" i="143" s="1"/>
  <c r="I946" i="143"/>
  <c r="L946" i="143" s="1"/>
  <c r="I945" i="143"/>
  <c r="L945" i="143" s="1"/>
  <c r="I939" i="143"/>
  <c r="L939" i="143" s="1"/>
  <c r="I938" i="143"/>
  <c r="K938" i="143" s="1"/>
  <c r="I937" i="143"/>
  <c r="G937" i="143"/>
  <c r="I936" i="143"/>
  <c r="G936" i="143"/>
  <c r="I935" i="143"/>
  <c r="G935" i="143"/>
  <c r="I934" i="143"/>
  <c r="G934" i="143"/>
  <c r="I933" i="143"/>
  <c r="G933" i="143"/>
  <c r="I932" i="143"/>
  <c r="G932" i="143"/>
  <c r="I931" i="143"/>
  <c r="G931" i="143"/>
  <c r="I930" i="143"/>
  <c r="G930" i="143"/>
  <c r="L2" i="145"/>
  <c r="L3" i="145"/>
  <c r="L10" i="145"/>
  <c r="L13" i="145"/>
  <c r="L14" i="145"/>
  <c r="L23" i="145"/>
  <c r="L26" i="145"/>
  <c r="L27" i="145"/>
  <c r="L28" i="145"/>
  <c r="L32" i="145"/>
  <c r="L33" i="145"/>
  <c r="L34" i="145"/>
  <c r="L35" i="145"/>
  <c r="L38" i="145"/>
  <c r="L40" i="145"/>
  <c r="L43" i="145"/>
  <c r="L45" i="145"/>
  <c r="L47" i="145"/>
  <c r="L48" i="145"/>
  <c r="L50" i="145"/>
  <c r="L51" i="145"/>
  <c r="L52" i="145"/>
  <c r="L60" i="145"/>
  <c r="L61" i="145"/>
  <c r="L63" i="145"/>
  <c r="L65" i="145"/>
  <c r="L67" i="145"/>
  <c r="L75" i="145"/>
  <c r="L77" i="145"/>
  <c r="L80" i="145"/>
  <c r="L81" i="145"/>
  <c r="L82" i="145"/>
  <c r="L86" i="145"/>
  <c r="L87" i="145"/>
  <c r="L90" i="145"/>
  <c r="L98" i="145"/>
  <c r="L103" i="145"/>
  <c r="L107" i="145"/>
  <c r="L108" i="145"/>
  <c r="L109" i="145"/>
  <c r="L114" i="145"/>
  <c r="L116" i="145"/>
  <c r="L119" i="145"/>
  <c r="L120" i="145"/>
  <c r="L122" i="145"/>
  <c r="L125" i="145"/>
  <c r="L126" i="145"/>
  <c r="L131" i="145"/>
  <c r="L133" i="145"/>
  <c r="L136" i="145"/>
  <c r="L129" i="145"/>
  <c r="K647" i="143"/>
  <c r="I647" i="143"/>
  <c r="E653" i="143" s="1"/>
  <c r="D647" i="143"/>
  <c r="B647" i="143"/>
  <c r="K593" i="143"/>
  <c r="I593" i="143"/>
  <c r="E597" i="143" s="1"/>
  <c r="D593" i="143"/>
  <c r="B593" i="143"/>
  <c r="L684" i="143"/>
  <c r="K684" i="143"/>
  <c r="L683" i="143"/>
  <c r="K683" i="143"/>
  <c r="L682" i="143"/>
  <c r="K682" i="143"/>
  <c r="L676" i="143"/>
  <c r="I675" i="143"/>
  <c r="K675" i="143" s="1"/>
  <c r="I674" i="143"/>
  <c r="L674" i="143" s="1"/>
  <c r="I673" i="143"/>
  <c r="G673" i="143"/>
  <c r="I667" i="143"/>
  <c r="L667" i="143" s="1"/>
  <c r="I666" i="143"/>
  <c r="L666" i="143" s="1"/>
  <c r="I665" i="143"/>
  <c r="L665" i="143" s="1"/>
  <c r="I664" i="143"/>
  <c r="L664" i="143" s="1"/>
  <c r="I658" i="143"/>
  <c r="L658" i="143" s="1"/>
  <c r="I657" i="143"/>
  <c r="L657" i="143" s="1"/>
  <c r="I656" i="143"/>
  <c r="L656" i="143" s="1"/>
  <c r="I655" i="143"/>
  <c r="L655" i="143" s="1"/>
  <c r="I654" i="143"/>
  <c r="L654" i="143" s="1"/>
  <c r="I653" i="143"/>
  <c r="G653" i="143"/>
  <c r="I652" i="143"/>
  <c r="G652" i="143"/>
  <c r="I651" i="143"/>
  <c r="G651" i="143"/>
  <c r="L630" i="143"/>
  <c r="K630" i="143"/>
  <c r="L629" i="143"/>
  <c r="K629" i="143"/>
  <c r="L628" i="143"/>
  <c r="K628" i="143"/>
  <c r="L622" i="143"/>
  <c r="I621" i="143"/>
  <c r="L621" i="143" s="1"/>
  <c r="I620" i="143"/>
  <c r="L620" i="143" s="1"/>
  <c r="I619" i="143"/>
  <c r="G619" i="143"/>
  <c r="I613" i="143"/>
  <c r="L613" i="143" s="1"/>
  <c r="I612" i="143"/>
  <c r="L612" i="143" s="1"/>
  <c r="I611" i="143"/>
  <c r="K611" i="143" s="1"/>
  <c r="I610" i="143"/>
  <c r="L610" i="143" s="1"/>
  <c r="I604" i="143"/>
  <c r="L604" i="143" s="1"/>
  <c r="I603" i="143"/>
  <c r="L603" i="143" s="1"/>
  <c r="I602" i="143"/>
  <c r="L602" i="143" s="1"/>
  <c r="I601" i="143"/>
  <c r="L601" i="143" s="1"/>
  <c r="I600" i="143"/>
  <c r="L600" i="143" s="1"/>
  <c r="I599" i="143"/>
  <c r="G599" i="143"/>
  <c r="I598" i="143"/>
  <c r="G598" i="143"/>
  <c r="I597" i="143"/>
  <c r="G597" i="143"/>
  <c r="K539" i="143"/>
  <c r="I539" i="143"/>
  <c r="E543" i="143" s="1"/>
  <c r="D539" i="143"/>
  <c r="B539" i="143"/>
  <c r="L576" i="143"/>
  <c r="K576" i="143"/>
  <c r="L575" i="143"/>
  <c r="K575" i="143"/>
  <c r="L574" i="143"/>
  <c r="K574" i="143"/>
  <c r="L568" i="143"/>
  <c r="I567" i="143"/>
  <c r="K567" i="143" s="1"/>
  <c r="I566" i="143"/>
  <c r="L566" i="143" s="1"/>
  <c r="I565" i="143"/>
  <c r="G565" i="143"/>
  <c r="I559" i="143"/>
  <c r="L559" i="143" s="1"/>
  <c r="I558" i="143"/>
  <c r="L558" i="143" s="1"/>
  <c r="I557" i="143"/>
  <c r="L557" i="143" s="1"/>
  <c r="I556" i="143"/>
  <c r="L556" i="143" s="1"/>
  <c r="I550" i="143"/>
  <c r="L550" i="143" s="1"/>
  <c r="I549" i="143"/>
  <c r="L549" i="143" s="1"/>
  <c r="I548" i="143"/>
  <c r="L548" i="143" s="1"/>
  <c r="I547" i="143"/>
  <c r="L547" i="143" s="1"/>
  <c r="I546" i="143"/>
  <c r="L546" i="143" s="1"/>
  <c r="I545" i="143"/>
  <c r="G545" i="143"/>
  <c r="I544" i="143"/>
  <c r="G544" i="143"/>
  <c r="I543" i="143"/>
  <c r="G543" i="143"/>
  <c r="K429" i="143"/>
  <c r="I429" i="143"/>
  <c r="E435" i="143" s="1"/>
  <c r="D429" i="143"/>
  <c r="B429" i="143"/>
  <c r="G402" i="143"/>
  <c r="I392" i="143"/>
  <c r="S10" i="145"/>
  <c r="T10" i="145" s="1"/>
  <c r="K272" i="143"/>
  <c r="I272" i="143"/>
  <c r="D272" i="143"/>
  <c r="B272" i="143"/>
  <c r="G235" i="143"/>
  <c r="P106" i="1" l="1"/>
  <c r="N115" i="1"/>
  <c r="M115" i="1"/>
  <c r="O115" i="1" s="1"/>
  <c r="J115" i="1"/>
  <c r="P139" i="1"/>
  <c r="Q67" i="140" s="1"/>
  <c r="O68" i="140" s="1"/>
  <c r="O67" i="140" s="1"/>
  <c r="P113" i="1"/>
  <c r="Q47" i="140" s="1"/>
  <c r="I48" i="140" s="1"/>
  <c r="I47" i="140" s="1"/>
  <c r="P156" i="1"/>
  <c r="Q81" i="140" s="1"/>
  <c r="J82" i="140" s="1"/>
  <c r="J81" i="140" s="1"/>
  <c r="P121" i="1"/>
  <c r="P134" i="1"/>
  <c r="Q63" i="140" s="1"/>
  <c r="O64" i="140" s="1"/>
  <c r="O63" i="140" s="1"/>
  <c r="P153" i="1"/>
  <c r="Q79" i="140" s="1"/>
  <c r="I80" i="140" s="1"/>
  <c r="I79" i="140" s="1"/>
  <c r="P130" i="1"/>
  <c r="Q61" i="140" s="1"/>
  <c r="O62" i="140" s="1"/>
  <c r="O61" i="140" s="1"/>
  <c r="P107" i="1"/>
  <c r="F2640" i="143"/>
  <c r="E143" i="149"/>
  <c r="F143" i="149" s="1"/>
  <c r="P164" i="1"/>
  <c r="Q91" i="140" s="1"/>
  <c r="O92" i="140" s="1"/>
  <c r="O91" i="140" s="1"/>
  <c r="P143" i="1"/>
  <c r="Q69" i="140" s="1"/>
  <c r="O70" i="140" s="1"/>
  <c r="O69" i="140" s="1"/>
  <c r="P118" i="1"/>
  <c r="Q51" i="140" s="1"/>
  <c r="I52" i="140" s="1"/>
  <c r="I51" i="140" s="1"/>
  <c r="F2583" i="143"/>
  <c r="E109" i="149"/>
  <c r="F109" i="149" s="1"/>
  <c r="P161" i="1"/>
  <c r="Q89" i="140" s="1"/>
  <c r="M90" i="140" s="1"/>
  <c r="M89" i="140" s="1"/>
  <c r="P151" i="1"/>
  <c r="Q77" i="140" s="1"/>
  <c r="I78" i="140" s="1"/>
  <c r="I77" i="140" s="1"/>
  <c r="P128" i="1"/>
  <c r="Q59" i="140" s="1"/>
  <c r="M60" i="140" s="1"/>
  <c r="M59" i="140" s="1"/>
  <c r="P115" i="1"/>
  <c r="Q49" i="140" s="1"/>
  <c r="I50" i="140" s="1"/>
  <c r="I49" i="140" s="1"/>
  <c r="P159" i="1"/>
  <c r="Q87" i="140" s="1"/>
  <c r="O88" i="140" s="1"/>
  <c r="O87" i="140" s="1"/>
  <c r="P146" i="1"/>
  <c r="Q75" i="140" s="1"/>
  <c r="E76" i="140" s="1"/>
  <c r="E75" i="140" s="1"/>
  <c r="P136" i="1"/>
  <c r="Q65" i="140" s="1"/>
  <c r="O66" i="140" s="1"/>
  <c r="O65" i="140" s="1"/>
  <c r="L91" i="145"/>
  <c r="L91" i="149"/>
  <c r="M91" i="149" s="1"/>
  <c r="P127" i="1"/>
  <c r="Q72" i="140" s="1"/>
  <c r="F2153" i="143"/>
  <c r="K2153" i="143" s="1"/>
  <c r="E219" i="149"/>
  <c r="F219" i="149" s="1"/>
  <c r="E936" i="143"/>
  <c r="K3011" i="143"/>
  <c r="L3414" i="143"/>
  <c r="L3524" i="143"/>
  <c r="Q53" i="140"/>
  <c r="K54" i="140" s="1"/>
  <c r="K53" i="140" s="1"/>
  <c r="Q84" i="140"/>
  <c r="E85" i="140" s="1"/>
  <c r="E84" i="140" s="1"/>
  <c r="Q56" i="140"/>
  <c r="M57" i="140" s="1"/>
  <c r="M56" i="140" s="1"/>
  <c r="E3434" i="143"/>
  <c r="F3434" i="143" s="1"/>
  <c r="E3433" i="143"/>
  <c r="F3433" i="143" s="1"/>
  <c r="K3433" i="143" s="1"/>
  <c r="K3469" i="143"/>
  <c r="K3314" i="143"/>
  <c r="K3364" i="143"/>
  <c r="K3414" i="143"/>
  <c r="L3469" i="143"/>
  <c r="L3314" i="143"/>
  <c r="L3364" i="143"/>
  <c r="K3524" i="143"/>
  <c r="Q121" i="1"/>
  <c r="F3489" i="143"/>
  <c r="K3489" i="143" s="1"/>
  <c r="F3490" i="143"/>
  <c r="F3493" i="143"/>
  <c r="K3493" i="143" s="1"/>
  <c r="F3494" i="143"/>
  <c r="K3494" i="143" s="1"/>
  <c r="F3491" i="143"/>
  <c r="K3491" i="143" s="1"/>
  <c r="F3495" i="143"/>
  <c r="K3495" i="143" s="1"/>
  <c r="F3488" i="143"/>
  <c r="F3492" i="143"/>
  <c r="K3492" i="143" s="1"/>
  <c r="F3496" i="143"/>
  <c r="K3496" i="143" s="1"/>
  <c r="K3502" i="143"/>
  <c r="K3512" i="143"/>
  <c r="K3504" i="143"/>
  <c r="L3513" i="143"/>
  <c r="K3503" i="143"/>
  <c r="L3507" i="143"/>
  <c r="L3489" i="143"/>
  <c r="K3505" i="143"/>
  <c r="E3456" i="143"/>
  <c r="L78" i="149" s="1"/>
  <c r="M78" i="149" s="1"/>
  <c r="E3435" i="143"/>
  <c r="K3440" i="143"/>
  <c r="K3448" i="143"/>
  <c r="K3457" i="143"/>
  <c r="K3436" i="143"/>
  <c r="K3447" i="143"/>
  <c r="L3458" i="143"/>
  <c r="K3441" i="143"/>
  <c r="L3449" i="143"/>
  <c r="L3452" i="143" s="1"/>
  <c r="L3438" i="143"/>
  <c r="K3438" i="143"/>
  <c r="K3434" i="143"/>
  <c r="K3450" i="143"/>
  <c r="K3385" i="143"/>
  <c r="K3392" i="143"/>
  <c r="K3386" i="143"/>
  <c r="K3394" i="143"/>
  <c r="L3403" i="143"/>
  <c r="K3393" i="143"/>
  <c r="L3397" i="143"/>
  <c r="K3402" i="143"/>
  <c r="L3383" i="143"/>
  <c r="L3388" i="143" s="1"/>
  <c r="F3383" i="143"/>
  <c r="K3383" i="143" s="1"/>
  <c r="K3384" i="143"/>
  <c r="K3395" i="143"/>
  <c r="E3401" i="143"/>
  <c r="E276" i="145"/>
  <c r="F276" i="145" s="1"/>
  <c r="K3335" i="143"/>
  <c r="L3343" i="143"/>
  <c r="K3342" i="143"/>
  <c r="L3353" i="143"/>
  <c r="K3336" i="143"/>
  <c r="L3344" i="143"/>
  <c r="K3352" i="143"/>
  <c r="L3333" i="143"/>
  <c r="L3338" i="143" s="1"/>
  <c r="F3333" i="143"/>
  <c r="K3333" i="143" s="1"/>
  <c r="K3334" i="143"/>
  <c r="K3345" i="143"/>
  <c r="E3351" i="143"/>
  <c r="L97" i="149" s="1"/>
  <c r="M97" i="149" s="1"/>
  <c r="L3292" i="143"/>
  <c r="L3283" i="143"/>
  <c r="L3302" i="143"/>
  <c r="L3293" i="143"/>
  <c r="L3285" i="143"/>
  <c r="L3303" i="143"/>
  <c r="E3301" i="143"/>
  <c r="L96" i="149" s="1"/>
  <c r="M96" i="149" s="1"/>
  <c r="L3286" i="143"/>
  <c r="K3286" i="143"/>
  <c r="K3295" i="143"/>
  <c r="F3283" i="143"/>
  <c r="K3283" i="143" s="1"/>
  <c r="K3294" i="143"/>
  <c r="K1748" i="143"/>
  <c r="L2240" i="143"/>
  <c r="L2347" i="143"/>
  <c r="K3214" i="143"/>
  <c r="L2563" i="143"/>
  <c r="K2619" i="143"/>
  <c r="L2675" i="143"/>
  <c r="L2787" i="143"/>
  <c r="K2843" i="143"/>
  <c r="L2899" i="143"/>
  <c r="L2955" i="143"/>
  <c r="K2240" i="143"/>
  <c r="K2296" i="143"/>
  <c r="K2347" i="143"/>
  <c r="K2398" i="143"/>
  <c r="K2451" i="143"/>
  <c r="K2507" i="143"/>
  <c r="L2619" i="143"/>
  <c r="L2843" i="143"/>
  <c r="K2955" i="143"/>
  <c r="L3214" i="143"/>
  <c r="K3192" i="143"/>
  <c r="E3184" i="143"/>
  <c r="E3185" i="143"/>
  <c r="K3194" i="143"/>
  <c r="L3203" i="143"/>
  <c r="K3193" i="143"/>
  <c r="L3197" i="143"/>
  <c r="K3202" i="143"/>
  <c r="L3186" i="143"/>
  <c r="F3186" i="143"/>
  <c r="K3186" i="143" s="1"/>
  <c r="K3195" i="143"/>
  <c r="E3201" i="143"/>
  <c r="E3034" i="143"/>
  <c r="E2974" i="143"/>
  <c r="K1969" i="143"/>
  <c r="L2184" i="143"/>
  <c r="L2296" i="143"/>
  <c r="L2398" i="143"/>
  <c r="L2451" i="143"/>
  <c r="L2507" i="143"/>
  <c r="K2731" i="143"/>
  <c r="L3011" i="143"/>
  <c r="L1692" i="143"/>
  <c r="L1969" i="143"/>
  <c r="K2184" i="143"/>
  <c r="K2563" i="143"/>
  <c r="K2675" i="143"/>
  <c r="L2731" i="143"/>
  <c r="K2787" i="143"/>
  <c r="K2899" i="143"/>
  <c r="L2919" i="143"/>
  <c r="K2978" i="143"/>
  <c r="K2982" i="143"/>
  <c r="L2990" i="143"/>
  <c r="K2999" i="143"/>
  <c r="L2976" i="143"/>
  <c r="L2980" i="143"/>
  <c r="K2989" i="143"/>
  <c r="L3000" i="143"/>
  <c r="K2975" i="143"/>
  <c r="K2979" i="143"/>
  <c r="K2983" i="143"/>
  <c r="L2991" i="143"/>
  <c r="L2998" i="143"/>
  <c r="F2998" i="143"/>
  <c r="K2998" i="143" s="1"/>
  <c r="K2977" i="143"/>
  <c r="K2981" i="143"/>
  <c r="K2992" i="143"/>
  <c r="L92" i="145"/>
  <c r="K2933" i="143"/>
  <c r="K2924" i="143"/>
  <c r="K2926" i="143"/>
  <c r="K2923" i="143"/>
  <c r="L2944" i="143"/>
  <c r="K2927" i="143"/>
  <c r="K2935" i="143"/>
  <c r="K2920" i="143"/>
  <c r="K2922" i="143"/>
  <c r="K2934" i="143"/>
  <c r="E2886" i="143"/>
  <c r="L2886" i="143" s="1"/>
  <c r="E2918" i="143"/>
  <c r="L2938" i="143"/>
  <c r="K2943" i="143"/>
  <c r="L2942" i="143"/>
  <c r="F2942" i="143"/>
  <c r="K2942" i="143" s="1"/>
  <c r="K2921" i="143"/>
  <c r="K2925" i="143"/>
  <c r="K2936" i="143"/>
  <c r="K2866" i="143"/>
  <c r="K2870" i="143"/>
  <c r="L2868" i="143"/>
  <c r="K2878" i="143"/>
  <c r="L2864" i="143"/>
  <c r="K2877" i="143"/>
  <c r="L2862" i="143"/>
  <c r="K2863" i="143"/>
  <c r="K2867" i="143"/>
  <c r="K2871" i="143"/>
  <c r="L2879" i="143"/>
  <c r="L2882" i="143" s="1"/>
  <c r="L2888" i="143"/>
  <c r="K2887" i="143"/>
  <c r="F2862" i="143"/>
  <c r="K2862" i="143" s="1"/>
  <c r="K2865" i="143"/>
  <c r="K2869" i="143"/>
  <c r="K2880" i="143"/>
  <c r="L2822" i="143"/>
  <c r="E2830" i="143"/>
  <c r="K2824" i="143"/>
  <c r="K2815" i="143"/>
  <c r="K2813" i="143"/>
  <c r="K2831" i="143"/>
  <c r="K2758" i="143"/>
  <c r="K2809" i="143"/>
  <c r="K2811" i="143"/>
  <c r="L2832" i="143"/>
  <c r="K2807" i="143"/>
  <c r="L2814" i="143"/>
  <c r="L2821" i="143"/>
  <c r="L2810" i="143"/>
  <c r="L2806" i="143"/>
  <c r="F2806" i="143"/>
  <c r="K2806" i="143" s="1"/>
  <c r="K2808" i="143"/>
  <c r="K2812" i="143"/>
  <c r="K2823" i="143"/>
  <c r="K2826" i="143" s="1"/>
  <c r="L2756" i="143"/>
  <c r="K2766" i="143"/>
  <c r="K2754" i="143"/>
  <c r="L2752" i="143"/>
  <c r="K2765" i="143"/>
  <c r="L2750" i="143"/>
  <c r="K2751" i="143"/>
  <c r="K2755" i="143"/>
  <c r="K2759" i="143"/>
  <c r="L2767" i="143"/>
  <c r="L2770" i="143" s="1"/>
  <c r="L2776" i="143"/>
  <c r="K2775" i="143"/>
  <c r="L2774" i="143"/>
  <c r="K2774" i="143"/>
  <c r="F2750" i="143"/>
  <c r="K2750" i="143" s="1"/>
  <c r="K2753" i="143"/>
  <c r="K2757" i="143"/>
  <c r="K2768" i="143"/>
  <c r="L2699" i="143"/>
  <c r="K2702" i="143"/>
  <c r="L2710" i="143"/>
  <c r="L2714" i="143" s="1"/>
  <c r="L2703" i="143"/>
  <c r="L2719" i="143"/>
  <c r="K2698" i="143"/>
  <c r="K2709" i="143"/>
  <c r="L2720" i="143"/>
  <c r="L2696" i="143"/>
  <c r="K2696" i="143"/>
  <c r="K2697" i="143"/>
  <c r="K2701" i="143"/>
  <c r="K2712" i="143"/>
  <c r="E2718" i="143"/>
  <c r="E2694" i="143"/>
  <c r="K2700" i="143"/>
  <c r="K2711" i="143"/>
  <c r="K2642" i="143"/>
  <c r="E143" i="145"/>
  <c r="F143" i="145" s="1"/>
  <c r="E2639" i="143"/>
  <c r="F2639" i="143" s="1"/>
  <c r="K2639" i="143" s="1"/>
  <c r="K2663" i="143"/>
  <c r="E2638" i="143"/>
  <c r="K2640" i="143"/>
  <c r="K2646" i="143"/>
  <c r="L2654" i="143"/>
  <c r="L2640" i="143"/>
  <c r="L2644" i="143"/>
  <c r="K2653" i="143"/>
  <c r="L2664" i="143"/>
  <c r="K2643" i="143"/>
  <c r="K2647" i="143"/>
  <c r="L2655" i="143"/>
  <c r="K2641" i="143"/>
  <c r="K2645" i="143"/>
  <c r="K2656" i="143"/>
  <c r="E2662" i="143"/>
  <c r="E2582" i="143"/>
  <c r="L2583" i="143"/>
  <c r="K2599" i="143"/>
  <c r="K2590" i="143"/>
  <c r="K2597" i="143"/>
  <c r="K2591" i="143"/>
  <c r="K2588" i="143"/>
  <c r="K2598" i="143"/>
  <c r="L2608" i="143"/>
  <c r="K2585" i="143"/>
  <c r="L2602" i="143"/>
  <c r="K2607" i="143"/>
  <c r="K2586" i="143"/>
  <c r="K2589" i="143"/>
  <c r="K2600" i="143"/>
  <c r="E2606" i="143"/>
  <c r="L99" i="149" s="1"/>
  <c r="M99" i="149" s="1"/>
  <c r="K2583" i="143"/>
  <c r="K2587" i="143"/>
  <c r="K2584" i="143"/>
  <c r="F2530" i="143"/>
  <c r="K2530" i="143" s="1"/>
  <c r="K2551" i="143"/>
  <c r="F2531" i="143"/>
  <c r="K2531" i="143" s="1"/>
  <c r="F2526" i="143"/>
  <c r="K2526" i="143" s="1"/>
  <c r="F2527" i="143"/>
  <c r="F2529" i="143"/>
  <c r="K2529" i="143" s="1"/>
  <c r="K2534" i="143"/>
  <c r="K2542" i="143"/>
  <c r="K2532" i="143"/>
  <c r="F2528" i="143"/>
  <c r="K2528" i="143" s="1"/>
  <c r="L2532" i="143"/>
  <c r="K2541" i="143"/>
  <c r="L2552" i="143"/>
  <c r="L2530" i="143"/>
  <c r="K2535" i="143"/>
  <c r="L2543" i="143"/>
  <c r="L2546" i="143" s="1"/>
  <c r="L2529" i="143"/>
  <c r="K2533" i="143"/>
  <c r="K2544" i="143"/>
  <c r="E2550" i="143"/>
  <c r="E2470" i="143"/>
  <c r="L2470" i="143" s="1"/>
  <c r="E2474" i="143"/>
  <c r="F2474" i="143" s="1"/>
  <c r="K2474" i="143" s="1"/>
  <c r="E2473" i="143"/>
  <c r="L2473" i="143" s="1"/>
  <c r="L2475" i="143"/>
  <c r="K2478" i="143"/>
  <c r="E2472" i="143"/>
  <c r="F2472" i="143" s="1"/>
  <c r="K2472" i="143" s="1"/>
  <c r="K2485" i="143"/>
  <c r="K2495" i="143"/>
  <c r="L2494" i="143"/>
  <c r="L2479" i="143"/>
  <c r="L2486" i="143"/>
  <c r="L2490" i="143" s="1"/>
  <c r="E2471" i="143"/>
  <c r="L2496" i="143"/>
  <c r="K2477" i="143"/>
  <c r="K2488" i="143"/>
  <c r="K2429" i="143"/>
  <c r="K2476" i="143"/>
  <c r="K2487" i="143"/>
  <c r="F2494" i="143"/>
  <c r="K2494" i="143" s="1"/>
  <c r="E2421" i="143"/>
  <c r="E2420" i="143"/>
  <c r="F2420" i="143" s="1"/>
  <c r="K2420" i="143" s="1"/>
  <c r="E2419" i="143"/>
  <c r="L2419" i="143" s="1"/>
  <c r="K2423" i="143"/>
  <c r="F2418" i="143"/>
  <c r="K2422" i="143"/>
  <c r="E2417" i="143"/>
  <c r="F2417" i="143" s="1"/>
  <c r="K2431" i="143"/>
  <c r="L2440" i="143"/>
  <c r="K2430" i="143"/>
  <c r="L2434" i="143"/>
  <c r="K2439" i="143"/>
  <c r="K2432" i="143"/>
  <c r="E2438" i="143"/>
  <c r="L56" i="149" s="1"/>
  <c r="M56" i="149" s="1"/>
  <c r="K2377" i="143"/>
  <c r="E2367" i="143"/>
  <c r="L2370" i="143"/>
  <c r="K2376" i="143"/>
  <c r="E2366" i="143"/>
  <c r="L2387" i="143"/>
  <c r="K2386" i="143"/>
  <c r="L2368" i="143"/>
  <c r="K2368" i="143"/>
  <c r="L2381" i="143"/>
  <c r="K2369" i="143"/>
  <c r="K2379" i="143"/>
  <c r="E2385" i="143"/>
  <c r="K2378" i="143"/>
  <c r="E2315" i="143"/>
  <c r="K2325" i="143"/>
  <c r="K2327" i="143"/>
  <c r="L2336" i="143"/>
  <c r="K2319" i="143"/>
  <c r="K2326" i="143"/>
  <c r="L2330" i="143"/>
  <c r="K2335" i="143"/>
  <c r="L2317" i="143"/>
  <c r="F2317" i="143"/>
  <c r="K2317" i="143" s="1"/>
  <c r="E2316" i="143"/>
  <c r="K2318" i="143"/>
  <c r="K2328" i="143"/>
  <c r="E2334" i="143"/>
  <c r="K2263" i="143"/>
  <c r="K2284" i="143"/>
  <c r="E2259" i="143"/>
  <c r="E249" i="149" s="1"/>
  <c r="F249" i="149" s="1"/>
  <c r="K2267" i="143"/>
  <c r="L2275" i="143"/>
  <c r="E2260" i="143"/>
  <c r="E81" i="149" s="1"/>
  <c r="F81" i="149" s="1"/>
  <c r="L2265" i="143"/>
  <c r="K2274" i="143"/>
  <c r="L2285" i="143"/>
  <c r="K2264" i="143"/>
  <c r="K2268" i="143"/>
  <c r="L2276" i="143"/>
  <c r="L2261" i="143"/>
  <c r="F2261" i="143"/>
  <c r="K2261" i="143" s="1"/>
  <c r="K2262" i="143"/>
  <c r="K2266" i="143"/>
  <c r="K2277" i="143"/>
  <c r="E2283" i="143"/>
  <c r="L117" i="149" s="1"/>
  <c r="M117" i="149" s="1"/>
  <c r="L2206" i="143"/>
  <c r="K2208" i="143"/>
  <c r="E2204" i="143"/>
  <c r="E86" i="149" s="1"/>
  <c r="F86" i="149" s="1"/>
  <c r="E2205" i="143"/>
  <c r="L2205" i="143" s="1"/>
  <c r="L2209" i="143"/>
  <c r="L2207" i="143"/>
  <c r="K2218" i="143"/>
  <c r="K2211" i="143"/>
  <c r="K2228" i="143"/>
  <c r="K2212" i="143"/>
  <c r="K2220" i="143"/>
  <c r="L2229" i="143"/>
  <c r="K2219" i="143"/>
  <c r="L2203" i="143"/>
  <c r="L2223" i="143"/>
  <c r="F2203" i="143"/>
  <c r="K2203" i="143" s="1"/>
  <c r="K2210" i="143"/>
  <c r="K2221" i="143"/>
  <c r="E2227" i="143"/>
  <c r="L2163" i="143"/>
  <c r="L2167" i="143" s="1"/>
  <c r="E2150" i="143"/>
  <c r="E245" i="149" s="1"/>
  <c r="F245" i="149" s="1"/>
  <c r="K2172" i="143"/>
  <c r="E2152" i="143"/>
  <c r="F2152" i="143" s="1"/>
  <c r="K2152" i="143" s="1"/>
  <c r="K2162" i="143"/>
  <c r="K2164" i="143"/>
  <c r="L2173" i="143"/>
  <c r="E2151" i="143"/>
  <c r="L2153" i="143"/>
  <c r="K2165" i="143"/>
  <c r="E2171" i="143"/>
  <c r="E1936" i="143"/>
  <c r="E1938" i="143"/>
  <c r="F1938" i="143" s="1"/>
  <c r="K1938" i="143" s="1"/>
  <c r="E1933" i="143"/>
  <c r="E1935" i="143"/>
  <c r="K1940" i="143"/>
  <c r="L1948" i="143"/>
  <c r="K1947" i="143"/>
  <c r="K1941" i="143"/>
  <c r="L1949" i="143"/>
  <c r="L1958" i="143"/>
  <c r="K1957" i="143"/>
  <c r="E1937" i="143"/>
  <c r="K1939" i="143"/>
  <c r="K1950" i="143"/>
  <c r="E1956" i="143"/>
  <c r="E1934" i="143"/>
  <c r="L1527" i="143"/>
  <c r="L1748" i="143"/>
  <c r="K1692" i="143"/>
  <c r="K1804" i="143"/>
  <c r="L1804" i="143"/>
  <c r="E1767" i="143"/>
  <c r="L1793" i="143"/>
  <c r="L1772" i="143"/>
  <c r="K1776" i="143"/>
  <c r="L1784" i="143"/>
  <c r="L1787" i="143" s="1"/>
  <c r="K1783" i="143"/>
  <c r="K1792" i="143"/>
  <c r="K1771" i="143"/>
  <c r="K1775" i="143"/>
  <c r="L1773" i="143"/>
  <c r="K1782" i="143"/>
  <c r="L1769" i="143"/>
  <c r="K1769" i="143"/>
  <c r="E1713" i="143"/>
  <c r="L1713" i="143" s="1"/>
  <c r="E1714" i="143"/>
  <c r="E1712" i="143"/>
  <c r="K1774" i="143"/>
  <c r="K1785" i="143"/>
  <c r="E1791" i="143"/>
  <c r="E1735" i="143"/>
  <c r="F1735" i="143" s="1"/>
  <c r="K1735" i="143" s="1"/>
  <c r="L1717" i="143"/>
  <c r="L1715" i="143"/>
  <c r="L1716" i="143"/>
  <c r="L1727" i="143"/>
  <c r="L1718" i="143"/>
  <c r="L1720" i="143"/>
  <c r="L1728" i="143"/>
  <c r="L1736" i="143"/>
  <c r="L1737" i="143"/>
  <c r="L1711" i="143"/>
  <c r="F1711" i="143"/>
  <c r="K1711" i="143" s="1"/>
  <c r="K1718" i="143"/>
  <c r="K1720" i="143"/>
  <c r="K1726" i="143"/>
  <c r="K1736" i="143"/>
  <c r="K1729" i="143"/>
  <c r="E1679" i="143"/>
  <c r="E1662" i="143"/>
  <c r="E1659" i="143"/>
  <c r="E1664" i="143"/>
  <c r="L1664" i="143" s="1"/>
  <c r="E1660" i="143"/>
  <c r="L1658" i="143"/>
  <c r="L1672" i="143"/>
  <c r="L1675" i="143" s="1"/>
  <c r="E1680" i="143"/>
  <c r="L1681" i="143"/>
  <c r="K1671" i="143"/>
  <c r="F1658" i="143"/>
  <c r="K1658" i="143" s="1"/>
  <c r="K1670" i="143"/>
  <c r="E1661" i="143"/>
  <c r="E1663" i="143"/>
  <c r="E174" i="149" s="1"/>
  <c r="F174" i="149" s="1"/>
  <c r="K1673" i="143"/>
  <c r="K1617" i="143"/>
  <c r="K1639" i="143"/>
  <c r="L1604" i="143"/>
  <c r="L1639" i="143"/>
  <c r="L1608" i="143"/>
  <c r="K1607" i="143"/>
  <c r="K1611" i="143"/>
  <c r="L1619" i="143"/>
  <c r="L1622" i="143" s="1"/>
  <c r="L1628" i="143"/>
  <c r="K1618" i="143"/>
  <c r="K1627" i="143"/>
  <c r="K1606" i="143"/>
  <c r="K1610" i="143"/>
  <c r="L1603" i="143"/>
  <c r="F1603" i="143"/>
  <c r="K1603" i="143" s="1"/>
  <c r="E1602" i="143"/>
  <c r="K1605" i="143"/>
  <c r="K1609" i="143"/>
  <c r="K1620" i="143"/>
  <c r="E1626" i="143"/>
  <c r="K1552" i="143"/>
  <c r="L1550" i="143"/>
  <c r="L1551" i="143"/>
  <c r="E1494" i="143"/>
  <c r="F1494" i="143" s="1"/>
  <c r="K1494" i="143" s="1"/>
  <c r="E1490" i="143"/>
  <c r="E1493" i="143"/>
  <c r="E273" i="149" s="1"/>
  <c r="F273" i="149" s="1"/>
  <c r="E1491" i="143"/>
  <c r="E256" i="149" s="1"/>
  <c r="F256" i="149" s="1"/>
  <c r="E1492" i="143"/>
  <c r="L1495" i="143"/>
  <c r="L1496" i="143"/>
  <c r="K1527" i="143"/>
  <c r="L1079" i="143"/>
  <c r="K1515" i="143"/>
  <c r="E160" i="145"/>
  <c r="F160" i="145" s="1"/>
  <c r="K1505" i="143"/>
  <c r="K1507" i="143"/>
  <c r="L1516" i="143"/>
  <c r="K1506" i="143"/>
  <c r="L1510" i="143"/>
  <c r="L1499" i="143"/>
  <c r="K1499" i="143"/>
  <c r="K1508" i="143"/>
  <c r="E1514" i="143"/>
  <c r="L1359" i="143"/>
  <c r="K967" i="143"/>
  <c r="K1135" i="143"/>
  <c r="L1191" i="143"/>
  <c r="L1303" i="143"/>
  <c r="L1330" i="143"/>
  <c r="K578" i="143"/>
  <c r="K686" i="143"/>
  <c r="L578" i="143"/>
  <c r="L632" i="143"/>
  <c r="L686" i="143"/>
  <c r="K1359" i="143"/>
  <c r="E1323" i="143"/>
  <c r="E1328" i="143"/>
  <c r="E1326" i="143"/>
  <c r="E1327" i="143"/>
  <c r="F1327" i="143" s="1"/>
  <c r="K1327" i="143" s="1"/>
  <c r="E1325" i="143"/>
  <c r="E1324" i="143"/>
  <c r="L1324" i="143" s="1"/>
  <c r="K1329" i="143"/>
  <c r="L1338" i="143"/>
  <c r="L1322" i="143"/>
  <c r="K1347" i="143"/>
  <c r="K1337" i="143"/>
  <c r="L1348" i="143"/>
  <c r="L1273" i="143"/>
  <c r="K1331" i="143"/>
  <c r="L1339" i="143"/>
  <c r="K1340" i="143"/>
  <c r="E1346" i="143"/>
  <c r="F1322" i="143"/>
  <c r="K1322" i="143" s="1"/>
  <c r="E1267" i="143"/>
  <c r="L1267" i="143" s="1"/>
  <c r="E1268" i="143"/>
  <c r="E1272" i="143"/>
  <c r="L1272" i="143" s="1"/>
  <c r="E1266" i="143"/>
  <c r="F1266" i="143" s="1"/>
  <c r="K1266" i="143" s="1"/>
  <c r="K1281" i="143"/>
  <c r="L967" i="143"/>
  <c r="K1023" i="143"/>
  <c r="L1135" i="143"/>
  <c r="K1191" i="143"/>
  <c r="K1247" i="143"/>
  <c r="K1303" i="143"/>
  <c r="K632" i="143"/>
  <c r="L1023" i="143"/>
  <c r="K1079" i="143"/>
  <c r="L1247" i="143"/>
  <c r="L1271" i="143"/>
  <c r="K1291" i="143"/>
  <c r="K1275" i="143"/>
  <c r="K1283" i="143"/>
  <c r="L1292" i="143"/>
  <c r="K1282" i="143"/>
  <c r="L1269" i="143"/>
  <c r="L1286" i="143"/>
  <c r="F1269" i="143"/>
  <c r="K1269" i="143" s="1"/>
  <c r="F1271" i="143"/>
  <c r="K1271" i="143" s="1"/>
  <c r="K1273" i="143"/>
  <c r="K1284" i="143"/>
  <c r="E1290" i="143"/>
  <c r="E1270" i="143"/>
  <c r="E1210" i="143"/>
  <c r="E9" i="149" s="1"/>
  <c r="F9" i="149" s="1"/>
  <c r="L1218" i="143"/>
  <c r="F1218" i="143"/>
  <c r="K1218" i="143" s="1"/>
  <c r="K1226" i="143"/>
  <c r="K1225" i="143"/>
  <c r="K1235" i="143"/>
  <c r="K1219" i="143"/>
  <c r="L1236" i="143"/>
  <c r="L1216" i="143"/>
  <c r="F1216" i="143"/>
  <c r="K1216" i="143" s="1"/>
  <c r="L1230" i="143"/>
  <c r="E1211" i="143"/>
  <c r="E1213" i="143"/>
  <c r="E1215" i="143"/>
  <c r="E1217" i="143"/>
  <c r="K1228" i="143"/>
  <c r="E1234" i="143"/>
  <c r="K1227" i="143"/>
  <c r="E1212" i="143"/>
  <c r="E1214" i="143"/>
  <c r="E1155" i="143"/>
  <c r="E1161" i="143"/>
  <c r="E1159" i="143"/>
  <c r="E1160" i="143"/>
  <c r="F1160" i="143" s="1"/>
  <c r="K1160" i="143" s="1"/>
  <c r="E1158" i="143"/>
  <c r="E1157" i="143"/>
  <c r="E1156" i="143"/>
  <c r="K1169" i="143"/>
  <c r="K1162" i="143"/>
  <c r="K1179" i="143"/>
  <c r="K1163" i="143"/>
  <c r="K1171" i="143"/>
  <c r="L1180" i="143"/>
  <c r="K1170" i="143"/>
  <c r="L1174" i="143"/>
  <c r="K1172" i="143"/>
  <c r="E1178" i="143"/>
  <c r="K1106" i="143"/>
  <c r="K1114" i="143"/>
  <c r="K1123" i="143"/>
  <c r="K1113" i="143"/>
  <c r="L1124" i="143"/>
  <c r="K1107" i="143"/>
  <c r="L1115" i="143"/>
  <c r="L1118" i="143" s="1"/>
  <c r="L1104" i="143"/>
  <c r="F1104" i="143"/>
  <c r="K1104" i="143" s="1"/>
  <c r="E1045" i="143"/>
  <c r="E1049" i="143"/>
  <c r="E1046" i="143"/>
  <c r="E1043" i="143"/>
  <c r="E1099" i="143"/>
  <c r="E1101" i="143"/>
  <c r="E1103" i="143"/>
  <c r="E1105" i="143"/>
  <c r="K1116" i="143"/>
  <c r="E1122" i="143"/>
  <c r="E1042" i="143"/>
  <c r="E1047" i="143"/>
  <c r="E1044" i="143"/>
  <c r="E1098" i="143"/>
  <c r="E1100" i="143"/>
  <c r="E1102" i="143"/>
  <c r="K1050" i="143"/>
  <c r="L1058" i="143"/>
  <c r="L1062" i="143" s="1"/>
  <c r="L1051" i="143"/>
  <c r="K1057" i="143"/>
  <c r="L1068" i="143"/>
  <c r="K1067" i="143"/>
  <c r="L1048" i="143"/>
  <c r="F1048" i="143"/>
  <c r="K1048" i="143" s="1"/>
  <c r="E988" i="143"/>
  <c r="E992" i="143"/>
  <c r="L992" i="143" s="1"/>
  <c r="E989" i="143"/>
  <c r="E993" i="143"/>
  <c r="K1060" i="143"/>
  <c r="E1066" i="143"/>
  <c r="E986" i="143"/>
  <c r="E990" i="143"/>
  <c r="K1059" i="143"/>
  <c r="E599" i="143"/>
  <c r="F599" i="143" s="1"/>
  <c r="K599" i="143" s="1"/>
  <c r="E987" i="143"/>
  <c r="K1002" i="143"/>
  <c r="K1001" i="143"/>
  <c r="L994" i="143"/>
  <c r="K995" i="143"/>
  <c r="L1012" i="143"/>
  <c r="K1011" i="143"/>
  <c r="L1006" i="143"/>
  <c r="K1004" i="143"/>
  <c r="E1010" i="143"/>
  <c r="E436" i="143"/>
  <c r="E598" i="143"/>
  <c r="L598" i="143" s="1"/>
  <c r="E651" i="143"/>
  <c r="L651" i="143" s="1"/>
  <c r="K946" i="143"/>
  <c r="K1003" i="143"/>
  <c r="K945" i="143"/>
  <c r="L938" i="143"/>
  <c r="K939" i="143"/>
  <c r="L956" i="143"/>
  <c r="K955" i="143"/>
  <c r="L936" i="143"/>
  <c r="F936" i="143"/>
  <c r="K936" i="143" s="1"/>
  <c r="L950" i="143"/>
  <c r="E652" i="143"/>
  <c r="F652" i="143" s="1"/>
  <c r="K652" i="143" s="1"/>
  <c r="E933" i="143"/>
  <c r="E935" i="143"/>
  <c r="E937" i="143"/>
  <c r="K948" i="143"/>
  <c r="E954" i="143"/>
  <c r="K947" i="143"/>
  <c r="E565" i="143"/>
  <c r="L565" i="143" s="1"/>
  <c r="E544" i="143"/>
  <c r="F544" i="143" s="1"/>
  <c r="K544" i="143" s="1"/>
  <c r="E930" i="143"/>
  <c r="E932" i="143"/>
  <c r="E934" i="143"/>
  <c r="K664" i="143"/>
  <c r="K601" i="143"/>
  <c r="K603" i="143"/>
  <c r="L611" i="143"/>
  <c r="L615" i="143" s="1"/>
  <c r="K674" i="143"/>
  <c r="K655" i="143"/>
  <c r="K657" i="143"/>
  <c r="L597" i="143"/>
  <c r="K620" i="143"/>
  <c r="L653" i="143"/>
  <c r="K654" i="143"/>
  <c r="K600" i="143"/>
  <c r="K610" i="143"/>
  <c r="K658" i="143"/>
  <c r="K666" i="143"/>
  <c r="L675" i="143"/>
  <c r="K604" i="143"/>
  <c r="K612" i="143"/>
  <c r="K621" i="143"/>
  <c r="K665" i="143"/>
  <c r="L669" i="143"/>
  <c r="E545" i="143"/>
  <c r="L545" i="143" s="1"/>
  <c r="F597" i="143"/>
  <c r="K597" i="143" s="1"/>
  <c r="K602" i="143"/>
  <c r="K613" i="143"/>
  <c r="E619" i="143"/>
  <c r="F653" i="143"/>
  <c r="K653" i="143" s="1"/>
  <c r="K656" i="143"/>
  <c r="K667" i="143"/>
  <c r="E673" i="143"/>
  <c r="K550" i="143"/>
  <c r="K546" i="143"/>
  <c r="K556" i="143"/>
  <c r="K549" i="143"/>
  <c r="L567" i="143"/>
  <c r="K557" i="143"/>
  <c r="K566" i="143"/>
  <c r="L543" i="143"/>
  <c r="L561" i="143"/>
  <c r="F543" i="143"/>
  <c r="K543" i="143" s="1"/>
  <c r="K548" i="143"/>
  <c r="K559" i="143"/>
  <c r="E434" i="143"/>
  <c r="K547" i="143"/>
  <c r="K558" i="143"/>
  <c r="E437" i="143"/>
  <c r="E433" i="143"/>
  <c r="L118" i="149" l="1"/>
  <c r="M118" i="149" s="1"/>
  <c r="L12" i="149"/>
  <c r="M12" i="149" s="1"/>
  <c r="L2421" i="143"/>
  <c r="E106" i="145"/>
  <c r="F106" i="145" s="1"/>
  <c r="E106" i="149"/>
  <c r="F106" i="149" s="1"/>
  <c r="L9" i="145"/>
  <c r="M9" i="145" s="1"/>
  <c r="L9" i="149"/>
  <c r="M9" i="149" s="1"/>
  <c r="F2367" i="143"/>
  <c r="K2367" i="143" s="1"/>
  <c r="E275" i="149"/>
  <c r="F275" i="149" s="1"/>
  <c r="F2638" i="143"/>
  <c r="E137" i="149"/>
  <c r="F137" i="149" s="1"/>
  <c r="L94" i="145"/>
  <c r="M94" i="145" s="1"/>
  <c r="L94" i="149"/>
  <c r="M94" i="149" s="1"/>
  <c r="F2582" i="143"/>
  <c r="K2582" i="143" s="1"/>
  <c r="E125" i="149"/>
  <c r="F125" i="149" s="1"/>
  <c r="F2830" i="143"/>
  <c r="K2830" i="143" s="1"/>
  <c r="K2835" i="143" s="1"/>
  <c r="L93" i="149"/>
  <c r="M93" i="149" s="1"/>
  <c r="L104" i="145"/>
  <c r="L104" i="149"/>
  <c r="M104" i="149" s="1"/>
  <c r="F2974" i="143"/>
  <c r="K2974" i="143" s="1"/>
  <c r="E97" i="149"/>
  <c r="F97" i="149" s="1"/>
  <c r="L1662" i="143"/>
  <c r="E200" i="149"/>
  <c r="F200" i="149" s="1"/>
  <c r="L57" i="145"/>
  <c r="L57" i="149"/>
  <c r="M57" i="149" s="1"/>
  <c r="L2918" i="143"/>
  <c r="E100" i="149"/>
  <c r="F100" i="149" s="1"/>
  <c r="E3033" i="143"/>
  <c r="L3347" i="143"/>
  <c r="F1660" i="143"/>
  <c r="K1660" i="143" s="1"/>
  <c r="E166" i="149"/>
  <c r="F166" i="149" s="1"/>
  <c r="F1492" i="143"/>
  <c r="K1492" i="143" s="1"/>
  <c r="E198" i="149"/>
  <c r="F198" i="149" s="1"/>
  <c r="L18" i="145"/>
  <c r="M18" i="145" s="1"/>
  <c r="L18" i="149"/>
  <c r="M18" i="149" s="1"/>
  <c r="F1679" i="143"/>
  <c r="K1679" i="143" s="1"/>
  <c r="L79" i="149"/>
  <c r="M79" i="149" s="1"/>
  <c r="F2151" i="143"/>
  <c r="K2151" i="143" s="1"/>
  <c r="E84" i="149"/>
  <c r="F84" i="149" s="1"/>
  <c r="L1490" i="143"/>
  <c r="E235" i="149"/>
  <c r="F235" i="149" s="1"/>
  <c r="L1680" i="143"/>
  <c r="L17" i="149"/>
  <c r="M17" i="149" s="1"/>
  <c r="L11" i="149"/>
  <c r="M11" i="149" s="1"/>
  <c r="L6" i="145"/>
  <c r="M6" i="145" s="1"/>
  <c r="L6" i="149"/>
  <c r="M6" i="149" s="1"/>
  <c r="L20" i="145"/>
  <c r="L20" i="149"/>
  <c r="M20" i="149" s="1"/>
  <c r="L115" i="149"/>
  <c r="M115" i="149" s="1"/>
  <c r="F2366" i="143"/>
  <c r="E254" i="149"/>
  <c r="F254" i="149" s="1"/>
  <c r="L2826" i="143"/>
  <c r="L88" i="145"/>
  <c r="L88" i="149"/>
  <c r="M88" i="149" s="1"/>
  <c r="L1266" i="143"/>
  <c r="L1327" i="143"/>
  <c r="L2474" i="143"/>
  <c r="F992" i="143"/>
  <c r="K992" i="143" s="1"/>
  <c r="L599" i="143"/>
  <c r="L606" i="143" s="1"/>
  <c r="L3434" i="143"/>
  <c r="K3507" i="143"/>
  <c r="L3511" i="143"/>
  <c r="L3516" i="143" s="1"/>
  <c r="F3511" i="143"/>
  <c r="K3511" i="143" s="1"/>
  <c r="K3516" i="143" s="1"/>
  <c r="L3488" i="143"/>
  <c r="K3488" i="143"/>
  <c r="L3490" i="143"/>
  <c r="K3490" i="143"/>
  <c r="L3433" i="143"/>
  <c r="K3452" i="143"/>
  <c r="L3435" i="143"/>
  <c r="F3435" i="143"/>
  <c r="K3435" i="143" s="1"/>
  <c r="L3437" i="143"/>
  <c r="K3437" i="143"/>
  <c r="L3456" i="143"/>
  <c r="L3461" i="143" s="1"/>
  <c r="F3456" i="143"/>
  <c r="K3456" i="143" s="1"/>
  <c r="K3461" i="143" s="1"/>
  <c r="L3439" i="143"/>
  <c r="K3439" i="143"/>
  <c r="K3388" i="143"/>
  <c r="K3397" i="143"/>
  <c r="L97" i="145"/>
  <c r="M97" i="145" s="1"/>
  <c r="K3347" i="143"/>
  <c r="L3401" i="143"/>
  <c r="L3406" i="143" s="1"/>
  <c r="L3417" i="143" s="1"/>
  <c r="F3401" i="143"/>
  <c r="K3401" i="143" s="1"/>
  <c r="K3406" i="143" s="1"/>
  <c r="K3338" i="143"/>
  <c r="L652" i="143"/>
  <c r="L660" i="143" s="1"/>
  <c r="L3297" i="143"/>
  <c r="L3351" i="143"/>
  <c r="L3356" i="143" s="1"/>
  <c r="L3367" i="143" s="1"/>
  <c r="F3351" i="143"/>
  <c r="K3351" i="143" s="1"/>
  <c r="K3356" i="143" s="1"/>
  <c r="L3301" i="143"/>
  <c r="L3306" i="143" s="1"/>
  <c r="L96" i="145"/>
  <c r="F3301" i="143"/>
  <c r="K3301" i="143" s="1"/>
  <c r="K3306" i="143" s="1"/>
  <c r="K3285" i="143"/>
  <c r="K3297" i="143"/>
  <c r="F651" i="143"/>
  <c r="K651" i="143" s="1"/>
  <c r="K660" i="143" s="1"/>
  <c r="L3284" i="143"/>
  <c r="L3288" i="143" s="1"/>
  <c r="K3284" i="143"/>
  <c r="K3197" i="143"/>
  <c r="L3185" i="143"/>
  <c r="F3185" i="143"/>
  <c r="K3185" i="143" s="1"/>
  <c r="L3184" i="143"/>
  <c r="F3184" i="143"/>
  <c r="K3184" i="143" s="1"/>
  <c r="L3201" i="143"/>
  <c r="L3206" i="143" s="1"/>
  <c r="F3201" i="143"/>
  <c r="K3201" i="143" s="1"/>
  <c r="K3206" i="143" s="1"/>
  <c r="K2994" i="143"/>
  <c r="L2929" i="143"/>
  <c r="L2974" i="143"/>
  <c r="L2985" i="143" s="1"/>
  <c r="L2994" i="143"/>
  <c r="K3003" i="143"/>
  <c r="L3003" i="143"/>
  <c r="K2985" i="143"/>
  <c r="L2947" i="143"/>
  <c r="L2891" i="143"/>
  <c r="F2918" i="143"/>
  <c r="K2918" i="143" s="1"/>
  <c r="K2929" i="143" s="1"/>
  <c r="K2947" i="143"/>
  <c r="F2886" i="143"/>
  <c r="K2886" i="143" s="1"/>
  <c r="K2891" i="143" s="1"/>
  <c r="K2938" i="143"/>
  <c r="K2882" i="143"/>
  <c r="L2873" i="143"/>
  <c r="K2873" i="143"/>
  <c r="L93" i="145"/>
  <c r="L2830" i="143"/>
  <c r="L2835" i="143" s="1"/>
  <c r="L2817" i="143"/>
  <c r="K2817" i="143"/>
  <c r="K2779" i="143"/>
  <c r="L2761" i="143"/>
  <c r="L2779" i="143"/>
  <c r="K2761" i="143"/>
  <c r="K2770" i="143"/>
  <c r="K2714" i="143"/>
  <c r="L2694" i="143"/>
  <c r="F2694" i="143"/>
  <c r="K2694" i="143" s="1"/>
  <c r="L2718" i="143"/>
  <c r="L2723" i="143" s="1"/>
  <c r="F2718" i="143"/>
  <c r="K2718" i="143" s="1"/>
  <c r="K2723" i="143" s="1"/>
  <c r="L2695" i="143"/>
  <c r="K2695" i="143"/>
  <c r="L2658" i="143"/>
  <c r="L2639" i="143"/>
  <c r="K2658" i="143"/>
  <c r="L2662" i="143"/>
  <c r="L2667" i="143" s="1"/>
  <c r="F2662" i="143"/>
  <c r="K2662" i="143" s="1"/>
  <c r="K2667" i="143" s="1"/>
  <c r="L2638" i="143"/>
  <c r="K2638" i="143"/>
  <c r="K2649" i="143" s="1"/>
  <c r="L2582" i="143"/>
  <c r="L2593" i="143" s="1"/>
  <c r="K2602" i="143"/>
  <c r="L2606" i="143"/>
  <c r="L2611" i="143" s="1"/>
  <c r="F2606" i="143"/>
  <c r="K2606" i="143" s="1"/>
  <c r="K2611" i="143" s="1"/>
  <c r="K2593" i="143"/>
  <c r="F2470" i="143"/>
  <c r="K2470" i="143" s="1"/>
  <c r="K2546" i="143"/>
  <c r="K2499" i="143"/>
  <c r="F2473" i="143"/>
  <c r="K2473" i="143" s="1"/>
  <c r="L2550" i="143"/>
  <c r="L2555" i="143" s="1"/>
  <c r="F2550" i="143"/>
  <c r="K2550" i="143" s="1"/>
  <c r="K2555" i="143" s="1"/>
  <c r="L2527" i="143"/>
  <c r="L2537" i="143" s="1"/>
  <c r="K2527" i="143"/>
  <c r="K2537" i="143" s="1"/>
  <c r="L2499" i="143"/>
  <c r="L2472" i="143"/>
  <c r="K2490" i="143"/>
  <c r="L2471" i="143"/>
  <c r="F2471" i="143"/>
  <c r="K2471" i="143" s="1"/>
  <c r="F2421" i="143"/>
  <c r="K2421" i="143" s="1"/>
  <c r="F2419" i="143"/>
  <c r="K2419" i="143" s="1"/>
  <c r="K2434" i="143"/>
  <c r="L2420" i="143"/>
  <c r="L2438" i="143"/>
  <c r="L2443" i="143" s="1"/>
  <c r="F2438" i="143"/>
  <c r="K2438" i="143" s="1"/>
  <c r="K2443" i="143" s="1"/>
  <c r="L2418" i="143"/>
  <c r="K2418" i="143"/>
  <c r="L2417" i="143"/>
  <c r="K2417" i="143"/>
  <c r="K2381" i="143"/>
  <c r="L2366" i="143"/>
  <c r="K2366" i="143"/>
  <c r="L2385" i="143"/>
  <c r="L2390" i="143" s="1"/>
  <c r="F2385" i="143"/>
  <c r="K2385" i="143" s="1"/>
  <c r="K2390" i="143" s="1"/>
  <c r="L2367" i="143"/>
  <c r="K2330" i="143"/>
  <c r="L2334" i="143"/>
  <c r="L2339" i="143" s="1"/>
  <c r="F2334" i="143"/>
  <c r="K2334" i="143" s="1"/>
  <c r="K2339" i="143" s="1"/>
  <c r="L2316" i="143"/>
  <c r="F2316" i="143"/>
  <c r="K2316" i="143" s="1"/>
  <c r="L117" i="145"/>
  <c r="L2315" i="143"/>
  <c r="F2315" i="143"/>
  <c r="K2315" i="143" s="1"/>
  <c r="K2279" i="143"/>
  <c r="L2279" i="143"/>
  <c r="F2205" i="143"/>
  <c r="K2205" i="143" s="1"/>
  <c r="L2283" i="143"/>
  <c r="L2288" i="143" s="1"/>
  <c r="F2283" i="143"/>
  <c r="K2283" i="143" s="1"/>
  <c r="K2288" i="143" s="1"/>
  <c r="F1713" i="143"/>
  <c r="K1713" i="143" s="1"/>
  <c r="L2260" i="143"/>
  <c r="F2260" i="143"/>
  <c r="K2260" i="143" s="1"/>
  <c r="L2259" i="143"/>
  <c r="F2259" i="143"/>
  <c r="K2259" i="143" s="1"/>
  <c r="K2223" i="143"/>
  <c r="L2204" i="143"/>
  <c r="L2214" i="143" s="1"/>
  <c r="F2204" i="143"/>
  <c r="K2204" i="143" s="1"/>
  <c r="L2152" i="143"/>
  <c r="L2227" i="143"/>
  <c r="L2232" i="143" s="1"/>
  <c r="F2227" i="143"/>
  <c r="K2227" i="143" s="1"/>
  <c r="K2232" i="143" s="1"/>
  <c r="F2150" i="143"/>
  <c r="K2150" i="143" s="1"/>
  <c r="L2150" i="143"/>
  <c r="K2167" i="143"/>
  <c r="L2151" i="143"/>
  <c r="L1735" i="143"/>
  <c r="L1740" i="143" s="1"/>
  <c r="L2171" i="143"/>
  <c r="L2176" i="143" s="1"/>
  <c r="F2171" i="143"/>
  <c r="K2171" i="143" s="1"/>
  <c r="K2176" i="143" s="1"/>
  <c r="L1952" i="143"/>
  <c r="K1952" i="143"/>
  <c r="L1938" i="143"/>
  <c r="L1932" i="143"/>
  <c r="F1932" i="143"/>
  <c r="K1932" i="143" s="1"/>
  <c r="L1937" i="143"/>
  <c r="F1937" i="143"/>
  <c r="K1937" i="143" s="1"/>
  <c r="L1956" i="143"/>
  <c r="L1961" i="143" s="1"/>
  <c r="F1956" i="143"/>
  <c r="K1956" i="143" s="1"/>
  <c r="K1961" i="143" s="1"/>
  <c r="L1935" i="143"/>
  <c r="F1935" i="143"/>
  <c r="K1935" i="143" s="1"/>
  <c r="L1934" i="143"/>
  <c r="F1934" i="143"/>
  <c r="K1934" i="143" s="1"/>
  <c r="L1936" i="143"/>
  <c r="F1936" i="143"/>
  <c r="K1936" i="143" s="1"/>
  <c r="L1933" i="143"/>
  <c r="F1933" i="143"/>
  <c r="K1933" i="143" s="1"/>
  <c r="F1767" i="143"/>
  <c r="K1767" i="143" s="1"/>
  <c r="L1767" i="143"/>
  <c r="K1787" i="143"/>
  <c r="L1770" i="143"/>
  <c r="K1770" i="143"/>
  <c r="L1791" i="143"/>
  <c r="L1796" i="143" s="1"/>
  <c r="F1791" i="143"/>
  <c r="K1791" i="143" s="1"/>
  <c r="K1796" i="143" s="1"/>
  <c r="L1768" i="143"/>
  <c r="F1768" i="143"/>
  <c r="K1768" i="143" s="1"/>
  <c r="L1731" i="143"/>
  <c r="K1740" i="143"/>
  <c r="L1679" i="143"/>
  <c r="K1731" i="143"/>
  <c r="L1660" i="143"/>
  <c r="L1714" i="143"/>
  <c r="F1714" i="143"/>
  <c r="K1714" i="143" s="1"/>
  <c r="F1662" i="143"/>
  <c r="K1662" i="143" s="1"/>
  <c r="L1712" i="143"/>
  <c r="F1712" i="143"/>
  <c r="K1712" i="143" s="1"/>
  <c r="L1719" i="143"/>
  <c r="K1719" i="143"/>
  <c r="F1664" i="143"/>
  <c r="K1664" i="143" s="1"/>
  <c r="F1680" i="143"/>
  <c r="K1680" i="143" s="1"/>
  <c r="K1684" i="143" s="1"/>
  <c r="K1675" i="143"/>
  <c r="L1661" i="143"/>
  <c r="F1661" i="143"/>
  <c r="K1661" i="143" s="1"/>
  <c r="E198" i="145"/>
  <c r="F198" i="145" s="1"/>
  <c r="L1659" i="143"/>
  <c r="F1659" i="143"/>
  <c r="K1659" i="143" s="1"/>
  <c r="L1663" i="143"/>
  <c r="F1663" i="143"/>
  <c r="K1663" i="143" s="1"/>
  <c r="K1622" i="143"/>
  <c r="L1492" i="143"/>
  <c r="L1626" i="143"/>
  <c r="L1631" i="143" s="1"/>
  <c r="F1626" i="143"/>
  <c r="K1626" i="143" s="1"/>
  <c r="K1631" i="143" s="1"/>
  <c r="L1602" i="143"/>
  <c r="L1613" i="143" s="1"/>
  <c r="F1602" i="143"/>
  <c r="K1602" i="143" s="1"/>
  <c r="K1613" i="143" s="1"/>
  <c r="F1490" i="143"/>
  <c r="K1490" i="143" s="1"/>
  <c r="E181" i="145"/>
  <c r="F181" i="145" s="1"/>
  <c r="K1510" i="143"/>
  <c r="L1494" i="143"/>
  <c r="L1497" i="143"/>
  <c r="K1497" i="143"/>
  <c r="L1514" i="143"/>
  <c r="L1519" i="143" s="1"/>
  <c r="F1514" i="143"/>
  <c r="K1514" i="143" s="1"/>
  <c r="K1519" i="143" s="1"/>
  <c r="L1498" i="143"/>
  <c r="K1498" i="143"/>
  <c r="F1324" i="143"/>
  <c r="K1324" i="143" s="1"/>
  <c r="L1342" i="143"/>
  <c r="K1342" i="143"/>
  <c r="L1328" i="143"/>
  <c r="F1328" i="143"/>
  <c r="K1328" i="143" s="1"/>
  <c r="L1323" i="143"/>
  <c r="F1323" i="143"/>
  <c r="K1323" i="143" s="1"/>
  <c r="L1326" i="143"/>
  <c r="F1326" i="143"/>
  <c r="K1326" i="143" s="1"/>
  <c r="L1325" i="143"/>
  <c r="F1325" i="143"/>
  <c r="K1325" i="143" s="1"/>
  <c r="L1346" i="143"/>
  <c r="L1351" i="143" s="1"/>
  <c r="F1346" i="143"/>
  <c r="K1346" i="143" s="1"/>
  <c r="K1351" i="143" s="1"/>
  <c r="L12" i="145"/>
  <c r="M12" i="145" s="1"/>
  <c r="F1267" i="143"/>
  <c r="K1267" i="143" s="1"/>
  <c r="F1272" i="143"/>
  <c r="K1272" i="143" s="1"/>
  <c r="L1160" i="143"/>
  <c r="K1286" i="143"/>
  <c r="L1290" i="143"/>
  <c r="L1295" i="143" s="1"/>
  <c r="F1290" i="143"/>
  <c r="K1290" i="143" s="1"/>
  <c r="K1295" i="143" s="1"/>
  <c r="F565" i="143"/>
  <c r="K565" i="143" s="1"/>
  <c r="K570" i="143" s="1"/>
  <c r="L1270" i="143"/>
  <c r="F1270" i="143"/>
  <c r="K1270" i="143" s="1"/>
  <c r="L1268" i="143"/>
  <c r="F1268" i="143"/>
  <c r="K1268" i="143" s="1"/>
  <c r="K1230" i="143"/>
  <c r="L1210" i="143"/>
  <c r="F1210" i="143"/>
  <c r="K1210" i="143" s="1"/>
  <c r="L1217" i="143"/>
  <c r="F1217" i="143"/>
  <c r="K1217" i="143" s="1"/>
  <c r="L1215" i="143"/>
  <c r="F1215" i="143"/>
  <c r="K1215" i="143" s="1"/>
  <c r="L1214" i="143"/>
  <c r="F1214" i="143"/>
  <c r="K1214" i="143" s="1"/>
  <c r="L1234" i="143"/>
  <c r="L1239" i="143" s="1"/>
  <c r="F1234" i="143"/>
  <c r="K1234" i="143" s="1"/>
  <c r="K1239" i="143" s="1"/>
  <c r="L1213" i="143"/>
  <c r="F1213" i="143"/>
  <c r="K1213" i="143" s="1"/>
  <c r="L1212" i="143"/>
  <c r="F1212" i="143"/>
  <c r="K1212" i="143" s="1"/>
  <c r="L1211" i="143"/>
  <c r="F1211" i="143"/>
  <c r="K1211" i="143" s="1"/>
  <c r="K1174" i="143"/>
  <c r="L1161" i="143"/>
  <c r="F1161" i="143"/>
  <c r="K1161" i="143" s="1"/>
  <c r="F598" i="143"/>
  <c r="K598" i="143" s="1"/>
  <c r="K606" i="143" s="1"/>
  <c r="L1154" i="143"/>
  <c r="F1154" i="143"/>
  <c r="K1154" i="143" s="1"/>
  <c r="L1155" i="143"/>
  <c r="F1155" i="143"/>
  <c r="K1155" i="143" s="1"/>
  <c r="K1118" i="143"/>
  <c r="L1158" i="143"/>
  <c r="F1158" i="143"/>
  <c r="K1158" i="143" s="1"/>
  <c r="L1159" i="143"/>
  <c r="F1159" i="143"/>
  <c r="K1159" i="143" s="1"/>
  <c r="F545" i="143"/>
  <c r="K545" i="143" s="1"/>
  <c r="K552" i="143" s="1"/>
  <c r="L1156" i="143"/>
  <c r="F1156" i="143"/>
  <c r="K1156" i="143" s="1"/>
  <c r="L1178" i="143"/>
  <c r="L1183" i="143" s="1"/>
  <c r="F1178" i="143"/>
  <c r="K1178" i="143" s="1"/>
  <c r="K1183" i="143" s="1"/>
  <c r="L1157" i="143"/>
  <c r="F1157" i="143"/>
  <c r="K1157" i="143" s="1"/>
  <c r="L1099" i="143"/>
  <c r="F1099" i="143"/>
  <c r="K1099" i="143" s="1"/>
  <c r="L1100" i="143"/>
  <c r="F1100" i="143"/>
  <c r="K1100" i="143" s="1"/>
  <c r="L1103" i="143"/>
  <c r="F1103" i="143"/>
  <c r="K1103" i="143" s="1"/>
  <c r="L1102" i="143"/>
  <c r="F1102" i="143"/>
  <c r="K1102" i="143" s="1"/>
  <c r="L1105" i="143"/>
  <c r="F1105" i="143"/>
  <c r="K1105" i="143" s="1"/>
  <c r="L1098" i="143"/>
  <c r="F1098" i="143"/>
  <c r="K1098" i="143" s="1"/>
  <c r="L1122" i="143"/>
  <c r="L1127" i="143" s="1"/>
  <c r="F1122" i="143"/>
  <c r="K1122" i="143" s="1"/>
  <c r="K1127" i="143" s="1"/>
  <c r="L1101" i="143"/>
  <c r="F1101" i="143"/>
  <c r="K1101" i="143" s="1"/>
  <c r="K1062" i="143"/>
  <c r="L1042" i="143"/>
  <c r="F1042" i="143"/>
  <c r="K1042" i="143" s="1"/>
  <c r="L1049" i="143"/>
  <c r="F1049" i="143"/>
  <c r="K1049" i="143" s="1"/>
  <c r="L1047" i="143"/>
  <c r="F1047" i="143"/>
  <c r="K1047" i="143" s="1"/>
  <c r="L544" i="143"/>
  <c r="L552" i="143" s="1"/>
  <c r="L1046" i="143"/>
  <c r="F1046" i="143"/>
  <c r="K1046" i="143" s="1"/>
  <c r="L1066" i="143"/>
  <c r="L1071" i="143" s="1"/>
  <c r="F1066" i="143"/>
  <c r="K1066" i="143" s="1"/>
  <c r="K1071" i="143" s="1"/>
  <c r="L1045" i="143"/>
  <c r="F1045" i="143"/>
  <c r="K1045" i="143" s="1"/>
  <c r="L1044" i="143"/>
  <c r="F1044" i="143"/>
  <c r="K1044" i="143" s="1"/>
  <c r="L1043" i="143"/>
  <c r="F1043" i="143"/>
  <c r="K1043" i="143" s="1"/>
  <c r="K1006" i="143"/>
  <c r="L991" i="143"/>
  <c r="F991" i="143"/>
  <c r="K991" i="143" s="1"/>
  <c r="L986" i="143"/>
  <c r="F986" i="143"/>
  <c r="K986" i="143" s="1"/>
  <c r="L993" i="143"/>
  <c r="F993" i="143"/>
  <c r="K993" i="143" s="1"/>
  <c r="L990" i="143"/>
  <c r="F990" i="143"/>
  <c r="K990" i="143" s="1"/>
  <c r="L1010" i="143"/>
  <c r="L1015" i="143" s="1"/>
  <c r="F1010" i="143"/>
  <c r="K1010" i="143" s="1"/>
  <c r="K1015" i="143" s="1"/>
  <c r="L989" i="143"/>
  <c r="F989" i="143"/>
  <c r="K989" i="143" s="1"/>
  <c r="L988" i="143"/>
  <c r="F988" i="143"/>
  <c r="K988" i="143" s="1"/>
  <c r="L987" i="143"/>
  <c r="F987" i="143"/>
  <c r="K987" i="143" s="1"/>
  <c r="K950" i="143"/>
  <c r="L930" i="143"/>
  <c r="F930" i="143"/>
  <c r="K930" i="143" s="1"/>
  <c r="L954" i="143"/>
  <c r="L959" i="143" s="1"/>
  <c r="F954" i="143"/>
  <c r="K954" i="143" s="1"/>
  <c r="K959" i="143" s="1"/>
  <c r="L933" i="143"/>
  <c r="F933" i="143"/>
  <c r="K933" i="143" s="1"/>
  <c r="L932" i="143"/>
  <c r="F932" i="143"/>
  <c r="K932" i="143" s="1"/>
  <c r="L931" i="143"/>
  <c r="F931" i="143"/>
  <c r="K931" i="143" s="1"/>
  <c r="L935" i="143"/>
  <c r="F935" i="143"/>
  <c r="K935" i="143" s="1"/>
  <c r="L934" i="143"/>
  <c r="F934" i="143"/>
  <c r="K934" i="143" s="1"/>
  <c r="L937" i="143"/>
  <c r="F937" i="143"/>
  <c r="K937" i="143" s="1"/>
  <c r="K615" i="143"/>
  <c r="K669" i="143"/>
  <c r="L673" i="143"/>
  <c r="L678" i="143" s="1"/>
  <c r="F673" i="143"/>
  <c r="K673" i="143" s="1"/>
  <c r="K678" i="143" s="1"/>
  <c r="L619" i="143"/>
  <c r="L624" i="143" s="1"/>
  <c r="F619" i="143"/>
  <c r="K619" i="143" s="1"/>
  <c r="K624" i="143" s="1"/>
  <c r="L570" i="143"/>
  <c r="K561" i="143"/>
  <c r="L1684" i="143" l="1"/>
  <c r="K3288" i="143"/>
  <c r="L2649" i="143"/>
  <c r="K2158" i="143"/>
  <c r="K2187" i="143" s="1"/>
  <c r="K2189" i="143" s="1"/>
  <c r="K2191" i="143" s="1"/>
  <c r="K3498" i="143"/>
  <c r="K3527" i="143" s="1"/>
  <c r="K3529" i="143" s="1"/>
  <c r="K3531" i="143" s="1"/>
  <c r="L3498" i="143"/>
  <c r="L3527" i="143" s="1"/>
  <c r="K3417" i="143"/>
  <c r="K3419" i="143" s="1"/>
  <c r="K3421" i="143" s="1"/>
  <c r="K3443" i="143"/>
  <c r="K3472" i="143" s="1"/>
  <c r="K3474" i="143" s="1"/>
  <c r="K3476" i="143" s="1"/>
  <c r="L3443" i="143"/>
  <c r="L3472" i="143" s="1"/>
  <c r="K3367" i="143"/>
  <c r="K3369" i="143" s="1"/>
  <c r="K3371" i="143" s="1"/>
  <c r="L3317" i="143"/>
  <c r="L3319" i="143" s="1"/>
  <c r="L3321" i="143" s="1"/>
  <c r="L3322" i="143" s="1"/>
  <c r="L3419" i="143"/>
  <c r="L3421" i="143" s="1"/>
  <c r="L3422" i="143" s="1"/>
  <c r="K1778" i="143"/>
  <c r="K1807" i="143" s="1"/>
  <c r="L3369" i="143"/>
  <c r="L3371" i="143" s="1"/>
  <c r="L3372" i="143" s="1"/>
  <c r="K3317" i="143"/>
  <c r="K3319" i="143" s="1"/>
  <c r="K3321" i="143" s="1"/>
  <c r="K3188" i="143"/>
  <c r="K3217" i="143" s="1"/>
  <c r="K3219" i="143" s="1"/>
  <c r="K3221" i="143" s="1"/>
  <c r="L3188" i="143"/>
  <c r="L3217" i="143" s="1"/>
  <c r="L3219" i="143" s="1"/>
  <c r="L3221" i="143" s="1"/>
  <c r="L3222" i="143" s="1"/>
  <c r="L2958" i="143"/>
  <c r="L2960" i="143" s="1"/>
  <c r="L3014" i="143"/>
  <c r="L3016" i="143" s="1"/>
  <c r="K3014" i="143"/>
  <c r="K3016" i="143" s="1"/>
  <c r="K3018" i="143" s="1"/>
  <c r="L2902" i="143"/>
  <c r="L2904" i="143" s="1"/>
  <c r="L2906" i="143" s="1"/>
  <c r="L2907" i="143" s="1"/>
  <c r="K2958" i="143"/>
  <c r="K2960" i="143" s="1"/>
  <c r="K2902" i="143"/>
  <c r="K2904" i="143" s="1"/>
  <c r="K2906" i="143" s="1"/>
  <c r="K2846" i="143"/>
  <c r="K2848" i="143" s="1"/>
  <c r="K2850" i="143" s="1"/>
  <c r="L2846" i="143"/>
  <c r="L2848" i="143" s="1"/>
  <c r="K2790" i="143"/>
  <c r="K2792" i="143" s="1"/>
  <c r="K2794" i="143" s="1"/>
  <c r="L2790" i="143"/>
  <c r="L2792" i="143" s="1"/>
  <c r="L2794" i="143" s="1"/>
  <c r="L2795" i="143" s="1"/>
  <c r="K2705" i="143"/>
  <c r="K2734" i="143" s="1"/>
  <c r="L2705" i="143"/>
  <c r="L2734" i="143" s="1"/>
  <c r="L2622" i="143"/>
  <c r="L2624" i="143" s="1"/>
  <c r="L2626" i="143" s="1"/>
  <c r="L2627" i="143" s="1"/>
  <c r="L2678" i="143"/>
  <c r="L2680" i="143" s="1"/>
  <c r="L2682" i="143" s="1"/>
  <c r="L2683" i="143" s="1"/>
  <c r="K2678" i="143"/>
  <c r="K2622" i="143"/>
  <c r="K2624" i="143" s="1"/>
  <c r="K2626" i="143" s="1"/>
  <c r="L2566" i="143"/>
  <c r="L2568" i="143" s="1"/>
  <c r="L2570" i="143" s="1"/>
  <c r="L2571" i="143" s="1"/>
  <c r="K2566" i="143"/>
  <c r="K2568" i="143" s="1"/>
  <c r="K2481" i="143"/>
  <c r="K2510" i="143" s="1"/>
  <c r="K2512" i="143" s="1"/>
  <c r="K2514" i="143" s="1"/>
  <c r="L2481" i="143"/>
  <c r="L2510" i="143" s="1"/>
  <c r="L2512" i="143" s="1"/>
  <c r="L2514" i="143" s="1"/>
  <c r="L2515" i="143" s="1"/>
  <c r="K2425" i="143"/>
  <c r="K2454" i="143" s="1"/>
  <c r="L2425" i="143"/>
  <c r="L2454" i="143" s="1"/>
  <c r="K2372" i="143"/>
  <c r="K2401" i="143" s="1"/>
  <c r="L2372" i="143"/>
  <c r="L2401" i="143" s="1"/>
  <c r="L2321" i="143"/>
  <c r="L2350" i="143" s="1"/>
  <c r="L2352" i="143" s="1"/>
  <c r="L2354" i="143" s="1"/>
  <c r="L2355" i="143" s="1"/>
  <c r="K2321" i="143"/>
  <c r="K2350" i="143" s="1"/>
  <c r="K2214" i="143"/>
  <c r="K2243" i="143" s="1"/>
  <c r="K2245" i="143" s="1"/>
  <c r="K2247" i="143" s="1"/>
  <c r="K2270" i="143"/>
  <c r="K2299" i="143" s="1"/>
  <c r="K2301" i="143" s="1"/>
  <c r="K2303" i="143" s="1"/>
  <c r="L2270" i="143"/>
  <c r="L2299" i="143" s="1"/>
  <c r="L2158" i="143"/>
  <c r="L2187" i="143" s="1"/>
  <c r="L2243" i="143"/>
  <c r="K1943" i="143"/>
  <c r="K1972" i="143" s="1"/>
  <c r="L1943" i="143"/>
  <c r="L1972" i="143" s="1"/>
  <c r="L1778" i="143"/>
  <c r="L1807" i="143" s="1"/>
  <c r="K1722" i="143"/>
  <c r="K1751" i="143" s="1"/>
  <c r="K1753" i="143" s="1"/>
  <c r="K1755" i="143" s="1"/>
  <c r="L1722" i="143"/>
  <c r="L1751" i="143" s="1"/>
  <c r="K1666" i="143"/>
  <c r="K1695" i="143" s="1"/>
  <c r="K1697" i="143" s="1"/>
  <c r="L1666" i="143"/>
  <c r="K1642" i="143"/>
  <c r="K1644" i="143" s="1"/>
  <c r="K1646" i="143" s="1"/>
  <c r="L1642" i="143"/>
  <c r="L1644" i="143" s="1"/>
  <c r="L1646" i="143" s="1"/>
  <c r="L1647" i="143" s="1"/>
  <c r="F1493" i="143"/>
  <c r="K1493" i="143" s="1"/>
  <c r="E273" i="145"/>
  <c r="F273" i="145" s="1"/>
  <c r="F1491" i="143"/>
  <c r="K1491" i="143" s="1"/>
  <c r="E256" i="145"/>
  <c r="F256" i="145" s="1"/>
  <c r="L1493" i="143"/>
  <c r="L1491" i="143"/>
  <c r="K1333" i="143"/>
  <c r="K1362" i="143" s="1"/>
  <c r="K1364" i="143" s="1"/>
  <c r="K1366" i="143" s="1"/>
  <c r="L1333" i="143"/>
  <c r="L1362" i="143" s="1"/>
  <c r="K1277" i="143"/>
  <c r="K1306" i="143" s="1"/>
  <c r="K1308" i="143" s="1"/>
  <c r="K1310" i="143" s="1"/>
  <c r="L1277" i="143"/>
  <c r="L1306" i="143" s="1"/>
  <c r="K1221" i="143"/>
  <c r="K1250" i="143" s="1"/>
  <c r="L1221" i="143"/>
  <c r="L1250" i="143" s="1"/>
  <c r="K1165" i="143"/>
  <c r="K1194" i="143" s="1"/>
  <c r="L1165" i="143"/>
  <c r="L1194" i="143" s="1"/>
  <c r="K1109" i="143"/>
  <c r="K1138" i="143" s="1"/>
  <c r="L1109" i="143"/>
  <c r="L1138" i="143" s="1"/>
  <c r="K1053" i="143"/>
  <c r="K1082" i="143" s="1"/>
  <c r="L1053" i="143"/>
  <c r="L1082" i="143" s="1"/>
  <c r="L997" i="143"/>
  <c r="L1026" i="143" s="1"/>
  <c r="K997" i="143"/>
  <c r="K1026" i="143" s="1"/>
  <c r="K635" i="143"/>
  <c r="K637" i="143" s="1"/>
  <c r="K639" i="143" s="1"/>
  <c r="L941" i="143"/>
  <c r="L970" i="143" s="1"/>
  <c r="K941" i="143"/>
  <c r="K970" i="143" s="1"/>
  <c r="L581" i="143"/>
  <c r="L583" i="143" s="1"/>
  <c r="L585" i="143" s="1"/>
  <c r="L586" i="143" s="1"/>
  <c r="L635" i="143"/>
  <c r="L637" i="143" s="1"/>
  <c r="L639" i="143" s="1"/>
  <c r="L640" i="143" s="1"/>
  <c r="L689" i="143"/>
  <c r="L691" i="143" s="1"/>
  <c r="L693" i="143" s="1"/>
  <c r="L694" i="143" s="1"/>
  <c r="K689" i="143"/>
  <c r="K691" i="143" s="1"/>
  <c r="K693" i="143" s="1"/>
  <c r="K581" i="143"/>
  <c r="K583" i="143" s="1"/>
  <c r="K585" i="143" s="1"/>
  <c r="H49" i="1" l="1"/>
  <c r="H56" i="1"/>
  <c r="H82" i="1"/>
  <c r="J82" i="1" s="1"/>
  <c r="H90" i="1"/>
  <c r="H97" i="1"/>
  <c r="H93" i="1"/>
  <c r="L93" i="1" s="1"/>
  <c r="H95" i="1"/>
  <c r="L95" i="1" s="1"/>
  <c r="H26" i="1"/>
  <c r="K26" i="1" s="1"/>
  <c r="O26" i="1" s="1"/>
  <c r="H71" i="1"/>
  <c r="H98" i="1"/>
  <c r="H30" i="1"/>
  <c r="K30" i="1" s="1"/>
  <c r="O30" i="1" s="1"/>
  <c r="H70" i="1"/>
  <c r="H75" i="1"/>
  <c r="H85" i="1"/>
  <c r="L85" i="1" s="1"/>
  <c r="H69" i="1"/>
  <c r="H48" i="1"/>
  <c r="K48" i="1" s="1"/>
  <c r="O48" i="1" s="1"/>
  <c r="H81" i="1"/>
  <c r="I81" i="1" s="1"/>
  <c r="H94" i="1"/>
  <c r="I94" i="1" s="1"/>
  <c r="H58" i="1"/>
  <c r="H78" i="1"/>
  <c r="L78" i="1" s="1"/>
  <c r="L82" i="1"/>
  <c r="K82" i="1"/>
  <c r="O82" i="1" s="1"/>
  <c r="I85" i="1"/>
  <c r="J49" i="1"/>
  <c r="L49" i="1"/>
  <c r="K49" i="1"/>
  <c r="O49" i="1" s="1"/>
  <c r="L1695" i="143"/>
  <c r="L1697" i="143" s="1"/>
  <c r="L1699" i="143" s="1"/>
  <c r="L1700" i="143" s="1"/>
  <c r="L3529" i="143"/>
  <c r="L3531" i="143" s="1"/>
  <c r="L3532" i="143" s="1"/>
  <c r="M3532" i="143" s="1"/>
  <c r="L3474" i="143"/>
  <c r="L3476" i="143" s="1"/>
  <c r="L3477" i="143" s="1"/>
  <c r="M3477" i="143" s="1"/>
  <c r="M3422" i="143"/>
  <c r="M3372" i="143"/>
  <c r="M3322" i="143"/>
  <c r="M3222" i="143"/>
  <c r="L2962" i="143"/>
  <c r="L2963" i="143" s="1"/>
  <c r="L3018" i="143"/>
  <c r="L3019" i="143" s="1"/>
  <c r="M3019" i="143" s="1"/>
  <c r="K2962" i="143"/>
  <c r="M2907" i="143"/>
  <c r="H83" i="1"/>
  <c r="L2850" i="143"/>
  <c r="L2851" i="143" s="1"/>
  <c r="M2851" i="143" s="1"/>
  <c r="M2795" i="143"/>
  <c r="L2736" i="143"/>
  <c r="L2738" i="143" s="1"/>
  <c r="L2739" i="143" s="1"/>
  <c r="K2736" i="143"/>
  <c r="K2738" i="143" s="1"/>
  <c r="K2680" i="143"/>
  <c r="K2682" i="143" s="1"/>
  <c r="M2627" i="143"/>
  <c r="L1501" i="143"/>
  <c r="L1530" i="143" s="1"/>
  <c r="L1532" i="143" s="1"/>
  <c r="L1534" i="143" s="1"/>
  <c r="L1535" i="143" s="1"/>
  <c r="K2570" i="143"/>
  <c r="M2515" i="143"/>
  <c r="L2456" i="143"/>
  <c r="L2458" i="143" s="1"/>
  <c r="L2459" i="143" s="1"/>
  <c r="K2456" i="143"/>
  <c r="K2458" i="143" s="1"/>
  <c r="K2403" i="143"/>
  <c r="K2405" i="143" s="1"/>
  <c r="L2403" i="143"/>
  <c r="L2405" i="143" s="1"/>
  <c r="L2406" i="143" s="1"/>
  <c r="K2352" i="143"/>
  <c r="K2354" i="143" s="1"/>
  <c r="L2301" i="143"/>
  <c r="L2303" i="143" s="1"/>
  <c r="L2304" i="143" s="1"/>
  <c r="M2304" i="143" s="1"/>
  <c r="L2245" i="143"/>
  <c r="L2247" i="143" s="1"/>
  <c r="L2248" i="143" s="1"/>
  <c r="M2248" i="143" s="1"/>
  <c r="L2189" i="143"/>
  <c r="L2191" i="143" s="1"/>
  <c r="L2192" i="143" s="1"/>
  <c r="M2192" i="143" s="1"/>
  <c r="L1974" i="143"/>
  <c r="L1976" i="143" s="1"/>
  <c r="L1977" i="143" s="1"/>
  <c r="K1974" i="143"/>
  <c r="K1976" i="143" s="1"/>
  <c r="L1809" i="143"/>
  <c r="L1811" i="143" s="1"/>
  <c r="L1812" i="143" s="1"/>
  <c r="K1809" i="143"/>
  <c r="K1811" i="143" s="1"/>
  <c r="K1699" i="143"/>
  <c r="L1753" i="143"/>
  <c r="L1755" i="143" s="1"/>
  <c r="L1756" i="143" s="1"/>
  <c r="M1756" i="143" s="1"/>
  <c r="M1647" i="143"/>
  <c r="K1501" i="143"/>
  <c r="K1530" i="143" s="1"/>
  <c r="K1532" i="143" s="1"/>
  <c r="L1364" i="143"/>
  <c r="L1366" i="143" s="1"/>
  <c r="L1367" i="143" s="1"/>
  <c r="M1367" i="143" s="1"/>
  <c r="L1308" i="143"/>
  <c r="L1310" i="143" s="1"/>
  <c r="L1311" i="143" s="1"/>
  <c r="M1311" i="143" s="1"/>
  <c r="L1252" i="143"/>
  <c r="L1254" i="143" s="1"/>
  <c r="L1255" i="143" s="1"/>
  <c r="K1252" i="143"/>
  <c r="K1254" i="143" s="1"/>
  <c r="L1196" i="143"/>
  <c r="L1198" i="143" s="1"/>
  <c r="L1199" i="143" s="1"/>
  <c r="K1196" i="143"/>
  <c r="K1198" i="143" s="1"/>
  <c r="L1140" i="143"/>
  <c r="L1142" i="143" s="1"/>
  <c r="L1143" i="143" s="1"/>
  <c r="K1140" i="143"/>
  <c r="K1142" i="143" s="1"/>
  <c r="L1084" i="143"/>
  <c r="L1086" i="143" s="1"/>
  <c r="L1087" i="143" s="1"/>
  <c r="K1084" i="143"/>
  <c r="K1086" i="143" s="1"/>
  <c r="K1028" i="143"/>
  <c r="K1030" i="143" s="1"/>
  <c r="L1028" i="143"/>
  <c r="L1030" i="143" s="1"/>
  <c r="L1031" i="143" s="1"/>
  <c r="K972" i="143"/>
  <c r="K974" i="143" s="1"/>
  <c r="L972" i="143"/>
  <c r="L974" i="143" s="1"/>
  <c r="L975" i="143" s="1"/>
  <c r="M640" i="143"/>
  <c r="H28" i="1"/>
  <c r="M694" i="143"/>
  <c r="M586" i="143"/>
  <c r="L94" i="1" l="1"/>
  <c r="K94" i="1"/>
  <c r="L30" i="1"/>
  <c r="K85" i="1"/>
  <c r="L26" i="1"/>
  <c r="K78" i="1"/>
  <c r="O78" i="1" s="1"/>
  <c r="J30" i="1"/>
  <c r="I95" i="1"/>
  <c r="M95" i="1" s="1"/>
  <c r="K95" i="1"/>
  <c r="N95" i="1" s="1"/>
  <c r="J78" i="1"/>
  <c r="I93" i="1"/>
  <c r="M93" i="1" s="1"/>
  <c r="L81" i="1"/>
  <c r="J48" i="1"/>
  <c r="J26" i="1"/>
  <c r="L48" i="1"/>
  <c r="N48" i="1" s="1"/>
  <c r="K93" i="1"/>
  <c r="N93" i="1" s="1"/>
  <c r="H45" i="1"/>
  <c r="L45" i="1" s="1"/>
  <c r="H37" i="1"/>
  <c r="J37" i="1" s="1"/>
  <c r="H38" i="1"/>
  <c r="H73" i="1"/>
  <c r="J73" i="1" s="1"/>
  <c r="H80" i="1"/>
  <c r="J80" i="1" s="1"/>
  <c r="K81" i="1"/>
  <c r="H62" i="1"/>
  <c r="K75" i="1"/>
  <c r="I75" i="1"/>
  <c r="L75" i="1"/>
  <c r="I71" i="1"/>
  <c r="K71" i="1"/>
  <c r="L71" i="1"/>
  <c r="K90" i="1"/>
  <c r="I90" i="1"/>
  <c r="L90" i="1"/>
  <c r="H74" i="1"/>
  <c r="L70" i="1"/>
  <c r="I70" i="1"/>
  <c r="K70" i="1"/>
  <c r="L58" i="1"/>
  <c r="K58" i="1"/>
  <c r="O58" i="1" s="1"/>
  <c r="J58" i="1"/>
  <c r="I69" i="1"/>
  <c r="K69" i="1"/>
  <c r="L69" i="1"/>
  <c r="I56" i="1"/>
  <c r="L56" i="1"/>
  <c r="K56" i="1"/>
  <c r="H44" i="1"/>
  <c r="J44" i="1" s="1"/>
  <c r="H46" i="1"/>
  <c r="J46" i="1" s="1"/>
  <c r="H47" i="1"/>
  <c r="L47" i="1" s="1"/>
  <c r="H59" i="1"/>
  <c r="L98" i="1"/>
  <c r="K98" i="1"/>
  <c r="I98" i="1"/>
  <c r="L97" i="1"/>
  <c r="K97" i="1"/>
  <c r="O97" i="1" s="1"/>
  <c r="J97" i="1"/>
  <c r="N94" i="1"/>
  <c r="L38" i="1"/>
  <c r="K38" i="1"/>
  <c r="O38" i="1" s="1"/>
  <c r="J38" i="1"/>
  <c r="N30" i="1"/>
  <c r="J81" i="1"/>
  <c r="M81" i="1"/>
  <c r="L83" i="1"/>
  <c r="K83" i="1"/>
  <c r="O83" i="1" s="1"/>
  <c r="J83" i="1"/>
  <c r="J94" i="1"/>
  <c r="M94" i="1"/>
  <c r="O94" i="1" s="1"/>
  <c r="P95" i="1"/>
  <c r="Q36" i="140" s="1"/>
  <c r="K37" i="140" s="1"/>
  <c r="K36" i="140" s="1"/>
  <c r="N85" i="1"/>
  <c r="N26" i="1"/>
  <c r="N49" i="1"/>
  <c r="M85" i="1"/>
  <c r="O85" i="1" s="1"/>
  <c r="J85" i="1"/>
  <c r="K28" i="1"/>
  <c r="O28" i="1" s="1"/>
  <c r="L28" i="1"/>
  <c r="J28" i="1"/>
  <c r="N82" i="1"/>
  <c r="M2963" i="143"/>
  <c r="H84" i="1"/>
  <c r="M2739" i="143"/>
  <c r="M2683" i="143"/>
  <c r="H79" i="1"/>
  <c r="M2571" i="143"/>
  <c r="H76" i="1"/>
  <c r="M2459" i="143"/>
  <c r="M2406" i="143"/>
  <c r="M2355" i="143"/>
  <c r="H72" i="1"/>
  <c r="M1977" i="143"/>
  <c r="M1812" i="143"/>
  <c r="M1700" i="143"/>
  <c r="H57" i="1"/>
  <c r="K1534" i="143"/>
  <c r="M1255" i="143"/>
  <c r="M1199" i="143"/>
  <c r="M1143" i="143"/>
  <c r="M1087" i="143"/>
  <c r="M1031" i="143"/>
  <c r="M975" i="143"/>
  <c r="O95" i="1" l="1"/>
  <c r="L44" i="1"/>
  <c r="K73" i="1"/>
  <c r="O73" i="1" s="1"/>
  <c r="L73" i="1"/>
  <c r="J95" i="1"/>
  <c r="J45" i="1"/>
  <c r="K45" i="1"/>
  <c r="O45" i="1" s="1"/>
  <c r="N71" i="1"/>
  <c r="O93" i="1"/>
  <c r="J47" i="1"/>
  <c r="K44" i="1"/>
  <c r="O44" i="1" s="1"/>
  <c r="N78" i="1"/>
  <c r="N97" i="1"/>
  <c r="N81" i="1"/>
  <c r="K37" i="1"/>
  <c r="O37" i="1" s="1"/>
  <c r="K46" i="1"/>
  <c r="O46" i="1" s="1"/>
  <c r="L37" i="1"/>
  <c r="L46" i="1"/>
  <c r="O81" i="1"/>
  <c r="K80" i="1"/>
  <c r="O80" i="1" s="1"/>
  <c r="L80" i="1"/>
  <c r="J93" i="1"/>
  <c r="N69" i="1"/>
  <c r="N90" i="1"/>
  <c r="N56" i="1"/>
  <c r="N70" i="1"/>
  <c r="N75" i="1"/>
  <c r="J98" i="1"/>
  <c r="M98" i="1"/>
  <c r="O98" i="1" s="1"/>
  <c r="M70" i="1"/>
  <c r="O70" i="1" s="1"/>
  <c r="J70" i="1"/>
  <c r="L62" i="1"/>
  <c r="K62" i="1"/>
  <c r="O62" i="1" s="1"/>
  <c r="J62" i="1"/>
  <c r="M56" i="1"/>
  <c r="O56" i="1" s="1"/>
  <c r="J56" i="1"/>
  <c r="N98" i="1"/>
  <c r="L74" i="1"/>
  <c r="K74" i="1"/>
  <c r="O74" i="1" s="1"/>
  <c r="J74" i="1"/>
  <c r="J71" i="1"/>
  <c r="M71" i="1"/>
  <c r="O71" i="1" s="1"/>
  <c r="K47" i="1"/>
  <c r="O47" i="1" s="1"/>
  <c r="P98" i="1"/>
  <c r="Q38" i="140" s="1"/>
  <c r="M39" i="140" s="1"/>
  <c r="M38" i="140" s="1"/>
  <c r="J69" i="1"/>
  <c r="M69" i="1"/>
  <c r="O69" i="1" s="1"/>
  <c r="J90" i="1"/>
  <c r="M90" i="1"/>
  <c r="O90" i="1" s="1"/>
  <c r="J75" i="1"/>
  <c r="M75" i="1"/>
  <c r="O75" i="1" s="1"/>
  <c r="L57" i="1"/>
  <c r="K57" i="1"/>
  <c r="I57" i="1"/>
  <c r="L76" i="1"/>
  <c r="I76" i="1"/>
  <c r="K76" i="1"/>
  <c r="J59" i="1"/>
  <c r="K59" i="1"/>
  <c r="O59" i="1" s="1"/>
  <c r="L59" i="1"/>
  <c r="N58" i="1"/>
  <c r="N73" i="1"/>
  <c r="J72" i="1"/>
  <c r="K72" i="1"/>
  <c r="O72" i="1" s="1"/>
  <c r="L72" i="1"/>
  <c r="N38" i="1"/>
  <c r="N28" i="1"/>
  <c r="L79" i="1"/>
  <c r="K79" i="1"/>
  <c r="O79" i="1" s="1"/>
  <c r="J79" i="1"/>
  <c r="K84" i="1"/>
  <c r="I84" i="1"/>
  <c r="L84" i="1"/>
  <c r="N44" i="1"/>
  <c r="N83" i="1"/>
  <c r="M1535" i="143"/>
  <c r="H53" i="1"/>
  <c r="N72" i="1" l="1"/>
  <c r="N45" i="1"/>
  <c r="N47" i="1"/>
  <c r="N37" i="1"/>
  <c r="N46" i="1"/>
  <c r="N80" i="1"/>
  <c r="J57" i="1"/>
  <c r="M57" i="1"/>
  <c r="O57" i="1" s="1"/>
  <c r="N59" i="1"/>
  <c r="N57" i="1"/>
  <c r="N62" i="1"/>
  <c r="I53" i="1"/>
  <c r="K53" i="1"/>
  <c r="L53" i="1"/>
  <c r="M76" i="1"/>
  <c r="O76" i="1" s="1"/>
  <c r="J76" i="1"/>
  <c r="N76" i="1"/>
  <c r="N74" i="1"/>
  <c r="N84" i="1"/>
  <c r="N79" i="1"/>
  <c r="P85" i="1"/>
  <c r="Q32" i="140" s="1"/>
  <c r="J33" i="140" s="1"/>
  <c r="J32" i="140" s="1"/>
  <c r="J84" i="1"/>
  <c r="M84" i="1"/>
  <c r="O84" i="1" s="1"/>
  <c r="G90" i="143"/>
  <c r="G67" i="143"/>
  <c r="G68" i="143"/>
  <c r="G66" i="143"/>
  <c r="K62" i="143"/>
  <c r="I62" i="143"/>
  <c r="D62" i="143"/>
  <c r="B62" i="143"/>
  <c r="L101" i="143"/>
  <c r="K101" i="143"/>
  <c r="L100" i="143"/>
  <c r="K100" i="143"/>
  <c r="L99" i="143"/>
  <c r="K99" i="143"/>
  <c r="L93" i="143"/>
  <c r="I92" i="143"/>
  <c r="K92" i="143" s="1"/>
  <c r="I91" i="143"/>
  <c r="L91" i="143" s="1"/>
  <c r="I90" i="143"/>
  <c r="I84" i="143"/>
  <c r="L84" i="143" s="1"/>
  <c r="I83" i="143"/>
  <c r="K83" i="143" s="1"/>
  <c r="I82" i="143"/>
  <c r="L82" i="143" s="1"/>
  <c r="I81" i="143"/>
  <c r="L81" i="143" s="1"/>
  <c r="I75" i="143"/>
  <c r="K75" i="143" s="1"/>
  <c r="I74" i="143"/>
  <c r="L74" i="143" s="1"/>
  <c r="I73" i="143"/>
  <c r="L73" i="143" s="1"/>
  <c r="I72" i="143"/>
  <c r="K72" i="143" s="1"/>
  <c r="I71" i="143"/>
  <c r="K71" i="143" s="1"/>
  <c r="I70" i="143"/>
  <c r="L70" i="143" s="1"/>
  <c r="I69" i="143"/>
  <c r="L69" i="143" s="1"/>
  <c r="I68" i="143"/>
  <c r="I67" i="143"/>
  <c r="I66" i="143"/>
  <c r="N53" i="1" l="1"/>
  <c r="J53" i="1"/>
  <c r="M53" i="1"/>
  <c r="O53" i="1" s="1"/>
  <c r="E66" i="143"/>
  <c r="E67" i="143"/>
  <c r="E107" i="149" s="1"/>
  <c r="F107" i="149" s="1"/>
  <c r="L103" i="143"/>
  <c r="K103" i="143"/>
  <c r="E90" i="143"/>
  <c r="E68" i="143"/>
  <c r="K82" i="143"/>
  <c r="L71" i="143"/>
  <c r="L75" i="143"/>
  <c r="L92" i="143"/>
  <c r="K91" i="143"/>
  <c r="K74" i="143"/>
  <c r="K70" i="143"/>
  <c r="L72" i="143"/>
  <c r="K81" i="143"/>
  <c r="L83" i="143"/>
  <c r="L86" i="143" s="1"/>
  <c r="K69" i="143"/>
  <c r="K73" i="143"/>
  <c r="K84" i="143"/>
  <c r="F68" i="143" l="1"/>
  <c r="K68" i="143" s="1"/>
  <c r="L90" i="143"/>
  <c r="L95" i="143" s="1"/>
  <c r="L137" i="149"/>
  <c r="M137" i="149" s="1"/>
  <c r="F66" i="143"/>
  <c r="K66" i="143" s="1"/>
  <c r="L66" i="143"/>
  <c r="F90" i="143"/>
  <c r="K90" i="143" s="1"/>
  <c r="K95" i="143" s="1"/>
  <c r="L68" i="143"/>
  <c r="L137" i="145"/>
  <c r="M137" i="145" s="1"/>
  <c r="F67" i="143"/>
  <c r="K67" i="143" s="1"/>
  <c r="E107" i="145"/>
  <c r="F107" i="145" s="1"/>
  <c r="L67" i="143"/>
  <c r="K86" i="143"/>
  <c r="K77" i="143" l="1"/>
  <c r="K106" i="143" s="1"/>
  <c r="K108" i="143" s="1"/>
  <c r="K110" i="143" s="1"/>
  <c r="L77" i="143"/>
  <c r="L106" i="143" s="1"/>
  <c r="L108" i="143" s="1"/>
  <c r="L110" i="143" s="1"/>
  <c r="L111" i="143" s="1"/>
  <c r="M111" i="143" l="1"/>
  <c r="H13" i="1"/>
  <c r="L13" i="1" l="1"/>
  <c r="K13" i="1"/>
  <c r="O13" i="1" s="1"/>
  <c r="J13" i="1"/>
  <c r="N13" i="1" l="1"/>
  <c r="M129" i="145"/>
  <c r="G1458" i="143" l="1"/>
  <c r="L73" i="145" l="1"/>
  <c r="E221" i="145"/>
  <c r="F221" i="145" s="1"/>
  <c r="L71" i="145"/>
  <c r="L70" i="145"/>
  <c r="L44" i="145"/>
  <c r="L46" i="145"/>
  <c r="L42" i="145"/>
  <c r="L39" i="145" l="1"/>
  <c r="M39" i="145" s="1"/>
  <c r="L29" i="145"/>
  <c r="L16" i="145"/>
  <c r="L21" i="145"/>
  <c r="L72" i="145"/>
  <c r="L30" i="145"/>
  <c r="E239" i="145"/>
  <c r="F239" i="145" s="1"/>
  <c r="E161" i="145"/>
  <c r="F161" i="145" s="1"/>
  <c r="E194" i="145"/>
  <c r="F194" i="145" s="1"/>
  <c r="L31" i="145"/>
  <c r="L25" i="145"/>
  <c r="E224" i="145"/>
  <c r="F224" i="145" s="1"/>
  <c r="L111" i="145"/>
  <c r="L58" i="145"/>
  <c r="L56" i="145"/>
  <c r="L118" i="145"/>
  <c r="E2" i="145" l="1"/>
  <c r="L11" i="145"/>
  <c r="L62" i="145"/>
  <c r="L22" i="145"/>
  <c r="L66" i="145"/>
  <c r="M71" i="145"/>
  <c r="L64" i="145"/>
  <c r="L115" i="145"/>
  <c r="L124" i="145"/>
  <c r="L99" i="145"/>
  <c r="M31" i="145"/>
  <c r="M29" i="145"/>
  <c r="M25" i="145"/>
  <c r="E156" i="145"/>
  <c r="F156" i="145" s="1"/>
  <c r="M58" i="145"/>
  <c r="G3549" i="143" l="1"/>
  <c r="E3566" i="143"/>
  <c r="L3577" i="143"/>
  <c r="K3577" i="143"/>
  <c r="L3576" i="143"/>
  <c r="K3576" i="143"/>
  <c r="L3575" i="143"/>
  <c r="K3575" i="143"/>
  <c r="L3569" i="143"/>
  <c r="I3568" i="143"/>
  <c r="K3568" i="143" s="1"/>
  <c r="I3567" i="143"/>
  <c r="L3567" i="143" s="1"/>
  <c r="I3566" i="143"/>
  <c r="G3566" i="143"/>
  <c r="I3560" i="143"/>
  <c r="L3560" i="143" s="1"/>
  <c r="I3559" i="143"/>
  <c r="L3559" i="143" s="1"/>
  <c r="I3558" i="143"/>
  <c r="L3558" i="143" s="1"/>
  <c r="I3557" i="143"/>
  <c r="L3557" i="143" s="1"/>
  <c r="I3551" i="143"/>
  <c r="L3551" i="143" s="1"/>
  <c r="I3550" i="143"/>
  <c r="L3550" i="143" s="1"/>
  <c r="I3549" i="143"/>
  <c r="I3548" i="143"/>
  <c r="G3548" i="143"/>
  <c r="I3547" i="143"/>
  <c r="G3547" i="143"/>
  <c r="I3546" i="143"/>
  <c r="G3546" i="143"/>
  <c r="I3545" i="143"/>
  <c r="G3545" i="143"/>
  <c r="I3544" i="143"/>
  <c r="G3544" i="143"/>
  <c r="I3543" i="143"/>
  <c r="L3543" i="143" s="1"/>
  <c r="G3543" i="143"/>
  <c r="E3088" i="143"/>
  <c r="E4" i="149" s="1"/>
  <c r="F4" i="149" s="1"/>
  <c r="E3030" i="143"/>
  <c r="L3062" i="143"/>
  <c r="K3062" i="143"/>
  <c r="L3061" i="143"/>
  <c r="K3061" i="143"/>
  <c r="L3060" i="143"/>
  <c r="K3060" i="143"/>
  <c r="L3054" i="143"/>
  <c r="I3053" i="143"/>
  <c r="K3053" i="143" s="1"/>
  <c r="I3052" i="143"/>
  <c r="L3052" i="143" s="1"/>
  <c r="I3051" i="143"/>
  <c r="G3051" i="143"/>
  <c r="I3045" i="143"/>
  <c r="L3045" i="143" s="1"/>
  <c r="I3044" i="143"/>
  <c r="K3044" i="143" s="1"/>
  <c r="I3043" i="143"/>
  <c r="L3043" i="143" s="1"/>
  <c r="I3042" i="143"/>
  <c r="L3042" i="143" s="1"/>
  <c r="I3036" i="143"/>
  <c r="G3036" i="143"/>
  <c r="I3035" i="143"/>
  <c r="G3035" i="143"/>
  <c r="I3034" i="143"/>
  <c r="G3034" i="143"/>
  <c r="I3033" i="143"/>
  <c r="G3033" i="143"/>
  <c r="I3032" i="143"/>
  <c r="G3032" i="143"/>
  <c r="I3031" i="143"/>
  <c r="G3031" i="143"/>
  <c r="I3030" i="143"/>
  <c r="G3030" i="143"/>
  <c r="G2097" i="143"/>
  <c r="K2093" i="143"/>
  <c r="I2093" i="143"/>
  <c r="D2093" i="143"/>
  <c r="B2093" i="143"/>
  <c r="L2129" i="143"/>
  <c r="K2129" i="143"/>
  <c r="L2128" i="143"/>
  <c r="K2128" i="143"/>
  <c r="L2127" i="143"/>
  <c r="K2127" i="143"/>
  <c r="L2121" i="143"/>
  <c r="I2120" i="143"/>
  <c r="K2120" i="143" s="1"/>
  <c r="I2119" i="143"/>
  <c r="L2119" i="143" s="1"/>
  <c r="I2118" i="143"/>
  <c r="G2118" i="143"/>
  <c r="I2112" i="143"/>
  <c r="L2112" i="143" s="1"/>
  <c r="I2111" i="143"/>
  <c r="K2111" i="143" s="1"/>
  <c r="I2110" i="143"/>
  <c r="K2110" i="143" s="1"/>
  <c r="I2109" i="143"/>
  <c r="L2109" i="143" s="1"/>
  <c r="I2100" i="143"/>
  <c r="I2099" i="143"/>
  <c r="I2098" i="143"/>
  <c r="I2097" i="143"/>
  <c r="E3031" i="143" l="1"/>
  <c r="E111" i="149" s="1"/>
  <c r="F111" i="149" s="1"/>
  <c r="E212" i="149"/>
  <c r="F212" i="149" s="1"/>
  <c r="L24" i="145"/>
  <c r="L24" i="149"/>
  <c r="M24" i="149" s="1"/>
  <c r="E2099" i="143"/>
  <c r="E251" i="149" s="1"/>
  <c r="F251" i="149" s="1"/>
  <c r="E2098" i="143"/>
  <c r="E80" i="149" s="1"/>
  <c r="F80" i="149" s="1"/>
  <c r="E2097" i="143"/>
  <c r="F2097" i="143" s="1"/>
  <c r="K2097" i="143" s="1"/>
  <c r="E2100" i="143"/>
  <c r="L3579" i="143"/>
  <c r="L3031" i="143"/>
  <c r="E211" i="145"/>
  <c r="F211" i="145" s="1"/>
  <c r="K3064" i="143"/>
  <c r="K3579" i="143"/>
  <c r="K3567" i="143"/>
  <c r="K3558" i="143"/>
  <c r="K3551" i="143"/>
  <c r="F3543" i="143"/>
  <c r="K3543" i="143" s="1"/>
  <c r="E3548" i="143"/>
  <c r="F3548" i="143" s="1"/>
  <c r="K3548" i="143" s="1"/>
  <c r="K3557" i="143"/>
  <c r="F3546" i="143"/>
  <c r="F3544" i="143"/>
  <c r="E3547" i="143"/>
  <c r="F3547" i="143" s="1"/>
  <c r="K3547" i="143" s="1"/>
  <c r="E3549" i="143"/>
  <c r="L3566" i="143"/>
  <c r="E3545" i="143"/>
  <c r="K3550" i="143"/>
  <c r="L3568" i="143"/>
  <c r="L3562" i="143"/>
  <c r="K3560" i="143"/>
  <c r="K3559" i="143"/>
  <c r="F3566" i="143"/>
  <c r="K3566" i="143" s="1"/>
  <c r="L78" i="145"/>
  <c r="E2118" i="143"/>
  <c r="E3086" i="143"/>
  <c r="E272" i="149" s="1"/>
  <c r="F272" i="149" s="1"/>
  <c r="E3083" i="143"/>
  <c r="E3087" i="143"/>
  <c r="E243" i="149" s="1"/>
  <c r="F243" i="149" s="1"/>
  <c r="K2131" i="143"/>
  <c r="L3064" i="143"/>
  <c r="L2131" i="143"/>
  <c r="E210" i="145"/>
  <c r="F210" i="145" s="1"/>
  <c r="F3030" i="143"/>
  <c r="K3030" i="143" s="1"/>
  <c r="E3036" i="143"/>
  <c r="L3053" i="143"/>
  <c r="L3044" i="143"/>
  <c r="L3047" i="143" s="1"/>
  <c r="L3030" i="143"/>
  <c r="K3043" i="143"/>
  <c r="K3052" i="143"/>
  <c r="K3042" i="143"/>
  <c r="E3035" i="143"/>
  <c r="E151" i="149" s="1"/>
  <c r="F151" i="149" s="1"/>
  <c r="K3045" i="143"/>
  <c r="E3051" i="143"/>
  <c r="L110" i="149" s="1"/>
  <c r="M110" i="149" s="1"/>
  <c r="L2098" i="143"/>
  <c r="K2119" i="143"/>
  <c r="L2110" i="143"/>
  <c r="L2111" i="143"/>
  <c r="L2120" i="143"/>
  <c r="K2109" i="143"/>
  <c r="K2112" i="143"/>
  <c r="F2100" i="143" l="1"/>
  <c r="K2100" i="143" s="1"/>
  <c r="E155" i="149"/>
  <c r="F155" i="149" s="1"/>
  <c r="F3549" i="143"/>
  <c r="K3549" i="143" s="1"/>
  <c r="E122" i="149"/>
  <c r="F122" i="149" s="1"/>
  <c r="E3084" i="143"/>
  <c r="E241" i="149" s="1"/>
  <c r="F241" i="149" s="1"/>
  <c r="E136" i="149"/>
  <c r="F136" i="149" s="1"/>
  <c r="L3036" i="143"/>
  <c r="E267" i="149"/>
  <c r="F267" i="149" s="1"/>
  <c r="L85" i="145"/>
  <c r="M85" i="145" s="1"/>
  <c r="L85" i="149"/>
  <c r="M85" i="149" s="1"/>
  <c r="F3545" i="143"/>
  <c r="K3545" i="143" s="1"/>
  <c r="E129" i="149"/>
  <c r="F129" i="149" s="1"/>
  <c r="L2100" i="143"/>
  <c r="F2099" i="143"/>
  <c r="K2099" i="143" s="1"/>
  <c r="E251" i="145"/>
  <c r="F251" i="145" s="1"/>
  <c r="F2098" i="143"/>
  <c r="K2098" i="143" s="1"/>
  <c r="E80" i="145"/>
  <c r="F80" i="145" s="1"/>
  <c r="L2099" i="143"/>
  <c r="L2118" i="143"/>
  <c r="L2123" i="143" s="1"/>
  <c r="L106" i="145"/>
  <c r="L2097" i="143"/>
  <c r="F3031" i="143"/>
  <c r="K3031" i="143" s="1"/>
  <c r="L3549" i="143"/>
  <c r="K3571" i="143"/>
  <c r="L3548" i="143"/>
  <c r="K3562" i="143"/>
  <c r="L3547" i="143"/>
  <c r="L3571" i="143"/>
  <c r="L3545" i="143"/>
  <c r="L3546" i="143"/>
  <c r="K3546" i="143"/>
  <c r="L3544" i="143"/>
  <c r="K3544" i="143"/>
  <c r="F2118" i="143"/>
  <c r="K2118" i="143" s="1"/>
  <c r="K2123" i="143" s="1"/>
  <c r="F3036" i="143"/>
  <c r="K3036" i="143" s="1"/>
  <c r="K3047" i="143"/>
  <c r="K2114" i="143"/>
  <c r="L3035" i="143"/>
  <c r="F3035" i="143"/>
  <c r="K3035" i="143" s="1"/>
  <c r="L3051" i="143"/>
  <c r="L3056" i="143" s="1"/>
  <c r="F3051" i="143"/>
  <c r="K3051" i="143" s="1"/>
  <c r="K3056" i="143" s="1"/>
  <c r="L3032" i="143"/>
  <c r="F3032" i="143"/>
  <c r="K3032" i="143" s="1"/>
  <c r="L3033" i="143"/>
  <c r="F3033" i="143"/>
  <c r="K3033" i="143" s="1"/>
  <c r="L2114" i="143"/>
  <c r="L2105" i="143" l="1"/>
  <c r="L2134" i="143" s="1"/>
  <c r="L2136" i="143" s="1"/>
  <c r="K2105" i="143"/>
  <c r="K2134" i="143" s="1"/>
  <c r="K2136" i="143" s="1"/>
  <c r="K2138" i="143" s="1"/>
  <c r="L3553" i="143"/>
  <c r="L3582" i="143" s="1"/>
  <c r="L3584" i="143" s="1"/>
  <c r="K3553" i="143"/>
  <c r="K3582" i="143" s="1"/>
  <c r="K3584" i="143" s="1"/>
  <c r="K3586" i="143" s="1"/>
  <c r="L3034" i="143"/>
  <c r="L3038" i="143" s="1"/>
  <c r="L3067" i="143" s="1"/>
  <c r="F3034" i="143"/>
  <c r="K3034" i="143" s="1"/>
  <c r="K3038" i="143" s="1"/>
  <c r="K3067" i="143" s="1"/>
  <c r="K3069" i="143" s="1"/>
  <c r="K3071" i="143" s="1"/>
  <c r="H100" i="1" l="1"/>
  <c r="H87" i="1"/>
  <c r="H68" i="1"/>
  <c r="L68" i="1" s="1"/>
  <c r="P76" i="1" s="1"/>
  <c r="Q30" i="140" s="1"/>
  <c r="J31" i="140" s="1"/>
  <c r="J30" i="140" s="1"/>
  <c r="L100" i="1"/>
  <c r="P100" i="1" s="1"/>
  <c r="Q40" i="140" s="1"/>
  <c r="N41" i="140" s="1"/>
  <c r="N40" i="140" s="1"/>
  <c r="K100" i="1"/>
  <c r="I100" i="1"/>
  <c r="L3586" i="143"/>
  <c r="L3587" i="143" s="1"/>
  <c r="M3587" i="143" s="1"/>
  <c r="L2138" i="143"/>
  <c r="L2139" i="143" s="1"/>
  <c r="M2139" i="143" s="1"/>
  <c r="L3069" i="143"/>
  <c r="L3071" i="143" s="1"/>
  <c r="L3072" i="143" s="1"/>
  <c r="M3072" i="143" s="1"/>
  <c r="L87" i="1" l="1"/>
  <c r="I87" i="1"/>
  <c r="K87" i="1"/>
  <c r="M100" i="1"/>
  <c r="O100" i="1" s="1"/>
  <c r="J100" i="1"/>
  <c r="N100" i="1"/>
  <c r="K2037" i="143"/>
  <c r="I2037" i="143"/>
  <c r="E2065" i="143" s="1"/>
  <c r="L2076" i="143"/>
  <c r="K2076" i="143"/>
  <c r="L2075" i="143"/>
  <c r="K2075" i="143"/>
  <c r="L2074" i="143"/>
  <c r="K2074" i="143"/>
  <c r="L2068" i="143"/>
  <c r="I2067" i="143"/>
  <c r="K2067" i="143" s="1"/>
  <c r="I2066" i="143"/>
  <c r="L2066" i="143" s="1"/>
  <c r="I2065" i="143"/>
  <c r="G2065" i="143"/>
  <c r="I2059" i="143"/>
  <c r="L2059" i="143" s="1"/>
  <c r="I2058" i="143"/>
  <c r="L2058" i="143" s="1"/>
  <c r="I2057" i="143"/>
  <c r="K2057" i="143" s="1"/>
  <c r="I2056" i="143"/>
  <c r="L2056" i="143" s="1"/>
  <c r="I2050" i="143"/>
  <c r="K2050" i="143" s="1"/>
  <c r="I2049" i="143"/>
  <c r="K2049" i="143" s="1"/>
  <c r="I2048" i="143"/>
  <c r="L2048" i="143" s="1"/>
  <c r="I2044" i="143"/>
  <c r="L2044" i="143" s="1"/>
  <c r="I2043" i="143"/>
  <c r="K2043" i="143" s="1"/>
  <c r="I2042" i="143"/>
  <c r="L2042" i="143" s="1"/>
  <c r="I2041" i="143"/>
  <c r="L2041" i="143" s="1"/>
  <c r="K1984" i="143"/>
  <c r="I1984" i="143"/>
  <c r="D1984" i="143"/>
  <c r="B1984" i="143"/>
  <c r="E1825" i="143"/>
  <c r="E157" i="149" s="1"/>
  <c r="F157" i="149" s="1"/>
  <c r="L1855" i="143"/>
  <c r="K1855" i="143"/>
  <c r="L1854" i="143"/>
  <c r="K1854" i="143"/>
  <c r="L1853" i="143"/>
  <c r="K1853" i="143"/>
  <c r="L1847" i="143"/>
  <c r="I1846" i="143"/>
  <c r="K1846" i="143" s="1"/>
  <c r="I1845" i="143"/>
  <c r="L1845" i="143" s="1"/>
  <c r="I1844" i="143"/>
  <c r="G1844" i="143"/>
  <c r="I1838" i="143"/>
  <c r="L1838" i="143" s="1"/>
  <c r="I1837" i="143"/>
  <c r="L1837" i="143" s="1"/>
  <c r="I1836" i="143"/>
  <c r="L1836" i="143" s="1"/>
  <c r="I1835" i="143"/>
  <c r="L1835" i="143" s="1"/>
  <c r="I1829" i="143"/>
  <c r="L1829" i="143" s="1"/>
  <c r="I1828" i="143"/>
  <c r="L1828" i="143" s="1"/>
  <c r="I1827" i="143"/>
  <c r="L1827" i="143" s="1"/>
  <c r="I1826" i="143"/>
  <c r="K1826" i="143" s="1"/>
  <c r="I1825" i="143"/>
  <c r="G1825" i="143"/>
  <c r="I1824" i="143"/>
  <c r="G1824" i="143"/>
  <c r="I1823" i="143"/>
  <c r="G1823" i="143"/>
  <c r="E1823" i="143"/>
  <c r="E34" i="149" s="1"/>
  <c r="F34" i="149" s="1"/>
  <c r="K1542" i="143"/>
  <c r="I1542" i="143"/>
  <c r="D1542" i="143"/>
  <c r="B1542" i="143"/>
  <c r="I1459" i="143"/>
  <c r="K1459" i="143" s="1"/>
  <c r="I1460" i="143"/>
  <c r="K1460" i="143" s="1"/>
  <c r="I1458" i="143"/>
  <c r="M87" i="1" l="1"/>
  <c r="O87" i="1" s="1"/>
  <c r="J87" i="1"/>
  <c r="N87" i="1"/>
  <c r="L74" i="145"/>
  <c r="L74" i="149"/>
  <c r="M74" i="149" s="1"/>
  <c r="E1546" i="143"/>
  <c r="E1547" i="143"/>
  <c r="L1857" i="143"/>
  <c r="K2078" i="143"/>
  <c r="L2078" i="143"/>
  <c r="K1857" i="143"/>
  <c r="E1824" i="143"/>
  <c r="E183" i="149" s="1"/>
  <c r="F183" i="149" s="1"/>
  <c r="L2049" i="143"/>
  <c r="K2042" i="143"/>
  <c r="L2057" i="143"/>
  <c r="L2061" i="143" s="1"/>
  <c r="L2043" i="143"/>
  <c r="K2056" i="143"/>
  <c r="L2067" i="143"/>
  <c r="L2050" i="143"/>
  <c r="L2065" i="143"/>
  <c r="K2066" i="143"/>
  <c r="K2041" i="143"/>
  <c r="K2048" i="143"/>
  <c r="K2059" i="143"/>
  <c r="K2044" i="143"/>
  <c r="K2058" i="143"/>
  <c r="F2065" i="143"/>
  <c r="K2065" i="143" s="1"/>
  <c r="L1826" i="143"/>
  <c r="K1829" i="143"/>
  <c r="L1846" i="143"/>
  <c r="K1837" i="143"/>
  <c r="K1828" i="143"/>
  <c r="K1835" i="143"/>
  <c r="K1845" i="143"/>
  <c r="K1836" i="143"/>
  <c r="L1823" i="143"/>
  <c r="L1840" i="143"/>
  <c r="L1825" i="143"/>
  <c r="F1825" i="143"/>
  <c r="K1825" i="143" s="1"/>
  <c r="K1827" i="143"/>
  <c r="K1838" i="143"/>
  <c r="E1844" i="143"/>
  <c r="F1823" i="143"/>
  <c r="K1823" i="143" s="1"/>
  <c r="L1459" i="143"/>
  <c r="L1460" i="143"/>
  <c r="I1450" i="143"/>
  <c r="L1450" i="143" s="1"/>
  <c r="I1451" i="143"/>
  <c r="K1451" i="143" s="1"/>
  <c r="I1452" i="143"/>
  <c r="K1452" i="143" s="1"/>
  <c r="I1449" i="143"/>
  <c r="L1449" i="143" s="1"/>
  <c r="I1393" i="143"/>
  <c r="K1393" i="143" s="1"/>
  <c r="G1435" i="143"/>
  <c r="I1435" i="143"/>
  <c r="G1436" i="143"/>
  <c r="I1436" i="143"/>
  <c r="G1437" i="143"/>
  <c r="I1437" i="143"/>
  <c r="G1438" i="143"/>
  <c r="I1438" i="143"/>
  <c r="G1439" i="143"/>
  <c r="I1439" i="143"/>
  <c r="G1440" i="143"/>
  <c r="I1440" i="143"/>
  <c r="G1441" i="143"/>
  <c r="I1441" i="143"/>
  <c r="G1442" i="143"/>
  <c r="I1442" i="143"/>
  <c r="G1443" i="143"/>
  <c r="I1443" i="143"/>
  <c r="I1434" i="143"/>
  <c r="G1434" i="143"/>
  <c r="K1430" i="143"/>
  <c r="I1430" i="143"/>
  <c r="D1430" i="143"/>
  <c r="B1430" i="143"/>
  <c r="K1374" i="143"/>
  <c r="I1374" i="143"/>
  <c r="E1382" i="143" s="1"/>
  <c r="E101" i="149" s="1"/>
  <c r="F101" i="149" s="1"/>
  <c r="D1374" i="143"/>
  <c r="B1374" i="143"/>
  <c r="L1413" i="143"/>
  <c r="K1413" i="143"/>
  <c r="L1412" i="143"/>
  <c r="K1412" i="143"/>
  <c r="L1411" i="143"/>
  <c r="K1411" i="143"/>
  <c r="L1405" i="143"/>
  <c r="I1404" i="143"/>
  <c r="K1404" i="143" s="1"/>
  <c r="I1403" i="143"/>
  <c r="L1403" i="143" s="1"/>
  <c r="I1402" i="143"/>
  <c r="G1402" i="143"/>
  <c r="I1396" i="143"/>
  <c r="L1396" i="143" s="1"/>
  <c r="I1395" i="143"/>
  <c r="L1395" i="143" s="1"/>
  <c r="I1394" i="143"/>
  <c r="L1394" i="143" s="1"/>
  <c r="I1387" i="143"/>
  <c r="I1386" i="143"/>
  <c r="I1385" i="143"/>
  <c r="I1384" i="143"/>
  <c r="I1383" i="143"/>
  <c r="G1383" i="143"/>
  <c r="I1382" i="143"/>
  <c r="G1382" i="143"/>
  <c r="I1381" i="143"/>
  <c r="G1381" i="143"/>
  <c r="I1380" i="143"/>
  <c r="G1380" i="143"/>
  <c r="I1379" i="143"/>
  <c r="G1379" i="143"/>
  <c r="I1378" i="143"/>
  <c r="G1378" i="143"/>
  <c r="L1469" i="143"/>
  <c r="K1469" i="143"/>
  <c r="L1468" i="143"/>
  <c r="K1468" i="143"/>
  <c r="L1467" i="143"/>
  <c r="K1467" i="143"/>
  <c r="L1461" i="143"/>
  <c r="K870" i="143"/>
  <c r="I870" i="143"/>
  <c r="D870" i="143"/>
  <c r="B870" i="143"/>
  <c r="L909" i="143"/>
  <c r="K909" i="143"/>
  <c r="L908" i="143"/>
  <c r="K908" i="143"/>
  <c r="L907" i="143"/>
  <c r="K907" i="143"/>
  <c r="L901" i="143"/>
  <c r="I900" i="143"/>
  <c r="K900" i="143" s="1"/>
  <c r="I899" i="143"/>
  <c r="L899" i="143" s="1"/>
  <c r="I898" i="143"/>
  <c r="G898" i="143"/>
  <c r="I892" i="143"/>
  <c r="L892" i="143" s="1"/>
  <c r="I891" i="143"/>
  <c r="K891" i="143" s="1"/>
  <c r="I890" i="143"/>
  <c r="K890" i="143" s="1"/>
  <c r="I889" i="143"/>
  <c r="L889" i="143" s="1"/>
  <c r="I883" i="143"/>
  <c r="L883" i="143" s="1"/>
  <c r="I882" i="143"/>
  <c r="L882" i="143" s="1"/>
  <c r="I881" i="143"/>
  <c r="G881" i="143"/>
  <c r="I880" i="143"/>
  <c r="G880" i="143"/>
  <c r="I879" i="143"/>
  <c r="G879" i="143"/>
  <c r="I878" i="143"/>
  <c r="G878" i="143"/>
  <c r="I877" i="143"/>
  <c r="G877" i="143"/>
  <c r="I876" i="143"/>
  <c r="G876" i="143"/>
  <c r="I875" i="143"/>
  <c r="G875" i="143"/>
  <c r="I874" i="143"/>
  <c r="G874" i="143"/>
  <c r="K814" i="143"/>
  <c r="I814" i="143"/>
  <c r="D814" i="143"/>
  <c r="B814" i="143"/>
  <c r="L853" i="143"/>
  <c r="K853" i="143"/>
  <c r="L852" i="143"/>
  <c r="K852" i="143"/>
  <c r="L851" i="143"/>
  <c r="K851" i="143"/>
  <c r="L845" i="143"/>
  <c r="I844" i="143"/>
  <c r="K844" i="143" s="1"/>
  <c r="I843" i="143"/>
  <c r="L843" i="143" s="1"/>
  <c r="I842" i="143"/>
  <c r="G842" i="143"/>
  <c r="I836" i="143"/>
  <c r="L836" i="143" s="1"/>
  <c r="I835" i="143"/>
  <c r="L835" i="143" s="1"/>
  <c r="I834" i="143"/>
  <c r="K834" i="143" s="1"/>
  <c r="I833" i="143"/>
  <c r="L833" i="143" s="1"/>
  <c r="I827" i="143"/>
  <c r="K827" i="143" s="1"/>
  <c r="I826" i="143"/>
  <c r="L826" i="143" s="1"/>
  <c r="I825" i="143"/>
  <c r="G825" i="143"/>
  <c r="I824" i="143"/>
  <c r="G824" i="143"/>
  <c r="I823" i="143"/>
  <c r="G823" i="143"/>
  <c r="I822" i="143"/>
  <c r="G822" i="143"/>
  <c r="I821" i="143"/>
  <c r="G821" i="143"/>
  <c r="I820" i="143"/>
  <c r="G820" i="143"/>
  <c r="I819" i="143"/>
  <c r="G819" i="143"/>
  <c r="I818" i="143"/>
  <c r="G818" i="143"/>
  <c r="G769" i="143"/>
  <c r="G768" i="143"/>
  <c r="G767" i="143"/>
  <c r="I777" i="143"/>
  <c r="K777" i="143" s="1"/>
  <c r="K758" i="143"/>
  <c r="I758" i="143"/>
  <c r="D758" i="143"/>
  <c r="B758" i="143"/>
  <c r="L797" i="143"/>
  <c r="K797" i="143"/>
  <c r="L796" i="143"/>
  <c r="K796" i="143"/>
  <c r="L795" i="143"/>
  <c r="K795" i="143"/>
  <c r="L789" i="143"/>
  <c r="I788" i="143"/>
  <c r="L788" i="143" s="1"/>
  <c r="I787" i="143"/>
  <c r="L787" i="143" s="1"/>
  <c r="I786" i="143"/>
  <c r="G786" i="143"/>
  <c r="I780" i="143"/>
  <c r="L780" i="143" s="1"/>
  <c r="I779" i="143"/>
  <c r="L779" i="143" s="1"/>
  <c r="I778" i="143"/>
  <c r="L778" i="143" s="1"/>
  <c r="I771" i="143"/>
  <c r="L771" i="143" s="1"/>
  <c r="I770" i="143"/>
  <c r="L770" i="143" s="1"/>
  <c r="I769" i="143"/>
  <c r="I768" i="143"/>
  <c r="I767" i="143"/>
  <c r="I766" i="143"/>
  <c r="G766" i="143"/>
  <c r="I765" i="143"/>
  <c r="G765" i="143"/>
  <c r="I764" i="143"/>
  <c r="G764" i="143"/>
  <c r="I763" i="143"/>
  <c r="G763" i="143"/>
  <c r="I762" i="143"/>
  <c r="G762" i="143"/>
  <c r="I502" i="143"/>
  <c r="L502" i="143" s="1"/>
  <c r="K485" i="143"/>
  <c r="I485" i="143"/>
  <c r="E489" i="143" s="1"/>
  <c r="D485" i="143"/>
  <c r="B485" i="143"/>
  <c r="L522" i="143"/>
  <c r="K522" i="143"/>
  <c r="L521" i="143"/>
  <c r="K521" i="143"/>
  <c r="L520" i="143"/>
  <c r="K520" i="143"/>
  <c r="L514" i="143"/>
  <c r="I513" i="143"/>
  <c r="K513" i="143" s="1"/>
  <c r="I512" i="143"/>
  <c r="L512" i="143" s="1"/>
  <c r="I511" i="143"/>
  <c r="G511" i="143"/>
  <c r="I505" i="143"/>
  <c r="L505" i="143" s="1"/>
  <c r="I504" i="143"/>
  <c r="L504" i="143" s="1"/>
  <c r="I503" i="143"/>
  <c r="L503" i="143" s="1"/>
  <c r="I496" i="143"/>
  <c r="L496" i="143" s="1"/>
  <c r="I495" i="143"/>
  <c r="L495" i="143" s="1"/>
  <c r="I494" i="143"/>
  <c r="L494" i="143" s="1"/>
  <c r="I493" i="143"/>
  <c r="L493" i="143" s="1"/>
  <c r="I492" i="143"/>
  <c r="L492" i="143" s="1"/>
  <c r="I491" i="143"/>
  <c r="G491" i="143"/>
  <c r="I490" i="143"/>
  <c r="G490" i="143"/>
  <c r="I489" i="143"/>
  <c r="G489" i="143"/>
  <c r="E44" i="145" l="1"/>
  <c r="F44" i="145" s="1"/>
  <c r="E44" i="149"/>
  <c r="F44" i="149" s="1"/>
  <c r="L84" i="145"/>
  <c r="M84" i="145" s="1"/>
  <c r="L84" i="149"/>
  <c r="M84" i="149" s="1"/>
  <c r="E1436" i="143"/>
  <c r="E1442" i="143"/>
  <c r="E1378" i="143"/>
  <c r="E93" i="149" s="1"/>
  <c r="F93" i="149" s="1"/>
  <c r="E1383" i="143"/>
  <c r="E223" i="149" s="1"/>
  <c r="F223" i="149" s="1"/>
  <c r="E1381" i="143"/>
  <c r="E274" i="149" s="1"/>
  <c r="F274" i="149" s="1"/>
  <c r="E1379" i="143"/>
  <c r="E1380" i="143"/>
  <c r="E169" i="149" s="1"/>
  <c r="F169" i="149" s="1"/>
  <c r="E874" i="143"/>
  <c r="E878" i="143"/>
  <c r="E881" i="143"/>
  <c r="E877" i="143"/>
  <c r="E875" i="143"/>
  <c r="E880" i="143"/>
  <c r="L880" i="143" s="1"/>
  <c r="E876" i="143"/>
  <c r="E879" i="143"/>
  <c r="E767" i="143"/>
  <c r="E763" i="143"/>
  <c r="E762" i="143"/>
  <c r="E769" i="143"/>
  <c r="F769" i="143" s="1"/>
  <c r="K769" i="143" s="1"/>
  <c r="E765" i="143"/>
  <c r="E768" i="143"/>
  <c r="E764" i="143"/>
  <c r="E766" i="143"/>
  <c r="E825" i="143"/>
  <c r="E820" i="143"/>
  <c r="E818" i="143"/>
  <c r="E824" i="143"/>
  <c r="L824" i="143" s="1"/>
  <c r="L83" i="145"/>
  <c r="M83" i="145" s="1"/>
  <c r="K911" i="143"/>
  <c r="L855" i="143"/>
  <c r="L2052" i="143"/>
  <c r="K2070" i="143"/>
  <c r="K2061" i="143"/>
  <c r="L2070" i="143"/>
  <c r="K2052" i="143"/>
  <c r="K1840" i="143"/>
  <c r="L1844" i="143"/>
  <c r="L1849" i="143" s="1"/>
  <c r="F1844" i="143"/>
  <c r="K1844" i="143" s="1"/>
  <c r="K1849" i="143" s="1"/>
  <c r="L1824" i="143"/>
  <c r="L1831" i="143" s="1"/>
  <c r="F1824" i="143"/>
  <c r="K1824" i="143" s="1"/>
  <c r="K1831" i="143" s="1"/>
  <c r="K799" i="143"/>
  <c r="L911" i="143"/>
  <c r="E1441" i="143"/>
  <c r="L1451" i="143"/>
  <c r="E1443" i="143"/>
  <c r="L1471" i="143"/>
  <c r="L1452" i="143"/>
  <c r="L1393" i="143"/>
  <c r="L1398" i="143" s="1"/>
  <c r="K1450" i="143"/>
  <c r="K1449" i="143"/>
  <c r="K1403" i="143"/>
  <c r="K1415" i="143"/>
  <c r="L524" i="143"/>
  <c r="L799" i="143"/>
  <c r="L1415" i="143"/>
  <c r="K855" i="143"/>
  <c r="K1471" i="143"/>
  <c r="L1404" i="143"/>
  <c r="K1394" i="143"/>
  <c r="K882" i="143"/>
  <c r="K1396" i="143"/>
  <c r="E1402" i="143"/>
  <c r="L95" i="149" s="1"/>
  <c r="M95" i="149" s="1"/>
  <c r="K1395" i="143"/>
  <c r="E823" i="143"/>
  <c r="E1440" i="143"/>
  <c r="E1434" i="143"/>
  <c r="E1438" i="143"/>
  <c r="L890" i="143"/>
  <c r="E1458" i="143"/>
  <c r="L101" i="149" s="1"/>
  <c r="M101" i="149" s="1"/>
  <c r="K889" i="143"/>
  <c r="E1435" i="143"/>
  <c r="E1437" i="143"/>
  <c r="E1439" i="143"/>
  <c r="K883" i="143"/>
  <c r="L891" i="143"/>
  <c r="L900" i="143"/>
  <c r="K899" i="143"/>
  <c r="K892" i="143"/>
  <c r="E898" i="143"/>
  <c r="E819" i="143"/>
  <c r="K826" i="143"/>
  <c r="K833" i="143"/>
  <c r="K835" i="143"/>
  <c r="L844" i="143"/>
  <c r="L827" i="143"/>
  <c r="L834" i="143"/>
  <c r="L838" i="143" s="1"/>
  <c r="K843" i="143"/>
  <c r="E821" i="143"/>
  <c r="K836" i="143"/>
  <c r="E842" i="143"/>
  <c r="E822" i="143"/>
  <c r="L777" i="143"/>
  <c r="L782" i="143" s="1"/>
  <c r="K778" i="143"/>
  <c r="K788" i="143"/>
  <c r="K787" i="143"/>
  <c r="K771" i="143"/>
  <c r="K780" i="143"/>
  <c r="E786" i="143"/>
  <c r="K770" i="143"/>
  <c r="K779" i="143"/>
  <c r="E490" i="143"/>
  <c r="E70" i="149" s="1"/>
  <c r="F70" i="149" s="1"/>
  <c r="E491" i="143"/>
  <c r="K502" i="143"/>
  <c r="K524" i="143"/>
  <c r="K493" i="143"/>
  <c r="L507" i="143"/>
  <c r="K495" i="143"/>
  <c r="K504" i="143"/>
  <c r="L513" i="143"/>
  <c r="K494" i="143"/>
  <c r="K503" i="143"/>
  <c r="K512" i="143"/>
  <c r="K492" i="143"/>
  <c r="K496" i="143"/>
  <c r="K505" i="143"/>
  <c r="E511" i="143"/>
  <c r="L121" i="145" l="1"/>
  <c r="L121" i="149"/>
  <c r="M121" i="149" s="1"/>
  <c r="F1443" i="143"/>
  <c r="K1443" i="143" s="1"/>
  <c r="E252" i="149"/>
  <c r="F252" i="149" s="1"/>
  <c r="F768" i="143"/>
  <c r="K768" i="143" s="1"/>
  <c r="E79" i="149"/>
  <c r="F79" i="149" s="1"/>
  <c r="F1438" i="143"/>
  <c r="K1438" i="143" s="1"/>
  <c r="E67" i="149"/>
  <c r="F67" i="149" s="1"/>
  <c r="L1441" i="143"/>
  <c r="E228" i="149"/>
  <c r="F228" i="149" s="1"/>
  <c r="E7" i="149"/>
  <c r="F7" i="149" s="1"/>
  <c r="L1442" i="143"/>
  <c r="E230" i="149"/>
  <c r="F230" i="149" s="1"/>
  <c r="L1435" i="143"/>
  <c r="E41" i="149"/>
  <c r="F41" i="149" s="1"/>
  <c r="F491" i="143"/>
  <c r="K491" i="143" s="1"/>
  <c r="E32" i="149"/>
  <c r="F32" i="149" s="1"/>
  <c r="L8" i="149"/>
  <c r="M8" i="149" s="1"/>
  <c r="F1434" i="143"/>
  <c r="K1434" i="143" s="1"/>
  <c r="E8" i="149"/>
  <c r="F8" i="149" s="1"/>
  <c r="L1439" i="143"/>
  <c r="E83" i="149"/>
  <c r="F83" i="149" s="1"/>
  <c r="F1440" i="143"/>
  <c r="K1440" i="143" s="1"/>
  <c r="E133" i="149"/>
  <c r="F133" i="149" s="1"/>
  <c r="E10" i="149"/>
  <c r="F10" i="149" s="1"/>
  <c r="F1436" i="143"/>
  <c r="K1436" i="143" s="1"/>
  <c r="E45" i="149"/>
  <c r="F45" i="149" s="1"/>
  <c r="L1437" i="143"/>
  <c r="E54" i="149"/>
  <c r="F54" i="149" s="1"/>
  <c r="F767" i="143"/>
  <c r="K767" i="143" s="1"/>
  <c r="E21" i="149"/>
  <c r="F21" i="149" s="1"/>
  <c r="F766" i="143"/>
  <c r="K766" i="143" s="1"/>
  <c r="E167" i="149"/>
  <c r="F167" i="149" s="1"/>
  <c r="F880" i="143"/>
  <c r="K880" i="143" s="1"/>
  <c r="L134" i="145"/>
  <c r="L95" i="145"/>
  <c r="M95" i="145" s="1"/>
  <c r="F824" i="143"/>
  <c r="K824" i="143" s="1"/>
  <c r="L1458" i="143"/>
  <c r="L1463" i="143" s="1"/>
  <c r="L101" i="145"/>
  <c r="L8" i="145"/>
  <c r="M121" i="145"/>
  <c r="K2081" i="143"/>
  <c r="K2083" i="143" s="1"/>
  <c r="K2085" i="143" s="1"/>
  <c r="L2081" i="143"/>
  <c r="L2083" i="143" s="1"/>
  <c r="L2085" i="143" s="1"/>
  <c r="L2086" i="143" s="1"/>
  <c r="L1436" i="143"/>
  <c r="K1860" i="143"/>
  <c r="K1862" i="143" s="1"/>
  <c r="K1864" i="143" s="1"/>
  <c r="L1454" i="143"/>
  <c r="L1860" i="143"/>
  <c r="L1862" i="143" s="1"/>
  <c r="L1864" i="143" s="1"/>
  <c r="L1865" i="143" s="1"/>
  <c r="L1438" i="143"/>
  <c r="L1443" i="143"/>
  <c r="L1440" i="143"/>
  <c r="L1434" i="143"/>
  <c r="L894" i="143"/>
  <c r="K1398" i="143"/>
  <c r="L1382" i="143"/>
  <c r="F1382" i="143"/>
  <c r="K1382" i="143" s="1"/>
  <c r="L1381" i="143"/>
  <c r="F1381" i="143"/>
  <c r="K1381" i="143" s="1"/>
  <c r="L1380" i="143"/>
  <c r="F1380" i="143"/>
  <c r="K1380" i="143" s="1"/>
  <c r="L1387" i="143"/>
  <c r="K1387" i="143"/>
  <c r="L1379" i="143"/>
  <c r="F1379" i="143"/>
  <c r="K1379" i="143" s="1"/>
  <c r="L1386" i="143"/>
  <c r="K1386" i="143"/>
  <c r="L1378" i="143"/>
  <c r="F1378" i="143"/>
  <c r="K1378" i="143" s="1"/>
  <c r="L1402" i="143"/>
  <c r="L1407" i="143" s="1"/>
  <c r="F1402" i="143"/>
  <c r="K1402" i="143" s="1"/>
  <c r="K1407" i="143" s="1"/>
  <c r="L1385" i="143"/>
  <c r="K1385" i="143"/>
  <c r="L1384" i="143"/>
  <c r="K1384" i="143"/>
  <c r="L1383" i="143"/>
  <c r="F1383" i="143"/>
  <c r="K1383" i="143" s="1"/>
  <c r="K1454" i="143"/>
  <c r="F1441" i="143"/>
  <c r="K1441" i="143" s="1"/>
  <c r="F1442" i="143"/>
  <c r="K1442" i="143" s="1"/>
  <c r="F1437" i="143"/>
  <c r="K1437" i="143" s="1"/>
  <c r="F1458" i="143"/>
  <c r="F1435" i="143"/>
  <c r="K1435" i="143" s="1"/>
  <c r="K894" i="143"/>
  <c r="F1439" i="143"/>
  <c r="K1439" i="143" s="1"/>
  <c r="L898" i="143"/>
  <c r="L903" i="143" s="1"/>
  <c r="F898" i="143"/>
  <c r="K898" i="143" s="1"/>
  <c r="K903" i="143" s="1"/>
  <c r="L877" i="143"/>
  <c r="F877" i="143"/>
  <c r="K877" i="143" s="1"/>
  <c r="L876" i="143"/>
  <c r="F876" i="143"/>
  <c r="K876" i="143" s="1"/>
  <c r="L881" i="143"/>
  <c r="F881" i="143"/>
  <c r="K881" i="143" s="1"/>
  <c r="F874" i="143"/>
  <c r="K874" i="143" s="1"/>
  <c r="L874" i="143"/>
  <c r="L879" i="143"/>
  <c r="F879" i="143"/>
  <c r="K879" i="143" s="1"/>
  <c r="L878" i="143"/>
  <c r="F878" i="143"/>
  <c r="K878" i="143" s="1"/>
  <c r="L875" i="143"/>
  <c r="F875" i="143"/>
  <c r="K875" i="143" s="1"/>
  <c r="K838" i="143"/>
  <c r="L842" i="143"/>
  <c r="L847" i="143" s="1"/>
  <c r="F842" i="143"/>
  <c r="K842" i="143" s="1"/>
  <c r="K847" i="143" s="1"/>
  <c r="L821" i="143"/>
  <c r="F821" i="143"/>
  <c r="K821" i="143" s="1"/>
  <c r="L820" i="143"/>
  <c r="F820" i="143"/>
  <c r="K820" i="143" s="1"/>
  <c r="L825" i="143"/>
  <c r="F825" i="143"/>
  <c r="K825" i="143" s="1"/>
  <c r="L818" i="143"/>
  <c r="F818" i="143"/>
  <c r="K818" i="143" s="1"/>
  <c r="L823" i="143"/>
  <c r="F823" i="143"/>
  <c r="K823" i="143" s="1"/>
  <c r="L822" i="143"/>
  <c r="F822" i="143"/>
  <c r="K822" i="143" s="1"/>
  <c r="L819" i="143"/>
  <c r="F819" i="143"/>
  <c r="K819" i="143" s="1"/>
  <c r="L769" i="143"/>
  <c r="L768" i="143"/>
  <c r="L767" i="143"/>
  <c r="K782" i="143"/>
  <c r="L766" i="143"/>
  <c r="L764" i="143"/>
  <c r="F764" i="143"/>
  <c r="K764" i="143" s="1"/>
  <c r="L762" i="143"/>
  <c r="F762" i="143"/>
  <c r="K762" i="143" s="1"/>
  <c r="L491" i="143"/>
  <c r="L786" i="143"/>
  <c r="L791" i="143" s="1"/>
  <c r="F786" i="143"/>
  <c r="K786" i="143" s="1"/>
  <c r="K791" i="143" s="1"/>
  <c r="L765" i="143"/>
  <c r="F765" i="143"/>
  <c r="K765" i="143" s="1"/>
  <c r="L763" i="143"/>
  <c r="F763" i="143"/>
  <c r="K763" i="143" s="1"/>
  <c r="K507" i="143"/>
  <c r="L511" i="143"/>
  <c r="L516" i="143" s="1"/>
  <c r="F511" i="143"/>
  <c r="K511" i="143" s="1"/>
  <c r="K516" i="143" s="1"/>
  <c r="L490" i="143"/>
  <c r="F490" i="143"/>
  <c r="K490" i="143" s="1"/>
  <c r="L489" i="143"/>
  <c r="F489" i="143"/>
  <c r="K489" i="143" s="1"/>
  <c r="H66" i="1" l="1"/>
  <c r="H60" i="1"/>
  <c r="I66" i="1"/>
  <c r="L66" i="1"/>
  <c r="K66" i="1"/>
  <c r="P66" i="1"/>
  <c r="Q28" i="140" s="1"/>
  <c r="I29" i="140" s="1"/>
  <c r="I28" i="140" s="1"/>
  <c r="M2086" i="143"/>
  <c r="M1865" i="143"/>
  <c r="K1458" i="143"/>
  <c r="K1463" i="143" s="1"/>
  <c r="K1445" i="143"/>
  <c r="L1389" i="143"/>
  <c r="L1418" i="143" s="1"/>
  <c r="K1389" i="143"/>
  <c r="K1418" i="143" s="1"/>
  <c r="K1420" i="143" s="1"/>
  <c r="L1445" i="143"/>
  <c r="L1474" i="143" s="1"/>
  <c r="L885" i="143"/>
  <c r="L914" i="143" s="1"/>
  <c r="K885" i="143"/>
  <c r="K914" i="143" s="1"/>
  <c r="K829" i="143"/>
  <c r="K858" i="143" s="1"/>
  <c r="L829" i="143"/>
  <c r="L858" i="143" s="1"/>
  <c r="K773" i="143"/>
  <c r="K802" i="143" s="1"/>
  <c r="K804" i="143" s="1"/>
  <c r="K806" i="143" s="1"/>
  <c r="L773" i="143"/>
  <c r="L802" i="143" s="1"/>
  <c r="K498" i="143"/>
  <c r="K527" i="143" s="1"/>
  <c r="K529" i="143" s="1"/>
  <c r="K531" i="143" s="1"/>
  <c r="L498" i="143"/>
  <c r="L527" i="143" s="1"/>
  <c r="H33" i="1" l="1"/>
  <c r="I60" i="1"/>
  <c r="L60" i="1"/>
  <c r="K60" i="1"/>
  <c r="H24" i="1"/>
  <c r="L33" i="1"/>
  <c r="K33" i="1"/>
  <c r="O33" i="1" s="1"/>
  <c r="J33" i="1"/>
  <c r="N66" i="1"/>
  <c r="M66" i="1"/>
  <c r="O66" i="1" s="1"/>
  <c r="J66" i="1"/>
  <c r="L24" i="1"/>
  <c r="J24" i="1"/>
  <c r="K24" i="1"/>
  <c r="O24" i="1" s="1"/>
  <c r="K1474" i="143"/>
  <c r="K1476" i="143" s="1"/>
  <c r="K1478" i="143" s="1"/>
  <c r="K1422" i="143"/>
  <c r="L1420" i="143"/>
  <c r="L1422" i="143" s="1"/>
  <c r="L1423" i="143" s="1"/>
  <c r="L1476" i="143"/>
  <c r="L1478" i="143" s="1"/>
  <c r="L1479" i="143" s="1"/>
  <c r="K916" i="143"/>
  <c r="K918" i="143" s="1"/>
  <c r="L916" i="143"/>
  <c r="L918" i="143" s="1"/>
  <c r="L919" i="143" s="1"/>
  <c r="L860" i="143"/>
  <c r="L862" i="143" s="1"/>
  <c r="L863" i="143" s="1"/>
  <c r="K860" i="143"/>
  <c r="K862" i="143" s="1"/>
  <c r="L804" i="143"/>
  <c r="L806" i="143" s="1"/>
  <c r="L807" i="143" s="1"/>
  <c r="M807" i="143" s="1"/>
  <c r="L529" i="143"/>
  <c r="L531" i="143" s="1"/>
  <c r="L532" i="143" s="1"/>
  <c r="M532" i="143" s="1"/>
  <c r="N60" i="1" l="1"/>
  <c r="H51" i="1"/>
  <c r="H52" i="1"/>
  <c r="H35" i="1"/>
  <c r="J35" i="1" s="1"/>
  <c r="H36" i="1"/>
  <c r="J36" i="1" s="1"/>
  <c r="M60" i="1"/>
  <c r="O60" i="1" s="1"/>
  <c r="J60" i="1"/>
  <c r="L36" i="1"/>
  <c r="N33" i="1"/>
  <c r="N24" i="1"/>
  <c r="M1479" i="143"/>
  <c r="M1423" i="143"/>
  <c r="M919" i="143"/>
  <c r="M863" i="143"/>
  <c r="K36" i="1" l="1"/>
  <c r="K35" i="1"/>
  <c r="O35" i="1" s="1"/>
  <c r="L35" i="1"/>
  <c r="I52" i="1"/>
  <c r="L52" i="1"/>
  <c r="K52" i="1"/>
  <c r="I51" i="1"/>
  <c r="L51" i="1"/>
  <c r="K51" i="1"/>
  <c r="N36" i="1"/>
  <c r="O36" i="1"/>
  <c r="I434" i="143"/>
  <c r="G434" i="143"/>
  <c r="L468" i="143"/>
  <c r="K468" i="143"/>
  <c r="L467" i="143"/>
  <c r="K467" i="143"/>
  <c r="L466" i="143"/>
  <c r="K466" i="143"/>
  <c r="L460" i="143"/>
  <c r="I459" i="143"/>
  <c r="K459" i="143" s="1"/>
  <c r="I458" i="143"/>
  <c r="L458" i="143" s="1"/>
  <c r="I457" i="143"/>
  <c r="G457" i="143"/>
  <c r="I451" i="143"/>
  <c r="L451" i="143" s="1"/>
  <c r="I450" i="143"/>
  <c r="L450" i="143" s="1"/>
  <c r="I449" i="143"/>
  <c r="L449" i="143" s="1"/>
  <c r="L448" i="143"/>
  <c r="I442" i="143"/>
  <c r="L442" i="143" s="1"/>
  <c r="I441" i="143"/>
  <c r="L441" i="143" s="1"/>
  <c r="I440" i="143"/>
  <c r="K440" i="143" s="1"/>
  <c r="I439" i="143"/>
  <c r="L439" i="143" s="1"/>
  <c r="I438" i="143"/>
  <c r="L438" i="143" s="1"/>
  <c r="I437" i="143"/>
  <c r="G437" i="143"/>
  <c r="I436" i="143"/>
  <c r="G436" i="143"/>
  <c r="I435" i="143"/>
  <c r="G435" i="143"/>
  <c r="I433" i="143"/>
  <c r="G433" i="143"/>
  <c r="I235" i="143"/>
  <c r="I236" i="143"/>
  <c r="I287" i="143"/>
  <c r="K287" i="143" s="1"/>
  <c r="N35" i="1" l="1"/>
  <c r="N51" i="1"/>
  <c r="M51" i="1"/>
  <c r="O51" i="1" s="1"/>
  <c r="J51" i="1"/>
  <c r="N52" i="1"/>
  <c r="J52" i="1"/>
  <c r="M52" i="1"/>
  <c r="O52" i="1" s="1"/>
  <c r="L470" i="143"/>
  <c r="K470" i="143"/>
  <c r="F434" i="143"/>
  <c r="K434" i="143" s="1"/>
  <c r="L437" i="143"/>
  <c r="L433" i="143"/>
  <c r="L440" i="143"/>
  <c r="L436" i="143"/>
  <c r="E457" i="143"/>
  <c r="L7" i="149" s="1"/>
  <c r="M7" i="149" s="1"/>
  <c r="K439" i="143"/>
  <c r="L459" i="143"/>
  <c r="K449" i="143"/>
  <c r="K458" i="143"/>
  <c r="L453" i="143"/>
  <c r="K442" i="143"/>
  <c r="K451" i="143"/>
  <c r="K438" i="143"/>
  <c r="K441" i="143"/>
  <c r="K450" i="143"/>
  <c r="L457" i="143" l="1"/>
  <c r="L462" i="143" s="1"/>
  <c r="L7" i="145"/>
  <c r="F437" i="143"/>
  <c r="K437" i="143" s="1"/>
  <c r="L434" i="143"/>
  <c r="F433" i="143"/>
  <c r="K433" i="143" s="1"/>
  <c r="F457" i="143"/>
  <c r="K457" i="143" s="1"/>
  <c r="K462" i="143" s="1"/>
  <c r="K453" i="143"/>
  <c r="F436" i="143"/>
  <c r="K436" i="143" s="1"/>
  <c r="L435" i="143"/>
  <c r="F435" i="143"/>
  <c r="K435" i="143" s="1"/>
  <c r="L444" i="143" l="1"/>
  <c r="L473" i="143" s="1"/>
  <c r="L475" i="143" s="1"/>
  <c r="L477" i="143" s="1"/>
  <c r="L478" i="143" s="1"/>
  <c r="K444" i="143"/>
  <c r="K473" i="143" s="1"/>
  <c r="K475" i="143" s="1"/>
  <c r="K477" i="143" s="1"/>
  <c r="H23" i="1" l="1"/>
  <c r="L23" i="1" s="1"/>
  <c r="M478" i="143"/>
  <c r="J23" i="1" l="1"/>
  <c r="K23" i="1"/>
  <c r="O23" i="1" s="1"/>
  <c r="N23" i="1"/>
  <c r="K378" i="143"/>
  <c r="I378" i="143"/>
  <c r="E392" i="143" s="1"/>
  <c r="F392" i="143" s="1"/>
  <c r="K392" i="143" s="1"/>
  <c r="D378" i="143"/>
  <c r="B378" i="143"/>
  <c r="L412" i="143"/>
  <c r="K412" i="143"/>
  <c r="L411" i="143"/>
  <c r="K411" i="143"/>
  <c r="L410" i="143"/>
  <c r="K410" i="143"/>
  <c r="L404" i="143"/>
  <c r="I403" i="143"/>
  <c r="K403" i="143" s="1"/>
  <c r="I402" i="143"/>
  <c r="I401" i="143"/>
  <c r="G401" i="143"/>
  <c r="I395" i="143"/>
  <c r="L395" i="143" s="1"/>
  <c r="I394" i="143"/>
  <c r="L394" i="143" s="1"/>
  <c r="I393" i="143"/>
  <c r="K393" i="143" s="1"/>
  <c r="I386" i="143"/>
  <c r="L386" i="143" s="1"/>
  <c r="I385" i="143"/>
  <c r="K385" i="143" s="1"/>
  <c r="I384" i="143"/>
  <c r="I383" i="143"/>
  <c r="I382" i="143"/>
  <c r="G330" i="143"/>
  <c r="G329" i="143"/>
  <c r="G328" i="143"/>
  <c r="K324" i="143"/>
  <c r="I324" i="143"/>
  <c r="E350" i="143" s="1"/>
  <c r="D324" i="143"/>
  <c r="B324" i="143"/>
  <c r="L361" i="143"/>
  <c r="K361" i="143"/>
  <c r="L360" i="143"/>
  <c r="K360" i="143"/>
  <c r="L359" i="143"/>
  <c r="K359" i="143"/>
  <c r="L353" i="143"/>
  <c r="I352" i="143"/>
  <c r="K352" i="143" s="1"/>
  <c r="I351" i="143"/>
  <c r="L351" i="143" s="1"/>
  <c r="I350" i="143"/>
  <c r="G350" i="143"/>
  <c r="I344" i="143"/>
  <c r="L344" i="143" s="1"/>
  <c r="I343" i="143"/>
  <c r="K343" i="143" s="1"/>
  <c r="I342" i="143"/>
  <c r="L342" i="143" s="1"/>
  <c r="L341" i="143"/>
  <c r="I335" i="143"/>
  <c r="L335" i="143" s="1"/>
  <c r="I334" i="143"/>
  <c r="L334" i="143" s="1"/>
  <c r="I333" i="143"/>
  <c r="L333" i="143" s="1"/>
  <c r="I332" i="143"/>
  <c r="L332" i="143" s="1"/>
  <c r="I331" i="143"/>
  <c r="K331" i="143" s="1"/>
  <c r="I330" i="143"/>
  <c r="I329" i="143"/>
  <c r="I328" i="143"/>
  <c r="L392" i="143" l="1"/>
  <c r="L55" i="145"/>
  <c r="L55" i="149"/>
  <c r="M55" i="149" s="1"/>
  <c r="E401" i="143"/>
  <c r="E402" i="143"/>
  <c r="E328" i="143"/>
  <c r="E329" i="143"/>
  <c r="E330" i="143"/>
  <c r="K363" i="143"/>
  <c r="K383" i="143"/>
  <c r="L382" i="143"/>
  <c r="L384" i="143"/>
  <c r="L414" i="143"/>
  <c r="L363" i="143"/>
  <c r="K414" i="143"/>
  <c r="L393" i="143"/>
  <c r="L397" i="143" s="1"/>
  <c r="L385" i="143"/>
  <c r="L403" i="143"/>
  <c r="E124" i="145"/>
  <c r="F124" i="145" s="1"/>
  <c r="K386" i="143"/>
  <c r="K395" i="143"/>
  <c r="K394" i="143"/>
  <c r="K332" i="143"/>
  <c r="K334" i="143"/>
  <c r="L352" i="143"/>
  <c r="L331" i="143"/>
  <c r="K342" i="143"/>
  <c r="L343" i="143"/>
  <c r="L346" i="143" s="1"/>
  <c r="K351" i="143"/>
  <c r="L350" i="143"/>
  <c r="F350" i="143"/>
  <c r="K350" i="143" s="1"/>
  <c r="K333" i="143"/>
  <c r="K335" i="143"/>
  <c r="K344" i="143"/>
  <c r="F330" i="143" l="1"/>
  <c r="K330" i="143" s="1"/>
  <c r="E124" i="149"/>
  <c r="F124" i="149" s="1"/>
  <c r="F329" i="143"/>
  <c r="K329" i="143" s="1"/>
  <c r="E144" i="149"/>
  <c r="F144" i="149" s="1"/>
  <c r="F328" i="143"/>
  <c r="K328" i="143" s="1"/>
  <c r="E65" i="149"/>
  <c r="F65" i="149" s="1"/>
  <c r="L19" i="145"/>
  <c r="M19" i="145" s="1"/>
  <c r="L19" i="149"/>
  <c r="M19" i="149" s="1"/>
  <c r="L401" i="143"/>
  <c r="L127" i="149"/>
  <c r="M127" i="149" s="1"/>
  <c r="L402" i="143"/>
  <c r="L328" i="143"/>
  <c r="F401" i="143"/>
  <c r="K401" i="143" s="1"/>
  <c r="L127" i="145"/>
  <c r="M127" i="145" s="1"/>
  <c r="F402" i="143"/>
  <c r="K402" i="143" s="1"/>
  <c r="L383" i="143"/>
  <c r="L388" i="143" s="1"/>
  <c r="K346" i="143"/>
  <c r="K382" i="143"/>
  <c r="K384" i="143"/>
  <c r="L330" i="143"/>
  <c r="L329" i="143"/>
  <c r="K397" i="143"/>
  <c r="K355" i="143"/>
  <c r="L355" i="143"/>
  <c r="L406" i="143" l="1"/>
  <c r="K337" i="143"/>
  <c r="K406" i="143"/>
  <c r="L337" i="143"/>
  <c r="L366" i="143" s="1"/>
  <c r="L368" i="143" s="1"/>
  <c r="L370" i="143" s="1"/>
  <c r="L371" i="143" s="1"/>
  <c r="K388" i="143"/>
  <c r="L417" i="143"/>
  <c r="L419" i="143" s="1"/>
  <c r="L421" i="143" s="1"/>
  <c r="L422" i="143" s="1"/>
  <c r="K366" i="143"/>
  <c r="K368" i="143" s="1"/>
  <c r="K370" i="143" s="1"/>
  <c r="H21" i="1" l="1"/>
  <c r="K21" i="1" s="1"/>
  <c r="O21" i="1" s="1"/>
  <c r="J21" i="1"/>
  <c r="K417" i="143"/>
  <c r="M371" i="143"/>
  <c r="L21" i="1" l="1"/>
  <c r="N21" i="1"/>
  <c r="K419" i="143"/>
  <c r="K421" i="143" s="1"/>
  <c r="K220" i="143"/>
  <c r="I220" i="143"/>
  <c r="E235" i="143" s="1"/>
  <c r="D220" i="143"/>
  <c r="B220" i="143"/>
  <c r="L255" i="143"/>
  <c r="K255" i="143"/>
  <c r="L254" i="143"/>
  <c r="K254" i="143"/>
  <c r="L253" i="143"/>
  <c r="K253" i="143"/>
  <c r="L247" i="143"/>
  <c r="I246" i="143"/>
  <c r="K246" i="143" s="1"/>
  <c r="I245" i="143"/>
  <c r="L245" i="143" s="1"/>
  <c r="I244" i="143"/>
  <c r="G244" i="143"/>
  <c r="I238" i="143"/>
  <c r="L238" i="143" s="1"/>
  <c r="I237" i="143"/>
  <c r="K237" i="143" s="1"/>
  <c r="L236" i="143"/>
  <c r="I229" i="143"/>
  <c r="L229" i="143" s="1"/>
  <c r="I228" i="143"/>
  <c r="K228" i="143" s="1"/>
  <c r="I227" i="143"/>
  <c r="L227" i="143" s="1"/>
  <c r="I226" i="143"/>
  <c r="K226" i="143" s="1"/>
  <c r="I225" i="143"/>
  <c r="L225" i="143" s="1"/>
  <c r="I224" i="143"/>
  <c r="K224" i="143" s="1"/>
  <c r="M422" i="143" l="1"/>
  <c r="P53" i="1"/>
  <c r="Q22" i="140" s="1"/>
  <c r="G23" i="140" s="1"/>
  <c r="G22" i="140" s="1"/>
  <c r="P49" i="1"/>
  <c r="Q20" i="140" s="1"/>
  <c r="F21" i="140" s="1"/>
  <c r="F20" i="140" s="1"/>
  <c r="F235" i="143"/>
  <c r="K235" i="143" s="1"/>
  <c r="S4" i="149"/>
  <c r="T4" i="149" s="1"/>
  <c r="P31" i="1"/>
  <c r="Q18" i="140" s="1"/>
  <c r="F19" i="140" s="1"/>
  <c r="F18" i="140" s="1"/>
  <c r="H22" i="1"/>
  <c r="E244" i="143"/>
  <c r="L235" i="143"/>
  <c r="K257" i="143"/>
  <c r="L257" i="143"/>
  <c r="K236" i="143"/>
  <c r="L228" i="143"/>
  <c r="K227" i="143"/>
  <c r="L237" i="143"/>
  <c r="L246" i="143"/>
  <c r="L224" i="143"/>
  <c r="K245" i="143"/>
  <c r="K225" i="143"/>
  <c r="L226" i="143"/>
  <c r="K229" i="143"/>
  <c r="K238" i="143"/>
  <c r="K22" i="1" l="1"/>
  <c r="O22" i="1" s="1"/>
  <c r="L22" i="1"/>
  <c r="J22" i="1"/>
  <c r="L37" i="145"/>
  <c r="L37" i="149"/>
  <c r="M37" i="149" s="1"/>
  <c r="F244" i="143"/>
  <c r="K244" i="143" s="1"/>
  <c r="K249" i="143" s="1"/>
  <c r="L244" i="143"/>
  <c r="L249" i="143" s="1"/>
  <c r="L240" i="143"/>
  <c r="K240" i="143"/>
  <c r="K231" i="143"/>
  <c r="L231" i="143"/>
  <c r="N22" i="1" l="1"/>
  <c r="P26" i="1"/>
  <c r="Q16" i="140" s="1"/>
  <c r="E17" i="140" s="1"/>
  <c r="E16" i="140" s="1"/>
  <c r="K260" i="143"/>
  <c r="K262" i="143" s="1"/>
  <c r="K264" i="143" s="1"/>
  <c r="L260" i="143"/>
  <c r="L262" i="143" s="1"/>
  <c r="L264" i="143" s="1"/>
  <c r="L265" i="143" s="1"/>
  <c r="H16" i="1" l="1"/>
  <c r="L16" i="1"/>
  <c r="K16" i="1"/>
  <c r="O16" i="1" s="1"/>
  <c r="J16" i="1"/>
  <c r="M265" i="143"/>
  <c r="K169" i="143"/>
  <c r="I169" i="143"/>
  <c r="D169" i="143"/>
  <c r="B169" i="143"/>
  <c r="L203" i="143"/>
  <c r="K203" i="143"/>
  <c r="L202" i="143"/>
  <c r="K202" i="143"/>
  <c r="L201" i="143"/>
  <c r="K201" i="143"/>
  <c r="L195" i="143"/>
  <c r="I194" i="143"/>
  <c r="K194" i="143" s="1"/>
  <c r="I193" i="143"/>
  <c r="L193" i="143" s="1"/>
  <c r="I192" i="143"/>
  <c r="G192" i="143"/>
  <c r="I186" i="143"/>
  <c r="L186" i="143" s="1"/>
  <c r="I185" i="143"/>
  <c r="L185" i="143" s="1"/>
  <c r="I184" i="143"/>
  <c r="L184" i="143" s="1"/>
  <c r="I177" i="143"/>
  <c r="K177" i="143" s="1"/>
  <c r="I176" i="143"/>
  <c r="L176" i="143" s="1"/>
  <c r="I175" i="143"/>
  <c r="K175" i="143" s="1"/>
  <c r="I174" i="143"/>
  <c r="L174" i="143" s="1"/>
  <c r="I173" i="143"/>
  <c r="K173" i="143" s="1"/>
  <c r="G141" i="143"/>
  <c r="D5" i="143"/>
  <c r="D4" i="143"/>
  <c r="N16" i="1" l="1"/>
  <c r="E192" i="143"/>
  <c r="E183" i="143"/>
  <c r="S2" i="149" s="1"/>
  <c r="T2" i="149" s="1"/>
  <c r="K205" i="143"/>
  <c r="L205" i="143"/>
  <c r="K176" i="143"/>
  <c r="K193" i="143"/>
  <c r="L194" i="143"/>
  <c r="K185" i="143"/>
  <c r="L177" i="143"/>
  <c r="K184" i="143"/>
  <c r="L173" i="143"/>
  <c r="K174" i="143"/>
  <c r="L175" i="143"/>
  <c r="K186" i="143"/>
  <c r="L41" i="145" l="1"/>
  <c r="L41" i="149"/>
  <c r="M41" i="149" s="1"/>
  <c r="F192" i="143"/>
  <c r="K192" i="143" s="1"/>
  <c r="K197" i="143" s="1"/>
  <c r="L192" i="143"/>
  <c r="L197" i="143" s="1"/>
  <c r="F183" i="143"/>
  <c r="K183" i="143" s="1"/>
  <c r="K188" i="143" s="1"/>
  <c r="L183" i="143"/>
  <c r="L188" i="143" s="1"/>
  <c r="L179" i="143"/>
  <c r="K179" i="143"/>
  <c r="L208" i="143" l="1"/>
  <c r="L210" i="143" s="1"/>
  <c r="K208" i="143"/>
  <c r="K210" i="143" s="1"/>
  <c r="K212" i="143" s="1"/>
  <c r="H15" i="1" l="1"/>
  <c r="L15" i="1"/>
  <c r="K15" i="1"/>
  <c r="O15" i="1" s="1"/>
  <c r="J15" i="1"/>
  <c r="L212" i="143"/>
  <c r="L213" i="143" s="1"/>
  <c r="M213" i="143" s="1"/>
  <c r="N15" i="1" l="1"/>
  <c r="E3" i="145"/>
  <c r="E5" i="145"/>
  <c r="E6" i="145"/>
  <c r="E11" i="145"/>
  <c r="E12" i="145"/>
  <c r="E13" i="145"/>
  <c r="E14" i="145"/>
  <c r="E16" i="145"/>
  <c r="E17" i="145"/>
  <c r="E18" i="145"/>
  <c r="E19" i="145"/>
  <c r="E20" i="145"/>
  <c r="E22" i="145"/>
  <c r="E23" i="145"/>
  <c r="E24" i="145"/>
  <c r="E25" i="145"/>
  <c r="E26" i="145"/>
  <c r="E27" i="145"/>
  <c r="E28" i="145"/>
  <c r="E29" i="145"/>
  <c r="E30" i="145"/>
  <c r="E31" i="145"/>
  <c r="E33" i="145"/>
  <c r="E35" i="145"/>
  <c r="E38" i="145"/>
  <c r="E39" i="145"/>
  <c r="E41" i="145"/>
  <c r="E42" i="145"/>
  <c r="E43" i="145"/>
  <c r="E47" i="145"/>
  <c r="E49" i="145"/>
  <c r="E50" i="145"/>
  <c r="E56" i="145"/>
  <c r="E57" i="145"/>
  <c r="E58" i="145"/>
  <c r="E60" i="145"/>
  <c r="E61" i="145"/>
  <c r="E62" i="145"/>
  <c r="E63" i="145"/>
  <c r="E66" i="145"/>
  <c r="E69" i="145"/>
  <c r="E71" i="145"/>
  <c r="E73" i="145"/>
  <c r="E74" i="145"/>
  <c r="E78" i="145"/>
  <c r="E81" i="145"/>
  <c r="E84" i="145"/>
  <c r="E85" i="145"/>
  <c r="E86" i="145"/>
  <c r="E87" i="145"/>
  <c r="E88" i="145"/>
  <c r="E89" i="145"/>
  <c r="E90" i="145"/>
  <c r="E91" i="145"/>
  <c r="E92" i="145"/>
  <c r="E95" i="145"/>
  <c r="E96" i="145"/>
  <c r="E102" i="145"/>
  <c r="E103" i="145"/>
  <c r="E104" i="145"/>
  <c r="E105" i="145"/>
  <c r="E110" i="145"/>
  <c r="E112" i="145"/>
  <c r="E113" i="145"/>
  <c r="E114" i="145"/>
  <c r="E115" i="145"/>
  <c r="E116" i="145"/>
  <c r="E117" i="145"/>
  <c r="E118" i="145"/>
  <c r="E119" i="145"/>
  <c r="E120" i="145"/>
  <c r="E122" i="145"/>
  <c r="E123" i="145"/>
  <c r="E126" i="145"/>
  <c r="E128" i="145"/>
  <c r="E129" i="145"/>
  <c r="E130" i="145"/>
  <c r="E131" i="145"/>
  <c r="E132" i="145"/>
  <c r="E137" i="145"/>
  <c r="E139" i="145"/>
  <c r="E141" i="145"/>
  <c r="E142" i="145"/>
  <c r="E147" i="145"/>
  <c r="E148" i="145"/>
  <c r="E150" i="145"/>
  <c r="E153" i="145"/>
  <c r="E154" i="145"/>
  <c r="E155" i="145"/>
  <c r="E158" i="145"/>
  <c r="E159" i="145"/>
  <c r="E162" i="145"/>
  <c r="E164" i="145"/>
  <c r="E165" i="145"/>
  <c r="E168" i="145"/>
  <c r="E173" i="145"/>
  <c r="E184" i="145"/>
  <c r="E185" i="145"/>
  <c r="E186" i="145"/>
  <c r="E187" i="145"/>
  <c r="E188" i="145"/>
  <c r="E189" i="145"/>
  <c r="E190" i="145"/>
  <c r="E191" i="145"/>
  <c r="E192" i="145"/>
  <c r="E196" i="145"/>
  <c r="E199" i="145"/>
  <c r="E201" i="145"/>
  <c r="E203" i="145"/>
  <c r="E204" i="145"/>
  <c r="E205" i="145"/>
  <c r="E206" i="145"/>
  <c r="E208" i="145"/>
  <c r="E212" i="145"/>
  <c r="E213" i="145"/>
  <c r="E214" i="145"/>
  <c r="E215" i="145"/>
  <c r="E217" i="145"/>
  <c r="E218" i="145"/>
  <c r="E219" i="145"/>
  <c r="E220" i="145"/>
  <c r="E222" i="145"/>
  <c r="E226" i="145"/>
  <c r="E231" i="145"/>
  <c r="E232" i="145"/>
  <c r="E233" i="145"/>
  <c r="E234" i="145"/>
  <c r="E235" i="145"/>
  <c r="E236" i="145"/>
  <c r="E237" i="145"/>
  <c r="E238" i="145"/>
  <c r="E240" i="145"/>
  <c r="E242" i="145"/>
  <c r="E244" i="145"/>
  <c r="E245" i="145"/>
  <c r="E246" i="145"/>
  <c r="E247" i="145"/>
  <c r="E248" i="145"/>
  <c r="E249" i="145"/>
  <c r="E250" i="145"/>
  <c r="E253" i="145"/>
  <c r="E254" i="145"/>
  <c r="E255" i="145"/>
  <c r="E258" i="145"/>
  <c r="E259" i="145"/>
  <c r="E260" i="145"/>
  <c r="E261" i="145"/>
  <c r="E262" i="145"/>
  <c r="E263" i="145"/>
  <c r="E264" i="145"/>
  <c r="E265" i="145"/>
  <c r="E266" i="145"/>
  <c r="E268" i="145"/>
  <c r="E270" i="145"/>
  <c r="E271" i="145"/>
  <c r="E275" i="145"/>
  <c r="E216" i="145"/>
  <c r="E145" i="145"/>
  <c r="M120" i="145" l="1"/>
  <c r="F38" i="145"/>
  <c r="F57" i="145"/>
  <c r="M122" i="145" l="1"/>
  <c r="F216" i="145"/>
  <c r="M7" i="145"/>
  <c r="M61" i="145"/>
  <c r="F233" i="145"/>
  <c r="M125" i="145"/>
  <c r="M114" i="145"/>
  <c r="F271" i="145"/>
  <c r="F242" i="145"/>
  <c r="F213" i="145"/>
  <c r="F6" i="145"/>
  <c r="M82" i="145"/>
  <c r="M136" i="145"/>
  <c r="M126" i="145" l="1"/>
  <c r="M62" i="145"/>
  <c r="F145" i="145"/>
  <c r="F2" i="145"/>
  <c r="F61" i="145"/>
  <c r="F5" i="145"/>
  <c r="F117" i="145"/>
  <c r="F234" i="145"/>
  <c r="F58" i="145"/>
  <c r="E2" i="146" l="1"/>
  <c r="E82" i="145"/>
  <c r="L59" i="145"/>
  <c r="E225" i="145"/>
  <c r="E209" i="145" l="1"/>
  <c r="F209" i="145" s="1"/>
  <c r="F225" i="145"/>
  <c r="E15" i="145"/>
  <c r="E152" i="145"/>
  <c r="E75" i="145"/>
  <c r="E202" i="145"/>
  <c r="E257" i="145"/>
  <c r="E195" i="145"/>
  <c r="E40" i="145" l="1"/>
  <c r="M32" i="145"/>
  <c r="E178" i="145"/>
  <c r="E135" i="145" l="1"/>
  <c r="F135" i="145" l="1"/>
  <c r="M103" i="145"/>
  <c r="M45" i="145" l="1"/>
  <c r="F187" i="145" l="1"/>
  <c r="M107" i="145"/>
  <c r="M21" i="145"/>
  <c r="M106" i="145"/>
  <c r="M90" i="145"/>
  <c r="F235" i="145"/>
  <c r="M10" i="145"/>
  <c r="M55" i="145"/>
  <c r="F168" i="145" l="1"/>
  <c r="M2" i="145"/>
  <c r="M20" i="145"/>
  <c r="M51" i="145"/>
  <c r="M35" i="145"/>
  <c r="M28" i="145"/>
  <c r="M27" i="145"/>
  <c r="M59" i="145"/>
  <c r="M109" i="145"/>
  <c r="M52" i="145"/>
  <c r="M11" i="145"/>
  <c r="M40" i="145"/>
  <c r="M50" i="145"/>
  <c r="M67" i="145"/>
  <c r="F162" i="145" l="1"/>
  <c r="F137" i="145" l="1"/>
  <c r="L26" i="146" l="1"/>
  <c r="K5" i="146" l="1"/>
  <c r="E179" i="145" l="1"/>
  <c r="F150" i="145"/>
  <c r="E98" i="145"/>
  <c r="E51" i="145"/>
  <c r="E109" i="145"/>
  <c r="E167" i="145" l="1"/>
  <c r="E72" i="145"/>
  <c r="E10" i="145"/>
  <c r="E9" i="145"/>
  <c r="E8" i="145"/>
  <c r="M46" i="145"/>
  <c r="E79" i="145"/>
  <c r="M73" i="145"/>
  <c r="E149" i="145"/>
  <c r="M14" i="145"/>
  <c r="M33" i="145"/>
  <c r="F226" i="145"/>
  <c r="E170" i="145"/>
  <c r="F50" i="145"/>
  <c r="E172" i="145"/>
  <c r="E99" i="145"/>
  <c r="E138" i="145"/>
  <c r="E125" i="145"/>
  <c r="M104" i="145"/>
  <c r="E100" i="145"/>
  <c r="L37" i="143"/>
  <c r="L43" i="143"/>
  <c r="L44" i="143"/>
  <c r="L45" i="143"/>
  <c r="L132" i="143"/>
  <c r="L144" i="143"/>
  <c r="L150" i="143"/>
  <c r="L151" i="143"/>
  <c r="L152" i="143"/>
  <c r="L287" i="143"/>
  <c r="L299" i="143"/>
  <c r="L305" i="143"/>
  <c r="L306" i="143"/>
  <c r="L307" i="143"/>
  <c r="L1573" i="143"/>
  <c r="L1579" i="143"/>
  <c r="L1580" i="143"/>
  <c r="L1581" i="143"/>
  <c r="L1903" i="143"/>
  <c r="L1909" i="143"/>
  <c r="L1910" i="143"/>
  <c r="L1911" i="143"/>
  <c r="L2012" i="143"/>
  <c r="L2018" i="143"/>
  <c r="L2019" i="143"/>
  <c r="L2020" i="143"/>
  <c r="L3106" i="143"/>
  <c r="L3112" i="143"/>
  <c r="L3113" i="143"/>
  <c r="L3114" i="143"/>
  <c r="L3155" i="143"/>
  <c r="L3161" i="143"/>
  <c r="L3162" i="143"/>
  <c r="L3163" i="143"/>
  <c r="L3254" i="143"/>
  <c r="L3260" i="143"/>
  <c r="L3261" i="143"/>
  <c r="L3262" i="143"/>
  <c r="E21" i="145" l="1"/>
  <c r="M65" i="145"/>
  <c r="M8" i="145"/>
  <c r="M13" i="145"/>
  <c r="F72" i="145"/>
  <c r="F149" i="145"/>
  <c r="F9" i="145"/>
  <c r="M64" i="145"/>
  <c r="M63" i="145"/>
  <c r="M72" i="145"/>
  <c r="M30" i="145"/>
  <c r="M111" i="145"/>
  <c r="F120" i="145"/>
  <c r="F123" i="145"/>
  <c r="M78" i="145"/>
  <c r="M16" i="145"/>
  <c r="M124" i="145"/>
  <c r="M22" i="145"/>
  <c r="L3264" i="143"/>
  <c r="L1583" i="143"/>
  <c r="L3165" i="143"/>
  <c r="L3116" i="143"/>
  <c r="L2022" i="143"/>
  <c r="L1913" i="143"/>
  <c r="L309" i="143"/>
  <c r="L47" i="143"/>
  <c r="M23" i="145"/>
  <c r="L154" i="143"/>
  <c r="F257" i="145"/>
  <c r="M93" i="145" l="1"/>
  <c r="F126" i="145"/>
  <c r="F147" i="145"/>
  <c r="M87" i="145"/>
  <c r="M3" i="145"/>
  <c r="M98" i="145"/>
  <c r="F51" i="145"/>
  <c r="M92" i="145"/>
  <c r="F99" i="145"/>
  <c r="M99" i="145"/>
  <c r="M56" i="145" l="1"/>
  <c r="M77" i="145"/>
  <c r="M26" i="145"/>
  <c r="M118" i="145" l="1"/>
  <c r="F258" i="145"/>
  <c r="M80" i="145"/>
  <c r="F275" i="145"/>
  <c r="M116" i="145" l="1"/>
  <c r="F219" i="145" l="1"/>
  <c r="M117" i="145"/>
  <c r="F81" i="145"/>
  <c r="M115" i="145" l="1"/>
  <c r="M44" i="145"/>
  <c r="M70" i="145"/>
  <c r="E267" i="145" l="1"/>
  <c r="E59" i="145"/>
  <c r="E151" i="145"/>
  <c r="E207" i="145"/>
  <c r="F95" i="145" l="1"/>
  <c r="M131" i="145"/>
  <c r="E111" i="145"/>
  <c r="S3" i="145"/>
  <c r="S5" i="145"/>
  <c r="S6" i="145"/>
  <c r="S7" i="145"/>
  <c r="S8" i="145"/>
  <c r="S9" i="145"/>
  <c r="E34" i="145" l="1"/>
  <c r="E157" i="145"/>
  <c r="E183" i="145"/>
  <c r="L53" i="145"/>
  <c r="F42" i="145"/>
  <c r="L49" i="145" l="1"/>
  <c r="M49" i="145" s="1"/>
  <c r="L89" i="145"/>
  <c r="M89" i="145" s="1"/>
  <c r="E166" i="145"/>
  <c r="E144" i="145"/>
  <c r="E182" i="145"/>
  <c r="E140" i="145"/>
  <c r="E7" i="145"/>
  <c r="E163" i="145"/>
  <c r="E101" i="145"/>
  <c r="L135" i="145"/>
  <c r="E94" i="145"/>
  <c r="E121" i="145"/>
  <c r="E169" i="145"/>
  <c r="E93" i="145"/>
  <c r="E223" i="145"/>
  <c r="E230" i="145"/>
  <c r="E48" i="145"/>
  <c r="E180" i="145"/>
  <c r="L79" i="145"/>
  <c r="M41" i="145"/>
  <c r="M53" i="145"/>
  <c r="E252" i="145"/>
  <c r="E54" i="145"/>
  <c r="E83" i="145"/>
  <c r="E133" i="145"/>
  <c r="E136" i="145"/>
  <c r="L110" i="145"/>
  <c r="M43" i="145"/>
  <c r="L76" i="145"/>
  <c r="Q163" i="1" l="1"/>
  <c r="E200" i="145"/>
  <c r="M76" i="145"/>
  <c r="M135" i="145"/>
  <c r="E45" i="145"/>
  <c r="E46" i="145"/>
  <c r="F46" i="145" s="1"/>
  <c r="E228" i="145"/>
  <c r="E229" i="145"/>
  <c r="F229" i="145" s="1"/>
  <c r="E67" i="145"/>
  <c r="E68" i="145"/>
  <c r="F68" i="145" s="1"/>
  <c r="M79" i="145"/>
  <c r="M24" i="145"/>
  <c r="M96" i="145" l="1"/>
  <c r="E108" i="145"/>
  <c r="I3235" i="143"/>
  <c r="G3235" i="143"/>
  <c r="K3262" i="143"/>
  <c r="K3261" i="143"/>
  <c r="K3260" i="143"/>
  <c r="I3253" i="143"/>
  <c r="I3252" i="143"/>
  <c r="L3252" i="143" s="1"/>
  <c r="I3251" i="143"/>
  <c r="G3251" i="143"/>
  <c r="I3245" i="143"/>
  <c r="L3245" i="143" s="1"/>
  <c r="I3244" i="143"/>
  <c r="L3244" i="143" s="1"/>
  <c r="I3243" i="143"/>
  <c r="L3243" i="143" s="1"/>
  <c r="I3242" i="143"/>
  <c r="L3242" i="143" s="1"/>
  <c r="I3236" i="143"/>
  <c r="G3236" i="143"/>
  <c r="I3234" i="143"/>
  <c r="G3234" i="143"/>
  <c r="I3233" i="143"/>
  <c r="G3233" i="143"/>
  <c r="E3236" i="143"/>
  <c r="K3163" i="143"/>
  <c r="K3162" i="143"/>
  <c r="K3161" i="143"/>
  <c r="I3154" i="143"/>
  <c r="I3153" i="143"/>
  <c r="L3153" i="143" s="1"/>
  <c r="I3152" i="143"/>
  <c r="G3152" i="143"/>
  <c r="I3146" i="143"/>
  <c r="L3146" i="143" s="1"/>
  <c r="I3145" i="143"/>
  <c r="L3145" i="143" s="1"/>
  <c r="I3144" i="143"/>
  <c r="L3144" i="143" s="1"/>
  <c r="I3143" i="143"/>
  <c r="L3143" i="143" s="1"/>
  <c r="I3137" i="143"/>
  <c r="G3137" i="143"/>
  <c r="I3136" i="143"/>
  <c r="G3136" i="143"/>
  <c r="I3135" i="143"/>
  <c r="G3135" i="143"/>
  <c r="E227" i="145" l="1"/>
  <c r="F227" i="145" s="1"/>
  <c r="E227" i="149"/>
  <c r="F227" i="149" s="1"/>
  <c r="E3137" i="143"/>
  <c r="E3136" i="143"/>
  <c r="E64" i="149" s="1"/>
  <c r="F64" i="149" s="1"/>
  <c r="E3135" i="143"/>
  <c r="K3154" i="143"/>
  <c r="L3154" i="143"/>
  <c r="L3236" i="143"/>
  <c r="K3253" i="143"/>
  <c r="L3253" i="143"/>
  <c r="L3247" i="143"/>
  <c r="L3148" i="143"/>
  <c r="E269" i="145"/>
  <c r="E3235" i="143"/>
  <c r="K3264" i="143"/>
  <c r="L105" i="145"/>
  <c r="K3242" i="143"/>
  <c r="K3244" i="143"/>
  <c r="K3243" i="143"/>
  <c r="K3252" i="143"/>
  <c r="F3236" i="143"/>
  <c r="K3236" i="143" s="1"/>
  <c r="E3234" i="143"/>
  <c r="L3234" i="143" s="1"/>
  <c r="K3245" i="143"/>
  <c r="E3251" i="143"/>
  <c r="L112" i="149" s="1"/>
  <c r="M112" i="149" s="1"/>
  <c r="E3233" i="143"/>
  <c r="K3165" i="143"/>
  <c r="K3143" i="143"/>
  <c r="K3145" i="143"/>
  <c r="K3144" i="143"/>
  <c r="K3153" i="143"/>
  <c r="K3146" i="143"/>
  <c r="E3152" i="143"/>
  <c r="L3233" i="143" l="1"/>
  <c r="E177" i="149"/>
  <c r="F177" i="149" s="1"/>
  <c r="L100" i="145"/>
  <c r="L100" i="149"/>
  <c r="M100" i="149" s="1"/>
  <c r="L3235" i="143"/>
  <c r="E55" i="149"/>
  <c r="F55" i="149" s="1"/>
  <c r="E176" i="145"/>
  <c r="F176" i="145" s="1"/>
  <c r="E176" i="149"/>
  <c r="F176" i="149" s="1"/>
  <c r="L3137" i="143"/>
  <c r="E127" i="149"/>
  <c r="F127" i="149" s="1"/>
  <c r="L112" i="145"/>
  <c r="L113" i="145"/>
  <c r="M113" i="145" s="1"/>
  <c r="F3137" i="143"/>
  <c r="K3137" i="143" s="1"/>
  <c r="E177" i="145"/>
  <c r="F178" i="145"/>
  <c r="L3136" i="143"/>
  <c r="L3135" i="143"/>
  <c r="L3251" i="143"/>
  <c r="L3256" i="143" s="1"/>
  <c r="L3152" i="143"/>
  <c r="L3157" i="143" s="1"/>
  <c r="L3238" i="143"/>
  <c r="F3235" i="143"/>
  <c r="K3235" i="143" s="1"/>
  <c r="E64" i="145"/>
  <c r="E127" i="145"/>
  <c r="F3136" i="143"/>
  <c r="K3136" i="143" s="1"/>
  <c r="F3135" i="143"/>
  <c r="K3135" i="143" s="1"/>
  <c r="K3247" i="143"/>
  <c r="F3234" i="143"/>
  <c r="K3234" i="143" s="1"/>
  <c r="F3233" i="143"/>
  <c r="K3233" i="143" s="1"/>
  <c r="F3251" i="143"/>
  <c r="K3251" i="143" s="1"/>
  <c r="K3256" i="143" s="1"/>
  <c r="K3148" i="143"/>
  <c r="F3152" i="143"/>
  <c r="K3152" i="143" s="1"/>
  <c r="K3157" i="143" s="1"/>
  <c r="L3139" i="143" l="1"/>
  <c r="L3168" i="143" s="1"/>
  <c r="L3170" i="143" s="1"/>
  <c r="L3172" i="143" s="1"/>
  <c r="L3173" i="143" s="1"/>
  <c r="L3267" i="143"/>
  <c r="F127" i="145"/>
  <c r="K3238" i="143"/>
  <c r="K3267" i="143" s="1"/>
  <c r="K3269" i="143" s="1"/>
  <c r="K3271" i="143" s="1"/>
  <c r="K3139" i="143"/>
  <c r="K3168" i="143" s="1"/>
  <c r="H91" i="1" l="1"/>
  <c r="L3269" i="143"/>
  <c r="L3271" i="143" s="1"/>
  <c r="L3272" i="143" s="1"/>
  <c r="M3272" i="143" s="1"/>
  <c r="K3170" i="143"/>
  <c r="K3172" i="143" s="1"/>
  <c r="H89" i="1" l="1"/>
  <c r="L91" i="1"/>
  <c r="K91" i="1"/>
  <c r="I91" i="1"/>
  <c r="M3173" i="143"/>
  <c r="K3114" i="143"/>
  <c r="K3113" i="143"/>
  <c r="K3112" i="143"/>
  <c r="I3105" i="143"/>
  <c r="I3104" i="143"/>
  <c r="L3104" i="143" s="1"/>
  <c r="I3103" i="143"/>
  <c r="G3103" i="143"/>
  <c r="I3097" i="143"/>
  <c r="L3097" i="143" s="1"/>
  <c r="I3096" i="143"/>
  <c r="I3095" i="143"/>
  <c r="I3094" i="143"/>
  <c r="L3094" i="143" s="1"/>
  <c r="I3088" i="143"/>
  <c r="G3088" i="143"/>
  <c r="I3087" i="143"/>
  <c r="G3087" i="143"/>
  <c r="I3086" i="143"/>
  <c r="G3086" i="143"/>
  <c r="I3085" i="143"/>
  <c r="G3085" i="143"/>
  <c r="I3084" i="143"/>
  <c r="G3084" i="143"/>
  <c r="I3083" i="143"/>
  <c r="G3083" i="143"/>
  <c r="N91" i="1" l="1"/>
  <c r="M91" i="1"/>
  <c r="O91" i="1" s="1"/>
  <c r="J91" i="1"/>
  <c r="L89" i="1"/>
  <c r="K89" i="1"/>
  <c r="I89" i="1"/>
  <c r="E77" i="145"/>
  <c r="K3096" i="143"/>
  <c r="L3096" i="143"/>
  <c r="K3105" i="143"/>
  <c r="L3105" i="143"/>
  <c r="F59" i="145"/>
  <c r="K3095" i="143"/>
  <c r="L3095" i="143"/>
  <c r="L3087" i="143"/>
  <c r="E134" i="145"/>
  <c r="E37" i="145"/>
  <c r="K3116" i="143"/>
  <c r="K3104" i="143"/>
  <c r="K3094" i="143"/>
  <c r="K3097" i="143"/>
  <c r="E3103" i="143"/>
  <c r="J89" i="1" l="1"/>
  <c r="M89" i="1"/>
  <c r="O89" i="1" s="1"/>
  <c r="N89" i="1"/>
  <c r="L102" i="145"/>
  <c r="L102" i="149"/>
  <c r="M102" i="149" s="1"/>
  <c r="E272" i="145"/>
  <c r="F272" i="145" s="1"/>
  <c r="E55" i="145"/>
  <c r="E243" i="145"/>
  <c r="L3103" i="143"/>
  <c r="L3108" i="143" s="1"/>
  <c r="L3099" i="143"/>
  <c r="F151" i="145"/>
  <c r="F136" i="145"/>
  <c r="F267" i="145"/>
  <c r="M108" i="145"/>
  <c r="L3083" i="143"/>
  <c r="F3086" i="143"/>
  <c r="K3086" i="143" s="1"/>
  <c r="L3086" i="143"/>
  <c r="F208" i="145"/>
  <c r="F3085" i="143"/>
  <c r="K3085" i="143" s="1"/>
  <c r="L3085" i="143"/>
  <c r="E241" i="145"/>
  <c r="F3083" i="143"/>
  <c r="K3083" i="143" s="1"/>
  <c r="F3087" i="143"/>
  <c r="K3087" i="143" s="1"/>
  <c r="E193" i="145"/>
  <c r="F3" i="145"/>
  <c r="K3099" i="143"/>
  <c r="F3103" i="143"/>
  <c r="K3103" i="143" s="1"/>
  <c r="K3108" i="143" s="1"/>
  <c r="F115" i="145"/>
  <c r="E4" i="145" l="1"/>
  <c r="F4" i="145" s="1"/>
  <c r="L3084" i="143"/>
  <c r="F241" i="145"/>
  <c r="F243" i="145"/>
  <c r="F3088" i="143"/>
  <c r="K3088" i="143" s="1"/>
  <c r="L3088" i="143"/>
  <c r="F116" i="145"/>
  <c r="F3084" i="143"/>
  <c r="K3084" i="143" s="1"/>
  <c r="L3090" i="143" l="1"/>
  <c r="L3119" i="143" s="1"/>
  <c r="L3121" i="143" s="1"/>
  <c r="L3123" i="143" s="1"/>
  <c r="L3124" i="143" s="1"/>
  <c r="K3090" i="143"/>
  <c r="K3119" i="143" s="1"/>
  <c r="K3121" i="143" s="1"/>
  <c r="K3123" i="143" s="1"/>
  <c r="H88" i="1" l="1"/>
  <c r="M3124" i="143"/>
  <c r="I88" i="1" l="1"/>
  <c r="K88" i="1"/>
  <c r="L88" i="1"/>
  <c r="E97" i="145"/>
  <c r="F129" i="145"/>
  <c r="F103" i="145"/>
  <c r="F167" i="145"/>
  <c r="E2009" i="143"/>
  <c r="L69" i="149" s="1"/>
  <c r="M69" i="149" s="1"/>
  <c r="K2020" i="143"/>
  <c r="K2019" i="143"/>
  <c r="K2018" i="143"/>
  <c r="I2011" i="143"/>
  <c r="I2010" i="143"/>
  <c r="I2009" i="143"/>
  <c r="G2009" i="143"/>
  <c r="I2003" i="143"/>
  <c r="L2003" i="143" s="1"/>
  <c r="I2002" i="143"/>
  <c r="I2001" i="143"/>
  <c r="L2001" i="143" s="1"/>
  <c r="I2000" i="143"/>
  <c r="L2000" i="143" s="1"/>
  <c r="I1994" i="143"/>
  <c r="L1994" i="143" s="1"/>
  <c r="I1993" i="143"/>
  <c r="L1993" i="143" s="1"/>
  <c r="I1992" i="143"/>
  <c r="L1992" i="143" s="1"/>
  <c r="I1991" i="143"/>
  <c r="I1990" i="143"/>
  <c r="L1990" i="143" s="1"/>
  <c r="I1989" i="143"/>
  <c r="L1989" i="143" s="1"/>
  <c r="I1988" i="143"/>
  <c r="L1988" i="143" s="1"/>
  <c r="I1891" i="143"/>
  <c r="N88" i="1" l="1"/>
  <c r="P91" i="1"/>
  <c r="Q34" i="140" s="1"/>
  <c r="K35" i="140" s="1"/>
  <c r="K34" i="140" s="1"/>
  <c r="J88" i="1"/>
  <c r="M88" i="1"/>
  <c r="O88" i="1" s="1"/>
  <c r="L68" i="145"/>
  <c r="M68" i="145" s="1"/>
  <c r="L69" i="145"/>
  <c r="M69" i="145" s="1"/>
  <c r="M75" i="145"/>
  <c r="M74" i="145"/>
  <c r="L2009" i="143"/>
  <c r="K1991" i="143"/>
  <c r="L1991" i="143"/>
  <c r="L1996" i="143" s="1"/>
  <c r="K2011" i="143"/>
  <c r="L2011" i="143"/>
  <c r="M66" i="145"/>
  <c r="K2002" i="143"/>
  <c r="L2002" i="143"/>
  <c r="L2005" i="143" s="1"/>
  <c r="K2022" i="143"/>
  <c r="K2001" i="143"/>
  <c r="K2003" i="143"/>
  <c r="K1988" i="143"/>
  <c r="K1990" i="143"/>
  <c r="K1992" i="143"/>
  <c r="K1994" i="143"/>
  <c r="F2009" i="143"/>
  <c r="K2009" i="143" s="1"/>
  <c r="K1989" i="143"/>
  <c r="K1993" i="143"/>
  <c r="K2000" i="143"/>
  <c r="G1882" i="143"/>
  <c r="G1881" i="143"/>
  <c r="I1880" i="143"/>
  <c r="I1881" i="143"/>
  <c r="I1882" i="143"/>
  <c r="I1883" i="143"/>
  <c r="I1884" i="143"/>
  <c r="G1880" i="143"/>
  <c r="I1879" i="143"/>
  <c r="G1879" i="143"/>
  <c r="G1878" i="143"/>
  <c r="K1911" i="143"/>
  <c r="K1910" i="143"/>
  <c r="K1909" i="143"/>
  <c r="I1902" i="143"/>
  <c r="I1901" i="143"/>
  <c r="L1901" i="143" s="1"/>
  <c r="I1900" i="143"/>
  <c r="G1900" i="143"/>
  <c r="I1894" i="143"/>
  <c r="L1894" i="143" s="1"/>
  <c r="I1893" i="143"/>
  <c r="L1893" i="143" s="1"/>
  <c r="I1892" i="143"/>
  <c r="L1892" i="143" s="1"/>
  <c r="I1885" i="143"/>
  <c r="L1885" i="143" s="1"/>
  <c r="I1878" i="143"/>
  <c r="I1877" i="143"/>
  <c r="G1877" i="143"/>
  <c r="I1876" i="143"/>
  <c r="G1876" i="143"/>
  <c r="M48" i="145" l="1"/>
  <c r="E274" i="145"/>
  <c r="E1882" i="143"/>
  <c r="E1881" i="143"/>
  <c r="E1876" i="143"/>
  <c r="L1891" i="143"/>
  <c r="L1896" i="143" s="1"/>
  <c r="E1877" i="143"/>
  <c r="E1879" i="143"/>
  <c r="E1878" i="143"/>
  <c r="M57" i="145"/>
  <c r="L1880" i="143"/>
  <c r="K1883" i="143"/>
  <c r="L1883" i="143"/>
  <c r="M133" i="145"/>
  <c r="L2010" i="143"/>
  <c r="L2014" i="143" s="1"/>
  <c r="L2025" i="143" s="1"/>
  <c r="K1902" i="143"/>
  <c r="L1902" i="143"/>
  <c r="K1884" i="143"/>
  <c r="L1884" i="143"/>
  <c r="E1900" i="143"/>
  <c r="K2010" i="143"/>
  <c r="K2014" i="143" s="1"/>
  <c r="K1996" i="143"/>
  <c r="K2005" i="143"/>
  <c r="K1913" i="143"/>
  <c r="K1893" i="143"/>
  <c r="K1892" i="143"/>
  <c r="K1901" i="143"/>
  <c r="K1885" i="143"/>
  <c r="K1894" i="143"/>
  <c r="E36" i="145" l="1"/>
  <c r="E36" i="149"/>
  <c r="F36" i="149" s="1"/>
  <c r="E197" i="145"/>
  <c r="E197" i="149"/>
  <c r="F197" i="149" s="1"/>
  <c r="E53" i="145"/>
  <c r="E53" i="149"/>
  <c r="F53" i="149" s="1"/>
  <c r="E52" i="145"/>
  <c r="E52" i="149"/>
  <c r="F52" i="149" s="1"/>
  <c r="L5" i="145"/>
  <c r="L5" i="149"/>
  <c r="M5" i="149" s="1"/>
  <c r="E146" i="145"/>
  <c r="E146" i="149"/>
  <c r="F146" i="149" s="1"/>
  <c r="E171" i="145"/>
  <c r="E171" i="149"/>
  <c r="F171" i="149" s="1"/>
  <c r="K1891" i="143"/>
  <c r="K1896" i="143" s="1"/>
  <c r="L1876" i="143"/>
  <c r="F1880" i="143"/>
  <c r="K1880" i="143" s="1"/>
  <c r="L1900" i="143"/>
  <c r="L1905" i="143" s="1"/>
  <c r="L2027" i="143"/>
  <c r="L2029" i="143" s="1"/>
  <c r="L2030" i="143" s="1"/>
  <c r="L1877" i="143"/>
  <c r="F1879" i="143"/>
  <c r="K1879" i="143" s="1"/>
  <c r="L1879" i="143"/>
  <c r="F1878" i="143"/>
  <c r="K1878" i="143" s="1"/>
  <c r="L1878" i="143"/>
  <c r="F1900" i="143"/>
  <c r="K1900" i="143" s="1"/>
  <c r="K1905" i="143" s="1"/>
  <c r="K2025" i="143"/>
  <c r="F1876" i="143"/>
  <c r="K1876" i="143" s="1"/>
  <c r="L1882" i="143" l="1"/>
  <c r="L1881" i="143"/>
  <c r="F1881" i="143"/>
  <c r="K1881" i="143" s="1"/>
  <c r="K2027" i="143"/>
  <c r="K2029" i="143" s="1"/>
  <c r="F1877" i="143"/>
  <c r="K1877" i="143" s="1"/>
  <c r="H64" i="1" l="1"/>
  <c r="I64" i="1"/>
  <c r="L64" i="1"/>
  <c r="P64" i="1" s="1"/>
  <c r="Q26" i="140" s="1"/>
  <c r="I27" i="140" s="1"/>
  <c r="I26" i="140" s="1"/>
  <c r="K64" i="1"/>
  <c r="M2030" i="143"/>
  <c r="L1887" i="143"/>
  <c r="L1916" i="143" s="1"/>
  <c r="L1918" i="143" s="1"/>
  <c r="L1920" i="143" s="1"/>
  <c r="L1921" i="143" s="1"/>
  <c r="F1882" i="143"/>
  <c r="K1882" i="143" s="1"/>
  <c r="K1887" i="143" s="1"/>
  <c r="K1916" i="143" s="1"/>
  <c r="N64" i="1" l="1"/>
  <c r="J64" i="1"/>
  <c r="M64" i="1"/>
  <c r="K1918" i="143"/>
  <c r="K1920" i="143" s="1"/>
  <c r="H61" i="1" l="1"/>
  <c r="O64" i="1"/>
  <c r="M1921" i="143"/>
  <c r="L61" i="1" l="1"/>
  <c r="K61" i="1"/>
  <c r="I61" i="1"/>
  <c r="E175" i="145"/>
  <c r="E76" i="145"/>
  <c r="F78" i="145"/>
  <c r="N61" i="1" l="1"/>
  <c r="J61" i="1"/>
  <c r="M61" i="1"/>
  <c r="E65" i="145"/>
  <c r="K1581" i="143"/>
  <c r="K1580" i="143"/>
  <c r="K1579" i="143"/>
  <c r="I1572" i="143"/>
  <c r="I1571" i="143"/>
  <c r="L1571" i="143" s="1"/>
  <c r="I1570" i="143"/>
  <c r="G1570" i="143"/>
  <c r="I1564" i="143"/>
  <c r="L1564" i="143" s="1"/>
  <c r="I1563" i="143"/>
  <c r="L1563" i="143" s="1"/>
  <c r="I1562" i="143"/>
  <c r="L1562" i="143" s="1"/>
  <c r="I1561" i="143"/>
  <c r="L1561" i="143" s="1"/>
  <c r="I1555" i="143"/>
  <c r="L1555" i="143" s="1"/>
  <c r="I1554" i="143"/>
  <c r="L1554" i="143" s="1"/>
  <c r="I1553" i="143"/>
  <c r="L1553" i="143" s="1"/>
  <c r="I1549" i="143"/>
  <c r="I1548" i="143"/>
  <c r="I1547" i="143"/>
  <c r="G1547" i="143"/>
  <c r="I1546" i="143"/>
  <c r="G1546" i="143"/>
  <c r="O61" i="1" l="1"/>
  <c r="M165" i="1"/>
  <c r="E32" i="145"/>
  <c r="E70" i="145"/>
  <c r="E174" i="145"/>
  <c r="L1566" i="143"/>
  <c r="K1572" i="143"/>
  <c r="L1572" i="143"/>
  <c r="K1583" i="143"/>
  <c r="K1563" i="143"/>
  <c r="K1562" i="143"/>
  <c r="K1571" i="143"/>
  <c r="K1554" i="143"/>
  <c r="K1561" i="143"/>
  <c r="K1564" i="143"/>
  <c r="E1570" i="143"/>
  <c r="L4" i="149" s="1"/>
  <c r="M4" i="149" s="1"/>
  <c r="L17" i="145" l="1"/>
  <c r="M17" i="145" s="1"/>
  <c r="L4" i="145"/>
  <c r="M4" i="145" s="1"/>
  <c r="L1546" i="143"/>
  <c r="L1570" i="143"/>
  <c r="L1575" i="143" s="1"/>
  <c r="L1547" i="143"/>
  <c r="L1548" i="143"/>
  <c r="L1549" i="143"/>
  <c r="K1549" i="143"/>
  <c r="K1566" i="143"/>
  <c r="K1553" i="143"/>
  <c r="F1570" i="143"/>
  <c r="K1570" i="143" s="1"/>
  <c r="K1575" i="143" s="1"/>
  <c r="K1548" i="143"/>
  <c r="F1546" i="143"/>
  <c r="K1546" i="143" s="1"/>
  <c r="K1555" i="143"/>
  <c r="M101" i="145" l="1"/>
  <c r="F45" i="145"/>
  <c r="L1557" i="143"/>
  <c r="L1586" i="143" s="1"/>
  <c r="L1588" i="143" s="1"/>
  <c r="L1590" i="143" s="1"/>
  <c r="L1591" i="143" s="1"/>
  <c r="F252" i="145"/>
  <c r="S2" i="145"/>
  <c r="T2" i="145" s="1"/>
  <c r="F230" i="145"/>
  <c r="F1547" i="143"/>
  <c r="K1547" i="143" s="1"/>
  <c r="K1557" i="143" s="1"/>
  <c r="K1586" i="143" s="1"/>
  <c r="F201" i="145"/>
  <c r="F228" i="145" l="1"/>
  <c r="K1588" i="143"/>
  <c r="K1590" i="143" s="1"/>
  <c r="H55" i="1" l="1"/>
  <c r="J55" i="1"/>
  <c r="K55" i="1"/>
  <c r="O55" i="1" s="1"/>
  <c r="L55" i="1"/>
  <c r="P62" i="1" s="1"/>
  <c r="Q24" i="140" s="1"/>
  <c r="I25" i="140" s="1"/>
  <c r="I24" i="140" s="1"/>
  <c r="M1591" i="143"/>
  <c r="N55" i="1" l="1"/>
  <c r="M134" i="145"/>
  <c r="E296" i="143" l="1"/>
  <c r="K307" i="143"/>
  <c r="K306" i="143"/>
  <c r="K305" i="143"/>
  <c r="I298" i="143"/>
  <c r="I297" i="143"/>
  <c r="L297" i="143" s="1"/>
  <c r="I296" i="143"/>
  <c r="G296" i="143"/>
  <c r="I290" i="143"/>
  <c r="L290" i="143" s="1"/>
  <c r="I289" i="143"/>
  <c r="L289" i="143" s="1"/>
  <c r="I288" i="143"/>
  <c r="I281" i="143"/>
  <c r="L281" i="143" s="1"/>
  <c r="I280" i="143"/>
  <c r="L280" i="143" s="1"/>
  <c r="I279" i="143"/>
  <c r="L279" i="143" s="1"/>
  <c r="I278" i="143"/>
  <c r="L278" i="143" s="1"/>
  <c r="I277" i="143"/>
  <c r="L277" i="143" s="1"/>
  <c r="I276" i="143"/>
  <c r="K118" i="143"/>
  <c r="I118" i="143"/>
  <c r="D118" i="143"/>
  <c r="B118" i="143"/>
  <c r="K152" i="143"/>
  <c r="K151" i="143"/>
  <c r="K150" i="143"/>
  <c r="I143" i="143"/>
  <c r="I142" i="143"/>
  <c r="L142" i="143" s="1"/>
  <c r="I141" i="143"/>
  <c r="I135" i="143"/>
  <c r="L135" i="143" s="1"/>
  <c r="I134" i="143"/>
  <c r="I133" i="143"/>
  <c r="I126" i="143"/>
  <c r="I125" i="143"/>
  <c r="I124" i="143"/>
  <c r="L124" i="143" s="1"/>
  <c r="I123" i="143"/>
  <c r="L123" i="143" s="1"/>
  <c r="I122" i="143"/>
  <c r="L54" i="145" l="1"/>
  <c r="L54" i="149"/>
  <c r="M54" i="149" s="1"/>
  <c r="L288" i="143"/>
  <c r="L292" i="143" s="1"/>
  <c r="K288" i="143"/>
  <c r="M42" i="145"/>
  <c r="E141" i="143"/>
  <c r="L36" i="149" s="1"/>
  <c r="M36" i="149" s="1"/>
  <c r="K133" i="143"/>
  <c r="L133" i="143"/>
  <c r="K125" i="143"/>
  <c r="L125" i="143"/>
  <c r="K134" i="143"/>
  <c r="L134" i="143"/>
  <c r="K122" i="143"/>
  <c r="L122" i="143"/>
  <c r="K126" i="143"/>
  <c r="L126" i="143"/>
  <c r="K143" i="143"/>
  <c r="L143" i="143"/>
  <c r="K276" i="143"/>
  <c r="L276" i="143"/>
  <c r="L283" i="143" s="1"/>
  <c r="K298" i="143"/>
  <c r="L298" i="143"/>
  <c r="M38" i="145"/>
  <c r="L296" i="143"/>
  <c r="K309" i="143"/>
  <c r="K154" i="143"/>
  <c r="K280" i="143"/>
  <c r="K279" i="143"/>
  <c r="K289" i="143"/>
  <c r="K278" i="143"/>
  <c r="K297" i="143"/>
  <c r="F296" i="143"/>
  <c r="K296" i="143" s="1"/>
  <c r="K277" i="143"/>
  <c r="K281" i="143"/>
  <c r="K290" i="143"/>
  <c r="K124" i="143"/>
  <c r="K142" i="143"/>
  <c r="K123" i="143"/>
  <c r="K135" i="143"/>
  <c r="M34" i="145"/>
  <c r="F141" i="143" l="1"/>
  <c r="K141" i="143" s="1"/>
  <c r="K146" i="143" s="1"/>
  <c r="L36" i="145"/>
  <c r="L141" i="143"/>
  <c r="L146" i="143" s="1"/>
  <c r="K137" i="143"/>
  <c r="L301" i="143"/>
  <c r="L312" i="143" s="1"/>
  <c r="L128" i="143"/>
  <c r="L137" i="143"/>
  <c r="S4" i="145"/>
  <c r="K301" i="143"/>
  <c r="K292" i="143"/>
  <c r="K283" i="143"/>
  <c r="K128" i="143"/>
  <c r="N4" i="143"/>
  <c r="M36" i="145" l="1"/>
  <c r="L157" i="143"/>
  <c r="L159" i="143" s="1"/>
  <c r="L161" i="143" s="1"/>
  <c r="L162" i="143" s="1"/>
  <c r="L314" i="143"/>
  <c r="L316" i="143" s="1"/>
  <c r="L317" i="143" s="1"/>
  <c r="K157" i="143"/>
  <c r="K159" i="143" s="1"/>
  <c r="K161" i="143" s="1"/>
  <c r="K312" i="143"/>
  <c r="K314" i="143" s="1"/>
  <c r="K316" i="143" s="1"/>
  <c r="G34" i="143"/>
  <c r="I17" i="143"/>
  <c r="L17" i="143" s="1"/>
  <c r="I18" i="143"/>
  <c r="L18" i="143" s="1"/>
  <c r="I19" i="143"/>
  <c r="L19" i="143" s="1"/>
  <c r="I16" i="143"/>
  <c r="L16" i="143" s="1"/>
  <c r="I26" i="143"/>
  <c r="L26" i="143" s="1"/>
  <c r="I27" i="143"/>
  <c r="L27" i="143" s="1"/>
  <c r="I28" i="143"/>
  <c r="L28" i="143" s="1"/>
  <c r="I25" i="143"/>
  <c r="L25" i="143" s="1"/>
  <c r="I35" i="143"/>
  <c r="L35" i="143" s="1"/>
  <c r="I36" i="143"/>
  <c r="L36" i="143" s="1"/>
  <c r="I34" i="143"/>
  <c r="H17" i="1" l="1"/>
  <c r="H14" i="1"/>
  <c r="L14" i="1" s="1"/>
  <c r="L17" i="1"/>
  <c r="K17" i="1"/>
  <c r="O17" i="1" s="1"/>
  <c r="J17" i="1"/>
  <c r="K14" i="1"/>
  <c r="O14" i="1" s="1"/>
  <c r="M317" i="143"/>
  <c r="L30" i="143"/>
  <c r="L21" i="143"/>
  <c r="M162" i="143"/>
  <c r="K26" i="143"/>
  <c r="K27" i="143"/>
  <c r="K35" i="143"/>
  <c r="J14" i="1" l="1"/>
  <c r="N17" i="1"/>
  <c r="N14" i="1"/>
  <c r="M37" i="145"/>
  <c r="M47" i="145"/>
  <c r="M54" i="145"/>
  <c r="M86" i="145"/>
  <c r="M88" i="145"/>
  <c r="M91" i="145"/>
  <c r="M100" i="145"/>
  <c r="M102" i="145"/>
  <c r="M105" i="145"/>
  <c r="M110" i="145"/>
  <c r="M112" i="145"/>
  <c r="M119" i="145"/>
  <c r="M81" i="145"/>
  <c r="M5" i="145"/>
  <c r="M60" i="145"/>
  <c r="F41" i="145"/>
  <c r="K12" i="143" l="1"/>
  <c r="I12" i="143"/>
  <c r="D12" i="143"/>
  <c r="B12" i="143"/>
  <c r="E34" i="143" l="1"/>
  <c r="F10" i="145"/>
  <c r="F7" i="145"/>
  <c r="F8" i="145"/>
  <c r="F11" i="145"/>
  <c r="F12" i="145"/>
  <c r="F13" i="145"/>
  <c r="F14" i="145"/>
  <c r="F15" i="145"/>
  <c r="F16" i="145"/>
  <c r="F17" i="145"/>
  <c r="F18" i="145"/>
  <c r="F19" i="145"/>
  <c r="F20" i="145"/>
  <c r="F21" i="145"/>
  <c r="F22" i="145"/>
  <c r="F55" i="145"/>
  <c r="F56" i="145"/>
  <c r="F23" i="145"/>
  <c r="F24" i="145"/>
  <c r="F25" i="145"/>
  <c r="F26" i="145"/>
  <c r="F27" i="145"/>
  <c r="F169" i="145"/>
  <c r="F28" i="145"/>
  <c r="F29" i="145"/>
  <c r="F30" i="145"/>
  <c r="F31" i="145"/>
  <c r="F32" i="145"/>
  <c r="F33" i="145"/>
  <c r="F34" i="145"/>
  <c r="F35" i="145"/>
  <c r="F36" i="145"/>
  <c r="F37" i="145"/>
  <c r="F39" i="145"/>
  <c r="F40" i="145"/>
  <c r="F43" i="145"/>
  <c r="F47" i="145"/>
  <c r="F48" i="145"/>
  <c r="F49" i="145"/>
  <c r="F52" i="145"/>
  <c r="F53" i="145"/>
  <c r="F54" i="145"/>
  <c r="F60" i="145"/>
  <c r="F62" i="145"/>
  <c r="F63" i="145"/>
  <c r="F64" i="145"/>
  <c r="F65" i="145"/>
  <c r="F66" i="145"/>
  <c r="F67" i="145"/>
  <c r="F69" i="145"/>
  <c r="F70" i="145"/>
  <c r="F71" i="145"/>
  <c r="F73" i="145"/>
  <c r="F74" i="145"/>
  <c r="F75" i="145"/>
  <c r="F76" i="145"/>
  <c r="F77" i="145"/>
  <c r="F79" i="145"/>
  <c r="F82" i="145"/>
  <c r="F84" i="145"/>
  <c r="F85" i="145"/>
  <c r="F86" i="145"/>
  <c r="F87" i="145"/>
  <c r="F88" i="145"/>
  <c r="F89" i="145"/>
  <c r="F83" i="145"/>
  <c r="F90" i="145"/>
  <c r="F91" i="145"/>
  <c r="F92" i="145"/>
  <c r="F93" i="145"/>
  <c r="F94" i="145"/>
  <c r="F96" i="145"/>
  <c r="F97" i="145"/>
  <c r="F98" i="145"/>
  <c r="F100" i="145"/>
  <c r="F101" i="145"/>
  <c r="F104" i="145"/>
  <c r="F102" i="145"/>
  <c r="F105" i="145"/>
  <c r="F108" i="145"/>
  <c r="F109" i="145"/>
  <c r="F110" i="145"/>
  <c r="F111" i="145"/>
  <c r="F112" i="145"/>
  <c r="F113" i="145"/>
  <c r="F114" i="145"/>
  <c r="F118" i="145"/>
  <c r="F119" i="145"/>
  <c r="F121" i="145"/>
  <c r="F122" i="145"/>
  <c r="F202" i="145"/>
  <c r="F125" i="145"/>
  <c r="F128" i="145"/>
  <c r="F130" i="145"/>
  <c r="F131" i="145"/>
  <c r="F132" i="145"/>
  <c r="F133" i="145"/>
  <c r="F134" i="145"/>
  <c r="F138" i="145"/>
  <c r="F139" i="145"/>
  <c r="F140" i="145"/>
  <c r="F141" i="145"/>
  <c r="F142" i="145"/>
  <c r="F144" i="145"/>
  <c r="F146" i="145"/>
  <c r="F148" i="145"/>
  <c r="F152" i="145"/>
  <c r="F153" i="145"/>
  <c r="F154" i="145"/>
  <c r="F155" i="145"/>
  <c r="F157" i="145"/>
  <c r="F158" i="145"/>
  <c r="F159" i="145"/>
  <c r="F164" i="145"/>
  <c r="F165" i="145"/>
  <c r="F166" i="145"/>
  <c r="F170" i="145"/>
  <c r="F171" i="145"/>
  <c r="F172" i="145"/>
  <c r="F173" i="145"/>
  <c r="F174" i="145"/>
  <c r="F175" i="145"/>
  <c r="F177" i="145"/>
  <c r="F179" i="145"/>
  <c r="F180" i="145"/>
  <c r="F182" i="145"/>
  <c r="F183" i="145"/>
  <c r="F184" i="145"/>
  <c r="F185" i="145"/>
  <c r="F186" i="145"/>
  <c r="F188" i="145"/>
  <c r="F189" i="145"/>
  <c r="F192" i="145"/>
  <c r="F190" i="145"/>
  <c r="F191" i="145"/>
  <c r="F193" i="145"/>
  <c r="F195" i="145"/>
  <c r="F196" i="145"/>
  <c r="F197" i="145"/>
  <c r="F199" i="145"/>
  <c r="F200" i="145"/>
  <c r="F203" i="145"/>
  <c r="F204" i="145"/>
  <c r="F205" i="145"/>
  <c r="F206" i="145"/>
  <c r="F207" i="145"/>
  <c r="F212" i="145"/>
  <c r="F214" i="145"/>
  <c r="F215" i="145"/>
  <c r="F163" i="145"/>
  <c r="F217" i="145"/>
  <c r="F218" i="145"/>
  <c r="F220" i="145"/>
  <c r="F222" i="145"/>
  <c r="F223" i="145"/>
  <c r="F232" i="145"/>
  <c r="F231" i="145"/>
  <c r="F236" i="145"/>
  <c r="F237" i="145"/>
  <c r="F238" i="145"/>
  <c r="F240" i="145"/>
  <c r="F244" i="145"/>
  <c r="F245" i="145"/>
  <c r="F246" i="145"/>
  <c r="F247" i="145"/>
  <c r="F248" i="145"/>
  <c r="F249" i="145"/>
  <c r="F250" i="145"/>
  <c r="F253" i="145"/>
  <c r="F254" i="145"/>
  <c r="F255" i="145"/>
  <c r="F259" i="145"/>
  <c r="F260" i="145"/>
  <c r="F261" i="145"/>
  <c r="F262" i="145"/>
  <c r="F263" i="145"/>
  <c r="F264" i="145"/>
  <c r="F265" i="145"/>
  <c r="F266" i="145"/>
  <c r="F268" i="145"/>
  <c r="F269" i="145"/>
  <c r="F270" i="145"/>
  <c r="F274" i="145"/>
  <c r="L123" i="145" l="1"/>
  <c r="M123" i="145" s="1"/>
  <c r="L123" i="149"/>
  <c r="M123" i="149" s="1"/>
  <c r="L34" i="143"/>
  <c r="L39" i="143" s="1"/>
  <c r="L50" i="143" s="1"/>
  <c r="L52" i="143" s="1"/>
  <c r="L54" i="143" s="1"/>
  <c r="L55" i="143" s="1"/>
  <c r="F34" i="143"/>
  <c r="K34" i="143" s="1"/>
  <c r="K45" i="143"/>
  <c r="K44" i="143"/>
  <c r="K43" i="143"/>
  <c r="K36" i="143"/>
  <c r="K28" i="143"/>
  <c r="K25" i="143"/>
  <c r="K19" i="143"/>
  <c r="K18" i="143"/>
  <c r="K17" i="143"/>
  <c r="K16" i="143"/>
  <c r="K30" i="143" l="1"/>
  <c r="K39" i="143"/>
  <c r="K21" i="143"/>
  <c r="K47" i="143"/>
  <c r="K50" i="143" l="1"/>
  <c r="K52" i="143" s="1"/>
  <c r="T3" i="145" l="1"/>
  <c r="T8" i="145" l="1"/>
  <c r="T7" i="145"/>
  <c r="T9" i="145"/>
  <c r="T6" i="145"/>
  <c r="T5" i="145"/>
  <c r="T4" i="145"/>
  <c r="K54" i="143" l="1"/>
  <c r="H12" i="1" l="1"/>
  <c r="L12" i="1"/>
  <c r="K12" i="1"/>
  <c r="J12" i="1"/>
  <c r="M55" i="143"/>
  <c r="O12" i="1" l="1"/>
  <c r="O165" i="1" s="1"/>
  <c r="L165" i="1"/>
  <c r="Q100" i="1"/>
  <c r="N12" i="1"/>
  <c r="Q14" i="140"/>
  <c r="N165" i="1" l="1"/>
  <c r="Q94" i="140"/>
  <c r="E15" i="140"/>
  <c r="E14" i="140" s="1"/>
  <c r="R121" i="1"/>
  <c r="I12" i="146"/>
  <c r="Q166" i="1"/>
  <c r="R163" i="1" l="1"/>
  <c r="R100" i="1"/>
  <c r="I20" i="146" l="1"/>
  <c r="I18" i="146"/>
  <c r="I24" i="146"/>
  <c r="I16" i="146"/>
  <c r="I22" i="146"/>
  <c r="I14" i="146"/>
  <c r="F34" i="146"/>
  <c r="I26" i="146" l="1"/>
  <c r="I28" i="146" s="1"/>
  <c r="F33" i="146" s="1"/>
  <c r="I33" i="146" s="1"/>
</calcChain>
</file>

<file path=xl/comments1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2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3.xml><?xml version="1.0" encoding="utf-8"?>
<comments xmlns="http://schemas.openxmlformats.org/spreadsheetml/2006/main">
  <authors>
    <author>Diego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</commentList>
</comments>
</file>

<file path=xl/comments4.xml><?xml version="1.0" encoding="utf-8"?>
<comments xmlns="http://schemas.openxmlformats.org/spreadsheetml/2006/main">
  <authors>
    <author>Diego</author>
  </authors>
  <commentList>
    <comment ref="F66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le baje 0.01 para evitar decimales igual serían 0.8 libras reales, como unos 180 clavos, más que suficientes
</t>
        </r>
      </text>
    </comment>
    <comment ref="F53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Le baje 0.01 por evitar problemas con decimales.</t>
        </r>
      </text>
    </comment>
  </commentList>
</comments>
</file>

<file path=xl/sharedStrings.xml><?xml version="1.0" encoding="utf-8"?>
<sst xmlns="http://schemas.openxmlformats.org/spreadsheetml/2006/main" count="14692" uniqueCount="736">
  <si>
    <t>FECHA</t>
  </si>
  <si>
    <t>DESCRIPCION</t>
  </si>
  <si>
    <t>CANTIDAD</t>
  </si>
  <si>
    <t>UNIDAD</t>
  </si>
  <si>
    <t>A.)</t>
  </si>
  <si>
    <t>MATERIALES</t>
  </si>
  <si>
    <t>No.</t>
  </si>
  <si>
    <t>COSTO UNITARIO</t>
  </si>
  <si>
    <t>TOTAL</t>
  </si>
  <si>
    <t>TOTAL A.) MATERIALES</t>
  </si>
  <si>
    <t>B.)</t>
  </si>
  <si>
    <t>HERRAMIENTAS, EQUIPO Y MAQUINARIA</t>
  </si>
  <si>
    <t>TOTAL B.) HERRAMIENTA, EQUIPO Y MAQUINARIA</t>
  </si>
  <si>
    <t>C.)</t>
  </si>
  <si>
    <t>MANO DE OBRA</t>
  </si>
  <si>
    <t>PRESTACIONES LABORALES</t>
  </si>
  <si>
    <t>TOTAL C.) MANO DE OBRA</t>
  </si>
  <si>
    <t>*D.)</t>
  </si>
  <si>
    <t>UNICAMENTE: PARA TRASLADOS ACCIDENTADOS (DEBIDAMENTE JUSTIFICADOS)</t>
  </si>
  <si>
    <t>TOTAL D.) TRASLADOS ACCIDENTADOS</t>
  </si>
  <si>
    <t>TOTAL COSTO DIRECTO: A+B+C+(*D):</t>
  </si>
  <si>
    <t>VALOR DE COSTO INDIRECTOS:</t>
  </si>
  <si>
    <t>TOTAL PRECIO UNITARIO:</t>
  </si>
  <si>
    <t>FIRMA DEL PROFESIONAL</t>
  </si>
  <si>
    <t>m²</t>
  </si>
  <si>
    <t>Unidad</t>
  </si>
  <si>
    <t>DESCRIPCIÓN</t>
  </si>
  <si>
    <t>TIEMPO EN MESES</t>
  </si>
  <si>
    <t>INVERSIÓN POR RENGLON</t>
  </si>
  <si>
    <t>INTEGRACIÓN DE PRECIO TOTAL DEL PAQUETE</t>
  </si>
  <si>
    <t>COSTO DIRECTO TOTAL: (SUBTOTAL NUMERAL 1.)</t>
  </si>
  <si>
    <t>ADMINISTRACIÓN: (*)</t>
  </si>
  <si>
    <t>IMPREVISTOS: (***)</t>
  </si>
  <si>
    <t>GASTOS LEGALES: (**)</t>
  </si>
  <si>
    <t>UTILIDAD:</t>
  </si>
  <si>
    <t>IMPUESTOS:</t>
  </si>
  <si>
    <t>SUMA SUBTOTALES A Y B</t>
  </si>
  <si>
    <t>OFERENTE:</t>
  </si>
  <si>
    <t xml:space="preserve">PROYECTO: </t>
  </si>
  <si>
    <t>A</t>
  </si>
  <si>
    <t>B</t>
  </si>
  <si>
    <t>PRECIO TOTAL:</t>
  </si>
  <si>
    <t>FACTOR =</t>
  </si>
  <si>
    <t>NO. RENGLON</t>
  </si>
  <si>
    <t>RENGLÓN</t>
  </si>
  <si>
    <t>0100   PRELIMINARES</t>
  </si>
  <si>
    <t>LIMPIEZA GENERAL</t>
  </si>
  <si>
    <t>DESMONTAJE DE CUBIERTA Y ESTRUCTURA DE TECHO</t>
  </si>
  <si>
    <t>DESMONTAJE DE BALCONES</t>
  </si>
  <si>
    <t>0500   CUBIERTA Y ESTRUCTURA DE TECHO</t>
  </si>
  <si>
    <t>0600   ACABADOS</t>
  </si>
  <si>
    <t>PISO DE GRANITO ANTIDESLIZANTE</t>
  </si>
  <si>
    <t>PINTURA DE MUROS</t>
  </si>
  <si>
    <t>0700   PUERTAS</t>
  </si>
  <si>
    <t>0800   VENTANERIA</t>
  </si>
  <si>
    <t>1100   INSTALACIONES ELECTRICAS</t>
  </si>
  <si>
    <t>CAMPANA DE LÁMINA NEGRA 3/64" PARA ESTUFA</t>
  </si>
  <si>
    <t>1400   OBRA EXTERIOR</t>
  </si>
  <si>
    <t>ESTUFA RURAL</t>
  </si>
  <si>
    <t/>
  </si>
  <si>
    <t>m³</t>
  </si>
  <si>
    <t>Varilla</t>
  </si>
  <si>
    <t>Galón</t>
  </si>
  <si>
    <t>PINTURA ESMALTE BASE BRILLANTE</t>
  </si>
  <si>
    <t>Bolsa</t>
  </si>
  <si>
    <t>LIJA DE AGUA 100 P/HIERRO</t>
  </si>
  <si>
    <t>Libra</t>
  </si>
  <si>
    <t>ACIDO MURIATICO</t>
  </si>
  <si>
    <t>PLATINAS DE ACERO 4"×4"×1/4"</t>
  </si>
  <si>
    <t xml:space="preserve">EQUIPO NEUMATICO, COMPRESOR 185 cfm </t>
  </si>
  <si>
    <t xml:space="preserve">TUBO PVC Ø 3" 125 PSI </t>
  </si>
  <si>
    <t>ml</t>
  </si>
  <si>
    <t>ARENA DE RIO</t>
  </si>
  <si>
    <t xml:space="preserve">PIEDRIN ¾" </t>
  </si>
  <si>
    <t xml:space="preserve">ARENA AMARILLA ¼" </t>
  </si>
  <si>
    <t>ANGULAR PARA AJUSTE EN PARED DE CIELO FALSO</t>
  </si>
  <si>
    <t>ANGULAR TIPO "T" PARA COLOCACION CIELO FALSO</t>
  </si>
  <si>
    <t xml:space="preserve">BROCHA DE 2"  </t>
  </si>
  <si>
    <t xml:space="preserve">BROCHA DE 4" </t>
  </si>
  <si>
    <t>RODILLO DE FELPA PARA SUPERFICIE RUSTICA</t>
  </si>
  <si>
    <t xml:space="preserve">PUERTA METAL 1.20*2.10 m. lám.3/64" + INSTAL. </t>
  </si>
  <si>
    <t>PERFILERÍA DE PVC STANDARD</t>
  </si>
  <si>
    <t>VIDRIO CLARO 5 MM</t>
  </si>
  <si>
    <t>TABLERO TRIFASICO 12 CIRCUITOS 125A.</t>
  </si>
  <si>
    <t>CAJA OCTOGONAL 4" LIVIANA</t>
  </si>
  <si>
    <t>INSTALACION DE LÁMPARA</t>
  </si>
  <si>
    <t xml:space="preserve">CAJA RECTANGULAR 4"×2" LIVIANA </t>
  </si>
  <si>
    <t>SWITCH C/PLACA BTICINO 5001/A INTERR. DOBLE</t>
  </si>
  <si>
    <t xml:space="preserve">CAJA CUADRADA 4"*4"*½*1 1/4" </t>
  </si>
  <si>
    <t>INSTALACIÓN DE VENTILADOR DE TECHO</t>
  </si>
  <si>
    <t>EXTINTOR DE POLVO QUIMICO SECO ABC DE 10 LBS.</t>
  </si>
  <si>
    <t>DISPENSADOR DE ALCOHOL EN GEL (400 ML)</t>
  </si>
  <si>
    <t>INSTALACIÓN DE DISPENSADOR</t>
  </si>
  <si>
    <t>LAVATRASTOS 2 FOSAS + 1 ALA ACERO INOXIDABLE (INCLUYE ACCESORIOS)</t>
  </si>
  <si>
    <t>PINTURA TIPO LATEX SATINADA</t>
  </si>
  <si>
    <t xml:space="preserve">PORCELANA </t>
  </si>
  <si>
    <t xml:space="preserve">CORTA AZULEJO ROTER 400 mm </t>
  </si>
  <si>
    <t>TUBO DE CONCRETO Ø 6" S/REFUERZO</t>
  </si>
  <si>
    <t>ALMAGANA 4 LBS</t>
  </si>
  <si>
    <t xml:space="preserve">ALMAGANA 8 LBS  </t>
  </si>
  <si>
    <t>CHIMENEA</t>
  </si>
  <si>
    <t xml:space="preserve">SELECTO </t>
  </si>
  <si>
    <t>HERRERIA ESTUFA  (PUERTA, PLANCHA Y CHIMENEA)</t>
  </si>
  <si>
    <t>ALAMBRE GALVANIZADO CAL.16</t>
  </si>
  <si>
    <t>TABLERO MONOFASICO 12 CIRCUITOS 125A.</t>
  </si>
  <si>
    <t>SWITCH C/PLACA BTICINO 5025/A INTERRUP.</t>
  </si>
  <si>
    <t>ADAPTADOR HEMBRA PVC 1120 Ø 1"</t>
  </si>
  <si>
    <t>ADAPTADOR MACHO PVC 1120 Ø ¾"</t>
  </si>
  <si>
    <t>TUBO PVC Ø ¾" 250 PSI</t>
  </si>
  <si>
    <t>ADAPTADOR HEMBRA PVC 1120 Ø 3/4"</t>
  </si>
  <si>
    <t xml:space="preserve">TUBO PVC Ø ½" 315 PSI </t>
  </si>
  <si>
    <t xml:space="preserve">TUBO PVC Ø 4" 100 PSI </t>
  </si>
  <si>
    <t xml:space="preserve">CONTRALLAVE A LA PARED Ø ½" </t>
  </si>
  <si>
    <t xml:space="preserve">EMPAQUE DE CERA P/SANITARIO, HAVERSY </t>
  </si>
  <si>
    <t xml:space="preserve">FLANGE P/SANITARIO Ø 4" </t>
  </si>
  <si>
    <t>TUBO DE ABASTO DE 12", TIPO "A" METAL</t>
  </si>
  <si>
    <t xml:space="preserve">ADAPTADOR HEMBRA CPVC 100 PSI Ø ½" </t>
  </si>
  <si>
    <t>TUBO HG Ø 2", 1.5 MM</t>
  </si>
  <si>
    <t xml:space="preserve">PERNO EXPANSIVO HKB II ½"*4 ½" </t>
  </si>
  <si>
    <t xml:space="preserve">BOQUILLEX CEMIX 10 kg </t>
  </si>
  <si>
    <t>CRUCETA DE 3 mm</t>
  </si>
  <si>
    <t>PLAFONERA SENCILLA BTICINO</t>
  </si>
  <si>
    <t>TABLERO MONOFASICO 8 CIRCUITOS 125A.</t>
  </si>
  <si>
    <t xml:space="preserve">ARENA BLANCA  </t>
  </si>
  <si>
    <t>VENTANERIA ALUMINIO ANODIZ.+VIDRIO 5 mm. (FIJA)</t>
  </si>
  <si>
    <t>PUERTA DE METAL  1.00*2.10 m lám. 3/64", + INSTAL.</t>
  </si>
  <si>
    <t>GASOLINA CORRIENTE</t>
  </si>
  <si>
    <t xml:space="preserve">VIBRADOR DE CONCRETO A GASOLINA </t>
  </si>
  <si>
    <t>ADAPTADOR MACHO PVC 1120 Ø 1 ¼"</t>
  </si>
  <si>
    <t>PEGAMENTO PVC</t>
  </si>
  <si>
    <t xml:space="preserve">TUBO PVC Ø 1 ½" 250 PSI </t>
  </si>
  <si>
    <t>VALVULA ESFERA 2"PVC</t>
  </si>
  <si>
    <t>AQUA PRO SWITCH DE PRESION 30-50 PSI</t>
  </si>
  <si>
    <t>CONTACTOR 2x30A, 120-220 VOLTIOS</t>
  </si>
  <si>
    <t>ADAPTADOR MACHO PVC 1120 Ø 1"</t>
  </si>
  <si>
    <t>VÁLVULA FLOTE  Ø 1" AMERICANA</t>
  </si>
  <si>
    <t>SWITCH FLOTE SJE LH  PUMPMASTER (GUARDANIVEL)</t>
  </si>
  <si>
    <t xml:space="preserve">CHORRO Ø ½", AMERICANO </t>
  </si>
  <si>
    <t>ADAPTADOR MACHO HG Ø ½"</t>
  </si>
  <si>
    <t xml:space="preserve">PUERTA METAL 0.75*1.80 m. lám.3/64" + INSTAL. </t>
  </si>
  <si>
    <t xml:space="preserve">TUBO PVC Ø 2" 125 PSI </t>
  </si>
  <si>
    <t>TUBO PVC NORMA 3034 Ø 8"</t>
  </si>
  <si>
    <t xml:space="preserve">BOMBA DE AGUA A GASOLINA 2" </t>
  </si>
  <si>
    <t>BIODIGESTOR AUTOLIMPIABLE DE 7,000 LITROS</t>
  </si>
  <si>
    <t>TUBO PVC Ø 6" 100 PSI</t>
  </si>
  <si>
    <t>ADAPTADOR MACHO PVC 1120 Ø ½"</t>
  </si>
  <si>
    <t>CAJA PREFABRICADA DE CONCRETO</t>
  </si>
  <si>
    <t xml:space="preserve">TUBO PVC Ø 2" 160 PSI </t>
  </si>
  <si>
    <t xml:space="preserve">TUBO PVC Ø 4" 160 PSI </t>
  </si>
  <si>
    <t>ROTULO IDENTIFICACIÓN PROYECTO 1.37*1.98 MANTA VINILICA</t>
  </si>
  <si>
    <t>CEPILLO DE ALAMBRE 6"</t>
  </si>
  <si>
    <t>RED PARA MARCO PAPIFUTBOL C/CABLE</t>
  </si>
  <si>
    <t>RED PARA VOLEIBOL C/CABLE</t>
  </si>
  <si>
    <t>ARO METALICO + RED DE BASKETBOL</t>
  </si>
  <si>
    <t xml:space="preserve">CHAPA YALE ENGRAPE 693.60 </t>
  </si>
  <si>
    <t>CANDADO YALE ORDINARIO 50 MM</t>
  </si>
  <si>
    <t>GRIFO METÁLICO + MEZCLADORA</t>
  </si>
  <si>
    <t>JALADOR DE PUERTA</t>
  </si>
  <si>
    <t>PAPELERO MAXI 12 LITROS</t>
  </si>
  <si>
    <t>PIEDRA BOLA 15 CMS.</t>
  </si>
  <si>
    <t>PINTURA PARA TRÁFICO</t>
  </si>
  <si>
    <t>Saco</t>
  </si>
  <si>
    <t>pt</t>
  </si>
  <si>
    <t>Cubeta</t>
  </si>
  <si>
    <t>TEFLON ¾"</t>
  </si>
  <si>
    <t>Rollo</t>
  </si>
  <si>
    <t>ADHESIVO PSP PORCELANATO BLANCO</t>
  </si>
  <si>
    <t>PRECIO</t>
  </si>
  <si>
    <t xml:space="preserve">ACERO G 40 No. 3 DE 20' </t>
  </si>
  <si>
    <t xml:space="preserve">ACERO G 40 No. 4 DE 20' </t>
  </si>
  <si>
    <t>Día</t>
  </si>
  <si>
    <t>RETROEXCAVADORA</t>
  </si>
  <si>
    <t>COMPACTADORA TIPO BAILARINA</t>
  </si>
  <si>
    <t>EQUIPO</t>
  </si>
  <si>
    <t>CLAVO DE 3"</t>
  </si>
  <si>
    <t>LÁMINA GALVANIZADA LISA CAL.28 (3'x8')</t>
  </si>
  <si>
    <t>Pliego</t>
  </si>
  <si>
    <t>LLAVE DE GLOBO Ø ¾"</t>
  </si>
  <si>
    <t>LLAVE DE PASO Ø ¾"</t>
  </si>
  <si>
    <t>MADERA DE PINO RUSTICA</t>
  </si>
  <si>
    <t>SELLADOR ELÁSTICO ADHESIVO A BASE DE POLIURETANO</t>
  </si>
  <si>
    <t>THINNER</t>
  </si>
  <si>
    <t>VALVULA DE CHEQUE 506B SIMMONS 2"BR</t>
  </si>
  <si>
    <t>WYPE BLANCO</t>
  </si>
  <si>
    <t>MEZCLADORA DE CONCRETO</t>
  </si>
  <si>
    <t>INSTALACIÓN DE CAMPANA</t>
  </si>
  <si>
    <t>APLICACIÓN PINTURA</t>
  </si>
  <si>
    <t>LIMPIEZA DEL TERRENO</t>
  </si>
  <si>
    <t>CI</t>
  </si>
  <si>
    <t>CAMIÓN DE VOLTEO</t>
  </si>
  <si>
    <t>Viaje</t>
  </si>
  <si>
    <t>FACTOR CI</t>
  </si>
  <si>
    <t>CR</t>
  </si>
  <si>
    <t>TOTAL REAL</t>
  </si>
  <si>
    <t>DEMOLICIÓN Y EXTRACCIÓN DE RIPIO</t>
  </si>
  <si>
    <t>PINTURA ANTICORROSIVA INDUSTRIAL</t>
  </si>
  <si>
    <t xml:space="preserve">COSTANERA DE 2"x 6"x 20' </t>
  </si>
  <si>
    <t xml:space="preserve">COSTANERA DE 2"x 4"x 20' </t>
  </si>
  <si>
    <t>HEMBRA 1/8" x ½" x 20'</t>
  </si>
  <si>
    <t>ELECTRODO 1/8" PUNTO VERDE</t>
  </si>
  <si>
    <t>ARANDELA A PRESIÓN Ø ⅜"</t>
  </si>
  <si>
    <t>PERNO EXPANSIVO  Ø 3/8"× 4" HILTI T20 M10×100/20 MM</t>
  </si>
  <si>
    <t>TORNILLO TIPO POLSER DE 1/4" X 1" C/EMPAQUE</t>
  </si>
  <si>
    <t>TORNILLO TIPO POLSER DE 1/4" X 2 1/2" C/EMPAQUE</t>
  </si>
  <si>
    <t>LÁMINA TERMOACÚSTICA TRICAPA UPVC DE 2.5 MM</t>
  </si>
  <si>
    <t>CABALLETE LISO DE 8', CAL. 26 BLANCO</t>
  </si>
  <si>
    <t>Cartucho</t>
  </si>
  <si>
    <t>INSTALACIÓN DE LÁMINA TERMOACÚSTICA</t>
  </si>
  <si>
    <t>ALQUILER DE ANDAMIOS (4 CAMAS)</t>
  </si>
  <si>
    <t>mes</t>
  </si>
  <si>
    <t>BLOCK 35 KG/CM², 0.14 x 0.19 x 0.39 (tipo C)</t>
  </si>
  <si>
    <t>BLOCK 35 KG/CM², 0.09 x 0.19 x 0.39 (tipo C)</t>
  </si>
  <si>
    <t>BLOCK 50 KG/CM², 0.14 x 0.19 x 0.39  (tipo B)</t>
  </si>
  <si>
    <t>CEMENTO UGC 4000 PSI</t>
  </si>
  <si>
    <t>CAL HIDRATADA</t>
  </si>
  <si>
    <t>COLOCACIÓN DE PISO</t>
  </si>
  <si>
    <t>CIELO FALSO TIPO PLYCEM + PERFILERÍA + FIJACIONES</t>
  </si>
  <si>
    <t>CLAVO ACERADO 2"</t>
  </si>
  <si>
    <t>INSTALACIÓN CIELO FALSO</t>
  </si>
  <si>
    <t>PINTURA LÁTEX VINÍLICO (5 AÑOS)</t>
  </si>
  <si>
    <t xml:space="preserve">BANDEJA PLASTICA PARA PINTURA + RODILLO </t>
  </si>
  <si>
    <t>REPUESTO RODILLO FELPA</t>
  </si>
  <si>
    <t>MANERAL, EXTENSIÓN P/RODILLO L=2.00m</t>
  </si>
  <si>
    <t>FABRICACIÓN E INSTALACIÓN DE PUERTA DE METAL</t>
  </si>
  <si>
    <t>DESMONTAJE DE PUERTA METÁLICA</t>
  </si>
  <si>
    <t>FABRICACIÓN E INSTALACIÓN DE VENTANA CORREDIZA DE PVC</t>
  </si>
  <si>
    <t>TORNILLO TIPO POLSER #14 X 3" C/EMPAQUE</t>
  </si>
  <si>
    <t>REMOZAMIENTO E INSTALACIÓN DE ESTRUCTURA METÁLICA</t>
  </si>
  <si>
    <t>REMOZAMIENTO E INSTALACIÓN DE BALCÓN</t>
  </si>
  <si>
    <t>PIEDRIN 1/2"</t>
  </si>
  <si>
    <t>ELECTROMALLA 6" x 6", 4.5/4.5, 2.35 x 6.00 m</t>
  </si>
  <si>
    <t>ELECTROMALLA 6" x 6", 4.0/4.0, 2.35 x 6.00 m</t>
  </si>
  <si>
    <t>ELECTROMALLA 6" x 6", 4.5/4.5, 1.00 x 3.00 m</t>
  </si>
  <si>
    <t>LADRILLO TUBULAR 0.065 x 0.11 x 0.23 m</t>
  </si>
  <si>
    <t>LADRILLO 0.065 x 0.11 x 0.23 m</t>
  </si>
  <si>
    <t>FABRICACIÓN DE CAJA TRAMPA GRASA</t>
  </si>
  <si>
    <t>CANAL DE ALUZINC ESMALTADO (3 m) + PESCANTES</t>
  </si>
  <si>
    <t>BOCATUBO PARA CANAL DE ALUZINC</t>
  </si>
  <si>
    <t>TOPE PARA CANAL DE ALUZINC</t>
  </si>
  <si>
    <t xml:space="preserve">TUBO PVC Ø 3" 80 PSI </t>
  </si>
  <si>
    <t>ABRAZADERA PARA BAJANTE PVC Ø 3"</t>
  </si>
  <si>
    <t>CODO 90° PVC D2665 Ø 3"</t>
  </si>
  <si>
    <t>FLIP-ON 1x15 A</t>
  </si>
  <si>
    <t>FLIP-ON 1x20 A</t>
  </si>
  <si>
    <t>FLIP-ON 1x30 A</t>
  </si>
  <si>
    <t>FLIP-ON 1x40 A</t>
  </si>
  <si>
    <t>FLIP-ON 1x50 A</t>
  </si>
  <si>
    <t>FLIP-ON 2x50 A</t>
  </si>
  <si>
    <t>CINTA DE AISLAR 3M</t>
  </si>
  <si>
    <t>CABLE THHN No. 12</t>
  </si>
  <si>
    <t>CABLE THHN No. 14</t>
  </si>
  <si>
    <t>CABLE THHN No. 8</t>
  </si>
  <si>
    <t>INSTALACION DE TABLERO ELÉCTRICO</t>
  </si>
  <si>
    <t>TUBO PVC ELÉCTRICO Ø 3/4"</t>
  </si>
  <si>
    <t>VUELTA ELÉCTRICA Ø 3/4"</t>
  </si>
  <si>
    <t>MORDAZA DE BRONCE 5/8 PULG</t>
  </si>
  <si>
    <t>VARILLA DE COBRE PARA TIERRA 5/8 PULG X 8'</t>
  </si>
  <si>
    <t>LÁMPARA LISTON PARA 2 TUBOS LED 48 PULG</t>
  </si>
  <si>
    <t>TUBO LED 48 PULG, 18 W, CLARO DE VIDRIO</t>
  </si>
  <si>
    <t>ABRAZADERA PARA CIELO TIPO HANGER Ø 3/4"</t>
  </si>
  <si>
    <t>BASE PARA REFLECTOR DE INTEMPERIE CON 2 SOCKETS</t>
  </si>
  <si>
    <t>FLIP-ON 2x70 A</t>
  </si>
  <si>
    <t>LÁMPARA 2X4 EMPOTRAR C/DIF. PRISMÁTICO</t>
  </si>
  <si>
    <t>REFLECTOR DE INTEMPERIE 75W 120 V</t>
  </si>
  <si>
    <t>INSTALACION DE REFLECTOR</t>
  </si>
  <si>
    <t>PLACA BTICINO DOBLE DE ALUMINIO</t>
  </si>
  <si>
    <t>INSTALACION DE INTERRUPTOR</t>
  </si>
  <si>
    <t>INSTALACION DE TOMACORRIENTE</t>
  </si>
  <si>
    <t>INTERRUPTOR TIPO DADO POLARIZADO SIMPLE</t>
  </si>
  <si>
    <t>TOMACORRIENTE TIPO DADO POLARIZADO</t>
  </si>
  <si>
    <t>VENTILADOR DE TECHO PARA INTERIOR BLANCO 52 PULG</t>
  </si>
  <si>
    <t>INSTALACIÓN DE EXTINTOR</t>
  </si>
  <si>
    <t xml:space="preserve">INSTALACION DE MUEBLE FIJO + LAVATRASTOS </t>
  </si>
  <si>
    <t>MELAMINA DE 5/8" 1.22 x 2.44 m</t>
  </si>
  <si>
    <t>BLOCK 35 KG/CM², 0.19 x 0.19 x 0.39 (tipo C)</t>
  </si>
  <si>
    <t>CONSTRUCCIÓN DE ESTUFA RURAL</t>
  </si>
  <si>
    <t>DESMONTAJE DE CUBIERTA DE TECHO</t>
  </si>
  <si>
    <t>DESMONTAJE DE ESTRUCTURA DE MADERA EN TECHO</t>
  </si>
  <si>
    <t>TABLERO MONOFASICO 16 CIRCUITOS 125A.</t>
  </si>
  <si>
    <t>INTERRUPTOR SENCILLO</t>
  </si>
  <si>
    <t>PLACA BTICINO DE ALUMINIO</t>
  </si>
  <si>
    <t>DESMONTAJE DE LETRINA</t>
  </si>
  <si>
    <t>INODORO</t>
  </si>
  <si>
    <t>DESMONTAJE DE PUERTA DE MADERA</t>
  </si>
  <si>
    <t>PEGAMIX, 20 KG</t>
  </si>
  <si>
    <t>AZULEJO PORCELANATO BLANCO DE 0.20 X 0.30 M</t>
  </si>
  <si>
    <t>FABRICACIÓN E INSTALACIÓN DE PUERTA DE METAL PARA BAÑO</t>
  </si>
  <si>
    <t>INSTALACIÓN DE TUBERÍA PVC PARA AGUA (&lt; Ø 1")</t>
  </si>
  <si>
    <t>INSTALACIÓN DE TUBERÍA PVC PARA AGUA (&gt; Ø 1")</t>
  </si>
  <si>
    <t>CODO 90° PVC Ø ½"</t>
  </si>
  <si>
    <t xml:space="preserve">CODO 90° PVC Ø ½" C/ROSCA </t>
  </si>
  <si>
    <t>CODO 90° PVC Ø ¾"</t>
  </si>
  <si>
    <t xml:space="preserve">CODO 90° PVC Ø ¾" ROSCA </t>
  </si>
  <si>
    <t>CODO 90° PVC Ø 1 ½"</t>
  </si>
  <si>
    <t>CODO 90° PVC Ø 2"</t>
  </si>
  <si>
    <t xml:space="preserve">TEE LISA PVC Ø ¾" </t>
  </si>
  <si>
    <t xml:space="preserve">TEE LISA PVC Ø 1 ½ </t>
  </si>
  <si>
    <t xml:space="preserve">TEE LISA PVC Ø 8" </t>
  </si>
  <si>
    <t xml:space="preserve">TEE LISA PVC Ø 1/2" </t>
  </si>
  <si>
    <t>INSTALACIÓN DE TUBERÍA PVC PARA DRENAJE (&lt; Ø 2")</t>
  </si>
  <si>
    <t>REDUCIDOR PVC DE 3/4" A 1/2"</t>
  </si>
  <si>
    <t>REDUCIDOR PVC DE 1 ½" A 1 ¼"</t>
  </si>
  <si>
    <t>REDUCIDOR PVC DE 1" A ¾"</t>
  </si>
  <si>
    <t>CODO 45° PVC Ø 2"</t>
  </si>
  <si>
    <t>INSTALACIÓN DE TUBERÍA PVC PARA DRENAJE (&lt; Ø 6")</t>
  </si>
  <si>
    <t>YEE PVC SANITARIA Ø 4"</t>
  </si>
  <si>
    <t>VALVULA DE CHEQUE HORIZONTAL Ø ¾"</t>
  </si>
  <si>
    <t>VALVULA DE CHEQUE HORIZONTAL Ø 1"</t>
  </si>
  <si>
    <t>VALVULA DE COMPUERTA DE Ø ½"</t>
  </si>
  <si>
    <t>VALVULA DE COMPUERTA DE Ø ¾"</t>
  </si>
  <si>
    <t>VÁLVULA DE BOLA DE 3/4" BRONCE ALUMINIO</t>
  </si>
  <si>
    <t>INSTALACIÓN ACOMETIDA DE AGUA</t>
  </si>
  <si>
    <t xml:space="preserve">ACERO No. 2 DE 20' </t>
  </si>
  <si>
    <t>FABRICACIÓN DE CAJA DE REGISTRO</t>
  </si>
  <si>
    <t>INSTALACIÓN DE BIODIGESTOR</t>
  </si>
  <si>
    <t>FABRICACIÓN POZO DE ABSORCIÓN</t>
  </si>
  <si>
    <t>INODORO HYDRA BLANCO</t>
  </si>
  <si>
    <t>INSTALACIÓN DE INODORO</t>
  </si>
  <si>
    <t>BOTE DE BASURA PLÁSTICO DE 20 LITROS</t>
  </si>
  <si>
    <t>DISPENSADOR DE PAPEL DE ACERO INOXIDABLE</t>
  </si>
  <si>
    <t>INSTALACIÓN DE DISPENSADOR DE PAPEL</t>
  </si>
  <si>
    <t>DISPENSADOR DE TOALLA DE MANO</t>
  </si>
  <si>
    <t>DISPENSADOR JABON ACERO INOXIDABLE</t>
  </si>
  <si>
    <t>INSTALACIÓN DE DISPENSADOR DE JABÓN LÍQUIDO</t>
  </si>
  <si>
    <t>REPOSADERA DE ACERO INOXIDABLE</t>
  </si>
  <si>
    <t>VÁLVULA DE BOLA DE 1/2" BRONCE ALUMINIO</t>
  </si>
  <si>
    <t>CONSTRUCCIÓN DE LAVAMANOS COLECTIVO</t>
  </si>
  <si>
    <t>BOMBILLA LED 20W</t>
  </si>
  <si>
    <t>DESMONTAJE DE ARTEFACTOS SANITARIOS</t>
  </si>
  <si>
    <t>SIKAGUARD 70, 3 KG</t>
  </si>
  <si>
    <t>APLICACIÓN DE IMPERMEABILIZANTE</t>
  </si>
  <si>
    <t>CODO 90° HG Ø ½"</t>
  </si>
  <si>
    <t>INSTALACIÓN DE GRIFO</t>
  </si>
  <si>
    <t>BOMBA CENTRÍFUGA 2 HP</t>
  </si>
  <si>
    <t>INTERRUPTOR DE PRESIÓN 30-50 PSI</t>
  </si>
  <si>
    <t>MANÓMETRO SECO 0-200 PSI</t>
  </si>
  <si>
    <t xml:space="preserve">VALVULA DE PIE BRONCE Ø 1" </t>
  </si>
  <si>
    <t>TANQUE HIDRONEUMÁTICO 80 GALONES</t>
  </si>
  <si>
    <t>INSTALACIÓN DE BOMBA + TANQUE</t>
  </si>
  <si>
    <t>CONSTRUCCIÓN DE CISTERNA</t>
  </si>
  <si>
    <t>TINACO (6000 L, CON ACCESORIOS)</t>
  </si>
  <si>
    <t>INSTALACIÓN DE TINACO</t>
  </si>
  <si>
    <t>LAVAMANOS UNA LLAVE, CONFORT BLANCO, PEDESTAL</t>
  </si>
  <si>
    <t>INSTALACIÓN DE LAVAMANOS</t>
  </si>
  <si>
    <t>FABRICACIÓN E INSTALACIÓN DE BARANDA</t>
  </si>
  <si>
    <t>MONOCAPA GRIS</t>
  </si>
  <si>
    <t>MONOCAPA BLANCA</t>
  </si>
  <si>
    <t>CONSTRUCCIÓN DE BODEGA</t>
  </si>
  <si>
    <t>LOGO INSTITUCIONAL</t>
  </si>
  <si>
    <t>CHAPEO DEL TERRENO</t>
  </si>
  <si>
    <t>DEMOLICIÓN</t>
  </si>
  <si>
    <t>DESMONTAJE DE PORTÓN</t>
  </si>
  <si>
    <t>FABRICACIÓN E INSTALACIÓN DE PORTÓN METÁLICO</t>
  </si>
  <si>
    <t>BOTE DE BASURA PLÁSTICO DE 20 GALONES</t>
  </si>
  <si>
    <t>PLACA DE BRONCE, 0.40 x 0.50 M</t>
  </si>
  <si>
    <t>CONSTRUCCIÓN DE PLACA</t>
  </si>
  <si>
    <t>FABRICACIÓN E INSTALACIÓN DE RÓTULO TIPO 1</t>
  </si>
  <si>
    <t>FABRICACIÓN E INSTALACIÓN DE RÓTULO TIPO 2</t>
  </si>
  <si>
    <t>COLOCACIÓN DE PABELLÓN</t>
  </si>
  <si>
    <t>FABRICACIÓN E INSTALACIÓN DE MARCOS PARA CANCHA POLIDEPORTIVA</t>
  </si>
  <si>
    <t xml:space="preserve">TRANSPORTES: </t>
  </si>
  <si>
    <t>MINISTERIO DE COMUNICACIONES, INFRAESTRUCTURA Y VIVIENDA</t>
  </si>
  <si>
    <t>FECHA:</t>
  </si>
  <si>
    <t>UNIDAD DE CONSTRUCCION DE EDIFICIOS DEL ESTADO</t>
  </si>
  <si>
    <t>DIAGRAMA DE BARRAS</t>
  </si>
  <si>
    <t>LICITACIÓN PÚBLICA No.:</t>
  </si>
  <si>
    <t>CATÁLOGO DE RENGLONES DE TRABAJO</t>
  </si>
  <si>
    <t>FUNDICIÓN DE CONCRETO</t>
  </si>
  <si>
    <t>ALAMBRE DE AMARRE</t>
  </si>
  <si>
    <t>HEMBRA 1" x 1/4" x 20'</t>
  </si>
  <si>
    <t>HIERRO LISO DE 5/8"</t>
  </si>
  <si>
    <t>LÁMINA NEGRA LISA 4'X8'X1/8"</t>
  </si>
  <si>
    <t>TUBO HG 3" Ch 14</t>
  </si>
  <si>
    <t>PERNO A-325 DE 1/2" X 2" (CON TUERCA + ARANDELA)</t>
  </si>
  <si>
    <t>SUBTOTAL: NUMERALES 2 AL 7 (INCLUYE IVA):</t>
  </si>
  <si>
    <t>PABELLON NACIONAL</t>
  </si>
  <si>
    <t xml:space="preserve">NIPLE HG Ø ½" X 2" </t>
  </si>
  <si>
    <t>DESMONTAJE DE CIELO FALSO RETICULAR</t>
  </si>
  <si>
    <t>DESMONTAJE DE VENTANA DE MADERA</t>
  </si>
  <si>
    <t>DESMONTAJE DE VENTANA DE METAL</t>
  </si>
  <si>
    <t>DESMONTAJE DE PUERTA DE METAL (UNA HOJA)</t>
  </si>
  <si>
    <t>DESMONTAJE DE VENTANA DE ALUMINIO</t>
  </si>
  <si>
    <t>DEMOLICIÓN DE PISO DE GRANITO</t>
  </si>
  <si>
    <t>0200   CIMENTACIÓN</t>
  </si>
  <si>
    <t>0400   COLUMNAS, LOSAS, VIGAS Y SOLERAS</t>
  </si>
  <si>
    <t>DESMONTAJE DE PILA</t>
  </si>
  <si>
    <t>ASTA PARA BANDERA</t>
  </si>
  <si>
    <t>RAZOR RIBBON</t>
  </si>
  <si>
    <t>DESMONTAJE DE TABIQUES DE MADERA</t>
  </si>
  <si>
    <t>INSTALACIÓN DE TABIQUE DE TABLAYESO</t>
  </si>
  <si>
    <t>CONSTRUCCIÓN DE MINGITORIO COLECTIVO</t>
  </si>
  <si>
    <t>LAVAMANOS DE EMPOTRAR BLANCO</t>
  </si>
  <si>
    <t>CONSTRUCCIÓN DE MUEBLE FIJO + LAVAMANOS EMPOTRADO</t>
  </si>
  <si>
    <t>DESMONTAJE DE PUERTA METÁLICA (UNA HOJA)</t>
  </si>
  <si>
    <t>SIKA ACRIL TECHO POWER (8 AÑOS)</t>
  </si>
  <si>
    <t>CONFORMACIÓN DE PAÑUELOS + IMPERMEABILIZANTE</t>
  </si>
  <si>
    <t>APLICACIÓN DE CERNIDO VERTICAL</t>
  </si>
  <si>
    <t>ARMADO + FUNDICIÓN DE ZAPATA</t>
  </si>
  <si>
    <t>EXCAVACIÓN</t>
  </si>
  <si>
    <t>ARMADO + FUNDICIÓN DE PEDESTAL</t>
  </si>
  <si>
    <t xml:space="preserve">ACERO G 40 No. 5 DE 20' </t>
  </si>
  <si>
    <t>TUBO CUADRADO ESTRUCTURAL 4"X4" CH 14</t>
  </si>
  <si>
    <t>PERNO DE ANCLAJE TIPO L, DE 5/8"</t>
  </si>
  <si>
    <t>INSTALACIÓN DE COLUMNA METÁLICA</t>
  </si>
  <si>
    <t>PILA DE CONCRETO (2 LAVADEROS)</t>
  </si>
  <si>
    <t>INSTALACIÓN DE PILA</t>
  </si>
  <si>
    <t>CONSTRUCCIÓN DE ASTA</t>
  </si>
  <si>
    <t>INSTALACIÓN DE RAZOR RIBBON</t>
  </si>
  <si>
    <t>ANGULAR 1" x 3/16"</t>
  </si>
  <si>
    <t>PROGRAMA DE EJECUCIÓN E INVERSIÓN</t>
  </si>
  <si>
    <t>LÁMPARA LED TIPO CAMPANA DE ALUMINIO 150 W</t>
  </si>
  <si>
    <t>INSTALACION DE LÁMPARA TIPO CAMPANA</t>
  </si>
  <si>
    <t>PLACA BTICINO TRIPLE DE ALUMINIO</t>
  </si>
  <si>
    <t>FABRICACIÓN E INSTALACIÓN DE VENTANA DE PVC MADERA</t>
  </si>
  <si>
    <t>FUNDICIÓN DE PISO DE CONCRETO</t>
  </si>
  <si>
    <t>TINACO (2800 L, CON ACCESORIOS)</t>
  </si>
  <si>
    <t>CONSTRUCCIÓN DE URINAL COLECTIVO</t>
  </si>
  <si>
    <t>REMOZAMIENTO DE PUERTA DE METAL + CHAPA</t>
  </si>
  <si>
    <t>TABLERO MONOFASICO 24 CIRCUITOS 125A.</t>
  </si>
  <si>
    <t>CERRADURA ANTIPÁNICO</t>
  </si>
  <si>
    <t>ARMADO + FUNDICIÓN DE COLUMNA</t>
  </si>
  <si>
    <t>LIMPIEZA DE FOSA SÉPTICA</t>
  </si>
  <si>
    <t>INTEGRACIÓN DE PRECIO O COSTO UNITARIO</t>
  </si>
  <si>
    <t>ARMADO + FUNDICIÓN DE SOLERA</t>
  </si>
  <si>
    <t xml:space="preserve">COSTANERA DE 2"x 8"x 20' </t>
  </si>
  <si>
    <t>FABRICACIÓN E INSTALACIÓN DE BALCÓN DE BARROTES</t>
  </si>
  <si>
    <t>TALLADO DE COLUMNAS</t>
  </si>
  <si>
    <t>CAJA DE POLICARBONATO PARA CONTADOR TIPO SOCKET</t>
  </si>
  <si>
    <t>TABLERO MONOFÁSICO DE INTEMPERIE 2 CIRCUITOS</t>
  </si>
  <si>
    <t>TUBO PVC ELÉCTRICO Ø 1/2"</t>
  </si>
  <si>
    <t>VUELTA ELÉCTRICA Ø 1/2"</t>
  </si>
  <si>
    <t>ACCESORIO DE ENTRADA Ø 1 1/4"</t>
  </si>
  <si>
    <t>TUBO CONDUIT GALVANIZADO 1 1/4" X 3 M</t>
  </si>
  <si>
    <t>ABRAZADERA PARA HANGER Ø 1 1/4"</t>
  </si>
  <si>
    <t>GANCHO PARA ACOMETIDA 1 1/4"</t>
  </si>
  <si>
    <t>INSTALACIÓN DE ACOMETIDA ELÉCTRICA</t>
  </si>
  <si>
    <t>CABLE THHN No. 4</t>
  </si>
  <si>
    <t>INSTALACIÓN DE TUBERÍA PVC ELÉCTRICO (&lt; Ø 1")</t>
  </si>
  <si>
    <t>BENTONITA (50 LB)</t>
  </si>
  <si>
    <t>INSTALACIÓN PUESTA A TIERRA</t>
  </si>
  <si>
    <t xml:space="preserve">PERFORACIÓN DE POZO </t>
  </si>
  <si>
    <t>TRATAMIENTO PARA TIERRAS FISICAS QUIBACSOL (25LB)</t>
  </si>
  <si>
    <t>CABLE THHN No. 6</t>
  </si>
  <si>
    <t>PRUEBA DE RESISTIVIDAD</t>
  </si>
  <si>
    <t>DEMOLICIÓN DE MURO DE MAMPOSTERÍA</t>
  </si>
  <si>
    <t>FABRICACIÓN E INSTALACIÓN DE PUERTA DE METAL (0.90 m)</t>
  </si>
  <si>
    <t>FABRICACIÓN E INSTALACIÓN DE JUEGOS INFANTILES (COLUMPIO, TORRE, RESBALADERO)</t>
  </si>
  <si>
    <t>ABRAZADERA METÁLICA Ø 2 1/2"</t>
  </si>
  <si>
    <t>TEE HG Ø 2 1/2"</t>
  </si>
  <si>
    <t>MALLA GALVANIZADA RETICULADO 2"X2" CAL 10, 2M</t>
  </si>
  <si>
    <t>ARMADO + FUNDICIÓN DE CIMIENTO CORRIDO</t>
  </si>
  <si>
    <t>FABRICACIÓN E INSTALACIÓN DE MALLA (ALTURA = 2M)</t>
  </si>
  <si>
    <t>FABRICACIÓN E INSTALACIÓN DE PORTÓN METÁLICO DOBLE HOJA</t>
  </si>
  <si>
    <t>18 CALLE "A" 9-02 ZONA 13, COLONIA AURORA 2, CIUDAD DE GUATEMALA</t>
  </si>
  <si>
    <t>CONSTRUVIAS, 18 CALLE "A" 9-02 ZONA 13, COLONIA AURORA 2, CIUDAD DE GUATEMALA. TEL.: 22922288</t>
  </si>
  <si>
    <t>COCINA</t>
  </si>
  <si>
    <t>EXCAVACIÓN ESTRUCTURAL A MANO</t>
  </si>
  <si>
    <t>0300   MUROS</t>
  </si>
  <si>
    <t>TABLERO ELÉCTRICO (04 POLOS)</t>
  </si>
  <si>
    <t>MUEBLE FIJO + LAVATRASTOS DE ACERO INOXIDABLE</t>
  </si>
  <si>
    <t>PREPARACIÓN DE ÁREA DE TRABAJO EN REMOZAMIENTO</t>
  </si>
  <si>
    <t>PISO GRANITO (BASE SELECTO-CEMENTO T = 0.20m)</t>
  </si>
  <si>
    <t>DESMONTAJE DE CERCO DE MALLA</t>
  </si>
  <si>
    <t>DESMONTAR ACCESORIOS ELÉCTRICOS C/CABLE</t>
  </si>
  <si>
    <t>HILO NYLON</t>
  </si>
  <si>
    <t>LEVANTADO DE MURO</t>
  </si>
  <si>
    <t>PISO DE GRANITO DE 0.25 x 0.25 M</t>
  </si>
  <si>
    <t>PISO MONOSTRATO DE GRANITO DE 0.30 x 0.30 M</t>
  </si>
  <si>
    <t>INSTALACIÓN DE AZULEJO</t>
  </si>
  <si>
    <t>AZULEJO 0.20 x 0.30 COLOR BLANCO</t>
  </si>
  <si>
    <t>FABRICACIÓN E INSTALACIÓN DE PUERTA DE METAL CON PIVOTE + CHAPA</t>
  </si>
  <si>
    <t>FABRICACIÓN E INSTALACIÓN DE VENTANA METÁLICA + COLOCACIÓN DE VIDRIO</t>
  </si>
  <si>
    <t>TABLERO MONOFASICO 4 CIRCUITOS 125A.</t>
  </si>
  <si>
    <t>INSTALACIÓN DE CANAL</t>
  </si>
  <si>
    <t>CANAL DE PVC + PESCANTES</t>
  </si>
  <si>
    <t>TOPE PARA CANAL DE PVC</t>
  </si>
  <si>
    <t>BOCATUBO PARA CANAL DE PVC</t>
  </si>
  <si>
    <t>REMOZAMIENTO ESTRUCTURA METÁLICA</t>
  </si>
  <si>
    <t>TABLERO MONOFASICO 6 CIRCUITOS 125A.</t>
  </si>
  <si>
    <t>FABRICACIÓN E INSTALACIÓN DE PUERTA DE TUBO + MALLA</t>
  </si>
  <si>
    <t>FABRICACIÓN DE CAJA UNIFICADORA</t>
  </si>
  <si>
    <t>TINACO (2500 L, CON ACCESORIOS)</t>
  </si>
  <si>
    <t xml:space="preserve">TEE SANITARIA PVC Ø 4" </t>
  </si>
  <si>
    <t>PEGAMENTO PVC (1/4 GALON)</t>
  </si>
  <si>
    <t>CONSTRUCCIÓN DE FOSA SÉPTICA</t>
  </si>
  <si>
    <t>REFLECTOR DE INTEMPERIE PARA POSTE</t>
  </si>
  <si>
    <t>PERNO DE ANCLAJE TIPO L, DE 1/2"</t>
  </si>
  <si>
    <t>TUBO HG 5" Ch 14</t>
  </si>
  <si>
    <t>CONSTRUCCIÓN DE POSTE ELÉCTRICO</t>
  </si>
  <si>
    <t>CONSTRUCCIÓN DE MURO PERIMETRAL</t>
  </si>
  <si>
    <t>REMOZAMIENTO DE ESTRUCTURA EXISTENTE</t>
  </si>
  <si>
    <t>TRAZO Y ESTAQUEADO</t>
  </si>
  <si>
    <t>DEMOLICIÓN DE PISO CERÁMICO/PORCELANATO</t>
  </si>
  <si>
    <t>RELLENO Y COMPACTACIÓN DE CIMIENTO CON MATERIAL DE EXCAVACIÓN</t>
  </si>
  <si>
    <t>LEVANTADO DE MURO 0.19m, BLOCK TIPO A (70 Kg/Cm²)</t>
  </si>
  <si>
    <t xml:space="preserve">PIN EN BLOCK DE 0.20m </t>
  </si>
  <si>
    <t>COLUMNA (0.20m X 0.40m + 6 NO. 3 + ESL+ EST NO. 3 @ 0.20m)</t>
  </si>
  <si>
    <t>COLUMNA (0.20m X 0.20m + 4 NO. 3 + EST NO. 3 @ 0.20m)</t>
  </si>
  <si>
    <t>COLUMNA (0.20m X 0.40m + 6 NO. 4 + ESL+ EST NO. 3 @ 0.10m)</t>
  </si>
  <si>
    <t xml:space="preserve">COSTANERA DE 2" X 4" X 1/16" </t>
  </si>
  <si>
    <t>CUBIERTA DE LÁMINA TERMOACÚSTICA (INCLUYE CANAL Y BAP Ѳ=3")</t>
  </si>
  <si>
    <t>PAÑUELOS E IMPERMEABILIZACIÓN</t>
  </si>
  <si>
    <t>AZULEJO DE PORCELANATO</t>
  </si>
  <si>
    <t>PINTURA DE CIELO</t>
  </si>
  <si>
    <t>PUERTA DE METAL CON PIVOTE + SOBRELUZ + CHAPA</t>
  </si>
  <si>
    <t>BAJADA DE AGUA PVC Ø3" (INCLUYE ACCESORIOS)</t>
  </si>
  <si>
    <t xml:space="preserve">CAJA DE REGISTRO DE 0.47m X 0.47m </t>
  </si>
  <si>
    <t>CAJA TRAMPA GRASA DE 1.30m X 0.82m</t>
  </si>
  <si>
    <t>LAVAMANOS EMPOTRADO</t>
  </si>
  <si>
    <t>ESPEJO SIN MARCO</t>
  </si>
  <si>
    <t>DISPENSADOR PARA PAPEL HIGIÉNICO</t>
  </si>
  <si>
    <t>INTERRUPTOR DOBLE</t>
  </si>
  <si>
    <t>GABINETE METÁLICO PARA EXTINTOR EMPOTRADO</t>
  </si>
  <si>
    <t>TOP DE CONCRETO (SOLO LOSA)</t>
  </si>
  <si>
    <t>MODULO ADMINISTRATIVO</t>
  </si>
  <si>
    <t>REMOZAMIENTO DE VENTANA DE METAL + VIDRIOS</t>
  </si>
  <si>
    <t>REMOZAMIENTO DE BALCONES</t>
  </si>
  <si>
    <t>01100   INSTALACIONES ELECTRICAS</t>
  </si>
  <si>
    <t>MODULO DE AULAS</t>
  </si>
  <si>
    <t>DESMONTAJE DE ACCESORIOS ELÉCTRICOS</t>
  </si>
  <si>
    <t>MODULO DE SERVICIOS SANITARIOS</t>
  </si>
  <si>
    <t xml:space="preserve">AZULEJO  </t>
  </si>
  <si>
    <t>CIMIENTO CORRIDO DE 0.20m X 0.60m, CONCRETO 3000 PSI, REFUERZO 3NO3 + ESL NO3 @ 0.20m</t>
  </si>
  <si>
    <t xml:space="preserve">LEVANTADO DE MURO 0.19m, BLOCK TIPO A (70 Kg/Cm²) HASTA SOLERA DE HUMEDAD </t>
  </si>
  <si>
    <t>LEVANTADO DE MURO DOBLE 0.19m, BLOCK TIPO A (70 Kg/Cm²) HASTA SOLERA DE HUMEDAD</t>
  </si>
  <si>
    <t xml:space="preserve">LEVANTADO DE MURO DOBLE 0.19m, BLOCK TIPO A (70 Kg/Cm²) </t>
  </si>
  <si>
    <t>PEDESTAL (0.30m X 0.30m + 4 NO. 5 + EST NO.2 @ 0.15m)</t>
  </si>
  <si>
    <t>VIGA (0.20m X 0.40m + 6 NO. 5 + 3 BAST NO 5 + EST NO. 3 @ 0.10-0.15m)</t>
  </si>
  <si>
    <t>VIGA (0.15m X 0.40m + 4 NO. 4 + EST NO. 3 @ 0.20m)</t>
  </si>
  <si>
    <t>VIGA (0.40m X 0.40m + 4 NO. 5 + 2 NO.4 + EST NO. 3 @ 0.15m)</t>
  </si>
  <si>
    <t>SOLERA (0.20m X 0.20m + 4 NO. 3 + EST NO. 3 @ 0.20m)</t>
  </si>
  <si>
    <t>SOLERA (0.20m X 0.40m + 6 NO. 3 + EST NO. 3 @ 0.20m)</t>
  </si>
  <si>
    <t>LOSA TRADICIONAL (E = 0.10m + REFUERZO NO. 3 - S = 0.18m X 0.18m + BASTONES NO 3 - S = 0.18m X 0.18m)</t>
  </si>
  <si>
    <t>CENEFA (0.40m X 0.10m, NO.3 EN AMBOS SENTIDOS @ 0.20m - FORMA L)</t>
  </si>
  <si>
    <t>COLUMNA METÁLICA DE TUBO 4" X 4", CH 14</t>
  </si>
  <si>
    <t>REPELLO + CERNIDO EN CIELOS</t>
  </si>
  <si>
    <t>REPELLO + BLANQUEADO</t>
  </si>
  <si>
    <t>VENTANA CORREDIZA DE PVC + VIDRIO CLARO DE 5mm + BALCÓN</t>
  </si>
  <si>
    <t>TUBERÍA AGUA POTABLE PVC Ø 1/2", 315 PSI (INCLUYE ACCESORIOS)</t>
  </si>
  <si>
    <t>TUBERÍA AGUA POTABLE PVC Ø 3/4", 250 PSI (INCLUYE ACCESORIOS)</t>
  </si>
  <si>
    <t>TUBERÍA PVC Ø 2", 160 PSI (INLCUYE ACCESORIOS)</t>
  </si>
  <si>
    <t>TUBERÍA PVC Ø 3", 160 PSI (INLCUYE ACCESORIOS)</t>
  </si>
  <si>
    <t>TUBERÍA PVC Ø 4", 160 PSI (INLCUYE ACCESORIOS)</t>
  </si>
  <si>
    <t>CAJA DE REGISTRO DE 0.59m X 0.59m</t>
  </si>
  <si>
    <t>BOTE DE BASURA PLÁSTICO 20 LITROS</t>
  </si>
  <si>
    <t>DISPENSADOR DE PAPEL PARA MANOS</t>
  </si>
  <si>
    <t>DISPENSADOR PARA JABÓN LÍQUIDO ACERO INOXIDABLE</t>
  </si>
  <si>
    <t>DISPENSADOR DE ALCOHOL EN GEL (400ml)</t>
  </si>
  <si>
    <t>0900   INSTALACIONES HIDRAULICAS Y SANITARIAS</t>
  </si>
  <si>
    <t>1000   ARTEFACTOS SANITARIOS</t>
  </si>
  <si>
    <t>1200   INTALACIONES ESPECIALES</t>
  </si>
  <si>
    <t>1300   VARIOS</t>
  </si>
  <si>
    <t>TABLERO ELÉCTRICO (08 POLOS)</t>
  </si>
  <si>
    <t>LÁMPARA LED TIPO LISTON 2 TUBOS (18 WATS)</t>
  </si>
  <si>
    <t>TOMACORRIENTE DOBLE 120V, 15A. (ALAMBRADO)</t>
  </si>
  <si>
    <t>EXTINTOR DE FUEGO DE 20 Lb</t>
  </si>
  <si>
    <t>CUBIERTA TIPO PANEL SÁDWICH (T=1.5", LÁMINA CAL 26)</t>
  </si>
  <si>
    <t>PISO CERÁMICO</t>
  </si>
  <si>
    <t>PISO CERÁMICO ANTIDESLIZANTE</t>
  </si>
  <si>
    <t>PUERTA METAL + CHAPA (1 hoja)</t>
  </si>
  <si>
    <t>TOMACORRIENTE DOBLE 120V</t>
  </si>
  <si>
    <t>MÓDULO DE AULAS</t>
  </si>
  <si>
    <t xml:space="preserve">0600   ACABADOS </t>
  </si>
  <si>
    <t>MÓDULO DE SERVICIOS SANITARIOS</t>
  </si>
  <si>
    <t>OBRA EXTERIOR</t>
  </si>
  <si>
    <t>REMOZAMIENTO DE PORTÓN DE METAL + CHAPA</t>
  </si>
  <si>
    <t>MURO PERIMETRAL DE 0.15m, H=2.0m</t>
  </si>
  <si>
    <t>TINACO (2500 LTS)</t>
  </si>
  <si>
    <t>ESTACAS</t>
  </si>
  <si>
    <t>DESMONTAJE DE ACCESORIOS ELECTRICOS</t>
  </si>
  <si>
    <t>AZADÓN CON MANGO</t>
  </si>
  <si>
    <t>RELLENO DE MATERIAL EXCAVADO</t>
  </si>
  <si>
    <t>COMPACTACIÓN DE MATERIAL EXCAVADO</t>
  </si>
  <si>
    <t>BLOCK 70 KG/CM², 0.19 x 0.19 x 0.39  (tipo A)</t>
  </si>
  <si>
    <t>ARMADO + FUNDICIÓN DE VIGA</t>
  </si>
  <si>
    <t>ARMADO + FUNDICIÓN DE LOSA</t>
  </si>
  <si>
    <t>ARMADO + FUNDICIÓN DE CENEFA</t>
  </si>
  <si>
    <t>INSTALACIÓN DE ESTRUCTURA</t>
  </si>
  <si>
    <t>PLATINA 0.45 x 0.45 m x 3/4"</t>
  </si>
  <si>
    <t>PERNO DE ANCLAJE TIPO J, DE 3/4"x1 m</t>
  </si>
  <si>
    <t>TUERCA HEXAGONAL DE 3/4"</t>
  </si>
  <si>
    <t>ROLDANA GALVANIZADA DE ANILLO DE 3/4"</t>
  </si>
  <si>
    <t>WASHA DE PRESIÓN DE 3/4"</t>
  </si>
  <si>
    <t>COLOCACIÓN DE TUBO + ANCLAJE</t>
  </si>
  <si>
    <t>APLICACIÓN DE REPELLO + CERNIDO</t>
  </si>
  <si>
    <t>FABRICACIÓN E INSTALACIÓN DE PUERTA DE METAL CON PIVOTE + SOBRELUZ + CHAPA</t>
  </si>
  <si>
    <t>CODO 45° PVC D2665 Ø 3"</t>
  </si>
  <si>
    <t xml:space="preserve">TUBO PVC Ø 3" 160 PSI </t>
  </si>
  <si>
    <t>INSTALACIÓN DE BAJADAS DE AGUA</t>
  </si>
  <si>
    <t>LLAVE PARA LAVAMANOS</t>
  </si>
  <si>
    <t>ESPEJO</t>
  </si>
  <si>
    <t>INSTALACIÓN DE ESPEJO</t>
  </si>
  <si>
    <t>GABINETE METÁLICO PARA EXTINTOR DE 10 LBS</t>
  </si>
  <si>
    <t>INSTALACIÓN DE GABINETE</t>
  </si>
  <si>
    <t>LÁMINA TIPO PANEL DE 4"</t>
  </si>
  <si>
    <t>CABALLETE DE FIBRA  DE VIDRIO</t>
  </si>
  <si>
    <t>PERNOS 3/8" X 5" + ROLDANA Y TUERCA</t>
  </si>
  <si>
    <t xml:space="preserve">COLOCACIÓN DE LAMINA TIPO PANEL </t>
  </si>
  <si>
    <t>PISO CERAMICO 0.35m X 0.35m</t>
  </si>
  <si>
    <t>PISO CERAMICO ANTIDESLIZANTE 0.35m X 0.35m</t>
  </si>
  <si>
    <t>REMOZAMIENTO DE VENTANAS DE METAL + VIDRIOS</t>
  </si>
  <si>
    <t>INSTALACION DE TOMACORRIENTE DOBLE</t>
  </si>
  <si>
    <t>INSTALACIÓN DE AZULEJO PORCELANATO</t>
  </si>
  <si>
    <t>GERARDO GUSTAVO GALDÁMEZ ORANTES</t>
  </si>
  <si>
    <t>0100</t>
  </si>
  <si>
    <t>PRELIMINARES</t>
  </si>
  <si>
    <t>P</t>
  </si>
  <si>
    <t>Q</t>
  </si>
  <si>
    <t>0200</t>
  </si>
  <si>
    <t>CIMENTACIÓN</t>
  </si>
  <si>
    <t>0300</t>
  </si>
  <si>
    <t>MUROS</t>
  </si>
  <si>
    <t>0400</t>
  </si>
  <si>
    <t>COLUMNAS, LOSAS, VIGAS Y SOLERAS</t>
  </si>
  <si>
    <t>0500</t>
  </si>
  <si>
    <t>CUBIERTA Y ESTRUCTURA DE TECHO</t>
  </si>
  <si>
    <t>0600</t>
  </si>
  <si>
    <t>ACABADOS</t>
  </si>
  <si>
    <t>0700</t>
  </si>
  <si>
    <t>PUERTAS</t>
  </si>
  <si>
    <t>0800</t>
  </si>
  <si>
    <t>VENTANERIA</t>
  </si>
  <si>
    <t>0900</t>
  </si>
  <si>
    <t>INSTALACIONES HIDRAULICAS Y SANITARIAS</t>
  </si>
  <si>
    <t>1000</t>
  </si>
  <si>
    <t>ARTEFACTOS SANITARIOS</t>
  </si>
  <si>
    <t>1100</t>
  </si>
  <si>
    <t>INSTALACIONES ELECTRICAS</t>
  </si>
  <si>
    <t>1200</t>
  </si>
  <si>
    <t>INSTALACIONES ESPECIALES</t>
  </si>
  <si>
    <t>1300</t>
  </si>
  <si>
    <t>VARIOS</t>
  </si>
  <si>
    <t>1400</t>
  </si>
  <si>
    <t>MÓDULO ADMINISTRATIVO</t>
  </si>
  <si>
    <t xml:space="preserve">TIEMPO EN DIAS CALENDARIO : </t>
  </si>
  <si>
    <t>GRUPO 14 QUE COMPRENDE:</t>
  </si>
  <si>
    <t>REMOZAMIENTO DE EDIFICACIONES ESCOLARES AFECTADAS POR EL CICLÓN TROPICAL BLAS Y CELIA DEL DEPARTAMENTO DE PETEN</t>
  </si>
  <si>
    <t>- EODP ANEXA A ESCUELA RURAL MIXTA, EL CRUZADERO, MELCHOR DE MENCOS, PETEN -</t>
  </si>
  <si>
    <t>EVENTO No. UCEE-14-2022</t>
  </si>
  <si>
    <t>GRUPO 12 QUE COMPRENDE: REMOZAMIENTO DE EDIFICACIONES ESCOLARES AFECTADAS POR EL CICLÓN TROPICAL BLAS Y CELIA DEL DEPARTAMENTO DE PETEN 
- EODP ANEXA A ESCUELA RURAL MIXTA, EL CRUZADERO, MELCHOR DE MENCOS, PETEN -</t>
  </si>
  <si>
    <t>90 DÍAS CALENDARIO</t>
  </si>
  <si>
    <t>CANTIDAD ANTIGUA</t>
  </si>
  <si>
    <t>PRECIO UNITARIO ANTIGUO</t>
  </si>
  <si>
    <t>TOTAL ANTIGUO</t>
  </si>
  <si>
    <t>CANTIDAD NUEVA</t>
  </si>
  <si>
    <t>PRECIO UNITARIO NUEVO</t>
  </si>
  <si>
    <t>DIFERENCIA DE CANTIDADES</t>
  </si>
  <si>
    <t>DIFERENCIA DE PRECIOS UNITARIOS</t>
  </si>
  <si>
    <t>ESCALERA</t>
  </si>
  <si>
    <t>DEMOLICIÓN DE PISO</t>
  </si>
  <si>
    <t>PALA</t>
  </si>
  <si>
    <t>BARRA</t>
  </si>
  <si>
    <t>CARRETA</t>
  </si>
  <si>
    <t>DIFERENCIA DE TOTALES CON UNITARIO NUEVO</t>
  </si>
  <si>
    <t>TOTAL NUEVO CON UNITARIO NUEVO</t>
  </si>
  <si>
    <t>TOTAL NUEVO CON UNITARIO ANTIGUO</t>
  </si>
  <si>
    <t>DIFERENCIA DE TOTALES CON UNITARIO ANTIGUO</t>
  </si>
  <si>
    <t>m</t>
  </si>
  <si>
    <t>CLAVO DE 2"</t>
  </si>
  <si>
    <t>REGLA DE MADERA RÚSTICA DE PINO 1" X 3" X 10'</t>
  </si>
  <si>
    <t>Regla</t>
  </si>
  <si>
    <t>CAL HIDRATADA 20 KG</t>
  </si>
  <si>
    <t>DESMONTAJE DE ROTOPLAS</t>
  </si>
  <si>
    <t>?????</t>
  </si>
  <si>
    <t>DESMONTAJE DE PAREDES</t>
  </si>
  <si>
    <t>DESMONTAJE DE CIMIENTO CORRIDO</t>
  </si>
  <si>
    <t>ACERO</t>
  </si>
  <si>
    <t>CIMIENTO CORRIDO</t>
  </si>
  <si>
    <t>Tipo</t>
  </si>
  <si>
    <t>Proporción volumétrica</t>
  </si>
  <si>
    <r>
      <t>Resistencia (Kg/cm</t>
    </r>
    <r>
      <rPr>
        <b/>
        <vertAlign val="superscript"/>
        <sz val="6"/>
        <rFont val="Arial"/>
        <family val="2"/>
      </rPr>
      <t>2</t>
    </r>
    <r>
      <rPr>
        <b/>
        <sz val="6"/>
        <rFont val="Arial"/>
        <family val="2"/>
      </rPr>
      <t>)</t>
    </r>
  </si>
  <si>
    <t>Bolsas de Cemento</t>
  </si>
  <si>
    <r>
      <t>Arena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</si>
  <si>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Grava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</si>
  <si>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U/qq</t>
  </si>
  <si>
    <t>DIMENSIONES</t>
  </si>
  <si>
    <t>Cemento</t>
  </si>
  <si>
    <t>Arena</t>
  </si>
  <si>
    <t>Piedrín</t>
  </si>
  <si>
    <t>1/4"</t>
  </si>
  <si>
    <t>Largo (m)</t>
  </si>
  <si>
    <t>3/8"</t>
  </si>
  <si>
    <t>Ancho (m)</t>
  </si>
  <si>
    <t>1/2"</t>
  </si>
  <si>
    <t>Peralte (t)</t>
  </si>
  <si>
    <t>5/8"</t>
  </si>
  <si>
    <t>Recubrimiento (m)</t>
  </si>
  <si>
    <t>Profundidad de excavación (m)</t>
  </si>
  <si>
    <r>
      <t>Volumen total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</si>
  <si>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Volumen de excavación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</si>
  <si>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REFUERZO DE ACERO</t>
  </si>
  <si>
    <r>
      <t>Acero corrugado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</si>
  <si>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Cantidad de varillas</t>
  </si>
  <si>
    <t>CÁLCULO DE CONCRETO</t>
  </si>
  <si>
    <r>
      <t>Resistencia (Kg/cm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</si>
  <si>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Separación entre eslabones (m)</t>
  </si>
  <si>
    <t>Resistencia (PSI)</t>
  </si>
  <si>
    <t>Largo de eslabón (m)</t>
  </si>
  <si>
    <r>
      <t>Volumen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</si>
  <si>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Cantidad de eslabones a usar</t>
  </si>
  <si>
    <t>Sacos de cemento</t>
  </si>
  <si>
    <t>Piezas por varilla</t>
  </si>
  <si>
    <r>
      <t>Arena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</si>
  <si>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Grava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</si>
  <si>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Alambre de amarre (lb)</t>
  </si>
  <si>
    <r>
      <t>Acero para eslabones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</si>
  <si>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PIOCHA</t>
  </si>
  <si>
    <t>LEVANTADO DE MURO DE CIMENTACIÓN CON BLOCK TIPO B (50 Kg/cm², 0.14 x 0.19 x 0.39 m). HASTA SOLERA DE HUMEDAD</t>
  </si>
  <si>
    <t>Cantidad de blocks a pegar</t>
  </si>
  <si>
    <t>Altura</t>
  </si>
  <si>
    <t>Espesor de block</t>
  </si>
  <si>
    <t>CÁLCULO DE SABIETA - BLOCK DE 0.14</t>
  </si>
  <si>
    <t>LEVANTADO DE MURO DE CIMENTACIÓN</t>
  </si>
  <si>
    <t>LEVANTADO DE MURO CON BLOCK TIPO B (50 Kg/cm², 0.14 x 0.19 x 0.39 m).</t>
  </si>
  <si>
    <t>ALISADO CON PLANCHA DE ACERO</t>
  </si>
  <si>
    <t>ARMADO Y ENCOFRADO DE TOP</t>
  </si>
  <si>
    <r>
      <t>Acero liso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</si>
  <si>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Largo de estribo (m)</t>
  </si>
  <si>
    <t>Columna</t>
  </si>
  <si>
    <t>SOLERA CORONA (0.14m X 0.36m + 4 NO. 4  + EST NO. 2 @ 0.20m)</t>
  </si>
  <si>
    <t>SOLERA DINTEL (0.14m X 0.20m + 4 NO. 3 + EST NO. 2 @ 0.20m)</t>
  </si>
  <si>
    <t>SOLERA INTERMEDIA BLOCK U (0.14m X 0.20m + 2 NO. 3 + ESL NO. 2 @ 0.20m)</t>
  </si>
  <si>
    <t>SOLERA DE HUMEDAD (0.14m X 0.20m + 4 NO. 3 + EST NO. 2 @ 0.20m)</t>
  </si>
  <si>
    <t>COLUMNA C-1 (0.14m x 0.20m + 6 NO. 3 + EST NO. 2 @0.10m)</t>
  </si>
  <si>
    <t>SOLERA MOJINETE (0.14m X 0.20m + 4 NO. 3  + EST NO. 2 @ 0.20m)</t>
  </si>
  <si>
    <t>Solera</t>
  </si>
  <si>
    <t>BLOCK U 50 KG/CM², 0.14 x 0.19 x 0.39  (tipo B)</t>
  </si>
  <si>
    <t>ESTRUCTURA PORTANTE DE METAL</t>
  </si>
  <si>
    <t>CUBIERTA DE LÁMINA TERMOACÚSTICA (INCLUYE CANAL + BAP Ѳ=3")</t>
  </si>
  <si>
    <t>PISO DE CONCRETO (T = 0.10m)</t>
  </si>
  <si>
    <t>PRECIO UNITARIO</t>
  </si>
  <si>
    <t xml:space="preserve">TOTAL </t>
  </si>
  <si>
    <t>LEVANTADO DE MURO DE CIMENTACIÓN CON BLOCK TIPO B (50 Kg/cm², 0.15 x 0.20 x 0.40 m). HASTA SOLERA DE HUMEDAD</t>
  </si>
  <si>
    <t>LEVANTADO DE MURO CON BLOCK TIPO B (50 Kg/cm², 0.15 x 0.20 x 0.40 m).</t>
  </si>
  <si>
    <t>SOLERA INTERMEDIA (0.14m X 0.20m + 4 NO. 3 + EST NO. 2 @ 0.20m)</t>
  </si>
  <si>
    <t>SOLERA CORONA (0.14m X 0.20m + 4 NO. 4  + EST NO. 2 @ 0.20m)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</si>
</sst>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_(* #,##0.000_);_(* \(#,##0.000\);_(* &quot;-&quot;??_);_(@_)"/>
    <numFmt numFmtId="166" formatCode="_(&quot;Q&quot;* #,##0.0000_);_(&quot;Q&quot;* \(#,##0.0000\);_(&quot;Q&quot;* &quot;-&quot;??_);_(@_)"/>
    <numFmt numFmtId="167" formatCode="_ [$$-2C0A]\ * #,##0.00_ ;_ [$$-2C0A]\ * \-#,##0.00_ ;_ [$$-2C0A]\ * &quot;-&quot;??_ ;_ @_ "/>
    <numFmt numFmtId="168" formatCode="0.0"/>
    <numFmt numFmtId="169" formatCode="_-&quot;Q&quot;* #,##0.0000_-;\-&quot;Q&quot;* #,##0.0000_-;_-&quot;Q&quot;* &quot;-&quot;??_-;_-@_-"/>
    <numFmt numFmtId="170" formatCode="_-&quot;Q&quot;* #,##0.0000_-;\-&quot;Q&quot;* #,##0.0000_-;_-&quot;Q&quot;* &quot;-&quot;????_-;_-@_-"/>
    <numFmt numFmtId="171" formatCode="#,##0.00_ ;\-#,##0.00\ "/>
    <numFmt numFmtId="172" formatCode="_-&quot;Q&quot;* #,##0.00_-;\-&quot;Q&quot;* #,##0.00_-;_-&quot;Q&quot;* &quot;-&quot;_-;_-@_-"/>
    <numFmt numFmtId="173" formatCode="0.000"/>
    <numFmt numFmtId="174" formatCode="0.0000000"/>
    <numFmt numFmtId="175" formatCode="0.0000"/>
    <numFmt numFmtId="176" formatCode="0.000%"/>
    <numFmt numFmtId="177" formatCode="0.00000"/>
    <numFmt numFmtId="178" formatCode="0.0000%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  <font>
      <sz val="11"/>
      <name val="Ebrima"/>
    </font>
    <font>
      <b/>
      <sz val="11"/>
      <name val="Ebrima"/>
    </font>
    <font>
      <sz val="11"/>
      <color rgb="FFFFFF00"/>
      <name val="Ebrima"/>
    </font>
    <font>
      <b/>
      <sz val="11"/>
      <color rgb="FFC00000"/>
      <name val="Ebrima"/>
    </font>
    <font>
      <b/>
      <sz val="11"/>
      <color rgb="FF3F3F3F"/>
      <name val="Ebrima"/>
    </font>
    <font>
      <b/>
      <sz val="11"/>
      <color rgb="FF0070C0"/>
      <name val="Ebrima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1"/>
      <name val="Century Gothic"/>
      <family val="2"/>
    </font>
    <font>
      <b/>
      <sz val="8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perscript"/>
      <sz val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</font>
    <font>
      <sz val="11.5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11" fillId="9" borderId="39" applyNumberFormat="0" applyAlignment="0" applyProtection="0"/>
    <xf numFmtId="0" fontId="12" fillId="10" borderId="40" applyNumberFormat="0" applyAlignment="0" applyProtection="0"/>
    <xf numFmtId="0" fontId="13" fillId="11" borderId="41" applyNumberFormat="0" applyAlignment="0" applyProtection="0"/>
    <xf numFmtId="44" fontId="16" fillId="14" borderId="47">
      <alignment horizontal="center" vertical="center" wrapText="1"/>
    </xf>
  </cellStyleXfs>
  <cellXfs count="575">
    <xf numFmtId="0" fontId="0" fillId="0" borderId="0" xfId="0"/>
    <xf numFmtId="165" fontId="3" fillId="0" borderId="0" xfId="5" applyNumberFormat="1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8" fillId="0" borderId="0" xfId="0" applyNumberFormat="1" applyFont="1"/>
    <xf numFmtId="0" fontId="8" fillId="0" borderId="0" xfId="0" applyFont="1"/>
    <xf numFmtId="4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justify" vertical="justify"/>
    </xf>
    <xf numFmtId="0" fontId="14" fillId="0" borderId="0" xfId="0" applyFont="1" applyAlignment="1">
      <alignment horizontal="center" vertical="center"/>
    </xf>
    <xf numFmtId="44" fontId="15" fillId="0" borderId="0" xfId="0" applyNumberFormat="1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44" fontId="15" fillId="0" borderId="0" xfId="0" applyNumberFormat="1" applyFont="1"/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20" fillId="0" borderId="0" xfId="9" applyNumberFormat="1" applyFont="1" applyFill="1" applyBorder="1"/>
    <xf numFmtId="10" fontId="21" fillId="10" borderId="0" xfId="9" applyNumberFormat="1" applyFont="1" applyBorder="1"/>
    <xf numFmtId="169" fontId="22" fillId="0" borderId="0" xfId="9" applyNumberFormat="1" applyFont="1" applyFill="1" applyBorder="1"/>
    <xf numFmtId="0" fontId="18" fillId="6" borderId="0" xfId="0" applyFont="1" applyFill="1" applyAlignment="1">
      <alignment horizontal="right" vertical="center"/>
    </xf>
    <xf numFmtId="0" fontId="20" fillId="13" borderId="0" xfId="0" applyFont="1" applyFill="1" applyAlignment="1">
      <alignment horizontal="center"/>
    </xf>
    <xf numFmtId="0" fontId="17" fillId="7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1" fontId="20" fillId="13" borderId="0" xfId="0" applyNumberFormat="1" applyFont="1" applyFill="1" applyAlignment="1">
      <alignment horizontal="center"/>
    </xf>
    <xf numFmtId="44" fontId="15" fillId="0" borderId="0" xfId="0" applyNumberFormat="1" applyFont="1" applyAlignment="1">
      <alignment horizontal="center" vertical="center"/>
    </xf>
    <xf numFmtId="2" fontId="17" fillId="7" borderId="0" xfId="0" applyNumberFormat="1" applyFont="1" applyFill="1" applyAlignment="1">
      <alignment horizontal="center" vertical="center"/>
    </xf>
    <xf numFmtId="2" fontId="20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8" fillId="0" borderId="0" xfId="5" applyNumberFormat="1" applyFont="1" applyFill="1" applyAlignment="1">
      <alignment horizontal="center" vertical="center"/>
    </xf>
    <xf numFmtId="171" fontId="0" fillId="0" borderId="16" xfId="0" applyNumberFormat="1" applyBorder="1"/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71" fontId="0" fillId="0" borderId="0" xfId="0" applyNumberFormat="1"/>
    <xf numFmtId="2" fontId="0" fillId="0" borderId="0" xfId="0" applyNumberFormat="1"/>
    <xf numFmtId="0" fontId="23" fillId="0" borderId="0" xfId="0" applyFont="1" applyAlignment="1">
      <alignment horizontal="justify" vertical="justify"/>
    </xf>
    <xf numFmtId="0" fontId="23" fillId="0" borderId="0" xfId="0" applyFont="1" applyAlignment="1">
      <alignment horizontal="center" vertical="center"/>
    </xf>
    <xf numFmtId="44" fontId="24" fillId="0" borderId="0" xfId="0" applyNumberFormat="1" applyFont="1" applyAlignment="1">
      <alignment vertical="center"/>
    </xf>
    <xf numFmtId="2" fontId="2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justify" vertical="center"/>
    </xf>
    <xf numFmtId="44" fontId="24" fillId="0" borderId="0" xfId="0" applyNumberFormat="1" applyFont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16" xfId="0" applyNumberFormat="1" applyFont="1" applyBorder="1" applyAlignment="1">
      <alignment horizontal="center" vertical="center"/>
    </xf>
    <xf numFmtId="2" fontId="25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/>
    <xf numFmtId="2" fontId="9" fillId="0" borderId="29" xfId="0" applyNumberFormat="1" applyFont="1" applyBorder="1" applyAlignment="1">
      <alignment horizontal="center" vertical="top"/>
    </xf>
    <xf numFmtId="2" fontId="9" fillId="0" borderId="22" xfId="0" applyNumberFormat="1" applyFont="1" applyBorder="1" applyAlignment="1">
      <alignment horizontal="center" vertical="center"/>
    </xf>
    <xf numFmtId="44" fontId="9" fillId="0" borderId="22" xfId="0" applyNumberFormat="1" applyFont="1" applyBorder="1" applyAlignment="1">
      <alignment vertical="center"/>
    </xf>
    <xf numFmtId="2" fontId="25" fillId="0" borderId="29" xfId="0" applyNumberFormat="1" applyFont="1" applyBorder="1" applyAlignment="1">
      <alignment horizontal="center" vertical="top"/>
    </xf>
    <xf numFmtId="2" fontId="9" fillId="0" borderId="16" xfId="5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vertical="center"/>
    </xf>
    <xf numFmtId="0" fontId="9" fillId="0" borderId="29" xfId="0" applyFont="1" applyBorder="1" applyAlignment="1">
      <alignment horizontal="center" vertical="top"/>
    </xf>
    <xf numFmtId="169" fontId="9" fillId="0" borderId="1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25" fillId="0" borderId="16" xfId="0" applyFont="1" applyBorder="1" applyAlignment="1">
      <alignment horizontal="left" vertical="top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2" fontId="9" fillId="15" borderId="29" xfId="0" applyNumberFormat="1" applyFont="1" applyFill="1" applyBorder="1" applyAlignment="1">
      <alignment horizontal="center" vertical="top"/>
    </xf>
    <xf numFmtId="2" fontId="9" fillId="15" borderId="22" xfId="5" applyNumberFormat="1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44" fontId="9" fillId="15" borderId="22" xfId="0" applyNumberFormat="1" applyFont="1" applyFill="1" applyBorder="1" applyAlignment="1">
      <alignment vertical="center"/>
    </xf>
    <xf numFmtId="169" fontId="9" fillId="0" borderId="0" xfId="0" applyNumberFormat="1" applyFont="1"/>
    <xf numFmtId="10" fontId="9" fillId="0" borderId="0" xfId="0" applyNumberFormat="1" applyFont="1"/>
    <xf numFmtId="0" fontId="27" fillId="11" borderId="41" xfId="10" applyFont="1" applyAlignment="1">
      <alignment horizontal="center"/>
    </xf>
    <xf numFmtId="9" fontId="27" fillId="11" borderId="41" xfId="7" applyFont="1" applyFill="1" applyBorder="1" applyAlignment="1">
      <alignment horizontal="center"/>
    </xf>
    <xf numFmtId="165" fontId="25" fillId="0" borderId="0" xfId="5" applyNumberFormat="1" applyFont="1" applyFill="1" applyAlignment="1">
      <alignment vertical="center"/>
    </xf>
    <xf numFmtId="169" fontId="25" fillId="0" borderId="0" xfId="5" applyNumberFormat="1" applyFont="1" applyFill="1" applyBorder="1" applyAlignment="1">
      <alignment vertical="center" wrapText="1"/>
    </xf>
    <xf numFmtId="2" fontId="27" fillId="11" borderId="41" xfId="7" applyNumberFormat="1" applyFont="1" applyFill="1" applyBorder="1" applyAlignment="1">
      <alignment horizontal="center"/>
    </xf>
    <xf numFmtId="10" fontId="9" fillId="0" borderId="0" xfId="0" applyNumberFormat="1" applyFont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/>
    <xf numFmtId="44" fontId="25" fillId="0" borderId="16" xfId="0" applyNumberFormat="1" applyFont="1" applyBorder="1" applyAlignment="1">
      <alignment horizontal="center"/>
    </xf>
    <xf numFmtId="44" fontId="25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 vertical="center"/>
    </xf>
    <xf numFmtId="0" fontId="25" fillId="8" borderId="1" xfId="3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6" fillId="12" borderId="30" xfId="0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6" fontId="25" fillId="0" borderId="16" xfId="0" applyNumberFormat="1" applyFont="1" applyBorder="1" applyAlignment="1">
      <alignment horizontal="center"/>
    </xf>
    <xf numFmtId="2" fontId="28" fillId="12" borderId="16" xfId="0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vertical="center"/>
    </xf>
    <xf numFmtId="166" fontId="9" fillId="0" borderId="8" xfId="0" applyNumberFormat="1" applyFont="1" applyBorder="1" applyAlignment="1">
      <alignment vertical="center"/>
    </xf>
    <xf numFmtId="2" fontId="25" fillId="0" borderId="22" xfId="0" applyNumberFormat="1" applyFont="1" applyBorder="1" applyAlignment="1">
      <alignment horizontal="center" vertical="center"/>
    </xf>
    <xf numFmtId="2" fontId="28" fillId="12" borderId="26" xfId="0" applyNumberFormat="1" applyFont="1" applyFill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" fontId="28" fillId="12" borderId="43" xfId="0" applyNumberFormat="1" applyFont="1" applyFill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169" fontId="29" fillId="0" borderId="0" xfId="8" applyNumberFormat="1" applyFont="1" applyFill="1" applyBorder="1"/>
    <xf numFmtId="170" fontId="9" fillId="0" borderId="8" xfId="0" applyNumberFormat="1" applyFont="1" applyBorder="1"/>
    <xf numFmtId="44" fontId="9" fillId="0" borderId="44" xfId="0" applyNumberFormat="1" applyFont="1" applyBorder="1"/>
    <xf numFmtId="169" fontId="31" fillId="0" borderId="0" xfId="9" applyNumberFormat="1" applyFont="1" applyFill="1" applyBorder="1"/>
    <xf numFmtId="10" fontId="32" fillId="10" borderId="0" xfId="9" applyNumberFormat="1" applyFont="1" applyBorder="1"/>
    <xf numFmtId="169" fontId="2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/>
    </xf>
    <xf numFmtId="2" fontId="9" fillId="0" borderId="2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33" fillId="0" borderId="0" xfId="0" applyFont="1" applyAlignment="1">
      <alignment horizontal="justify" vertical="center"/>
    </xf>
    <xf numFmtId="0" fontId="33" fillId="0" borderId="0" xfId="0" applyFont="1" applyAlignment="1">
      <alignment horizontal="center" vertical="center"/>
    </xf>
    <xf numFmtId="44" fontId="34" fillId="0" borderId="0" xfId="0" applyNumberFormat="1" applyFont="1" applyAlignment="1">
      <alignment vertical="center"/>
    </xf>
    <xf numFmtId="2" fontId="34" fillId="0" borderId="0" xfId="0" applyNumberFormat="1" applyFont="1" applyAlignment="1">
      <alignment horizontal="center" vertical="center"/>
    </xf>
    <xf numFmtId="44" fontId="34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justify" vertical="justify"/>
    </xf>
    <xf numFmtId="10" fontId="10" fillId="0" borderId="0" xfId="0" applyNumberFormat="1" applyFont="1"/>
    <xf numFmtId="0" fontId="10" fillId="0" borderId="0" xfId="0" applyFont="1" applyAlignment="1">
      <alignment vertical="center"/>
    </xf>
    <xf numFmtId="173" fontId="9" fillId="0" borderId="16" xfId="5" applyNumberFormat="1" applyFont="1" applyFill="1" applyBorder="1" applyAlignment="1">
      <alignment horizontal="center" vertical="center"/>
    </xf>
    <xf numFmtId="169" fontId="35" fillId="0" borderId="0" xfId="8" applyNumberFormat="1" applyFont="1" applyFill="1" applyBorder="1"/>
    <xf numFmtId="10" fontId="36" fillId="10" borderId="0" xfId="9" applyNumberFormat="1" applyFont="1" applyBorder="1"/>
    <xf numFmtId="168" fontId="37" fillId="0" borderId="16" xfId="0" applyNumberFormat="1" applyFont="1" applyBorder="1" applyAlignment="1">
      <alignment horizontal="center" vertical="center"/>
    </xf>
    <xf numFmtId="2" fontId="28" fillId="18" borderId="16" xfId="0" applyNumberFormat="1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/>
    </xf>
    <xf numFmtId="0" fontId="9" fillId="5" borderId="0" xfId="0" applyFont="1" applyFill="1"/>
    <xf numFmtId="0" fontId="9" fillId="5" borderId="8" xfId="0" applyFont="1" applyFill="1" applyBorder="1" applyAlignment="1">
      <alignment horizontal="center"/>
    </xf>
    <xf numFmtId="0" fontId="25" fillId="5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2" fontId="9" fillId="0" borderId="0" xfId="0" applyNumberFormat="1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28" fillId="0" borderId="0" xfId="5" applyFont="1" applyFill="1" applyAlignment="1">
      <alignment horizontal="center" vertical="center" wrapText="1"/>
    </xf>
    <xf numFmtId="164" fontId="28" fillId="0" borderId="0" xfId="5" applyFont="1" applyFill="1" applyAlignment="1">
      <alignment vertical="center" wrapText="1"/>
    </xf>
    <xf numFmtId="44" fontId="28" fillId="0" borderId="0" xfId="1" applyFont="1" applyFill="1" applyAlignment="1">
      <alignment horizontal="center" vertical="center" wrapText="1"/>
    </xf>
    <xf numFmtId="164" fontId="39" fillId="0" borderId="0" xfId="5" applyFont="1" applyFill="1" applyAlignment="1">
      <alignment horizontal="center" vertical="center" wrapText="1"/>
    </xf>
    <xf numFmtId="44" fontId="40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44" fontId="38" fillId="0" borderId="0" xfId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44" fontId="9" fillId="0" borderId="0" xfId="1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4" fontId="9" fillId="0" borderId="0" xfId="1" applyFont="1" applyAlignment="1">
      <alignment horizontal="left" vertical="center" wrapText="1"/>
    </xf>
    <xf numFmtId="44" fontId="40" fillId="0" borderId="0" xfId="1" applyFont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44" fontId="40" fillId="0" borderId="0" xfId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44" fontId="40" fillId="0" borderId="16" xfId="1" applyFont="1" applyFill="1" applyBorder="1" applyAlignment="1">
      <alignment horizontal="center" vertical="center" wrapText="1"/>
    </xf>
    <xf numFmtId="44" fontId="40" fillId="0" borderId="32" xfId="1" applyFont="1" applyFill="1" applyBorder="1" applyAlignment="1">
      <alignment horizontal="center" vertical="center" wrapText="1"/>
    </xf>
    <xf numFmtId="44" fontId="40" fillId="0" borderId="29" xfId="1" applyFont="1" applyFill="1" applyBorder="1" applyAlignment="1">
      <alignment horizontal="center" vertical="center" wrapText="1"/>
    </xf>
    <xf numFmtId="44" fontId="9" fillId="0" borderId="0" xfId="1" applyFont="1" applyBorder="1" applyAlignment="1">
      <alignment horizontal="center" vertical="center" wrapText="1"/>
    </xf>
    <xf numFmtId="44" fontId="40" fillId="0" borderId="25" xfId="1" applyFont="1" applyFill="1" applyBorder="1" applyAlignment="1">
      <alignment horizontal="center" vertical="center" wrapText="1"/>
    </xf>
    <xf numFmtId="44" fontId="40" fillId="0" borderId="46" xfId="1" applyFont="1" applyFill="1" applyBorder="1" applyAlignment="1">
      <alignment horizontal="center" vertical="center" wrapText="1"/>
    </xf>
    <xf numFmtId="44" fontId="40" fillId="0" borderId="37" xfId="1" applyFont="1" applyFill="1" applyBorder="1" applyAlignment="1">
      <alignment horizontal="center" vertical="center" wrapText="1"/>
    </xf>
    <xf numFmtId="44" fontId="40" fillId="0" borderId="53" xfId="1" applyFont="1" applyFill="1" applyBorder="1" applyAlignment="1">
      <alignment horizontal="center" vertical="center" wrapText="1"/>
    </xf>
    <xf numFmtId="2" fontId="9" fillId="0" borderId="22" xfId="5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15" borderId="0" xfId="0" applyFill="1"/>
    <xf numFmtId="44" fontId="0" fillId="15" borderId="0" xfId="0" applyNumberFormat="1" applyFill="1"/>
    <xf numFmtId="2" fontId="0" fillId="15" borderId="0" xfId="0" applyNumberFormat="1" applyFill="1"/>
    <xf numFmtId="2" fontId="25" fillId="15" borderId="29" xfId="0" applyNumberFormat="1" applyFont="1" applyFill="1" applyBorder="1" applyAlignment="1">
      <alignment horizontal="center" vertical="top"/>
    </xf>
    <xf numFmtId="2" fontId="9" fillId="15" borderId="16" xfId="0" applyNumberFormat="1" applyFont="1" applyFill="1" applyBorder="1" applyAlignment="1">
      <alignment horizontal="center" vertical="center"/>
    </xf>
    <xf numFmtId="2" fontId="25" fillId="15" borderId="16" xfId="0" applyNumberFormat="1" applyFont="1" applyFill="1" applyBorder="1" applyAlignment="1">
      <alignment horizontal="center" vertical="center"/>
    </xf>
    <xf numFmtId="44" fontId="9" fillId="15" borderId="16" xfId="0" applyNumberFormat="1" applyFont="1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9" fillId="15" borderId="29" xfId="0" applyFont="1" applyFill="1" applyBorder="1" applyAlignment="1">
      <alignment horizontal="center" vertical="top"/>
    </xf>
    <xf numFmtId="169" fontId="9" fillId="15" borderId="16" xfId="0" applyNumberFormat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44" fontId="41" fillId="0" borderId="0" xfId="1" applyFont="1" applyAlignment="1">
      <alignment horizontal="right" vertical="center" wrapText="1"/>
    </xf>
    <xf numFmtId="44" fontId="9" fillId="0" borderId="32" xfId="1" applyFont="1" applyFill="1" applyBorder="1" applyAlignment="1">
      <alignment horizontal="center" vertical="center" wrapText="1"/>
    </xf>
    <xf numFmtId="44" fontId="9" fillId="0" borderId="53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justify" indent="1"/>
    </xf>
    <xf numFmtId="0" fontId="9" fillId="0" borderId="16" xfId="0" applyFont="1" applyBorder="1" applyAlignment="1">
      <alignment horizontal="left" vertical="top" indent="1"/>
    </xf>
    <xf numFmtId="0" fontId="25" fillId="0" borderId="16" xfId="0" applyFont="1" applyBorder="1" applyAlignment="1">
      <alignment horizontal="left" vertical="justify"/>
    </xf>
    <xf numFmtId="0" fontId="25" fillId="15" borderId="16" xfId="0" applyFont="1" applyFill="1" applyBorder="1" applyAlignment="1">
      <alignment horizontal="left" vertical="justify" indent="1"/>
    </xf>
    <xf numFmtId="169" fontId="9" fillId="15" borderId="34" xfId="0" applyNumberFormat="1" applyFont="1" applyFill="1" applyBorder="1" applyAlignment="1">
      <alignment vertical="center"/>
    </xf>
    <xf numFmtId="169" fontId="9" fillId="0" borderId="32" xfId="0" applyNumberFormat="1" applyFont="1" applyBorder="1" applyAlignment="1">
      <alignment vertical="center"/>
    </xf>
    <xf numFmtId="169" fontId="9" fillId="15" borderId="32" xfId="0" applyNumberFormat="1" applyFont="1" applyFill="1" applyBorder="1" applyAlignment="1">
      <alignment vertical="center"/>
    </xf>
    <xf numFmtId="169" fontId="25" fillId="0" borderId="21" xfId="0" applyNumberFormat="1" applyFont="1" applyBorder="1"/>
    <xf numFmtId="174" fontId="0" fillId="0" borderId="0" xfId="0" applyNumberFormat="1" applyAlignment="1">
      <alignment horizontal="center" vertical="center"/>
    </xf>
    <xf numFmtId="44" fontId="25" fillId="8" borderId="16" xfId="3" applyNumberFormat="1" applyFont="1" applyFill="1" applyBorder="1" applyAlignment="1">
      <alignment horizontal="center" vertical="center"/>
    </xf>
    <xf numFmtId="44" fontId="25" fillId="0" borderId="18" xfId="0" applyNumberFormat="1" applyFont="1" applyBorder="1" applyAlignment="1">
      <alignment horizontal="center"/>
    </xf>
    <xf numFmtId="44" fontId="9" fillId="0" borderId="8" xfId="0" applyNumberFormat="1" applyFont="1" applyBorder="1" applyAlignment="1">
      <alignment vertical="center"/>
    </xf>
    <xf numFmtId="44" fontId="25" fillId="0" borderId="0" xfId="0" applyNumberFormat="1" applyFont="1"/>
    <xf numFmtId="44" fontId="30" fillId="0" borderId="0" xfId="0" applyNumberFormat="1" applyFont="1" applyAlignment="1">
      <alignment vertical="center"/>
    </xf>
    <xf numFmtId="44" fontId="9" fillId="0" borderId="0" xfId="0" applyNumberFormat="1" applyFont="1" applyAlignment="1">
      <alignment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center" vertical="center"/>
    </xf>
    <xf numFmtId="44" fontId="45" fillId="0" borderId="0" xfId="0" applyNumberFormat="1" applyFont="1" applyAlignment="1">
      <alignment vertical="center"/>
    </xf>
    <xf numFmtId="2" fontId="45" fillId="0" borderId="0" xfId="0" applyNumberFormat="1" applyFont="1" applyAlignment="1">
      <alignment horizontal="center" vertical="center"/>
    </xf>
    <xf numFmtId="44" fontId="45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justify" vertical="justify"/>
    </xf>
    <xf numFmtId="172" fontId="9" fillId="0" borderId="0" xfId="1" applyNumberFormat="1" applyFont="1" applyFill="1"/>
    <xf numFmtId="44" fontId="25" fillId="0" borderId="8" xfId="0" applyNumberFormat="1" applyFont="1" applyBorder="1" applyAlignment="1">
      <alignment horizontal="center"/>
    </xf>
    <xf numFmtId="169" fontId="0" fillId="0" borderId="0" xfId="0" applyNumberFormat="1"/>
    <xf numFmtId="44" fontId="0" fillId="0" borderId="0" xfId="1" applyFont="1"/>
    <xf numFmtId="44" fontId="40" fillId="0" borderId="56" xfId="1" applyFont="1" applyFill="1" applyBorder="1" applyAlignment="1">
      <alignment horizontal="center" vertical="center" wrapText="1"/>
    </xf>
    <xf numFmtId="44" fontId="40" fillId="0" borderId="27" xfId="1" applyFont="1" applyFill="1" applyBorder="1" applyAlignment="1">
      <alignment horizontal="center" vertical="center" wrapText="1"/>
    </xf>
    <xf numFmtId="0" fontId="9" fillId="19" borderId="33" xfId="0" applyFont="1" applyFill="1" applyBorder="1" applyAlignment="1">
      <alignment horizontal="center" vertical="center" wrapText="1"/>
    </xf>
    <xf numFmtId="0" fontId="25" fillId="19" borderId="22" xfId="0" applyFont="1" applyFill="1" applyBorder="1" applyAlignment="1">
      <alignment vertical="center"/>
    </xf>
    <xf numFmtId="44" fontId="25" fillId="19" borderId="34" xfId="1" applyFont="1" applyFill="1" applyBorder="1" applyAlignment="1">
      <alignment horizontal="left" vertical="justify" indent="1"/>
    </xf>
    <xf numFmtId="44" fontId="40" fillId="19" borderId="42" xfId="1" applyFont="1" applyFill="1" applyBorder="1" applyAlignment="1">
      <alignment horizontal="center" vertical="center" wrapText="1"/>
    </xf>
    <xf numFmtId="44" fontId="40" fillId="19" borderId="22" xfId="1" applyFont="1" applyFill="1" applyBorder="1" applyAlignment="1">
      <alignment horizontal="center" vertical="center" wrapText="1"/>
    </xf>
    <xf numFmtId="44" fontId="40" fillId="19" borderId="34" xfId="1" applyFont="1" applyFill="1" applyBorder="1" applyAlignment="1">
      <alignment horizontal="center" vertical="center" wrapText="1"/>
    </xf>
    <xf numFmtId="44" fontId="40" fillId="19" borderId="33" xfId="1" applyFont="1" applyFill="1" applyBorder="1" applyAlignment="1">
      <alignment horizontal="center" vertical="center" wrapText="1"/>
    </xf>
    <xf numFmtId="44" fontId="40" fillId="19" borderId="55" xfId="1" applyFont="1" applyFill="1" applyBorder="1" applyAlignment="1">
      <alignment horizontal="center" vertical="center" wrapText="1"/>
    </xf>
    <xf numFmtId="44" fontId="40" fillId="19" borderId="48" xfId="1" applyFont="1" applyFill="1" applyBorder="1" applyAlignment="1">
      <alignment horizontal="center" vertical="center" wrapText="1"/>
    </xf>
    <xf numFmtId="44" fontId="40" fillId="19" borderId="36" xfId="1" applyFont="1" applyFill="1" applyBorder="1" applyAlignment="1">
      <alignment horizontal="center" vertical="center" wrapText="1"/>
    </xf>
    <xf numFmtId="44" fontId="40" fillId="19" borderId="23" xfId="1" applyFont="1" applyFill="1" applyBorder="1" applyAlignment="1">
      <alignment horizontal="center" vertical="center" wrapText="1"/>
    </xf>
    <xf numFmtId="44" fontId="40" fillId="19" borderId="54" xfId="1" applyFont="1" applyFill="1" applyBorder="1" applyAlignment="1">
      <alignment horizontal="center" vertical="center" wrapText="1"/>
    </xf>
    <xf numFmtId="44" fontId="9" fillId="19" borderId="50" xfId="1" applyFont="1" applyFill="1" applyBorder="1" applyAlignment="1">
      <alignment vertical="center" wrapText="1"/>
    </xf>
    <xf numFmtId="2" fontId="9" fillId="19" borderId="29" xfId="0" applyNumberFormat="1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vertical="center"/>
    </xf>
    <xf numFmtId="44" fontId="9" fillId="19" borderId="32" xfId="1" applyFont="1" applyFill="1" applyBorder="1" applyAlignment="1">
      <alignment vertical="center" wrapText="1"/>
    </xf>
    <xf numFmtId="44" fontId="40" fillId="19" borderId="26" xfId="1" applyFont="1" applyFill="1" applyBorder="1" applyAlignment="1">
      <alignment horizontal="center" vertical="center" wrapText="1"/>
    </xf>
    <xf numFmtId="44" fontId="43" fillId="19" borderId="16" xfId="1" applyFont="1" applyFill="1" applyBorder="1" applyAlignment="1">
      <alignment horizontal="center" vertical="center" wrapText="1"/>
    </xf>
    <xf numFmtId="44" fontId="40" fillId="19" borderId="16" xfId="1" applyFont="1" applyFill="1" applyBorder="1" applyAlignment="1">
      <alignment horizontal="center" vertical="center" wrapText="1"/>
    </xf>
    <xf numFmtId="44" fontId="40" fillId="19" borderId="32" xfId="1" applyFont="1" applyFill="1" applyBorder="1" applyAlignment="1">
      <alignment horizontal="center" vertical="center" wrapText="1"/>
    </xf>
    <xf numFmtId="44" fontId="40" fillId="19" borderId="29" xfId="1" applyFont="1" applyFill="1" applyBorder="1" applyAlignment="1">
      <alignment horizontal="center" vertical="center" wrapText="1"/>
    </xf>
    <xf numFmtId="44" fontId="40" fillId="19" borderId="25" xfId="1" applyFont="1" applyFill="1" applyBorder="1" applyAlignment="1">
      <alignment horizontal="center" vertical="center" wrapText="1"/>
    </xf>
    <xf numFmtId="44" fontId="9" fillId="19" borderId="51" xfId="1" applyFont="1" applyFill="1" applyBorder="1" applyAlignment="1">
      <alignment vertical="center" wrapText="1"/>
    </xf>
    <xf numFmtId="44" fontId="0" fillId="19" borderId="0" xfId="1" applyFont="1" applyFill="1"/>
    <xf numFmtId="0" fontId="0" fillId="19" borderId="0" xfId="0" applyFill="1" applyAlignment="1">
      <alignment wrapText="1"/>
    </xf>
    <xf numFmtId="44" fontId="9" fillId="0" borderId="0" xfId="0" applyNumberFormat="1" applyFont="1" applyAlignment="1">
      <alignment vertical="center" wrapText="1"/>
    </xf>
    <xf numFmtId="0" fontId="9" fillId="19" borderId="48" xfId="0" applyFont="1" applyFill="1" applyBorder="1" applyAlignment="1">
      <alignment horizontal="center" vertical="center" wrapText="1"/>
    </xf>
    <xf numFmtId="0" fontId="25" fillId="19" borderId="36" xfId="0" applyFont="1" applyFill="1" applyBorder="1" applyAlignment="1">
      <alignment vertical="center"/>
    </xf>
    <xf numFmtId="44" fontId="25" fillId="19" borderId="54" xfId="1" applyFont="1" applyFill="1" applyBorder="1" applyAlignment="1">
      <alignment horizontal="left" vertical="justify" indent="1"/>
    </xf>
    <xf numFmtId="44" fontId="40" fillId="19" borderId="24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3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44" fontId="1" fillId="0" borderId="0" xfId="1" applyFont="1" applyBorder="1" applyAlignment="1">
      <alignment horizontal="center" wrapText="1"/>
    </xf>
    <xf numFmtId="44" fontId="9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44" fontId="41" fillId="0" borderId="0" xfId="1" applyFont="1" applyBorder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2" fontId="25" fillId="8" borderId="16" xfId="3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2" fontId="26" fillId="17" borderId="20" xfId="0" applyNumberFormat="1" applyFont="1" applyFill="1" applyBorder="1" applyAlignment="1">
      <alignment horizontal="center" vertical="center" wrapText="1"/>
    </xf>
    <xf numFmtId="44" fontId="26" fillId="17" borderId="64" xfId="0" applyNumberFormat="1" applyFont="1" applyFill="1" applyBorder="1" applyAlignment="1">
      <alignment horizontal="center" vertical="center"/>
    </xf>
    <xf numFmtId="44" fontId="9" fillId="15" borderId="55" xfId="0" applyNumberFormat="1" applyFont="1" applyFill="1" applyBorder="1" applyAlignment="1">
      <alignment vertical="center"/>
    </xf>
    <xf numFmtId="44" fontId="9" fillId="0" borderId="25" xfId="0" applyNumberFormat="1" applyFont="1" applyBorder="1" applyAlignment="1">
      <alignment vertical="center"/>
    </xf>
    <xf numFmtId="44" fontId="9" fillId="0" borderId="55" xfId="0" applyNumberFormat="1" applyFont="1" applyBorder="1" applyAlignment="1">
      <alignment vertical="center"/>
    </xf>
    <xf numFmtId="44" fontId="9" fillId="15" borderId="25" xfId="0" applyNumberFormat="1" applyFont="1" applyFill="1" applyBorder="1" applyAlignment="1">
      <alignment vertical="center"/>
    </xf>
    <xf numFmtId="0" fontId="25" fillId="17" borderId="64" xfId="0" applyFont="1" applyFill="1" applyBorder="1" applyAlignment="1">
      <alignment horizontal="center" vertical="center"/>
    </xf>
    <xf numFmtId="44" fontId="26" fillId="17" borderId="64" xfId="0" applyNumberFormat="1" applyFont="1" applyFill="1" applyBorder="1" applyAlignment="1">
      <alignment horizontal="center" vertical="center" wrapText="1"/>
    </xf>
    <xf numFmtId="44" fontId="26" fillId="17" borderId="20" xfId="0" applyNumberFormat="1" applyFont="1" applyFill="1" applyBorder="1" applyAlignment="1">
      <alignment horizontal="center" vertical="center" wrapText="1"/>
    </xf>
    <xf numFmtId="169" fontId="26" fillId="17" borderId="21" xfId="0" applyNumberFormat="1" applyFont="1" applyFill="1" applyBorder="1" applyAlignment="1">
      <alignment horizontal="center" vertical="center" wrapText="1"/>
    </xf>
    <xf numFmtId="44" fontId="9" fillId="0" borderId="8" xfId="0" applyNumberFormat="1" applyFont="1" applyBorder="1"/>
    <xf numFmtId="169" fontId="9" fillId="15" borderId="50" xfId="0" applyNumberFormat="1" applyFont="1" applyFill="1" applyBorder="1" applyAlignment="1">
      <alignment vertical="center"/>
    </xf>
    <xf numFmtId="169" fontId="9" fillId="0" borderId="51" xfId="0" applyNumberFormat="1" applyFont="1" applyBorder="1" applyAlignment="1">
      <alignment vertical="center"/>
    </xf>
    <xf numFmtId="169" fontId="9" fillId="15" borderId="51" xfId="0" applyNumberFormat="1" applyFont="1" applyFill="1" applyBorder="1" applyAlignment="1">
      <alignment vertical="center"/>
    </xf>
    <xf numFmtId="169" fontId="9" fillId="15" borderId="65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vertical="center"/>
    </xf>
    <xf numFmtId="169" fontId="9" fillId="15" borderId="66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horizontal="center" vertical="center"/>
    </xf>
    <xf numFmtId="169" fontId="9" fillId="0" borderId="26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20" borderId="16" xfId="0" applyFont="1" applyFill="1" applyBorder="1" applyAlignment="1">
      <alignment horizontal="left" vertical="justify" indent="1"/>
    </xf>
    <xf numFmtId="0" fontId="9" fillId="0" borderId="16" xfId="0" applyFont="1" applyFill="1" applyBorder="1" applyAlignment="1">
      <alignment horizontal="left" vertical="justify" indent="1"/>
    </xf>
    <xf numFmtId="0" fontId="49" fillId="0" borderId="0" xfId="0" applyFont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1" fillId="0" borderId="16" xfId="0" applyNumberFormat="1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1" borderId="0" xfId="0" applyFont="1" applyFill="1" applyAlignment="1">
      <alignment vertical="center"/>
    </xf>
    <xf numFmtId="2" fontId="55" fillId="0" borderId="1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NumberForma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5" fillId="0" borderId="18" xfId="0" applyFont="1" applyFill="1" applyBorder="1" applyAlignment="1">
      <alignment horizontal="center" vertical="center"/>
    </xf>
    <xf numFmtId="0" fontId="55" fillId="21" borderId="0" xfId="0" applyFont="1" applyFill="1" applyAlignment="1">
      <alignment horizontal="left" vertical="center"/>
    </xf>
    <xf numFmtId="0" fontId="55" fillId="0" borderId="16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5" fillId="21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21" borderId="0" xfId="0" applyFont="1" applyFill="1" applyAlignment="1">
      <alignment horizontal="right" vertical="center"/>
    </xf>
    <xf numFmtId="2" fontId="57" fillId="13" borderId="8" xfId="0" applyNumberFormat="1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2" fontId="48" fillId="22" borderId="4" xfId="0" applyNumberFormat="1" applyFont="1" applyFill="1" applyBorder="1" applyAlignment="1">
      <alignment horizontal="center" vertical="center"/>
    </xf>
    <xf numFmtId="2" fontId="49" fillId="0" borderId="0" xfId="0" applyNumberFormat="1" applyFont="1" applyAlignment="1">
      <alignment horizontal="center" vertical="center"/>
    </xf>
    <xf numFmtId="0" fontId="48" fillId="21" borderId="68" xfId="0" applyFont="1" applyFill="1" applyBorder="1" applyAlignment="1">
      <alignment horizontal="center" vertical="center"/>
    </xf>
    <xf numFmtId="175" fontId="49" fillId="0" borderId="0" xfId="0" applyNumberFormat="1" applyFont="1" applyAlignment="1">
      <alignment horizontal="center" vertical="center"/>
    </xf>
    <xf numFmtId="173" fontId="57" fillId="13" borderId="4" xfId="0" applyNumberFormat="1" applyFont="1" applyFill="1" applyBorder="1" applyAlignment="1">
      <alignment horizontal="center" vertical="center"/>
    </xf>
    <xf numFmtId="0" fontId="48" fillId="6" borderId="35" xfId="0" applyFont="1" applyFill="1" applyBorder="1" applyAlignment="1">
      <alignment horizontal="center" vertical="center"/>
    </xf>
    <xf numFmtId="0" fontId="55" fillId="21" borderId="69" xfId="0" applyFont="1" applyFill="1" applyBorder="1" applyAlignment="1">
      <alignment horizontal="left" vertical="center"/>
    </xf>
    <xf numFmtId="0" fontId="55" fillId="0" borderId="70" xfId="0" applyFont="1" applyFill="1" applyBorder="1" applyAlignment="1">
      <alignment horizontal="center" vertical="center"/>
    </xf>
    <xf numFmtId="0" fontId="55" fillId="6" borderId="0" xfId="0" applyFont="1" applyFill="1" applyAlignment="1">
      <alignment vertical="center"/>
    </xf>
    <xf numFmtId="176" fontId="49" fillId="0" borderId="0" xfId="7" applyNumberFormat="1" applyFont="1" applyAlignment="1">
      <alignment horizontal="center" vertical="center"/>
    </xf>
    <xf numFmtId="0" fontId="61" fillId="21" borderId="0" xfId="0" applyFont="1" applyFill="1" applyBorder="1" applyAlignment="1">
      <alignment horizontal="left" vertical="center"/>
    </xf>
    <xf numFmtId="0" fontId="55" fillId="0" borderId="17" xfId="0" applyFont="1" applyFill="1" applyBorder="1" applyAlignment="1">
      <alignment horizontal="center" vertical="center"/>
    </xf>
    <xf numFmtId="0" fontId="0" fillId="6" borderId="0" xfId="0" applyFill="1"/>
    <xf numFmtId="2" fontId="0" fillId="6" borderId="16" xfId="0" applyNumberFormat="1" applyFill="1" applyBorder="1" applyAlignment="1">
      <alignment horizontal="center"/>
    </xf>
    <xf numFmtId="2" fontId="0" fillId="21" borderId="16" xfId="0" applyNumberFormat="1" applyFill="1" applyBorder="1" applyAlignment="1">
      <alignment horizontal="center" vertical="center"/>
    </xf>
    <xf numFmtId="2" fontId="55" fillId="0" borderId="18" xfId="0" applyNumberFormat="1" applyFont="1" applyFill="1" applyBorder="1" applyAlignment="1">
      <alignment horizontal="center" vertical="center"/>
    </xf>
    <xf numFmtId="1" fontId="0" fillId="21" borderId="16" xfId="0" applyNumberFormat="1" applyFill="1" applyBorder="1" applyAlignment="1">
      <alignment horizontal="center" vertical="center"/>
    </xf>
    <xf numFmtId="0" fontId="48" fillId="6" borderId="0" xfId="0" applyFont="1" applyFill="1" applyAlignment="1">
      <alignment horizontal="right" vertical="center"/>
    </xf>
    <xf numFmtId="0" fontId="57" fillId="13" borderId="8" xfId="0" applyFont="1" applyFill="1" applyBorder="1" applyAlignment="1">
      <alignment horizontal="center"/>
    </xf>
    <xf numFmtId="0" fontId="0" fillId="21" borderId="18" xfId="0" applyFill="1" applyBorder="1" applyAlignment="1">
      <alignment horizontal="center" vertical="center"/>
    </xf>
    <xf numFmtId="177" fontId="49" fillId="0" borderId="0" xfId="0" applyNumberFormat="1" applyFont="1" applyAlignment="1">
      <alignment horizontal="center" vertical="center"/>
    </xf>
    <xf numFmtId="2" fontId="57" fillId="13" borderId="8" xfId="0" applyNumberFormat="1" applyFont="1" applyFill="1" applyBorder="1" applyAlignment="1">
      <alignment horizontal="center"/>
    </xf>
    <xf numFmtId="0" fontId="57" fillId="13" borderId="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37" xfId="0" applyNumberFormat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7" fillId="13" borderId="8" xfId="0" applyNumberFormat="1" applyFont="1" applyFill="1" applyBorder="1" applyAlignment="1">
      <alignment horizontal="center" vertical="center"/>
    </xf>
    <xf numFmtId="178" fontId="49" fillId="0" borderId="0" xfId="7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0" fontId="48" fillId="21" borderId="68" xfId="0" applyFont="1" applyFill="1" applyBorder="1" applyAlignment="1">
      <alignment horizontal="center" vertical="center"/>
    </xf>
    <xf numFmtId="0" fontId="9" fillId="23" borderId="16" xfId="0" applyFont="1" applyFill="1" applyBorder="1" applyAlignment="1">
      <alignment horizontal="left" vertical="justify" indent="1"/>
    </xf>
    <xf numFmtId="0" fontId="48" fillId="7" borderId="0" xfId="0" applyFont="1" applyFill="1" applyBorder="1" applyAlignment="1">
      <alignment horizontal="center" vertical="center"/>
    </xf>
    <xf numFmtId="0" fontId="55" fillId="7" borderId="0" xfId="0" applyFont="1" applyFill="1" applyAlignment="1">
      <alignment vertical="center"/>
    </xf>
    <xf numFmtId="0" fontId="55" fillId="7" borderId="18" xfId="0" applyFont="1" applyFill="1" applyBorder="1" applyAlignment="1">
      <alignment horizontal="center" vertical="center"/>
    </xf>
    <xf numFmtId="10" fontId="49" fillId="0" borderId="0" xfId="7" applyNumberFormat="1" applyFont="1" applyAlignment="1">
      <alignment horizontal="center" vertical="center"/>
    </xf>
    <xf numFmtId="0" fontId="48" fillId="7" borderId="0" xfId="0" applyFont="1" applyFill="1" applyAlignment="1">
      <alignment horizontal="right" vertical="center"/>
    </xf>
    <xf numFmtId="173" fontId="49" fillId="0" borderId="0" xfId="0" applyNumberFormat="1" applyFont="1" applyAlignment="1">
      <alignment horizontal="center" vertical="center"/>
    </xf>
    <xf numFmtId="173" fontId="0" fillId="0" borderId="0" xfId="0" applyNumberFormat="1"/>
    <xf numFmtId="169" fontId="25" fillId="15" borderId="32" xfId="0" applyNumberFormat="1" applyFont="1" applyFill="1" applyBorder="1" applyAlignment="1">
      <alignment vertical="center"/>
    </xf>
    <xf numFmtId="2" fontId="9" fillId="22" borderId="29" xfId="0" applyNumberFormat="1" applyFont="1" applyFill="1" applyBorder="1" applyAlignment="1">
      <alignment horizontal="center" vertical="top"/>
    </xf>
    <xf numFmtId="2" fontId="9" fillId="22" borderId="29" xfId="0" applyNumberFormat="1" applyFont="1" applyFill="1" applyBorder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center"/>
    </xf>
    <xf numFmtId="165" fontId="25" fillId="0" borderId="0" xfId="5" quotePrefix="1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/>
    </xf>
    <xf numFmtId="0" fontId="25" fillId="16" borderId="2" xfId="4" applyFont="1" applyFill="1" applyBorder="1" applyAlignment="1">
      <alignment horizontal="center" vertical="center"/>
    </xf>
    <xf numFmtId="0" fontId="25" fillId="16" borderId="3" xfId="4" applyFont="1" applyFill="1" applyBorder="1" applyAlignment="1">
      <alignment horizontal="center" vertic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25" fillId="8" borderId="2" xfId="3" applyFont="1" applyFill="1" applyBorder="1" applyAlignment="1">
      <alignment horizontal="center"/>
    </xf>
    <xf numFmtId="0" fontId="25" fillId="8" borderId="3" xfId="3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6" fillId="8" borderId="1" xfId="2" applyFont="1" applyFill="1" applyBorder="1" applyAlignment="1">
      <alignment horizontal="center"/>
    </xf>
    <xf numFmtId="0" fontId="26" fillId="8" borderId="2" xfId="2" applyFont="1" applyFill="1" applyBorder="1" applyAlignment="1">
      <alignment horizontal="center"/>
    </xf>
    <xf numFmtId="0" fontId="26" fillId="8" borderId="3" xfId="2" applyFont="1" applyFill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8" borderId="16" xfId="3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8" fillId="5" borderId="25" xfId="0" applyFont="1" applyFill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0" fontId="25" fillId="8" borderId="16" xfId="3" applyNumberFormat="1" applyFont="1" applyFill="1" applyBorder="1" applyAlignment="1">
      <alignment horizontal="center" vertical="center" wrapText="1"/>
    </xf>
    <xf numFmtId="0" fontId="25" fillId="8" borderId="16" xfId="3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25" fillId="0" borderId="5" xfId="5" applyNumberFormat="1" applyFont="1" applyFill="1" applyBorder="1" applyAlignment="1">
      <alignment horizontal="center" vertical="center" wrapText="1"/>
    </xf>
    <xf numFmtId="165" fontId="25" fillId="0" borderId="6" xfId="5" applyNumberFormat="1" applyFont="1" applyFill="1" applyBorder="1" applyAlignment="1">
      <alignment horizontal="center" vertical="center" wrapText="1"/>
    </xf>
    <xf numFmtId="165" fontId="25" fillId="0" borderId="7" xfId="5" applyNumberFormat="1" applyFont="1" applyFill="1" applyBorder="1" applyAlignment="1">
      <alignment horizontal="center" vertical="center" wrapText="1"/>
    </xf>
    <xf numFmtId="165" fontId="25" fillId="0" borderId="10" xfId="5" applyNumberFormat="1" applyFont="1" applyFill="1" applyBorder="1" applyAlignment="1">
      <alignment horizontal="center" vertical="center" wrapText="1"/>
    </xf>
    <xf numFmtId="165" fontId="25" fillId="0" borderId="11" xfId="5" applyNumberFormat="1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14" fontId="25" fillId="0" borderId="12" xfId="0" applyNumberFormat="1" applyFont="1" applyBorder="1" applyAlignment="1">
      <alignment horizontal="center" vertical="center" wrapText="1"/>
    </xf>
    <xf numFmtId="165" fontId="25" fillId="0" borderId="13" xfId="5" applyNumberFormat="1" applyFont="1" applyFill="1" applyBorder="1" applyAlignment="1">
      <alignment horizontal="center" vertical="center" wrapText="1"/>
    </xf>
    <xf numFmtId="165" fontId="25" fillId="0" borderId="14" xfId="5" applyNumberFormat="1" applyFont="1" applyFill="1" applyBorder="1" applyAlignment="1">
      <alignment horizontal="center" vertical="center" wrapText="1"/>
    </xf>
    <xf numFmtId="165" fontId="25" fillId="0" borderId="15" xfId="5" applyNumberFormat="1" applyFont="1" applyFill="1" applyBorder="1" applyAlignment="1">
      <alignment horizontal="center" vertical="center" wrapText="1"/>
    </xf>
    <xf numFmtId="0" fontId="25" fillId="8" borderId="1" xfId="4" applyFont="1" applyFill="1" applyBorder="1" applyAlignment="1">
      <alignment horizontal="center" vertical="center"/>
    </xf>
    <xf numFmtId="0" fontId="25" fillId="8" borderId="2" xfId="4" applyFont="1" applyFill="1" applyBorder="1" applyAlignment="1">
      <alignment horizontal="center" vertical="center"/>
    </xf>
    <xf numFmtId="0" fontId="25" fillId="8" borderId="3" xfId="4" applyFont="1" applyFill="1" applyBorder="1" applyAlignment="1">
      <alignment horizontal="center" vertical="center"/>
    </xf>
    <xf numFmtId="0" fontId="37" fillId="0" borderId="45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5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21" borderId="35" xfId="0" applyFont="1" applyFill="1" applyBorder="1" applyAlignment="1">
      <alignment horizontal="center" vertical="center"/>
    </xf>
    <xf numFmtId="0" fontId="50" fillId="0" borderId="63" xfId="0" applyFont="1" applyFill="1" applyBorder="1" applyAlignment="1">
      <alignment horizontal="center" vertical="center"/>
    </xf>
    <xf numFmtId="0" fontId="50" fillId="0" borderId="33" xfId="0" applyFont="1" applyFill="1" applyBorder="1" applyAlignment="1">
      <alignment horizontal="center" vertical="center"/>
    </xf>
    <xf numFmtId="0" fontId="50" fillId="0" borderId="23" xfId="0" applyNumberFormat="1" applyFont="1" applyFill="1" applyBorder="1" applyAlignment="1">
      <alignment horizontal="center" vertical="center" wrapText="1"/>
    </xf>
    <xf numFmtId="0" fontId="50" fillId="0" borderId="67" xfId="0" applyNumberFormat="1" applyFont="1" applyFill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/>
    </xf>
    <xf numFmtId="0" fontId="50" fillId="0" borderId="22" xfId="0" applyFont="1" applyFill="1" applyBorder="1" applyAlignment="1">
      <alignment horizontal="center" vertical="center"/>
    </xf>
    <xf numFmtId="0" fontId="50" fillId="0" borderId="52" xfId="0" applyFont="1" applyFill="1" applyBorder="1" applyAlignment="1">
      <alignment horizontal="center" vertical="center"/>
    </xf>
    <xf numFmtId="0" fontId="50" fillId="0" borderId="34" xfId="0" applyFont="1" applyFill="1" applyBorder="1" applyAlignment="1">
      <alignment horizontal="center" vertical="center"/>
    </xf>
    <xf numFmtId="0" fontId="48" fillId="21" borderId="68" xfId="0" applyFont="1" applyFill="1" applyBorder="1" applyAlignment="1">
      <alignment horizontal="center" vertical="center"/>
    </xf>
    <xf numFmtId="0" fontId="48" fillId="7" borderId="3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4" fontId="9" fillId="0" borderId="38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44" fontId="9" fillId="0" borderId="14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72" fontId="9" fillId="5" borderId="1" xfId="1" applyNumberFormat="1" applyFont="1" applyFill="1" applyBorder="1" applyAlignment="1">
      <alignment horizontal="center"/>
    </xf>
    <xf numFmtId="172" fontId="9" fillId="5" borderId="3" xfId="1" applyNumberFormat="1" applyFont="1" applyFill="1" applyBorder="1" applyAlignment="1">
      <alignment horizontal="center"/>
    </xf>
    <xf numFmtId="0" fontId="25" fillId="8" borderId="5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172" fontId="9" fillId="8" borderId="5" xfId="0" applyNumberFormat="1" applyFont="1" applyFill="1" applyBorder="1" applyAlignment="1">
      <alignment horizontal="center" vertical="center"/>
    </xf>
    <xf numFmtId="172" fontId="9" fillId="8" borderId="7" xfId="0" applyNumberFormat="1" applyFont="1" applyFill="1" applyBorder="1" applyAlignment="1">
      <alignment horizontal="center" vertical="center"/>
    </xf>
    <xf numFmtId="172" fontId="9" fillId="8" borderId="13" xfId="0" applyNumberFormat="1" applyFont="1" applyFill="1" applyBorder="1" applyAlignment="1">
      <alignment horizontal="center" vertical="center"/>
    </xf>
    <xf numFmtId="172" fontId="9" fillId="8" borderId="15" xfId="0" applyNumberFormat="1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25" fillId="0" borderId="5" xfId="5" applyNumberFormat="1" applyFont="1" applyFill="1" applyBorder="1" applyAlignment="1">
      <alignment horizontal="center" vertical="center" wrapText="1"/>
    </xf>
    <xf numFmtId="0" fontId="25" fillId="0" borderId="6" xfId="5" applyNumberFormat="1" applyFont="1" applyFill="1" applyBorder="1" applyAlignment="1">
      <alignment horizontal="center" vertical="center" wrapText="1"/>
    </xf>
    <xf numFmtId="0" fontId="25" fillId="0" borderId="7" xfId="5" applyNumberFormat="1" applyFont="1" applyFill="1" applyBorder="1" applyAlignment="1">
      <alignment horizontal="center" vertical="center" wrapText="1"/>
    </xf>
    <xf numFmtId="0" fontId="25" fillId="0" borderId="10" xfId="5" applyNumberFormat="1" applyFont="1" applyFill="1" applyBorder="1" applyAlignment="1">
      <alignment horizontal="center" vertical="center" wrapText="1"/>
    </xf>
    <xf numFmtId="0" fontId="25" fillId="0" borderId="0" xfId="5" applyNumberFormat="1" applyFont="1" applyFill="1" applyBorder="1" applyAlignment="1">
      <alignment horizontal="center" vertical="center" wrapText="1"/>
    </xf>
    <xf numFmtId="0" fontId="25" fillId="0" borderId="11" xfId="5" applyNumberFormat="1" applyFont="1" applyFill="1" applyBorder="1" applyAlignment="1">
      <alignment horizontal="center" vertical="center" wrapText="1"/>
    </xf>
    <xf numFmtId="14" fontId="25" fillId="5" borderId="7" xfId="0" applyNumberFormat="1" applyFont="1" applyFill="1" applyBorder="1" applyAlignment="1">
      <alignment horizontal="center" vertical="center" wrapText="1"/>
    </xf>
    <xf numFmtId="14" fontId="25" fillId="5" borderId="11" xfId="0" applyNumberFormat="1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0" borderId="13" xfId="5" applyNumberFormat="1" applyFont="1" applyFill="1" applyBorder="1" applyAlignment="1">
      <alignment horizontal="center" vertical="center" wrapText="1"/>
    </xf>
    <xf numFmtId="0" fontId="25" fillId="0" borderId="14" xfId="5" applyNumberFormat="1" applyFont="1" applyFill="1" applyBorder="1" applyAlignment="1">
      <alignment horizontal="center" vertical="center" wrapText="1"/>
    </xf>
    <xf numFmtId="0" fontId="25" fillId="0" borderId="15" xfId="5" applyNumberFormat="1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172" fontId="9" fillId="8" borderId="1" xfId="1" applyNumberFormat="1" applyFont="1" applyFill="1" applyBorder="1" applyAlignment="1">
      <alignment horizontal="center"/>
    </xf>
    <xf numFmtId="172" fontId="9" fillId="8" borderId="3" xfId="1" applyNumberFormat="1" applyFont="1" applyFill="1" applyBorder="1" applyAlignment="1">
      <alignment horizontal="center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vertical="center" wrapText="1"/>
    </xf>
    <xf numFmtId="2" fontId="9" fillId="0" borderId="22" xfId="0" applyNumberFormat="1" applyFont="1" applyBorder="1" applyAlignment="1">
      <alignment vertical="center" wrapText="1"/>
    </xf>
    <xf numFmtId="10" fontId="40" fillId="16" borderId="56" xfId="7" applyNumberFormat="1" applyFont="1" applyFill="1" applyBorder="1" applyAlignment="1">
      <alignment horizontal="center" vertical="center" wrapText="1"/>
    </xf>
    <xf numFmtId="10" fontId="40" fillId="16" borderId="26" xfId="7" applyNumberFormat="1" applyFont="1" applyFill="1" applyBorder="1" applyAlignment="1">
      <alignment horizontal="center" vertical="center" wrapText="1"/>
    </xf>
    <xf numFmtId="44" fontId="9" fillId="0" borderId="57" xfId="1" applyFont="1" applyFill="1" applyBorder="1" applyAlignment="1">
      <alignment horizontal="center" vertical="center" wrapText="1"/>
    </xf>
    <xf numFmtId="44" fontId="9" fillId="0" borderId="61" xfId="1" applyFont="1" applyFill="1" applyBorder="1" applyAlignment="1">
      <alignment horizontal="center" vertical="center" wrapText="1"/>
    </xf>
    <xf numFmtId="44" fontId="40" fillId="0" borderId="56" xfId="11" applyFont="1" applyFill="1" applyBorder="1">
      <alignment horizontal="center" vertical="center" wrapText="1"/>
    </xf>
    <xf numFmtId="44" fontId="40" fillId="0" borderId="26" xfId="11" applyFont="1" applyFill="1" applyBorder="1">
      <alignment horizontal="center" vertical="center" wrapText="1"/>
    </xf>
    <xf numFmtId="10" fontId="40" fillId="16" borderId="25" xfId="7" applyNumberFormat="1" applyFont="1" applyFill="1" applyBorder="1" applyAlignment="1">
      <alignment horizontal="center" vertical="center" wrapText="1"/>
    </xf>
    <xf numFmtId="10" fontId="40" fillId="16" borderId="51" xfId="7" applyNumberFormat="1" applyFont="1" applyFill="1" applyBorder="1" applyAlignment="1">
      <alignment horizontal="center" vertical="center" wrapText="1"/>
    </xf>
    <xf numFmtId="44" fontId="40" fillId="0" borderId="25" xfId="11" applyFont="1" applyFill="1" applyBorder="1">
      <alignment horizontal="center" vertical="center" wrapText="1"/>
    </xf>
    <xf numFmtId="44" fontId="40" fillId="0" borderId="51" xfId="11" applyFont="1" applyFill="1" applyBorder="1">
      <alignment horizontal="center" vertical="center" wrapText="1"/>
    </xf>
    <xf numFmtId="0" fontId="38" fillId="0" borderId="0" xfId="0" applyFont="1" applyAlignment="1">
      <alignment horizontal="left" wrapText="1"/>
    </xf>
    <xf numFmtId="0" fontId="0" fillId="0" borderId="35" xfId="0" applyBorder="1" applyAlignment="1">
      <alignment horizontal="center" vertical="center" wrapText="1"/>
    </xf>
    <xf numFmtId="44" fontId="25" fillId="0" borderId="0" xfId="1" applyFont="1" applyAlignment="1">
      <alignment horizontal="left" wrapText="1"/>
    </xf>
    <xf numFmtId="44" fontId="25" fillId="0" borderId="0" xfId="1" applyFont="1" applyAlignment="1">
      <alignment horizontal="left"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 wrapText="1"/>
    </xf>
    <xf numFmtId="44" fontId="26" fillId="8" borderId="52" xfId="1" applyFont="1" applyFill="1" applyBorder="1" applyAlignment="1">
      <alignment horizontal="center" vertical="center" wrapText="1"/>
    </xf>
    <xf numFmtId="44" fontId="26" fillId="8" borderId="62" xfId="1" applyFont="1" applyFill="1" applyBorder="1" applyAlignment="1">
      <alignment horizontal="center" vertical="center" wrapText="1"/>
    </xf>
    <xf numFmtId="0" fontId="26" fillId="8" borderId="49" xfId="0" applyFont="1" applyFill="1" applyBorder="1" applyAlignment="1">
      <alignment vertical="center"/>
    </xf>
    <xf numFmtId="0" fontId="26" fillId="8" borderId="58" xfId="0" applyFont="1" applyFill="1" applyBorder="1" applyAlignment="1">
      <alignment vertical="center"/>
    </xf>
    <xf numFmtId="0" fontId="0" fillId="0" borderId="35" xfId="0" applyBorder="1" applyAlignment="1">
      <alignment horizontal="center" wrapText="1"/>
    </xf>
    <xf numFmtId="14" fontId="0" fillId="0" borderId="35" xfId="0" applyNumberFormat="1" applyBorder="1" applyAlignment="1">
      <alignment horizontal="center" vertical="center" wrapText="1"/>
    </xf>
    <xf numFmtId="0" fontId="26" fillId="8" borderId="63" xfId="0" applyFont="1" applyFill="1" applyBorder="1" applyAlignment="1">
      <alignment horizontal="center" vertical="center"/>
    </xf>
    <xf numFmtId="0" fontId="26" fillId="8" borderId="60" xfId="0" applyFont="1" applyFill="1" applyBorder="1" applyAlignment="1">
      <alignment horizontal="center" vertical="center"/>
    </xf>
    <xf numFmtId="1" fontId="41" fillId="8" borderId="1" xfId="1" applyNumberFormat="1" applyFont="1" applyFill="1" applyBorder="1" applyAlignment="1">
      <alignment horizontal="center" vertical="center" wrapText="1"/>
    </xf>
    <xf numFmtId="1" fontId="41" fillId="8" borderId="2" xfId="1" applyNumberFormat="1" applyFont="1" applyFill="1" applyBorder="1" applyAlignment="1">
      <alignment horizontal="center" vertical="center" wrapText="1"/>
    </xf>
    <xf numFmtId="1" fontId="41" fillId="8" borderId="3" xfId="1" applyNumberFormat="1" applyFont="1" applyFill="1" applyBorder="1" applyAlignment="1">
      <alignment horizontal="center" vertical="center" wrapText="1"/>
    </xf>
    <xf numFmtId="44" fontId="40" fillId="0" borderId="0" xfId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44" fontId="1" fillId="0" borderId="35" xfId="1" applyFont="1" applyBorder="1" applyAlignment="1">
      <alignment horizontal="center" wrapText="1"/>
    </xf>
    <xf numFmtId="44" fontId="25" fillId="0" borderId="0" xfId="1" applyFont="1" applyAlignment="1">
      <alignment horizontal="center" wrapText="1"/>
    </xf>
    <xf numFmtId="49" fontId="9" fillId="0" borderId="60" xfId="0" applyNumberFormat="1" applyFont="1" applyBorder="1" applyAlignment="1">
      <alignment horizontal="center" vertical="center" wrapText="1"/>
    </xf>
    <xf numFmtId="2" fontId="9" fillId="0" borderId="58" xfId="0" applyNumberFormat="1" applyFont="1" applyBorder="1" applyAlignment="1">
      <alignment vertical="center" wrapText="1"/>
    </xf>
    <xf numFmtId="44" fontId="9" fillId="0" borderId="12" xfId="1" applyFont="1" applyFill="1" applyBorder="1" applyAlignment="1">
      <alignment horizontal="center" vertical="center" wrapText="1"/>
    </xf>
    <xf numFmtId="10" fontId="40" fillId="0" borderId="25" xfId="7" applyNumberFormat="1" applyFont="1" applyFill="1" applyBorder="1" applyAlignment="1">
      <alignment horizontal="center" vertical="center" wrapText="1"/>
    </xf>
    <xf numFmtId="10" fontId="40" fillId="0" borderId="51" xfId="7" applyNumberFormat="1" applyFont="1" applyFill="1" applyBorder="1" applyAlignment="1">
      <alignment horizontal="center" vertical="center" wrapText="1"/>
    </xf>
    <xf numFmtId="44" fontId="42" fillId="8" borderId="1" xfId="1" applyFont="1" applyFill="1" applyBorder="1" applyAlignment="1">
      <alignment horizontal="center" vertical="center"/>
    </xf>
    <xf numFmtId="44" fontId="42" fillId="8" borderId="2" xfId="1" applyFont="1" applyFill="1" applyBorder="1" applyAlignment="1">
      <alignment horizontal="center" vertical="center"/>
    </xf>
    <xf numFmtId="0" fontId="9" fillId="23" borderId="16" xfId="0" applyFont="1" applyFill="1" applyBorder="1" applyAlignment="1">
      <alignment horizontal="left" vertical="top" indent="1"/>
    </xf>
    <xf numFmtId="0" fontId="25" fillId="0" borderId="16" xfId="0" applyFont="1" applyFill="1" applyBorder="1" applyAlignment="1">
      <alignment horizontal="left" vertical="justify"/>
    </xf>
    <xf numFmtId="2" fontId="9" fillId="0" borderId="29" xfId="0" applyNumberFormat="1" applyFont="1" applyFill="1" applyBorder="1" applyAlignment="1">
      <alignment horizontal="center" vertical="center"/>
    </xf>
    <xf numFmtId="2" fontId="25" fillId="0" borderId="29" xfId="0" applyNumberFormat="1" applyFont="1" applyFill="1" applyBorder="1" applyAlignment="1">
      <alignment horizontal="center" vertical="top"/>
    </xf>
    <xf numFmtId="2" fontId="9" fillId="0" borderId="29" xfId="0" applyNumberFormat="1" applyFont="1" applyFill="1" applyBorder="1" applyAlignment="1">
      <alignment horizontal="center" vertical="top"/>
    </xf>
    <xf numFmtId="44" fontId="0" fillId="15" borderId="0" xfId="1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12">
    <cellStyle name="20% - Énfasis5" xfId="3" builtinId="46"/>
    <cellStyle name="40% - Énfasis5" xfId="4" builtinId="47"/>
    <cellStyle name="60% - Énfasis1" xfId="2" builtinId="32"/>
    <cellStyle name="Celda de comprobación" xfId="10" builtinId="23"/>
    <cellStyle name="Degradación" xfId="11"/>
    <cellStyle name="Entrada" xfId="8" builtinId="20"/>
    <cellStyle name="Millares 2" xfId="5"/>
    <cellStyle name="Moneda" xfId="1" builtinId="4"/>
    <cellStyle name="Normal" xfId="0" builtinId="0"/>
    <cellStyle name="Normal 2" xfId="6"/>
    <cellStyle name="Porcentaje" xfId="7" builtinId="5"/>
    <cellStyle name="Salida" xfId="9" builtinId="21"/>
  </cellStyles>
  <dxfs count="2927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174</xdr:row>
      <xdr:rowOff>57150</xdr:rowOff>
    </xdr:from>
    <xdr:to>
      <xdr:col>6</xdr:col>
      <xdr:colOff>599515</xdr:colOff>
      <xdr:row>178</xdr:row>
      <xdr:rowOff>187139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52850" y="30527625"/>
          <a:ext cx="30950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174</xdr:row>
      <xdr:rowOff>57150</xdr:rowOff>
    </xdr:from>
    <xdr:to>
      <xdr:col>6</xdr:col>
      <xdr:colOff>599515</xdr:colOff>
      <xdr:row>178</xdr:row>
      <xdr:rowOff>187139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86175" y="40843200"/>
          <a:ext cx="52286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116</xdr:row>
      <xdr:rowOff>57150</xdr:rowOff>
    </xdr:from>
    <xdr:to>
      <xdr:col>6</xdr:col>
      <xdr:colOff>599515</xdr:colOff>
      <xdr:row>120</xdr:row>
      <xdr:rowOff>187139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86175" y="40843200"/>
          <a:ext cx="52286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4607"/>
          <a:ext cx="1447381" cy="10444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5968"/>
          <a:ext cx="1447381" cy="1043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41243</xdr:colOff>
      <xdr:row>32</xdr:row>
      <xdr:rowOff>108426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i="0">
                  <a:latin typeface="Cambria Math" panose="02040503050406030204" pitchFamily="18" charset="0"/>
                </a:rPr>
                <a:t>=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</xdr:col>
      <xdr:colOff>123947</xdr:colOff>
      <xdr:row>1</xdr:row>
      <xdr:rowOff>132871</xdr:rowOff>
    </xdr:from>
    <xdr:to>
      <xdr:col>2</xdr:col>
      <xdr:colOff>1397757</xdr:colOff>
      <xdr:row>6</xdr:row>
      <xdr:rowOff>71108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947" y="345783"/>
          <a:ext cx="1654810" cy="12269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162296</xdr:colOff>
      <xdr:row>2</xdr:row>
      <xdr:rowOff>104714</xdr:rowOff>
    </xdr:from>
    <xdr:to>
      <xdr:col>16</xdr:col>
      <xdr:colOff>1806234</xdr:colOff>
      <xdr:row>6</xdr:row>
      <xdr:rowOff>360558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2878" y="534205"/>
          <a:ext cx="1643938" cy="1197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1" displayName="Tabla1" ref="B1:F281" totalsRowShown="0" headerRowDxfId="2926" dataDxfId="2925">
  <autoFilter ref="B1:F281"/>
  <sortState ref="B2:F275">
    <sortCondition ref="B1:B275"/>
  </sortState>
  <tableColumns count="5">
    <tableColumn id="1" name="MATERIALES" dataDxfId="2924"/>
    <tableColumn id="2" name="UNIDAD" dataDxfId="2923"/>
    <tableColumn id="3" name="PRECIO" dataDxfId="2922"/>
    <tableColumn id="4" name="CANTIDAD" dataDxfId="2921">
      <calculatedColumnFormula>ROUNDUP((+SUMIF(UNITARIOS!C:C,Tabla1[[#This Row],[MATERIALES]],UNITARIOS!E:E)),0)</calculatedColumnFormula>
    </tableColumn>
    <tableColumn id="5" name="TOTAL" dataDxfId="2920">
      <calculatedColumnFormula>Tabla1[[#This Row],[PRECIO]]*Tabla1[[#This Row],[CANTIDAD]]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2" displayName="Tabla2" ref="I1:M137" totalsRowShown="0" headerRowDxfId="2919">
  <autoFilter ref="I1:M137"/>
  <sortState ref="I2:M137">
    <sortCondition ref="I1:I137"/>
  </sortState>
  <tableColumns count="5">
    <tableColumn id="1" name="MANO DE OBRA" dataDxfId="2918"/>
    <tableColumn id="2" name="UNIDAD" dataDxfId="2917"/>
    <tableColumn id="3" name="PRECIO" dataDxfId="2916"/>
    <tableColumn id="4" name="CANTIDAD" dataDxfId="2915">
      <calculatedColumnFormula>ROUNDUP((+SUMIF(UNITARIOS!C:C,Tabla2[[#This Row],[MANO DE OBRA]],UNITARIOS!E:E)),0)</calculatedColumnFormula>
    </tableColumn>
    <tableColumn id="5" name="TOTAL" dataDxfId="2914">
      <calculatedColumnFormula>Tabla2[[#This Row],[PRECIO]]*Tabla2[[#This Row],[CANTIDAD]]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3" displayName="Tabla3" ref="P1:T10" totalsRowShown="0" headerRowDxfId="2913">
  <autoFilter ref="P1:T10"/>
  <sortState ref="P2:T9">
    <sortCondition ref="P6"/>
  </sortState>
  <tableColumns count="5">
    <tableColumn id="1" name="EQUIPO" dataDxfId="2912"/>
    <tableColumn id="2" name="UNIDAD" dataDxfId="2911"/>
    <tableColumn id="3" name="PRECIO" dataDxfId="2910"/>
    <tableColumn id="4" name="CANTIDAD" dataDxfId="2909">
      <calculatedColumnFormula>ROUNDUP((+SUMIF(UNITARIOS!C:C,Tabla3[[#This Row],[EQUIPO]],UNITARIOS!E:E)),0)</calculatedColumnFormula>
    </tableColumn>
    <tableColumn id="5" name="TOTAL" dataDxfId="2908">
      <calculatedColumnFormula>Tabla3[[#This Row],[PRECIO]]*Tabla3[[#This Row],[CANTIDAD]]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PRECIOSM" displayName="PRECIOSM" ref="B1:F284" totalsRowShown="0" headerRowDxfId="2907" dataDxfId="2906">
  <autoFilter ref="B1:F284"/>
  <sortState ref="B2:F275">
    <sortCondition ref="B1:B275"/>
  </sortState>
  <tableColumns count="5">
    <tableColumn id="1" name="MATERIALES" dataDxfId="2905"/>
    <tableColumn id="2" name="UNIDAD" dataDxfId="2904"/>
    <tableColumn id="3" name="PRECIO" dataDxfId="2903"/>
    <tableColumn id="4" name="CANTIDAD" dataDxfId="2902">
      <calculatedColumnFormula>ROUNDUP((+SUMIF(UNITARIOS!C:C,PRECIOSM[[#This Row],[MATERIALES]],UNITARIOS!E:E)),0)</calculatedColumnFormula>
    </tableColumn>
    <tableColumn id="5" name="TOTAL" dataDxfId="2901">
      <calculatedColumnFormula>PRECIOSM[[#This Row],[PRECIO]]*PRECIOSM[[#This Row],[CANTIDAD]]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PRECIOSMO" displayName="PRECIOSMO" ref="I1:M141" totalsRowShown="0" headerRowDxfId="2900">
  <autoFilter ref="I1:M141"/>
  <sortState ref="I2:M137">
    <sortCondition ref="I1:I137"/>
  </sortState>
  <tableColumns count="5">
    <tableColumn id="1" name="MANO DE OBRA" dataDxfId="2899"/>
    <tableColumn id="2" name="UNIDAD" dataDxfId="2898"/>
    <tableColumn id="3" name="PRECIO" dataDxfId="2897"/>
    <tableColumn id="4" name="CANTIDAD" dataDxfId="2896">
      <calculatedColumnFormula>ROUNDUP((+SUMIF(UNITARIOS!C:C,PRECIOSMO[[#This Row],[MANO DE OBRA]],UNITARIOS!E:E)),0)</calculatedColumnFormula>
    </tableColumn>
    <tableColumn id="5" name="TOTAL" dataDxfId="2895">
      <calculatedColumnFormula>PRECIOSMO[[#This Row],[PRECIO]]*PRECIOSMO[[#This Row],[CANTIDAD]]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PRECIOSH" displayName="PRECIOSH" ref="P1:T15" totalsRowShown="0" headerRowDxfId="2894">
  <autoFilter ref="P1:T15"/>
  <sortState ref="P2:T9">
    <sortCondition ref="P6"/>
  </sortState>
  <tableColumns count="5">
    <tableColumn id="1" name="EQUIPO" dataDxfId="2893"/>
    <tableColumn id="2" name="UNIDAD" dataDxfId="2892"/>
    <tableColumn id="3" name="PRECIO" dataDxfId="2891"/>
    <tableColumn id="4" name="CANTIDAD" dataDxfId="2890">
      <calculatedColumnFormula>ROUNDUP((+SUMIF(UNITARIOS!C:C,PRECIOSH[[#This Row],[EQUIPO]],UNITARIOS!E:E)),0)</calculatedColumnFormula>
    </tableColumn>
    <tableColumn id="5" name="TOTAL" dataDxfId="2889">
      <calculatedColumnFormula>PRECIOSH[[#This Row],[PRECIO]]*PRECIOSH[[#This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7"/>
  <sheetViews>
    <sheetView showGridLines="0" view="pageBreakPreview" topLeftCell="F150" zoomScale="85" zoomScaleNormal="60" zoomScaleSheetLayoutView="85" zoomScalePageLayoutView="55" workbookViewId="0">
      <selection activeCell="A28" sqref="A28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95" t="s">
        <v>453</v>
      </c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280"/>
      <c r="N1" s="280"/>
      <c r="O1" s="280"/>
    </row>
    <row r="2" spans="1:23" ht="17.25" customHeight="1" x14ac:dyDescent="0.25">
      <c r="A2" s="1"/>
      <c r="B2" s="394" t="s">
        <v>638</v>
      </c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279"/>
      <c r="N2" s="279"/>
      <c r="O2" s="279"/>
    </row>
    <row r="3" spans="1:23" ht="17.25" customHeight="1" x14ac:dyDescent="0.25">
      <c r="A3" s="1"/>
      <c r="B3" s="394" t="s">
        <v>635</v>
      </c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279"/>
      <c r="N3" s="279"/>
      <c r="O3" s="279"/>
    </row>
    <row r="4" spans="1:23" ht="15" customHeight="1" x14ac:dyDescent="0.25">
      <c r="A4" s="1"/>
      <c r="B4" s="394" t="s">
        <v>636</v>
      </c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279"/>
      <c r="N4" s="279"/>
      <c r="O4" s="279"/>
    </row>
    <row r="5" spans="1:23" ht="15" customHeight="1" x14ac:dyDescent="0.25">
      <c r="A5" s="1"/>
      <c r="B5" s="398" t="s">
        <v>637</v>
      </c>
      <c r="C5" s="394"/>
      <c r="D5" s="394"/>
      <c r="E5" s="394"/>
      <c r="F5" s="394"/>
      <c r="G5" s="394"/>
      <c r="H5" s="394"/>
      <c r="I5" s="394"/>
      <c r="J5" s="394"/>
      <c r="K5" s="394"/>
      <c r="L5" s="394"/>
      <c r="M5" s="279"/>
      <c r="N5" s="279"/>
      <c r="O5" s="279"/>
    </row>
    <row r="6" spans="1:23" ht="16.5" thickBot="1" x14ac:dyDescent="0.3"/>
    <row r="7" spans="1:23" s="4" customFormat="1" ht="24" customHeight="1" thickBot="1" x14ac:dyDescent="0.3">
      <c r="B7" s="399" t="s">
        <v>366</v>
      </c>
      <c r="C7" s="400"/>
      <c r="D7" s="400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1"/>
      <c r="Q7" s="31"/>
      <c r="R7" s="31"/>
      <c r="W7" s="58"/>
    </row>
    <row r="8" spans="1:23" ht="16.5" thickBot="1" x14ac:dyDescent="0.3">
      <c r="R8" s="394"/>
      <c r="S8" s="394"/>
      <c r="T8" s="394"/>
      <c r="U8" s="394"/>
      <c r="V8" s="394"/>
      <c r="W8" s="394"/>
    </row>
    <row r="9" spans="1:23" ht="46.5" customHeight="1" thickBot="1" x14ac:dyDescent="0.3">
      <c r="B9" s="89" t="s">
        <v>44</v>
      </c>
      <c r="C9" s="90" t="s">
        <v>26</v>
      </c>
      <c r="D9" s="293" t="s">
        <v>641</v>
      </c>
      <c r="E9" s="293" t="s">
        <v>644</v>
      </c>
      <c r="F9" s="293" t="s">
        <v>646</v>
      </c>
      <c r="G9" s="90" t="s">
        <v>3</v>
      </c>
      <c r="H9" s="301" t="s">
        <v>642</v>
      </c>
      <c r="I9" s="300" t="s">
        <v>645</v>
      </c>
      <c r="J9" s="300" t="s">
        <v>647</v>
      </c>
      <c r="K9" s="294" t="s">
        <v>643</v>
      </c>
      <c r="L9" s="302" t="s">
        <v>655</v>
      </c>
      <c r="M9" s="302" t="s">
        <v>654</v>
      </c>
      <c r="N9" s="302" t="s">
        <v>656</v>
      </c>
      <c r="O9" s="302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95"/>
      <c r="J10" s="295"/>
      <c r="K10" s="295"/>
      <c r="L10" s="217"/>
      <c r="M10" s="217"/>
      <c r="N10" s="307"/>
      <c r="O10" s="304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96"/>
      <c r="J11" s="296"/>
      <c r="K11" s="296"/>
      <c r="L11" s="218"/>
      <c r="M11" s="218"/>
      <c r="N11" s="308"/>
      <c r="O11" s="305"/>
      <c r="R11" s="68"/>
    </row>
    <row r="12" spans="1:23" x14ac:dyDescent="0.25">
      <c r="B12" s="79">
        <v>101.01</v>
      </c>
      <c r="C12" s="213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UNITARIOS!K54</f>
        <v>28</v>
      </c>
      <c r="I12" s="296">
        <f>'UNITARIOS NUEVOS'!K54</f>
        <v>28</v>
      </c>
      <c r="J12" s="115">
        <f t="shared" ref="J12:J19" si="1">I12-H12</f>
        <v>0</v>
      </c>
      <c r="K12" s="296">
        <f t="shared" ref="K12:K19" si="2">D12*H12</f>
        <v>1323.28</v>
      </c>
      <c r="L12" s="218">
        <f t="shared" ref="L12:L19" si="3">+E12*H12</f>
        <v>1276.8</v>
      </c>
      <c r="M12" s="218">
        <f t="shared" ref="M12:M19" si="4">+E12*I12</f>
        <v>1276.8</v>
      </c>
      <c r="N12" s="310">
        <f t="shared" ref="N12:N19" si="5">L12-K12</f>
        <v>-46.480000000000018</v>
      </c>
      <c r="O12" s="311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3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UNITARIOS!K110</f>
        <v>49</v>
      </c>
      <c r="I13" s="296">
        <f>'UNITARIOS NUEVOS'!K110</f>
        <v>159.6</v>
      </c>
      <c r="J13" s="115">
        <f t="shared" si="1"/>
        <v>110.6</v>
      </c>
      <c r="K13" s="296">
        <f t="shared" si="2"/>
        <v>1890.91</v>
      </c>
      <c r="L13" s="218">
        <f t="shared" si="3"/>
        <v>764.4</v>
      </c>
      <c r="M13" s="218">
        <f t="shared" si="4"/>
        <v>2489.7599999999998</v>
      </c>
      <c r="N13" s="310">
        <f t="shared" si="5"/>
        <v>-1126.5100000000002</v>
      </c>
      <c r="O13" s="311">
        <f t="shared" si="6"/>
        <v>598.84999999999968</v>
      </c>
      <c r="T13" s="5"/>
    </row>
    <row r="14" spans="1:23" x14ac:dyDescent="0.25">
      <c r="B14" s="79">
        <v>111.03</v>
      </c>
      <c r="C14" s="213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UNITARIOS!K161</f>
        <v>126</v>
      </c>
      <c r="I14" s="296">
        <f>'UNITARIOS NUEVOS'!K161</f>
        <v>159.6</v>
      </c>
      <c r="J14" s="115">
        <f t="shared" si="1"/>
        <v>33.599999999999994</v>
      </c>
      <c r="K14" s="296">
        <f t="shared" si="2"/>
        <v>8381.5199999999986</v>
      </c>
      <c r="L14" s="218">
        <f t="shared" si="3"/>
        <v>3490.2</v>
      </c>
      <c r="M14" s="218">
        <f t="shared" si="4"/>
        <v>4420.92</v>
      </c>
      <c r="N14" s="310">
        <f t="shared" si="5"/>
        <v>-4891.3199999999988</v>
      </c>
      <c r="O14" s="311">
        <f t="shared" si="6"/>
        <v>-3960.5999999999985</v>
      </c>
      <c r="T14" s="5"/>
    </row>
    <row r="15" spans="1:23" x14ac:dyDescent="0.25">
      <c r="B15" s="79">
        <v>114.03</v>
      </c>
      <c r="C15" s="213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UNITARIOS!K212</f>
        <v>364</v>
      </c>
      <c r="I15" s="296">
        <f>'UNITARIOS NUEVOS'!K212</f>
        <v>168</v>
      </c>
      <c r="J15" s="115">
        <f t="shared" si="1"/>
        <v>-196</v>
      </c>
      <c r="K15" s="296">
        <f t="shared" si="2"/>
        <v>2184</v>
      </c>
      <c r="L15" s="218">
        <f t="shared" si="3"/>
        <v>14014</v>
      </c>
      <c r="M15" s="218">
        <f t="shared" si="4"/>
        <v>6468</v>
      </c>
      <c r="N15" s="310">
        <f t="shared" si="5"/>
        <v>11830</v>
      </c>
      <c r="O15" s="311">
        <f t="shared" si="6"/>
        <v>4284</v>
      </c>
      <c r="T15" s="5"/>
    </row>
    <row r="16" spans="1:23" x14ac:dyDescent="0.25">
      <c r="B16" s="79">
        <v>117.01</v>
      </c>
      <c r="C16" s="213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UNITARIOS!K264</f>
        <v>364</v>
      </c>
      <c r="I16" s="296">
        <f>'UNITARIOS NUEVOS'!K264</f>
        <v>315</v>
      </c>
      <c r="J16" s="115">
        <f t="shared" si="1"/>
        <v>-49</v>
      </c>
      <c r="K16" s="296">
        <f t="shared" si="2"/>
        <v>1092</v>
      </c>
      <c r="L16" s="218">
        <f t="shared" si="3"/>
        <v>728</v>
      </c>
      <c r="M16" s="218">
        <f t="shared" si="4"/>
        <v>630</v>
      </c>
      <c r="N16" s="310">
        <f t="shared" si="5"/>
        <v>-364</v>
      </c>
      <c r="O16" s="311">
        <f t="shared" si="6"/>
        <v>-462</v>
      </c>
      <c r="T16" s="5"/>
    </row>
    <row r="17" spans="2:20" x14ac:dyDescent="0.25">
      <c r="B17" s="79">
        <v>118.01</v>
      </c>
      <c r="C17" s="213" t="s">
        <v>569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UNITARIOS!K316</f>
        <v>84</v>
      </c>
      <c r="I17" s="296">
        <f>'UNITARIOS NUEVOS'!K316</f>
        <v>84</v>
      </c>
      <c r="J17" s="115">
        <f t="shared" si="1"/>
        <v>0</v>
      </c>
      <c r="K17" s="296">
        <f t="shared" si="2"/>
        <v>588</v>
      </c>
      <c r="L17" s="218">
        <f t="shared" si="3"/>
        <v>336</v>
      </c>
      <c r="M17" s="218">
        <f t="shared" si="4"/>
        <v>336</v>
      </c>
      <c r="N17" s="310">
        <f t="shared" si="5"/>
        <v>-252</v>
      </c>
      <c r="O17" s="311">
        <f t="shared" si="6"/>
        <v>-252</v>
      </c>
      <c r="P17" s="236"/>
      <c r="Q17" s="221"/>
      <c r="T17" s="5"/>
    </row>
    <row r="18" spans="2:20" x14ac:dyDescent="0.25">
      <c r="B18" s="79" t="s">
        <v>663</v>
      </c>
      <c r="C18" s="314" t="s">
        <v>664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96">
        <f>'UNITARIOS NUEVOS'!K368</f>
        <v>63</v>
      </c>
      <c r="J18" s="115">
        <f t="shared" si="1"/>
        <v>63</v>
      </c>
      <c r="K18" s="296">
        <f t="shared" si="2"/>
        <v>0</v>
      </c>
      <c r="L18" s="218">
        <f t="shared" si="3"/>
        <v>0</v>
      </c>
      <c r="M18" s="218">
        <f t="shared" si="4"/>
        <v>3339</v>
      </c>
      <c r="N18" s="310">
        <f t="shared" si="5"/>
        <v>0</v>
      </c>
      <c r="O18" s="311">
        <f t="shared" si="6"/>
        <v>3339</v>
      </c>
      <c r="P18" s="236"/>
      <c r="Q18" s="221"/>
      <c r="T18" s="5"/>
    </row>
    <row r="19" spans="2:20" x14ac:dyDescent="0.25">
      <c r="B19" s="79" t="s">
        <v>663</v>
      </c>
      <c r="C19" s="314" t="s">
        <v>665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96">
        <f>'UNITARIOS NUEVOS'!K420</f>
        <v>217</v>
      </c>
      <c r="J19" s="115">
        <f t="shared" si="1"/>
        <v>217</v>
      </c>
      <c r="K19" s="296">
        <f t="shared" si="2"/>
        <v>0</v>
      </c>
      <c r="L19" s="218">
        <f t="shared" si="3"/>
        <v>0</v>
      </c>
      <c r="M19" s="218">
        <f t="shared" si="4"/>
        <v>3385.2</v>
      </c>
      <c r="N19" s="310">
        <f t="shared" si="5"/>
        <v>0</v>
      </c>
      <c r="O19" s="311">
        <f t="shared" si="6"/>
        <v>3385.2</v>
      </c>
      <c r="P19" s="236"/>
      <c r="Q19" s="221"/>
      <c r="T19" s="5"/>
    </row>
    <row r="20" spans="2:20" x14ac:dyDescent="0.25">
      <c r="B20" s="79"/>
      <c r="C20" s="215" t="s">
        <v>383</v>
      </c>
      <c r="D20" s="72"/>
      <c r="E20" s="72"/>
      <c r="F20" s="72"/>
      <c r="G20" s="72"/>
      <c r="H20" s="84"/>
      <c r="I20" s="296"/>
      <c r="J20" s="296"/>
      <c r="K20" s="296"/>
      <c r="L20" s="218"/>
      <c r="M20" s="218"/>
      <c r="N20" s="308"/>
      <c r="O20" s="305"/>
      <c r="P20" s="236"/>
      <c r="T20" s="5"/>
    </row>
    <row r="21" spans="2:20" x14ac:dyDescent="0.25">
      <c r="B21" s="79">
        <v>201.01</v>
      </c>
      <c r="C21" s="213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UNITARIOS!K370</f>
        <v>140</v>
      </c>
      <c r="I21" s="296">
        <f>'UNITARIOS NUEVOS'!K474</f>
        <v>122.5</v>
      </c>
      <c r="J21" s="115">
        <f t="shared" ref="J21:J26" si="8">I21-H21</f>
        <v>-17.5</v>
      </c>
      <c r="K21" s="296">
        <f t="shared" ref="K21:K26" si="9">D21*H21</f>
        <v>2451.4</v>
      </c>
      <c r="L21" s="218">
        <f t="shared" ref="L21:L26" si="10">+E21*H21</f>
        <v>1652</v>
      </c>
      <c r="M21" s="218">
        <f t="shared" ref="M21:M26" si="11">+E21*I21</f>
        <v>1445.5</v>
      </c>
      <c r="N21" s="310">
        <f t="shared" ref="N21:N26" si="12">L21-K21</f>
        <v>-799.40000000000009</v>
      </c>
      <c r="O21" s="311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3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UNITARIOS!K421</f>
        <v>364</v>
      </c>
      <c r="I22" s="296">
        <f>'UNITARIOS NUEVOS'!K525</f>
        <v>162.4</v>
      </c>
      <c r="J22" s="115">
        <f t="shared" si="8"/>
        <v>-201.6</v>
      </c>
      <c r="K22" s="296">
        <f t="shared" si="9"/>
        <v>2467.92</v>
      </c>
      <c r="L22" s="218">
        <f t="shared" si="10"/>
        <v>1929.2</v>
      </c>
      <c r="M22" s="218">
        <f t="shared" si="11"/>
        <v>860.72</v>
      </c>
      <c r="N22" s="310">
        <f t="shared" si="12"/>
        <v>-538.72</v>
      </c>
      <c r="O22" s="311">
        <f t="shared" si="13"/>
        <v>-1607.2</v>
      </c>
      <c r="T22" s="5"/>
    </row>
    <row r="23" spans="2:20" ht="31.5" x14ac:dyDescent="0.25">
      <c r="B23" s="79">
        <v>206.06</v>
      </c>
      <c r="C23" s="315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UNITARIOS!K477</f>
        <v>392</v>
      </c>
      <c r="I23" s="296">
        <f>'UNITARIOS NUEVOS'!K581</f>
        <v>413</v>
      </c>
      <c r="J23" s="115">
        <f t="shared" si="8"/>
        <v>21</v>
      </c>
      <c r="K23" s="296">
        <f t="shared" si="9"/>
        <v>15127.28</v>
      </c>
      <c r="L23" s="218">
        <f t="shared" si="10"/>
        <v>7683.2000000000007</v>
      </c>
      <c r="M23" s="218">
        <f t="shared" si="11"/>
        <v>8094.8</v>
      </c>
      <c r="N23" s="310">
        <f t="shared" si="12"/>
        <v>-7444.08</v>
      </c>
      <c r="O23" s="311">
        <f t="shared" si="13"/>
        <v>-7032.4800000000005</v>
      </c>
      <c r="T23" s="5"/>
    </row>
    <row r="24" spans="2:20" ht="31.5" x14ac:dyDescent="0.25">
      <c r="B24" s="79">
        <v>210.06</v>
      </c>
      <c r="C24" s="381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UNITARIOS!K531</f>
        <v>280</v>
      </c>
      <c r="I24" s="296">
        <v>0</v>
      </c>
      <c r="J24" s="115">
        <f t="shared" si="8"/>
        <v>-280</v>
      </c>
      <c r="K24" s="296">
        <f t="shared" si="9"/>
        <v>2016</v>
      </c>
      <c r="L24" s="218">
        <f t="shared" si="10"/>
        <v>0</v>
      </c>
      <c r="M24" s="218">
        <f t="shared" si="11"/>
        <v>0</v>
      </c>
      <c r="N24" s="310">
        <f t="shared" si="12"/>
        <v>-2016</v>
      </c>
      <c r="O24" s="311">
        <f t="shared" si="13"/>
        <v>-2016</v>
      </c>
      <c r="T24" s="5"/>
    </row>
    <row r="25" spans="2:20" ht="47.25" x14ac:dyDescent="0.25">
      <c r="B25" s="79">
        <v>210.06</v>
      </c>
      <c r="C25" s="314" t="s">
        <v>707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96">
        <f>'UNITARIOS NUEVOS'!K635</f>
        <v>334.6</v>
      </c>
      <c r="J25" s="115">
        <f t="shared" si="8"/>
        <v>334.6</v>
      </c>
      <c r="K25" s="296">
        <f t="shared" si="9"/>
        <v>0</v>
      </c>
      <c r="L25" s="218">
        <f t="shared" si="10"/>
        <v>0</v>
      </c>
      <c r="M25" s="218">
        <f t="shared" si="11"/>
        <v>2810.6400000000003</v>
      </c>
      <c r="N25" s="310">
        <f t="shared" si="12"/>
        <v>0</v>
      </c>
      <c r="O25" s="311">
        <f t="shared" si="13"/>
        <v>2810.6400000000003</v>
      </c>
      <c r="T25" s="5"/>
    </row>
    <row r="26" spans="2:20" ht="31.5" x14ac:dyDescent="0.25">
      <c r="B26" s="79">
        <v>210.09</v>
      </c>
      <c r="C26" s="381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UNITARIOS!K585</f>
        <v>504</v>
      </c>
      <c r="I26" s="296">
        <v>0</v>
      </c>
      <c r="J26" s="115">
        <f t="shared" si="8"/>
        <v>-504</v>
      </c>
      <c r="K26" s="296">
        <f t="shared" si="9"/>
        <v>4173.12</v>
      </c>
      <c r="L26" s="218">
        <f t="shared" si="10"/>
        <v>0</v>
      </c>
      <c r="M26" s="218">
        <f t="shared" si="11"/>
        <v>0</v>
      </c>
      <c r="N26" s="310">
        <f t="shared" si="12"/>
        <v>-4173.12</v>
      </c>
      <c r="O26" s="311">
        <f t="shared" si="13"/>
        <v>-4173.12</v>
      </c>
      <c r="P26" s="236">
        <f>SUM(L21:L26)</f>
        <v>11264.400000000001</v>
      </c>
      <c r="T26" s="5"/>
    </row>
    <row r="27" spans="2:20" x14ac:dyDescent="0.25">
      <c r="B27" s="79"/>
      <c r="C27" s="215" t="s">
        <v>457</v>
      </c>
      <c r="D27" s="72"/>
      <c r="E27" s="72"/>
      <c r="F27" s="72"/>
      <c r="G27" s="72"/>
      <c r="H27" s="84"/>
      <c r="I27" s="296"/>
      <c r="J27" s="296"/>
      <c r="K27" s="296"/>
      <c r="L27" s="218"/>
      <c r="M27" s="218"/>
      <c r="N27" s="308"/>
      <c r="O27" s="305"/>
      <c r="T27" s="5"/>
    </row>
    <row r="28" spans="2:20" ht="31.5" x14ac:dyDescent="0.25">
      <c r="B28" s="136">
        <v>303.06</v>
      </c>
      <c r="C28" s="381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UNITARIOS!K639</f>
        <v>280</v>
      </c>
      <c r="I28" s="296">
        <v>0</v>
      </c>
      <c r="J28" s="115">
        <f>I28-H28</f>
        <v>-280</v>
      </c>
      <c r="K28" s="296">
        <f>D28*H28</f>
        <v>5754</v>
      </c>
      <c r="L28" s="218">
        <f>+E28*H28</f>
        <v>0</v>
      </c>
      <c r="M28" s="218">
        <f>+E28*I28</f>
        <v>0</v>
      </c>
      <c r="N28" s="310">
        <f>L28-K28</f>
        <v>-5754</v>
      </c>
      <c r="O28" s="311">
        <f>M28-K28</f>
        <v>-5754</v>
      </c>
      <c r="T28" s="5"/>
    </row>
    <row r="29" spans="2:20" ht="31.5" x14ac:dyDescent="0.25">
      <c r="B29" s="136">
        <v>303.06</v>
      </c>
      <c r="C29" s="314" t="s">
        <v>713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96">
        <f>'UNITARIOS NUEVOS'!K689</f>
        <v>313.60000000000002</v>
      </c>
      <c r="J29" s="115">
        <f>I29-H29</f>
        <v>313.60000000000002</v>
      </c>
      <c r="K29" s="296">
        <f>D29*H29</f>
        <v>0</v>
      </c>
      <c r="L29" s="218">
        <f>+E29*H29</f>
        <v>0</v>
      </c>
      <c r="M29" s="218">
        <f>+E29*I29</f>
        <v>8843.52</v>
      </c>
      <c r="N29" s="310">
        <f>L29-K29</f>
        <v>0</v>
      </c>
      <c r="O29" s="311">
        <f>M29-K29</f>
        <v>8843.52</v>
      </c>
      <c r="T29" s="5"/>
    </row>
    <row r="30" spans="2:20" ht="31.5" x14ac:dyDescent="0.25">
      <c r="B30" s="136">
        <v>303.08999999999997</v>
      </c>
      <c r="C30" s="381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UNITARIOS!K693</f>
        <v>504</v>
      </c>
      <c r="I30" s="296">
        <v>0</v>
      </c>
      <c r="J30" s="115">
        <f>I30-H30</f>
        <v>-504</v>
      </c>
      <c r="K30" s="296">
        <f>D30*H30</f>
        <v>9626.4000000000015</v>
      </c>
      <c r="L30" s="218">
        <f>+E30*H30</f>
        <v>0</v>
      </c>
      <c r="M30" s="218">
        <f>+E30*I30</f>
        <v>0</v>
      </c>
      <c r="N30" s="310">
        <f>L30-K30</f>
        <v>-9626.4000000000015</v>
      </c>
      <c r="O30" s="311">
        <f>M30-K30</f>
        <v>-9626.4000000000015</v>
      </c>
      <c r="T30" s="5"/>
    </row>
    <row r="31" spans="2:20" x14ac:dyDescent="0.25">
      <c r="B31" s="136">
        <v>304.07</v>
      </c>
      <c r="C31" s="381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UNITARIOS!K749</f>
        <v>49</v>
      </c>
      <c r="I31" s="296">
        <v>0</v>
      </c>
      <c r="J31" s="115">
        <f>I31-H31</f>
        <v>-49</v>
      </c>
      <c r="K31" s="296">
        <f>D31*H31</f>
        <v>34368.6</v>
      </c>
      <c r="L31" s="218">
        <f>+E31*H31</f>
        <v>0</v>
      </c>
      <c r="M31" s="218">
        <f>+E31*I31</f>
        <v>0</v>
      </c>
      <c r="N31" s="310">
        <f>L31-K31</f>
        <v>-34368.6</v>
      </c>
      <c r="O31" s="311">
        <f>M31-K31</f>
        <v>-34368.6</v>
      </c>
      <c r="P31" s="236">
        <f>SUM(L28:L31)</f>
        <v>0</v>
      </c>
      <c r="T31" s="5"/>
    </row>
    <row r="32" spans="2:20" x14ac:dyDescent="0.25">
      <c r="B32" s="136"/>
      <c r="C32" s="215" t="s">
        <v>384</v>
      </c>
      <c r="D32" s="72"/>
      <c r="E32" s="72"/>
      <c r="F32" s="72"/>
      <c r="G32" s="72"/>
      <c r="H32" s="84"/>
      <c r="I32" s="296"/>
      <c r="J32" s="296"/>
      <c r="K32" s="296"/>
      <c r="L32" s="218"/>
      <c r="M32" s="218"/>
      <c r="N32" s="308"/>
      <c r="O32" s="305"/>
      <c r="T32" s="5"/>
    </row>
    <row r="33" spans="2:23" s="4" customFormat="1" ht="31.5" x14ac:dyDescent="0.25">
      <c r="B33" s="136">
        <v>401.35</v>
      </c>
      <c r="C33" s="381" t="s">
        <v>496</v>
      </c>
      <c r="D33" s="72">
        <v>15</v>
      </c>
      <c r="E33" s="72">
        <v>0</v>
      </c>
      <c r="F33" s="72">
        <f t="shared" ref="F33:F43" si="14">E33-D33</f>
        <v>-15</v>
      </c>
      <c r="G33" s="72" t="s">
        <v>71</v>
      </c>
      <c r="H33" s="84">
        <f>UNITARIOS!K806</f>
        <v>392</v>
      </c>
      <c r="I33" s="296">
        <v>0</v>
      </c>
      <c r="J33" s="115">
        <f t="shared" ref="J33:J38" si="15">I33-H33</f>
        <v>-392</v>
      </c>
      <c r="K33" s="296">
        <f t="shared" ref="K33:K38" si="16">D33*H33</f>
        <v>5880</v>
      </c>
      <c r="L33" s="218">
        <f t="shared" ref="L33:L38" si="17">+E33*H33</f>
        <v>0</v>
      </c>
      <c r="M33" s="218">
        <f t="shared" ref="M33:M38" si="18">+E33*I33</f>
        <v>0</v>
      </c>
      <c r="N33" s="310">
        <f t="shared" ref="N33:N38" si="19">L33-K33</f>
        <v>-5880</v>
      </c>
      <c r="O33" s="311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314" t="s">
        <v>723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96">
        <f>'UNITARIOS NUEVOS'!K745</f>
        <v>443.1</v>
      </c>
      <c r="J34" s="115">
        <f t="shared" si="15"/>
        <v>443.1</v>
      </c>
      <c r="K34" s="296">
        <f t="shared" si="16"/>
        <v>0</v>
      </c>
      <c r="L34" s="218">
        <f t="shared" si="17"/>
        <v>0</v>
      </c>
      <c r="M34" s="218">
        <f t="shared" si="18"/>
        <v>14533.68</v>
      </c>
      <c r="N34" s="310">
        <f t="shared" si="19"/>
        <v>0</v>
      </c>
      <c r="O34" s="311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81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UNITARIOS!K862</f>
        <v>252</v>
      </c>
      <c r="I35" s="296">
        <v>0</v>
      </c>
      <c r="J35" s="115">
        <f t="shared" si="15"/>
        <v>-252</v>
      </c>
      <c r="K35" s="296">
        <f t="shared" si="16"/>
        <v>3780</v>
      </c>
      <c r="L35" s="218">
        <f t="shared" si="17"/>
        <v>0</v>
      </c>
      <c r="M35" s="218">
        <f t="shared" si="18"/>
        <v>0</v>
      </c>
      <c r="N35" s="310">
        <f t="shared" si="19"/>
        <v>-3780</v>
      </c>
      <c r="O35" s="311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81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UNITARIOS!K918</f>
        <v>532</v>
      </c>
      <c r="I36" s="296">
        <v>0</v>
      </c>
      <c r="J36" s="115">
        <f t="shared" si="15"/>
        <v>-532</v>
      </c>
      <c r="K36" s="296">
        <f t="shared" si="16"/>
        <v>11172</v>
      </c>
      <c r="L36" s="218">
        <f t="shared" si="17"/>
        <v>0</v>
      </c>
      <c r="M36" s="218">
        <f t="shared" si="18"/>
        <v>0</v>
      </c>
      <c r="N36" s="310">
        <f t="shared" si="19"/>
        <v>-11172</v>
      </c>
      <c r="O36" s="311">
        <f t="shared" si="20"/>
        <v>-11172</v>
      </c>
      <c r="T36" s="5"/>
    </row>
    <row r="37" spans="2:23" ht="31.5" x14ac:dyDescent="0.25">
      <c r="B37" s="136">
        <v>404.01</v>
      </c>
      <c r="C37" s="381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UNITARIOS!K974</f>
        <v>595</v>
      </c>
      <c r="I37" s="296">
        <v>0</v>
      </c>
      <c r="J37" s="115">
        <f t="shared" si="15"/>
        <v>-595</v>
      </c>
      <c r="K37" s="296">
        <f t="shared" si="16"/>
        <v>1071</v>
      </c>
      <c r="L37" s="218">
        <f t="shared" si="17"/>
        <v>0</v>
      </c>
      <c r="M37" s="218">
        <f t="shared" si="18"/>
        <v>0</v>
      </c>
      <c r="N37" s="310">
        <f t="shared" si="19"/>
        <v>-1071</v>
      </c>
      <c r="O37" s="311">
        <f t="shared" si="20"/>
        <v>-1071</v>
      </c>
      <c r="T37" s="5"/>
    </row>
    <row r="38" spans="2:23" x14ac:dyDescent="0.25">
      <c r="B38" s="136">
        <v>405.23</v>
      </c>
      <c r="C38" s="381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UNITARIOS!K1030</f>
        <v>252</v>
      </c>
      <c r="I38" s="296">
        <v>0</v>
      </c>
      <c r="J38" s="115">
        <f t="shared" si="15"/>
        <v>-252</v>
      </c>
      <c r="K38" s="296">
        <f t="shared" si="16"/>
        <v>10009.44</v>
      </c>
      <c r="L38" s="218">
        <f t="shared" si="17"/>
        <v>0</v>
      </c>
      <c r="M38" s="218">
        <f t="shared" si="18"/>
        <v>0</v>
      </c>
      <c r="N38" s="310">
        <f t="shared" si="19"/>
        <v>-10009.44</v>
      </c>
      <c r="O38" s="311">
        <f t="shared" si="20"/>
        <v>-10009.44</v>
      </c>
      <c r="T38" s="5"/>
    </row>
    <row r="39" spans="2:23" ht="31.5" x14ac:dyDescent="0.25">
      <c r="B39" s="136">
        <v>405.23</v>
      </c>
      <c r="C39" s="213" t="s">
        <v>722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96">
        <f>'UNITARIOS NUEVOS'!K801</f>
        <v>302.39999999999998</v>
      </c>
      <c r="J39" s="115">
        <f>I39-H39</f>
        <v>302.39999999999998</v>
      </c>
      <c r="K39" s="296">
        <f>D39*H39</f>
        <v>0</v>
      </c>
      <c r="L39" s="218">
        <f>+E39*H39</f>
        <v>0</v>
      </c>
      <c r="M39" s="218">
        <f>+E39*I39</f>
        <v>4233.5999999999995</v>
      </c>
      <c r="N39" s="310">
        <f>L39-K39</f>
        <v>0</v>
      </c>
      <c r="O39" s="311">
        <f>M39-K39</f>
        <v>4233.5999999999995</v>
      </c>
      <c r="T39" s="5"/>
    </row>
    <row r="40" spans="2:23" ht="31.5" x14ac:dyDescent="0.25">
      <c r="B40" s="136">
        <v>405.27</v>
      </c>
      <c r="C40" s="213" t="s">
        <v>721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96">
        <f>'UNITARIOS NUEVOS'!K857</f>
        <v>240.8</v>
      </c>
      <c r="J40" s="115">
        <f>I40-H40</f>
        <v>240.8</v>
      </c>
      <c r="K40" s="296">
        <f>D40*H40</f>
        <v>0</v>
      </c>
      <c r="L40" s="218">
        <f>+E40*H40</f>
        <v>0</v>
      </c>
      <c r="M40" s="218">
        <f>+E40*I40</f>
        <v>3082.2400000000002</v>
      </c>
      <c r="N40" s="310">
        <f>L40-K40</f>
        <v>0</v>
      </c>
      <c r="O40" s="311">
        <f>M40-K40</f>
        <v>3082.2400000000002</v>
      </c>
      <c r="T40" s="5"/>
    </row>
    <row r="41" spans="2:23" ht="31.5" x14ac:dyDescent="0.25">
      <c r="B41" s="136">
        <v>407.09</v>
      </c>
      <c r="C41" s="213" t="s">
        <v>720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96">
        <f>'UNITARIOS NUEVOS'!K913</f>
        <v>302.39999999999998</v>
      </c>
      <c r="J41" s="115">
        <f>I41-H41</f>
        <v>302.39999999999998</v>
      </c>
      <c r="K41" s="296">
        <f>D41*H41</f>
        <v>0</v>
      </c>
      <c r="L41" s="218">
        <f>+E41*H41</f>
        <v>0</v>
      </c>
      <c r="M41" s="218">
        <f>+E41*I41</f>
        <v>4233.5999999999995</v>
      </c>
      <c r="N41" s="310">
        <f>L41-K41</f>
        <v>0</v>
      </c>
      <c r="O41" s="311">
        <f>M41-K41</f>
        <v>4233.5999999999995</v>
      </c>
      <c r="T41" s="5"/>
    </row>
    <row r="42" spans="2:23" ht="31.5" x14ac:dyDescent="0.25">
      <c r="B42" s="136">
        <v>407.28</v>
      </c>
      <c r="C42" s="213" t="s">
        <v>719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96">
        <f>'UNITARIOS NUEVOS'!K969</f>
        <v>324.8</v>
      </c>
      <c r="J42" s="115">
        <f>I42-H42</f>
        <v>324.8</v>
      </c>
      <c r="K42" s="296">
        <f>D42*H42</f>
        <v>0</v>
      </c>
      <c r="L42" s="218">
        <f>+E42*H42</f>
        <v>0</v>
      </c>
      <c r="M42" s="218">
        <f>+E42*I42</f>
        <v>4547.2</v>
      </c>
      <c r="N42" s="310">
        <f>L42-K42</f>
        <v>0</v>
      </c>
      <c r="O42" s="311">
        <f>M42-K42</f>
        <v>4547.2</v>
      </c>
      <c r="T42" s="5"/>
    </row>
    <row r="43" spans="2:23" ht="31.5" x14ac:dyDescent="0.25">
      <c r="B43" s="136">
        <v>407.29</v>
      </c>
      <c r="C43" s="213" t="s">
        <v>724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96">
        <f>'UNITARIOS NUEVOS'!K1025</f>
        <v>317.8</v>
      </c>
      <c r="J43" s="115">
        <f>I43-H43</f>
        <v>317.8</v>
      </c>
      <c r="K43" s="296">
        <f>D43*H43</f>
        <v>0</v>
      </c>
      <c r="L43" s="218">
        <f>+E43*H43</f>
        <v>0</v>
      </c>
      <c r="M43" s="218">
        <f>+E43*I43</f>
        <v>1811.46</v>
      </c>
      <c r="N43" s="310">
        <f>L43-K43</f>
        <v>0</v>
      </c>
      <c r="O43" s="311">
        <f>M43-K43</f>
        <v>1811.46</v>
      </c>
      <c r="T43" s="5"/>
    </row>
    <row r="44" spans="2:23" x14ac:dyDescent="0.25">
      <c r="B44" s="136">
        <v>405.27</v>
      </c>
      <c r="C44" s="381" t="s">
        <v>531</v>
      </c>
      <c r="D44" s="72">
        <v>73.180000000000007</v>
      </c>
      <c r="E44" s="72">
        <v>0</v>
      </c>
      <c r="F44" s="72">
        <f t="shared" ref="F44:F53" si="21">E44-D44</f>
        <v>-73.180000000000007</v>
      </c>
      <c r="G44" s="72" t="s">
        <v>71</v>
      </c>
      <c r="H44" s="84">
        <f>UNITARIOS!K1086</f>
        <v>392</v>
      </c>
      <c r="I44" s="296">
        <v>0</v>
      </c>
      <c r="J44" s="115">
        <f t="shared" ref="J44:J49" si="22">I44-H44</f>
        <v>-392</v>
      </c>
      <c r="K44" s="296">
        <f t="shared" ref="K44:K49" si="23">D44*H44</f>
        <v>28686.560000000001</v>
      </c>
      <c r="L44" s="218">
        <f t="shared" ref="L44:L49" si="24">+E44*H44</f>
        <v>0</v>
      </c>
      <c r="M44" s="218">
        <f t="shared" ref="M44:M49" si="25">+E44*I44</f>
        <v>0</v>
      </c>
      <c r="N44" s="310">
        <f t="shared" ref="N44:N49" si="26">L44-K44</f>
        <v>-28686.560000000001</v>
      </c>
      <c r="O44" s="311">
        <f t="shared" ref="O44:O49" si="27">M44-K44</f>
        <v>-28686.560000000001</v>
      </c>
      <c r="T44" s="5"/>
    </row>
    <row r="45" spans="2:23" ht="31.5" x14ac:dyDescent="0.25">
      <c r="B45" s="136">
        <v>407.09</v>
      </c>
      <c r="C45" s="381" t="s">
        <v>527</v>
      </c>
      <c r="D45" s="72">
        <v>16.649999999999999</v>
      </c>
      <c r="E45" s="72">
        <v>0</v>
      </c>
      <c r="F45" s="72">
        <f t="shared" si="21"/>
        <v>-16.649999999999999</v>
      </c>
      <c r="G45" s="72" t="s">
        <v>71</v>
      </c>
      <c r="H45" s="84">
        <f>UNITARIOS!K1142</f>
        <v>420</v>
      </c>
      <c r="I45" s="296">
        <v>0</v>
      </c>
      <c r="J45" s="115">
        <f t="shared" si="22"/>
        <v>-420</v>
      </c>
      <c r="K45" s="296">
        <f t="shared" si="23"/>
        <v>6992.9999999999991</v>
      </c>
      <c r="L45" s="218">
        <f t="shared" si="24"/>
        <v>0</v>
      </c>
      <c r="M45" s="218">
        <f t="shared" si="25"/>
        <v>0</v>
      </c>
      <c r="N45" s="310">
        <f t="shared" si="26"/>
        <v>-6992.9999999999991</v>
      </c>
      <c r="O45" s="311">
        <f t="shared" si="27"/>
        <v>-6992.9999999999991</v>
      </c>
      <c r="T45" s="5"/>
    </row>
    <row r="46" spans="2:23" x14ac:dyDescent="0.25">
      <c r="B46" s="136">
        <v>407.27</v>
      </c>
      <c r="C46" s="381" t="s">
        <v>528</v>
      </c>
      <c r="D46" s="72">
        <v>4.3</v>
      </c>
      <c r="E46" s="72">
        <v>0</v>
      </c>
      <c r="F46" s="72">
        <f t="shared" si="21"/>
        <v>-4.3</v>
      </c>
      <c r="G46" s="72" t="s">
        <v>71</v>
      </c>
      <c r="H46" s="84">
        <f>UNITARIOS!K1198</f>
        <v>287</v>
      </c>
      <c r="I46" s="296">
        <v>0</v>
      </c>
      <c r="J46" s="115">
        <f t="shared" si="22"/>
        <v>-287</v>
      </c>
      <c r="K46" s="296">
        <f t="shared" si="23"/>
        <v>1234.0999999999999</v>
      </c>
      <c r="L46" s="218">
        <f t="shared" si="24"/>
        <v>0</v>
      </c>
      <c r="M46" s="218">
        <f t="shared" si="25"/>
        <v>0</v>
      </c>
      <c r="N46" s="310">
        <f t="shared" si="26"/>
        <v>-1234.0999999999999</v>
      </c>
      <c r="O46" s="311">
        <f t="shared" si="27"/>
        <v>-1234.0999999999999</v>
      </c>
      <c r="T46" s="5"/>
    </row>
    <row r="47" spans="2:23" ht="31.5" x14ac:dyDescent="0.25">
      <c r="B47" s="136">
        <v>407.28</v>
      </c>
      <c r="C47" s="381" t="s">
        <v>529</v>
      </c>
      <c r="D47" s="72">
        <v>15.6</v>
      </c>
      <c r="E47" s="72">
        <v>0</v>
      </c>
      <c r="F47" s="72">
        <f t="shared" si="21"/>
        <v>-15.6</v>
      </c>
      <c r="G47" s="72" t="s">
        <v>71</v>
      </c>
      <c r="H47" s="84">
        <f>UNITARIOS!K1254</f>
        <v>609</v>
      </c>
      <c r="I47" s="296">
        <v>0</v>
      </c>
      <c r="J47" s="115">
        <f t="shared" si="22"/>
        <v>-609</v>
      </c>
      <c r="K47" s="296">
        <f t="shared" si="23"/>
        <v>9500.4</v>
      </c>
      <c r="L47" s="218">
        <f t="shared" si="24"/>
        <v>0</v>
      </c>
      <c r="M47" s="218">
        <f t="shared" si="25"/>
        <v>0</v>
      </c>
      <c r="N47" s="310">
        <f t="shared" si="26"/>
        <v>-9500.4</v>
      </c>
      <c r="O47" s="311">
        <f t="shared" si="27"/>
        <v>-9500.4</v>
      </c>
      <c r="T47" s="5"/>
    </row>
    <row r="48" spans="2:23" ht="31.5" x14ac:dyDescent="0.25">
      <c r="B48" s="136">
        <v>408.01</v>
      </c>
      <c r="C48" s="381" t="s">
        <v>532</v>
      </c>
      <c r="D48" s="72">
        <v>32.57</v>
      </c>
      <c r="E48" s="72">
        <v>0</v>
      </c>
      <c r="F48" s="72">
        <f t="shared" si="21"/>
        <v>-32.57</v>
      </c>
      <c r="G48" s="72" t="s">
        <v>24</v>
      </c>
      <c r="H48" s="84">
        <f>UNITARIOS!K1310</f>
        <v>553</v>
      </c>
      <c r="I48" s="296">
        <v>0</v>
      </c>
      <c r="J48" s="115">
        <f t="shared" si="22"/>
        <v>-553</v>
      </c>
      <c r="K48" s="296">
        <f t="shared" si="23"/>
        <v>18011.21</v>
      </c>
      <c r="L48" s="218">
        <f t="shared" si="24"/>
        <v>0</v>
      </c>
      <c r="M48" s="218">
        <f t="shared" si="25"/>
        <v>0</v>
      </c>
      <c r="N48" s="310">
        <f t="shared" si="26"/>
        <v>-18011.21</v>
      </c>
      <c r="O48" s="311">
        <f t="shared" si="27"/>
        <v>-18011.21</v>
      </c>
      <c r="T48" s="5"/>
    </row>
    <row r="49" spans="2:20" ht="31.5" x14ac:dyDescent="0.25">
      <c r="B49" s="136">
        <v>411.04</v>
      </c>
      <c r="C49" s="381" t="s">
        <v>533</v>
      </c>
      <c r="D49" s="72">
        <v>13.97</v>
      </c>
      <c r="E49" s="72">
        <v>0</v>
      </c>
      <c r="F49" s="72">
        <f t="shared" si="21"/>
        <v>-13.97</v>
      </c>
      <c r="G49" s="72" t="s">
        <v>71</v>
      </c>
      <c r="H49" s="84">
        <f>UNITARIOS!K1366</f>
        <v>308</v>
      </c>
      <c r="I49" s="296">
        <v>0</v>
      </c>
      <c r="J49" s="115">
        <f t="shared" si="22"/>
        <v>-308</v>
      </c>
      <c r="K49" s="296">
        <f t="shared" si="23"/>
        <v>4302.76</v>
      </c>
      <c r="L49" s="218">
        <f t="shared" si="24"/>
        <v>0</v>
      </c>
      <c r="M49" s="218">
        <f t="shared" si="25"/>
        <v>0</v>
      </c>
      <c r="N49" s="310">
        <f t="shared" si="26"/>
        <v>-4302.76</v>
      </c>
      <c r="O49" s="311">
        <f t="shared" si="27"/>
        <v>-4302.76</v>
      </c>
      <c r="P49" s="236">
        <f>SUM(L33:L49)</f>
        <v>0</v>
      </c>
      <c r="T49" s="5"/>
    </row>
    <row r="50" spans="2:20" x14ac:dyDescent="0.25">
      <c r="B50" s="136"/>
      <c r="C50" s="215" t="s">
        <v>49</v>
      </c>
      <c r="D50" s="72"/>
      <c r="E50" s="72"/>
      <c r="F50" s="72"/>
      <c r="G50" s="72"/>
      <c r="H50" s="84"/>
      <c r="I50" s="296"/>
      <c r="J50" s="296"/>
      <c r="K50" s="296"/>
      <c r="L50" s="218"/>
      <c r="M50" s="218"/>
      <c r="N50" s="308"/>
      <c r="O50" s="305"/>
      <c r="T50" s="5"/>
    </row>
    <row r="51" spans="2:20" x14ac:dyDescent="0.25">
      <c r="B51" s="391">
        <v>503.02</v>
      </c>
      <c r="C51" s="213" t="s">
        <v>499</v>
      </c>
      <c r="D51" s="72">
        <v>9.6</v>
      </c>
      <c r="E51" s="72">
        <v>84</v>
      </c>
      <c r="F51" s="72">
        <f t="shared" si="21"/>
        <v>74.400000000000006</v>
      </c>
      <c r="G51" s="72" t="s">
        <v>71</v>
      </c>
      <c r="H51" s="84">
        <f>UNITARIOS!K1422</f>
        <v>126</v>
      </c>
      <c r="I51" s="296">
        <f>H51</f>
        <v>126</v>
      </c>
      <c r="J51" s="115">
        <f>I51-H51</f>
        <v>0</v>
      </c>
      <c r="K51" s="296">
        <f>D51*H51</f>
        <v>1209.5999999999999</v>
      </c>
      <c r="L51" s="218">
        <f>+E51*H51</f>
        <v>10584</v>
      </c>
      <c r="M51" s="218">
        <f>+E51*I51</f>
        <v>10584</v>
      </c>
      <c r="N51" s="310">
        <f>L51-K51</f>
        <v>9374.4</v>
      </c>
      <c r="O51" s="311">
        <f>M51-K51</f>
        <v>9374.4</v>
      </c>
      <c r="T51" s="5"/>
    </row>
    <row r="52" spans="2:20" ht="31.5" x14ac:dyDescent="0.25">
      <c r="B52" s="391">
        <v>505.02</v>
      </c>
      <c r="C52" s="213" t="s">
        <v>500</v>
      </c>
      <c r="D52" s="72">
        <v>6</v>
      </c>
      <c r="E52" s="72">
        <v>50</v>
      </c>
      <c r="F52" s="72">
        <f t="shared" si="21"/>
        <v>44</v>
      </c>
      <c r="G52" s="72" t="s">
        <v>24</v>
      </c>
      <c r="H52" s="84">
        <f>UNITARIOS!K1478</f>
        <v>420</v>
      </c>
      <c r="I52" s="296">
        <f>H52</f>
        <v>420</v>
      </c>
      <c r="J52" s="115">
        <f>I52-H52</f>
        <v>0</v>
      </c>
      <c r="K52" s="296">
        <f>D52*H52</f>
        <v>2520</v>
      </c>
      <c r="L52" s="218">
        <f>+E52*H52</f>
        <v>21000</v>
      </c>
      <c r="M52" s="218">
        <f>+E52*I52</f>
        <v>21000</v>
      </c>
      <c r="N52" s="310">
        <f>L52-K52</f>
        <v>18480</v>
      </c>
      <c r="O52" s="311">
        <f>M52-K52</f>
        <v>18480</v>
      </c>
      <c r="T52" s="5"/>
    </row>
    <row r="53" spans="2:20" x14ac:dyDescent="0.25">
      <c r="B53" s="391">
        <v>511.01</v>
      </c>
      <c r="C53" s="213" t="s">
        <v>534</v>
      </c>
      <c r="D53" s="72">
        <v>5.6</v>
      </c>
      <c r="E53" s="72">
        <v>5.6</v>
      </c>
      <c r="F53" s="72">
        <f t="shared" si="21"/>
        <v>0</v>
      </c>
      <c r="G53" s="72" t="s">
        <v>71</v>
      </c>
      <c r="H53" s="84">
        <f>UNITARIOS!K1534</f>
        <v>329</v>
      </c>
      <c r="I53" s="296">
        <f>H53</f>
        <v>329</v>
      </c>
      <c r="J53" s="115">
        <f>I53-H53</f>
        <v>0</v>
      </c>
      <c r="K53" s="296">
        <f>D53*H53</f>
        <v>1842.3999999999999</v>
      </c>
      <c r="L53" s="218">
        <f>+E53*H53</f>
        <v>1842.3999999999999</v>
      </c>
      <c r="M53" s="218">
        <f>+E53*I53</f>
        <v>1842.3999999999999</v>
      </c>
      <c r="N53" s="310">
        <f>L53-K53</f>
        <v>0</v>
      </c>
      <c r="O53" s="311">
        <f>M53-K53</f>
        <v>0</v>
      </c>
      <c r="P53" s="236">
        <f>SUM(L51:L53)</f>
        <v>33426.400000000001</v>
      </c>
      <c r="T53" s="5"/>
    </row>
    <row r="54" spans="2:20" x14ac:dyDescent="0.25">
      <c r="B54" s="82"/>
      <c r="C54" s="215" t="s">
        <v>50</v>
      </c>
      <c r="D54" s="72"/>
      <c r="E54" s="72"/>
      <c r="F54" s="72"/>
      <c r="G54" s="73" t="s">
        <v>59</v>
      </c>
      <c r="H54" s="84"/>
      <c r="I54" s="296"/>
      <c r="J54" s="296"/>
      <c r="K54" s="296"/>
      <c r="L54" s="218"/>
      <c r="M54" s="218"/>
      <c r="N54" s="308"/>
      <c r="O54" s="305"/>
      <c r="T54" s="5"/>
    </row>
    <row r="55" spans="2:20" x14ac:dyDescent="0.25">
      <c r="B55" s="79">
        <v>601.07000000000005</v>
      </c>
      <c r="C55" s="381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UNITARIOS!K1590</f>
        <v>203</v>
      </c>
      <c r="I55" s="296">
        <v>0</v>
      </c>
      <c r="J55" s="115">
        <f>I55-H55</f>
        <v>-203</v>
      </c>
      <c r="K55" s="296">
        <f>D55*H55</f>
        <v>8467.130000000001</v>
      </c>
      <c r="L55" s="218">
        <f>+E55*H55</f>
        <v>0</v>
      </c>
      <c r="M55" s="218">
        <f t="shared" ref="M55" si="28">+E55*I55</f>
        <v>0</v>
      </c>
      <c r="N55" s="310">
        <f>L55-K55</f>
        <v>-8467.130000000001</v>
      </c>
      <c r="O55" s="311">
        <f>M55-K55</f>
        <v>-8467.130000000001</v>
      </c>
      <c r="T55" s="5"/>
    </row>
    <row r="56" spans="2:20" x14ac:dyDescent="0.25">
      <c r="B56" s="390">
        <v>601.08000000000004</v>
      </c>
      <c r="C56" s="213" t="s">
        <v>536</v>
      </c>
      <c r="D56" s="72">
        <v>140.94</v>
      </c>
      <c r="E56" s="72">
        <v>188</v>
      </c>
      <c r="F56" s="72">
        <f t="shared" ref="F56:F62" si="29">E56-D56</f>
        <v>47.06</v>
      </c>
      <c r="G56" s="72" t="s">
        <v>24</v>
      </c>
      <c r="H56" s="84">
        <f>UNITARIOS!K1646</f>
        <v>203</v>
      </c>
      <c r="I56" s="296">
        <f>H56</f>
        <v>203</v>
      </c>
      <c r="J56" s="115">
        <f t="shared" ref="J56:J62" si="30">I56-H56</f>
        <v>0</v>
      </c>
      <c r="K56" s="296">
        <f t="shared" ref="K56:K62" si="31">D56*H56</f>
        <v>28610.82</v>
      </c>
      <c r="L56" s="218">
        <f t="shared" ref="L56:L62" si="32">+E56*H56</f>
        <v>38164</v>
      </c>
      <c r="M56" s="218">
        <f t="shared" ref="M56:M62" si="33">+E56*I56</f>
        <v>38164</v>
      </c>
      <c r="N56" s="310">
        <f t="shared" ref="N56:N62" si="34">L56-K56</f>
        <v>9553.18</v>
      </c>
      <c r="O56" s="311">
        <f t="shared" ref="O56:O62" si="35">M56-K56</f>
        <v>9553.18</v>
      </c>
      <c r="T56" s="5"/>
    </row>
    <row r="57" spans="2:20" x14ac:dyDescent="0.25">
      <c r="B57" s="390">
        <v>604.03</v>
      </c>
      <c r="C57" s="213" t="s">
        <v>461</v>
      </c>
      <c r="D57" s="72">
        <v>51.5</v>
      </c>
      <c r="E57" s="72">
        <v>27.8</v>
      </c>
      <c r="F57" s="72">
        <f t="shared" si="29"/>
        <v>-23.7</v>
      </c>
      <c r="G57" s="72" t="s">
        <v>24</v>
      </c>
      <c r="H57" s="84">
        <f>UNITARIOS!K1699</f>
        <v>490</v>
      </c>
      <c r="I57" s="296">
        <f>H57</f>
        <v>490</v>
      </c>
      <c r="J57" s="115">
        <f t="shared" si="30"/>
        <v>0</v>
      </c>
      <c r="K57" s="296">
        <f t="shared" si="31"/>
        <v>25235</v>
      </c>
      <c r="L57" s="218">
        <f t="shared" si="32"/>
        <v>13622</v>
      </c>
      <c r="M57" s="218">
        <f t="shared" si="33"/>
        <v>13622</v>
      </c>
      <c r="N57" s="310">
        <f t="shared" si="34"/>
        <v>-11613</v>
      </c>
      <c r="O57" s="311">
        <f t="shared" si="35"/>
        <v>-11613</v>
      </c>
      <c r="T57" s="5"/>
    </row>
    <row r="58" spans="2:20" x14ac:dyDescent="0.25">
      <c r="B58" s="79">
        <v>604.04999999999995</v>
      </c>
      <c r="C58" s="381" t="s">
        <v>51</v>
      </c>
      <c r="D58" s="72">
        <v>15.02</v>
      </c>
      <c r="E58" s="72">
        <v>0</v>
      </c>
      <c r="F58" s="72">
        <f t="shared" si="29"/>
        <v>-15.02</v>
      </c>
      <c r="G58" s="72" t="s">
        <v>24</v>
      </c>
      <c r="H58" s="84">
        <f>UNITARIOS!K1755</f>
        <v>406</v>
      </c>
      <c r="I58" s="296">
        <v>0</v>
      </c>
      <c r="J58" s="115">
        <f t="shared" si="30"/>
        <v>-406</v>
      </c>
      <c r="K58" s="296">
        <f t="shared" si="31"/>
        <v>6098.12</v>
      </c>
      <c r="L58" s="218">
        <f t="shared" si="32"/>
        <v>0</v>
      </c>
      <c r="M58" s="218">
        <f t="shared" si="33"/>
        <v>0</v>
      </c>
      <c r="N58" s="310">
        <f t="shared" si="34"/>
        <v>-6098.12</v>
      </c>
      <c r="O58" s="311">
        <f t="shared" si="35"/>
        <v>-6098.12</v>
      </c>
      <c r="T58" s="5"/>
    </row>
    <row r="59" spans="2:20" x14ac:dyDescent="0.25">
      <c r="B59" s="79">
        <v>607.02</v>
      </c>
      <c r="C59" s="381" t="s">
        <v>501</v>
      </c>
      <c r="D59" s="72">
        <v>37</v>
      </c>
      <c r="E59" s="72">
        <v>0</v>
      </c>
      <c r="F59" s="72">
        <f t="shared" si="29"/>
        <v>-37</v>
      </c>
      <c r="G59" s="72" t="s">
        <v>24</v>
      </c>
      <c r="H59" s="84">
        <f>UNITARIOS!K1811</f>
        <v>294</v>
      </c>
      <c r="I59" s="296">
        <v>0</v>
      </c>
      <c r="J59" s="115">
        <f t="shared" si="30"/>
        <v>-294</v>
      </c>
      <c r="K59" s="296">
        <f t="shared" si="31"/>
        <v>10878</v>
      </c>
      <c r="L59" s="218">
        <f t="shared" si="32"/>
        <v>0</v>
      </c>
      <c r="M59" s="218">
        <f t="shared" si="33"/>
        <v>0</v>
      </c>
      <c r="N59" s="310">
        <f t="shared" si="34"/>
        <v>-10878</v>
      </c>
      <c r="O59" s="311">
        <f t="shared" si="35"/>
        <v>-10878</v>
      </c>
      <c r="T59" s="5"/>
    </row>
    <row r="60" spans="2:20" x14ac:dyDescent="0.25">
      <c r="B60" s="390">
        <v>609.02</v>
      </c>
      <c r="C60" s="213" t="s">
        <v>502</v>
      </c>
      <c r="D60" s="72">
        <v>25</v>
      </c>
      <c r="E60" s="72">
        <v>25</v>
      </c>
      <c r="F60" s="72">
        <f t="shared" si="29"/>
        <v>0</v>
      </c>
      <c r="G60" s="72" t="s">
        <v>24</v>
      </c>
      <c r="H60" s="84">
        <f>UNITARIOS!K1864</f>
        <v>322</v>
      </c>
      <c r="I60" s="296">
        <f>H60</f>
        <v>322</v>
      </c>
      <c r="J60" s="115">
        <f t="shared" si="30"/>
        <v>0</v>
      </c>
      <c r="K60" s="296">
        <f t="shared" si="31"/>
        <v>8050</v>
      </c>
      <c r="L60" s="218">
        <f t="shared" si="32"/>
        <v>8050</v>
      </c>
      <c r="M60" s="218">
        <f t="shared" si="33"/>
        <v>8050</v>
      </c>
      <c r="N60" s="310">
        <f t="shared" si="34"/>
        <v>0</v>
      </c>
      <c r="O60" s="311">
        <f t="shared" si="35"/>
        <v>0</v>
      </c>
      <c r="T60" s="5"/>
    </row>
    <row r="61" spans="2:20" x14ac:dyDescent="0.25">
      <c r="B61" s="390">
        <v>611.01</v>
      </c>
      <c r="C61" s="213" t="s">
        <v>52</v>
      </c>
      <c r="D61" s="72">
        <v>117.1</v>
      </c>
      <c r="E61" s="72">
        <v>94</v>
      </c>
      <c r="F61" s="72">
        <f t="shared" si="29"/>
        <v>-23.099999999999994</v>
      </c>
      <c r="G61" s="72" t="s">
        <v>24</v>
      </c>
      <c r="H61" s="84">
        <f>UNITARIOS!K1920</f>
        <v>49</v>
      </c>
      <c r="I61" s="296">
        <f>H61</f>
        <v>49</v>
      </c>
      <c r="J61" s="115">
        <f t="shared" si="30"/>
        <v>0</v>
      </c>
      <c r="K61" s="296">
        <f t="shared" si="31"/>
        <v>5737.9</v>
      </c>
      <c r="L61" s="218">
        <f t="shared" si="32"/>
        <v>4606</v>
      </c>
      <c r="M61" s="218">
        <f t="shared" si="33"/>
        <v>4606</v>
      </c>
      <c r="N61" s="310">
        <f t="shared" si="34"/>
        <v>-1131.8999999999996</v>
      </c>
      <c r="O61" s="311">
        <f t="shared" si="35"/>
        <v>-1131.8999999999996</v>
      </c>
      <c r="T61" s="5"/>
    </row>
    <row r="62" spans="2:20" x14ac:dyDescent="0.25">
      <c r="B62" s="79">
        <v>611.03</v>
      </c>
      <c r="C62" s="381" t="s">
        <v>503</v>
      </c>
      <c r="D62" s="72">
        <v>41.71</v>
      </c>
      <c r="E62" s="72">
        <v>0</v>
      </c>
      <c r="F62" s="72">
        <f t="shared" si="29"/>
        <v>-41.71</v>
      </c>
      <c r="G62" s="72" t="s">
        <v>24</v>
      </c>
      <c r="H62" s="84">
        <f>UNITARIOS!K1976</f>
        <v>56</v>
      </c>
      <c r="I62" s="296">
        <v>0</v>
      </c>
      <c r="J62" s="115">
        <f t="shared" si="30"/>
        <v>-56</v>
      </c>
      <c r="K62" s="296">
        <f t="shared" si="31"/>
        <v>2335.7600000000002</v>
      </c>
      <c r="L62" s="218">
        <f t="shared" si="32"/>
        <v>0</v>
      </c>
      <c r="M62" s="218">
        <f t="shared" si="33"/>
        <v>0</v>
      </c>
      <c r="N62" s="310">
        <f t="shared" si="34"/>
        <v>-2335.7600000000002</v>
      </c>
      <c r="O62" s="311">
        <f t="shared" si="35"/>
        <v>-2335.7600000000002</v>
      </c>
      <c r="P62" s="236">
        <f>SUM(L55:L62)</f>
        <v>64442</v>
      </c>
      <c r="T62" s="5"/>
    </row>
    <row r="63" spans="2:20" x14ac:dyDescent="0.25">
      <c r="B63" s="79"/>
      <c r="C63" s="215" t="s">
        <v>53</v>
      </c>
      <c r="D63" s="72"/>
      <c r="E63" s="72"/>
      <c r="F63" s="72"/>
      <c r="G63" s="72" t="s">
        <v>59</v>
      </c>
      <c r="H63" s="84"/>
      <c r="I63" s="296"/>
      <c r="J63" s="296"/>
      <c r="K63" s="296"/>
      <c r="L63" s="218"/>
      <c r="M63" s="218"/>
      <c r="N63" s="308"/>
      <c r="O63" s="305"/>
      <c r="T63" s="5"/>
    </row>
    <row r="64" spans="2:20" x14ac:dyDescent="0.25">
      <c r="B64" s="390">
        <v>702.01</v>
      </c>
      <c r="C64" s="213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UNITARIOS!K2029</f>
        <v>2716</v>
      </c>
      <c r="I64" s="296">
        <f>H64</f>
        <v>2716</v>
      </c>
      <c r="J64" s="115">
        <f>I64-H64</f>
        <v>0</v>
      </c>
      <c r="K64" s="296">
        <f>D64*H64</f>
        <v>8148</v>
      </c>
      <c r="L64" s="218">
        <f>+E64*H64</f>
        <v>2716</v>
      </c>
      <c r="M64" s="218">
        <f>+E64*I64</f>
        <v>2716</v>
      </c>
      <c r="N64" s="310">
        <f>L64-K64</f>
        <v>-5432</v>
      </c>
      <c r="O64" s="311">
        <f>M64-K64</f>
        <v>-5432</v>
      </c>
      <c r="P64" s="236">
        <f>SUM(L64)</f>
        <v>2716</v>
      </c>
      <c r="T64" s="5"/>
    </row>
    <row r="65" spans="2:22" x14ac:dyDescent="0.25">
      <c r="B65" s="82"/>
      <c r="C65" s="215" t="s">
        <v>54</v>
      </c>
      <c r="D65" s="72"/>
      <c r="E65" s="72"/>
      <c r="F65" s="72"/>
      <c r="G65" s="73" t="s">
        <v>59</v>
      </c>
      <c r="H65" s="84"/>
      <c r="I65" s="296"/>
      <c r="J65" s="296"/>
      <c r="K65" s="296"/>
      <c r="L65" s="218"/>
      <c r="M65" s="218"/>
      <c r="N65" s="308"/>
      <c r="O65" s="305"/>
      <c r="T65" s="5"/>
    </row>
    <row r="66" spans="2:22" ht="31.5" x14ac:dyDescent="0.25">
      <c r="B66" s="390">
        <v>803.05</v>
      </c>
      <c r="C66" s="213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UNITARIOS!K2085</f>
        <v>1400</v>
      </c>
      <c r="I66" s="296">
        <f>H66</f>
        <v>1400</v>
      </c>
      <c r="J66" s="115">
        <f>I66-H66</f>
        <v>0</v>
      </c>
      <c r="K66" s="296">
        <f>D66*H66</f>
        <v>15217.999999999998</v>
      </c>
      <c r="L66" s="218">
        <f>+E66*H66</f>
        <v>5040</v>
      </c>
      <c r="M66" s="218">
        <f>+E66*I66</f>
        <v>5040</v>
      </c>
      <c r="N66" s="310">
        <f>L66-K66</f>
        <v>-10177.999999999998</v>
      </c>
      <c r="O66" s="311">
        <f>M66-K66</f>
        <v>-10177.999999999998</v>
      </c>
      <c r="P66" s="236">
        <f>SUM(L66)</f>
        <v>5040</v>
      </c>
      <c r="T66" s="5"/>
    </row>
    <row r="67" spans="2:22" x14ac:dyDescent="0.25">
      <c r="B67" s="79"/>
      <c r="C67" s="215" t="s">
        <v>548</v>
      </c>
      <c r="D67" s="72"/>
      <c r="E67" s="72"/>
      <c r="F67" s="72"/>
      <c r="G67" s="72"/>
      <c r="H67" s="84"/>
      <c r="I67" s="296"/>
      <c r="J67" s="296"/>
      <c r="K67" s="296"/>
      <c r="L67" s="218"/>
      <c r="M67" s="218"/>
      <c r="N67" s="308"/>
      <c r="O67" s="305"/>
      <c r="T67" s="5"/>
    </row>
    <row r="68" spans="2:22" x14ac:dyDescent="0.25">
      <c r="B68" s="79">
        <v>902.01</v>
      </c>
      <c r="C68" s="381" t="s">
        <v>505</v>
      </c>
      <c r="D68" s="72">
        <v>3</v>
      </c>
      <c r="E68" s="72">
        <v>0</v>
      </c>
      <c r="F68" s="72">
        <f t="shared" ref="F68:F71" si="36">E68-D68</f>
        <v>-3</v>
      </c>
      <c r="G68" s="72" t="s">
        <v>71</v>
      </c>
      <c r="H68" s="84">
        <f>UNITARIOS!K2138</f>
        <v>175</v>
      </c>
      <c r="I68" s="296">
        <v>0</v>
      </c>
      <c r="J68" s="296"/>
      <c r="K68" s="296"/>
      <c r="L68" s="218">
        <f t="shared" ref="L68:M68" si="37">+D68*H68</f>
        <v>525</v>
      </c>
      <c r="M68" s="218">
        <f t="shared" si="37"/>
        <v>0</v>
      </c>
      <c r="N68" s="308">
        <f t="shared" ref="N68" si="38">+E68*I68</f>
        <v>0</v>
      </c>
      <c r="O68" s="305">
        <f t="shared" ref="O68" si="39">+F68*J68</f>
        <v>0</v>
      </c>
      <c r="T68" s="5"/>
    </row>
    <row r="69" spans="2:22" ht="31.5" x14ac:dyDescent="0.25">
      <c r="B69" s="390">
        <v>903.01</v>
      </c>
      <c r="C69" s="213" t="s">
        <v>538</v>
      </c>
      <c r="D69" s="72">
        <v>2</v>
      </c>
      <c r="E69" s="72">
        <v>2</v>
      </c>
      <c r="F69" s="72">
        <f t="shared" si="36"/>
        <v>0</v>
      </c>
      <c r="G69" s="72" t="s">
        <v>71</v>
      </c>
      <c r="H69" s="84">
        <f>UNITARIOS!K2191</f>
        <v>77</v>
      </c>
      <c r="I69" s="296">
        <f>H69</f>
        <v>77</v>
      </c>
      <c r="J69" s="115">
        <f t="shared" ref="J69:J76" si="40">I69-H69</f>
        <v>0</v>
      </c>
      <c r="K69" s="296">
        <f t="shared" ref="K69:K76" si="41">D69*H69</f>
        <v>154</v>
      </c>
      <c r="L69" s="218">
        <f t="shared" ref="L69:L76" si="42">+E69*H69</f>
        <v>154</v>
      </c>
      <c r="M69" s="218">
        <f t="shared" ref="M69:M76" si="43">+E69*I69</f>
        <v>154</v>
      </c>
      <c r="N69" s="310">
        <f t="shared" ref="N69:N76" si="44">L69-K69</f>
        <v>0</v>
      </c>
      <c r="O69" s="311">
        <f t="shared" ref="O69:O76" si="45">M69-K69</f>
        <v>0</v>
      </c>
      <c r="T69" s="5"/>
    </row>
    <row r="70" spans="2:22" ht="31.5" x14ac:dyDescent="0.25">
      <c r="B70" s="390">
        <v>903.02</v>
      </c>
      <c r="C70" s="213" t="s">
        <v>539</v>
      </c>
      <c r="D70" s="72">
        <v>11</v>
      </c>
      <c r="E70" s="72">
        <v>12</v>
      </c>
      <c r="F70" s="72">
        <f t="shared" si="36"/>
        <v>1</v>
      </c>
      <c r="G70" s="72" t="s">
        <v>71</v>
      </c>
      <c r="H70" s="84">
        <f>UNITARIOS!K2247</f>
        <v>84</v>
      </c>
      <c r="I70" s="296">
        <f>H70</f>
        <v>84</v>
      </c>
      <c r="J70" s="115">
        <f t="shared" si="40"/>
        <v>0</v>
      </c>
      <c r="K70" s="296">
        <f t="shared" si="41"/>
        <v>924</v>
      </c>
      <c r="L70" s="218">
        <f t="shared" si="42"/>
        <v>1008</v>
      </c>
      <c r="M70" s="218">
        <f t="shared" si="43"/>
        <v>1008</v>
      </c>
      <c r="N70" s="310">
        <f t="shared" si="44"/>
        <v>84</v>
      </c>
      <c r="O70" s="311">
        <f t="shared" si="45"/>
        <v>84</v>
      </c>
      <c r="T70" s="5"/>
    </row>
    <row r="71" spans="2:22" x14ac:dyDescent="0.25">
      <c r="B71" s="390">
        <v>904.01</v>
      </c>
      <c r="C71" s="213" t="s">
        <v>540</v>
      </c>
      <c r="D71" s="72">
        <v>1.5</v>
      </c>
      <c r="E71" s="72">
        <v>18</v>
      </c>
      <c r="F71" s="72">
        <f t="shared" si="36"/>
        <v>16.5</v>
      </c>
      <c r="G71" s="72" t="s">
        <v>71</v>
      </c>
      <c r="H71" s="84">
        <f>UNITARIOS!K2303</f>
        <v>182</v>
      </c>
      <c r="I71" s="296">
        <f>H71</f>
        <v>182</v>
      </c>
      <c r="J71" s="115">
        <f t="shared" si="40"/>
        <v>0</v>
      </c>
      <c r="K71" s="296">
        <f t="shared" si="41"/>
        <v>273</v>
      </c>
      <c r="L71" s="218">
        <f t="shared" si="42"/>
        <v>3276</v>
      </c>
      <c r="M71" s="218">
        <f t="shared" si="43"/>
        <v>3276</v>
      </c>
      <c r="N71" s="310">
        <f t="shared" si="44"/>
        <v>3003</v>
      </c>
      <c r="O71" s="311">
        <f t="shared" si="45"/>
        <v>3003</v>
      </c>
      <c r="T71" s="5"/>
    </row>
    <row r="72" spans="2:22" x14ac:dyDescent="0.25">
      <c r="B72" s="79">
        <v>904.02</v>
      </c>
      <c r="C72" s="381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UNITARIOS!K2354</f>
        <v>280</v>
      </c>
      <c r="I72" s="296">
        <v>0</v>
      </c>
      <c r="J72" s="115">
        <f t="shared" si="40"/>
        <v>-280</v>
      </c>
      <c r="K72" s="296">
        <f t="shared" si="41"/>
        <v>1290.8000000000002</v>
      </c>
      <c r="L72" s="218">
        <f t="shared" si="42"/>
        <v>0</v>
      </c>
      <c r="M72" s="218">
        <f t="shared" si="43"/>
        <v>0</v>
      </c>
      <c r="N72" s="310">
        <f t="shared" si="44"/>
        <v>-1290.8000000000002</v>
      </c>
      <c r="O72" s="311">
        <f t="shared" si="45"/>
        <v>-1290.8000000000002</v>
      </c>
      <c r="T72" s="5"/>
    </row>
    <row r="73" spans="2:22" x14ac:dyDescent="0.25">
      <c r="B73" s="79">
        <v>904.03</v>
      </c>
      <c r="C73" s="381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UNITARIOS!K2405</f>
        <v>336</v>
      </c>
      <c r="I73" s="296">
        <v>0</v>
      </c>
      <c r="J73" s="115">
        <f t="shared" si="40"/>
        <v>-336</v>
      </c>
      <c r="K73" s="296">
        <f t="shared" si="41"/>
        <v>2016</v>
      </c>
      <c r="L73" s="218">
        <f t="shared" si="42"/>
        <v>0</v>
      </c>
      <c r="M73" s="218">
        <f t="shared" si="43"/>
        <v>0</v>
      </c>
      <c r="N73" s="310">
        <f t="shared" si="44"/>
        <v>-2016</v>
      </c>
      <c r="O73" s="311">
        <f t="shared" si="45"/>
        <v>-2016</v>
      </c>
      <c r="T73" s="5"/>
    </row>
    <row r="74" spans="2:22" x14ac:dyDescent="0.25">
      <c r="B74" s="79">
        <v>907.04</v>
      </c>
      <c r="C74" s="381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UNITARIOS!K2458</f>
        <v>700</v>
      </c>
      <c r="I74" s="296">
        <v>0</v>
      </c>
      <c r="J74" s="115">
        <f t="shared" si="40"/>
        <v>-700</v>
      </c>
      <c r="K74" s="296">
        <f t="shared" si="41"/>
        <v>700</v>
      </c>
      <c r="L74" s="218">
        <f t="shared" si="42"/>
        <v>0</v>
      </c>
      <c r="M74" s="218">
        <f t="shared" si="43"/>
        <v>0</v>
      </c>
      <c r="N74" s="310">
        <f t="shared" si="44"/>
        <v>-700</v>
      </c>
      <c r="O74" s="311">
        <f t="shared" si="45"/>
        <v>-700</v>
      </c>
      <c r="T74" s="5"/>
    </row>
    <row r="75" spans="2:22" x14ac:dyDescent="0.25">
      <c r="B75" s="390">
        <v>907.05</v>
      </c>
      <c r="C75" s="213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UNITARIOS!K2514</f>
        <v>1176</v>
      </c>
      <c r="I75" s="296">
        <f>H75</f>
        <v>1176</v>
      </c>
      <c r="J75" s="115">
        <f t="shared" si="40"/>
        <v>0</v>
      </c>
      <c r="K75" s="296">
        <f t="shared" si="41"/>
        <v>1176</v>
      </c>
      <c r="L75" s="218">
        <f t="shared" si="42"/>
        <v>1176</v>
      </c>
      <c r="M75" s="218">
        <f t="shared" si="43"/>
        <v>1176</v>
      </c>
      <c r="N75" s="310">
        <f t="shared" si="44"/>
        <v>0</v>
      </c>
      <c r="O75" s="311">
        <f t="shared" si="45"/>
        <v>0</v>
      </c>
      <c r="T75" s="5"/>
    </row>
    <row r="76" spans="2:22" x14ac:dyDescent="0.25">
      <c r="B76" s="390">
        <v>907.14</v>
      </c>
      <c r="C76" s="213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UNITARIOS!K2570</f>
        <v>2492</v>
      </c>
      <c r="I76" s="296">
        <f>H76</f>
        <v>2492</v>
      </c>
      <c r="J76" s="115">
        <f t="shared" si="40"/>
        <v>0</v>
      </c>
      <c r="K76" s="296">
        <f t="shared" si="41"/>
        <v>2492</v>
      </c>
      <c r="L76" s="218">
        <f t="shared" si="42"/>
        <v>2492</v>
      </c>
      <c r="M76" s="218">
        <f t="shared" si="43"/>
        <v>2492</v>
      </c>
      <c r="N76" s="310">
        <f t="shared" si="44"/>
        <v>0</v>
      </c>
      <c r="O76" s="311">
        <f t="shared" si="45"/>
        <v>0</v>
      </c>
      <c r="P76" s="236">
        <f>SUM(L68:L76)</f>
        <v>8631</v>
      </c>
      <c r="T76" s="5"/>
    </row>
    <row r="77" spans="2:22" x14ac:dyDescent="0.25">
      <c r="B77" s="82"/>
      <c r="C77" s="215" t="s">
        <v>549</v>
      </c>
      <c r="D77" s="72"/>
      <c r="E77" s="72"/>
      <c r="F77" s="72"/>
      <c r="G77" s="73" t="s">
        <v>59</v>
      </c>
      <c r="H77" s="84"/>
      <c r="I77" s="296"/>
      <c r="J77" s="296"/>
      <c r="K77" s="296"/>
      <c r="L77" s="218"/>
      <c r="M77" s="218"/>
      <c r="N77" s="308"/>
      <c r="O77" s="305"/>
      <c r="T77" s="5"/>
      <c r="V77">
        <v>99</v>
      </c>
    </row>
    <row r="78" spans="2:22" x14ac:dyDescent="0.25">
      <c r="B78" s="79">
        <v>1001.01</v>
      </c>
      <c r="C78" s="381" t="s">
        <v>282</v>
      </c>
      <c r="D78" s="72">
        <v>1</v>
      </c>
      <c r="E78" s="72">
        <v>0</v>
      </c>
      <c r="F78" s="72">
        <f t="shared" ref="F78:F85" si="46">E78-D78</f>
        <v>-1</v>
      </c>
      <c r="G78" s="72" t="s">
        <v>25</v>
      </c>
      <c r="H78" s="84">
        <f>UNITARIOS!K2626</f>
        <v>2051</v>
      </c>
      <c r="I78" s="296">
        <v>0</v>
      </c>
      <c r="J78" s="115">
        <f t="shared" ref="J78:J85" si="47">I78-H78</f>
        <v>-2051</v>
      </c>
      <c r="K78" s="296">
        <f t="shared" ref="K78:K85" si="48">D78*H78</f>
        <v>2051</v>
      </c>
      <c r="L78" s="218">
        <f t="shared" ref="L78:L85" si="49">+E78*H78</f>
        <v>0</v>
      </c>
      <c r="M78" s="218">
        <f t="shared" ref="M78:M85" si="50">+E78*I78</f>
        <v>0</v>
      </c>
      <c r="N78" s="310">
        <f t="shared" ref="N78:N85" si="51">L78-K78</f>
        <v>-2051</v>
      </c>
      <c r="O78" s="311">
        <f t="shared" ref="O78:O85" si="52">M78-K78</f>
        <v>-2051</v>
      </c>
      <c r="T78" s="5"/>
    </row>
    <row r="79" spans="2:22" x14ac:dyDescent="0.25">
      <c r="B79" s="79">
        <v>1002.01</v>
      </c>
      <c r="C79" s="381" t="s">
        <v>508</v>
      </c>
      <c r="D79" s="72">
        <v>2</v>
      </c>
      <c r="E79" s="72">
        <v>0</v>
      </c>
      <c r="F79" s="72">
        <f t="shared" si="46"/>
        <v>-2</v>
      </c>
      <c r="G79" s="72" t="s">
        <v>25</v>
      </c>
      <c r="H79" s="84">
        <f>UNITARIOS!K2682</f>
        <v>1428</v>
      </c>
      <c r="I79" s="296">
        <v>0</v>
      </c>
      <c r="J79" s="115">
        <f t="shared" si="47"/>
        <v>-1428</v>
      </c>
      <c r="K79" s="296">
        <f t="shared" si="48"/>
        <v>2856</v>
      </c>
      <c r="L79" s="218">
        <f t="shared" si="49"/>
        <v>0</v>
      </c>
      <c r="M79" s="218">
        <f t="shared" si="50"/>
        <v>0</v>
      </c>
      <c r="N79" s="310">
        <f t="shared" si="51"/>
        <v>-2856</v>
      </c>
      <c r="O79" s="311">
        <f t="shared" si="52"/>
        <v>-2856</v>
      </c>
      <c r="T79" s="5"/>
    </row>
    <row r="80" spans="2:22" x14ac:dyDescent="0.25">
      <c r="B80" s="79">
        <v>1007.01</v>
      </c>
      <c r="C80" s="381" t="s">
        <v>509</v>
      </c>
      <c r="D80" s="72">
        <v>2</v>
      </c>
      <c r="E80" s="72">
        <v>0</v>
      </c>
      <c r="F80" s="72">
        <f t="shared" si="46"/>
        <v>-2</v>
      </c>
      <c r="G80" s="72" t="s">
        <v>24</v>
      </c>
      <c r="H80" s="84">
        <f>UNITARIOS!K2738</f>
        <v>483</v>
      </c>
      <c r="I80" s="296">
        <v>0</v>
      </c>
      <c r="J80" s="115">
        <f t="shared" si="47"/>
        <v>-483</v>
      </c>
      <c r="K80" s="296">
        <f t="shared" si="48"/>
        <v>966</v>
      </c>
      <c r="L80" s="218">
        <f t="shared" si="49"/>
        <v>0</v>
      </c>
      <c r="M80" s="218">
        <f t="shared" si="50"/>
        <v>0</v>
      </c>
      <c r="N80" s="310">
        <f t="shared" si="51"/>
        <v>-966</v>
      </c>
      <c r="O80" s="311">
        <f t="shared" si="52"/>
        <v>-966</v>
      </c>
      <c r="T80" s="5"/>
    </row>
    <row r="81" spans="2:20" x14ac:dyDescent="0.25">
      <c r="B81" s="390">
        <v>1007.02</v>
      </c>
      <c r="C81" s="213" t="s">
        <v>544</v>
      </c>
      <c r="D81" s="72">
        <v>3</v>
      </c>
      <c r="E81" s="72">
        <v>3</v>
      </c>
      <c r="F81" s="72">
        <f t="shared" si="46"/>
        <v>0</v>
      </c>
      <c r="G81" s="72" t="s">
        <v>25</v>
      </c>
      <c r="H81" s="84">
        <f>UNITARIOS!K2794</f>
        <v>35</v>
      </c>
      <c r="I81" s="296">
        <f>H81</f>
        <v>35</v>
      </c>
      <c r="J81" s="115">
        <f t="shared" si="47"/>
        <v>0</v>
      </c>
      <c r="K81" s="296">
        <f t="shared" si="48"/>
        <v>105</v>
      </c>
      <c r="L81" s="218">
        <f t="shared" si="49"/>
        <v>105</v>
      </c>
      <c r="M81" s="218">
        <f t="shared" si="50"/>
        <v>105</v>
      </c>
      <c r="N81" s="310">
        <f t="shared" si="51"/>
        <v>0</v>
      </c>
      <c r="O81" s="311">
        <f t="shared" si="52"/>
        <v>0</v>
      </c>
      <c r="T81" s="5"/>
    </row>
    <row r="82" spans="2:20" x14ac:dyDescent="0.25">
      <c r="B82" s="79">
        <v>1007.05</v>
      </c>
      <c r="C82" s="381" t="s">
        <v>510</v>
      </c>
      <c r="D82" s="72">
        <v>1</v>
      </c>
      <c r="E82" s="72">
        <v>0</v>
      </c>
      <c r="F82" s="72">
        <f t="shared" si="46"/>
        <v>-1</v>
      </c>
      <c r="G82" s="72" t="s">
        <v>25</v>
      </c>
      <c r="H82" s="84">
        <f>UNITARIOS!K2850</f>
        <v>938</v>
      </c>
      <c r="I82" s="296">
        <v>0</v>
      </c>
      <c r="J82" s="115">
        <f t="shared" si="47"/>
        <v>-938</v>
      </c>
      <c r="K82" s="296">
        <f t="shared" si="48"/>
        <v>938</v>
      </c>
      <c r="L82" s="218">
        <f t="shared" si="49"/>
        <v>0</v>
      </c>
      <c r="M82" s="218">
        <f t="shared" si="50"/>
        <v>0</v>
      </c>
      <c r="N82" s="310">
        <f t="shared" si="51"/>
        <v>-938</v>
      </c>
      <c r="O82" s="311">
        <f t="shared" si="52"/>
        <v>-938</v>
      </c>
      <c r="T82" s="5"/>
    </row>
    <row r="83" spans="2:20" x14ac:dyDescent="0.25">
      <c r="B83" s="79">
        <v>1007.06</v>
      </c>
      <c r="C83" s="381" t="s">
        <v>545</v>
      </c>
      <c r="D83" s="72">
        <v>1</v>
      </c>
      <c r="E83" s="72">
        <v>0</v>
      </c>
      <c r="F83" s="72">
        <f t="shared" si="46"/>
        <v>-1</v>
      </c>
      <c r="G83" s="72" t="s">
        <v>25</v>
      </c>
      <c r="H83" s="84">
        <f>UNITARIOS!K2906</f>
        <v>938</v>
      </c>
      <c r="I83" s="296">
        <v>0</v>
      </c>
      <c r="J83" s="115">
        <f t="shared" si="47"/>
        <v>-938</v>
      </c>
      <c r="K83" s="296">
        <f t="shared" si="48"/>
        <v>938</v>
      </c>
      <c r="L83" s="218">
        <f t="shared" si="49"/>
        <v>0</v>
      </c>
      <c r="M83" s="218">
        <f t="shared" si="50"/>
        <v>0</v>
      </c>
      <c r="N83" s="310">
        <f t="shared" si="51"/>
        <v>-938</v>
      </c>
      <c r="O83" s="311">
        <f t="shared" si="52"/>
        <v>-938</v>
      </c>
      <c r="T83" s="5"/>
    </row>
    <row r="84" spans="2:20" x14ac:dyDescent="0.25">
      <c r="B84" s="390">
        <v>1007.08</v>
      </c>
      <c r="C84" s="214" t="s">
        <v>546</v>
      </c>
      <c r="D84" s="72">
        <v>1</v>
      </c>
      <c r="E84" s="72">
        <v>1</v>
      </c>
      <c r="F84" s="72">
        <f t="shared" si="46"/>
        <v>0</v>
      </c>
      <c r="G84" s="72" t="s">
        <v>25</v>
      </c>
      <c r="H84" s="84">
        <f>UNITARIOS!K2962</f>
        <v>1526</v>
      </c>
      <c r="I84" s="296">
        <f>H84</f>
        <v>1526</v>
      </c>
      <c r="J84" s="115">
        <f t="shared" si="47"/>
        <v>0</v>
      </c>
      <c r="K84" s="296">
        <f t="shared" si="48"/>
        <v>1526</v>
      </c>
      <c r="L84" s="218">
        <f t="shared" si="49"/>
        <v>1526</v>
      </c>
      <c r="M84" s="218">
        <f t="shared" si="50"/>
        <v>1526</v>
      </c>
      <c r="N84" s="310">
        <f t="shared" si="51"/>
        <v>0</v>
      </c>
      <c r="O84" s="311">
        <f t="shared" si="52"/>
        <v>0</v>
      </c>
      <c r="T84" s="5"/>
    </row>
    <row r="85" spans="2:20" x14ac:dyDescent="0.25">
      <c r="B85" s="390">
        <v>1007.09</v>
      </c>
      <c r="C85" s="213" t="s">
        <v>547</v>
      </c>
      <c r="D85" s="72">
        <v>2</v>
      </c>
      <c r="E85" s="72">
        <v>2</v>
      </c>
      <c r="F85" s="72">
        <f t="shared" si="46"/>
        <v>0</v>
      </c>
      <c r="G85" s="72" t="s">
        <v>25</v>
      </c>
      <c r="H85" s="84">
        <f>UNITARIOS!K3018</f>
        <v>385</v>
      </c>
      <c r="I85" s="296">
        <f>H85</f>
        <v>385</v>
      </c>
      <c r="J85" s="115">
        <f t="shared" si="47"/>
        <v>0</v>
      </c>
      <c r="K85" s="296">
        <f t="shared" si="48"/>
        <v>770</v>
      </c>
      <c r="L85" s="218">
        <f t="shared" si="49"/>
        <v>770</v>
      </c>
      <c r="M85" s="218">
        <f t="shared" si="50"/>
        <v>770</v>
      </c>
      <c r="N85" s="310">
        <f t="shared" si="51"/>
        <v>0</v>
      </c>
      <c r="O85" s="311">
        <f t="shared" si="52"/>
        <v>0</v>
      </c>
      <c r="P85" s="236">
        <f>SUM(L78:L85)</f>
        <v>2401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96"/>
      <c r="J86" s="296"/>
      <c r="K86" s="296"/>
      <c r="L86" s="218"/>
      <c r="M86" s="218"/>
      <c r="N86" s="308"/>
      <c r="O86" s="305"/>
      <c r="T86" s="5"/>
    </row>
    <row r="87" spans="2:20" x14ac:dyDescent="0.25">
      <c r="B87" s="390">
        <v>1005.03</v>
      </c>
      <c r="C87" s="213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UNITARIOS!K3071</f>
        <v>2149</v>
      </c>
      <c r="I87" s="296">
        <f>H87</f>
        <v>2149</v>
      </c>
      <c r="J87" s="115">
        <f>I87-H87</f>
        <v>0</v>
      </c>
      <c r="K87" s="296">
        <f>D87*H87</f>
        <v>2149</v>
      </c>
      <c r="L87" s="218">
        <f>+E87*H87</f>
        <v>2149</v>
      </c>
      <c r="M87" s="218">
        <f>+E87*I87</f>
        <v>2149</v>
      </c>
      <c r="N87" s="310">
        <f>L87-K87</f>
        <v>0</v>
      </c>
      <c r="O87" s="311">
        <f>M87-K87</f>
        <v>0</v>
      </c>
      <c r="T87" s="5"/>
    </row>
    <row r="88" spans="2:20" x14ac:dyDescent="0.25">
      <c r="B88" s="390">
        <v>1009.03</v>
      </c>
      <c r="C88" s="213" t="s">
        <v>553</v>
      </c>
      <c r="D88" s="80">
        <v>7</v>
      </c>
      <c r="E88" s="80">
        <v>4</v>
      </c>
      <c r="F88" s="72">
        <f>E88-D88</f>
        <v>-3</v>
      </c>
      <c r="G88" s="80" t="s">
        <v>25</v>
      </c>
      <c r="H88" s="81">
        <f>UNITARIOS!K3123</f>
        <v>819</v>
      </c>
      <c r="I88" s="297">
        <f>H88</f>
        <v>819</v>
      </c>
      <c r="J88" s="115">
        <f>I88-H88</f>
        <v>0</v>
      </c>
      <c r="K88" s="296">
        <f>D88*H88</f>
        <v>5733</v>
      </c>
      <c r="L88" s="218">
        <f>+E88*H88</f>
        <v>3276</v>
      </c>
      <c r="M88" s="218">
        <f>+E88*I88</f>
        <v>3276</v>
      </c>
      <c r="N88" s="310">
        <f>L88-K88</f>
        <v>-2457</v>
      </c>
      <c r="O88" s="311">
        <f>M88-K88</f>
        <v>-2457</v>
      </c>
      <c r="T88" s="5"/>
    </row>
    <row r="89" spans="2:20" x14ac:dyDescent="0.25">
      <c r="B89" s="390">
        <v>1011.01</v>
      </c>
      <c r="C89" s="213" t="s">
        <v>279</v>
      </c>
      <c r="D89" s="80">
        <v>2</v>
      </c>
      <c r="E89" s="80">
        <v>2</v>
      </c>
      <c r="F89" s="72">
        <f>E89-D89</f>
        <v>0</v>
      </c>
      <c r="G89" s="80" t="s">
        <v>25</v>
      </c>
      <c r="H89" s="81">
        <f>UNITARIOS!K3172</f>
        <v>280</v>
      </c>
      <c r="I89" s="297">
        <f>H89</f>
        <v>280</v>
      </c>
      <c r="J89" s="115">
        <f>I89-H89</f>
        <v>0</v>
      </c>
      <c r="K89" s="296">
        <f>D89*H89</f>
        <v>560</v>
      </c>
      <c r="L89" s="218">
        <f>+E89*H89</f>
        <v>560</v>
      </c>
      <c r="M89" s="218">
        <f>+E89*I89</f>
        <v>560</v>
      </c>
      <c r="N89" s="310">
        <f>L89-K89</f>
        <v>0</v>
      </c>
      <c r="O89" s="311">
        <f>M89-K89</f>
        <v>0</v>
      </c>
      <c r="T89" s="5"/>
    </row>
    <row r="90" spans="2:20" x14ac:dyDescent="0.25">
      <c r="B90" s="390">
        <v>1011.02</v>
      </c>
      <c r="C90" s="213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UNITARIOS!K3221</f>
        <v>350</v>
      </c>
      <c r="I90" s="297">
        <f>H90</f>
        <v>350</v>
      </c>
      <c r="J90" s="115">
        <f>I90-H90</f>
        <v>0</v>
      </c>
      <c r="K90" s="296">
        <f>D90*H90</f>
        <v>350</v>
      </c>
      <c r="L90" s="218">
        <f>+E90*H90</f>
        <v>350</v>
      </c>
      <c r="M90" s="218">
        <f>+E90*I90</f>
        <v>350</v>
      </c>
      <c r="N90" s="310">
        <f>L90-K90</f>
        <v>0</v>
      </c>
      <c r="O90" s="311">
        <f>M90-K90</f>
        <v>0</v>
      </c>
      <c r="T90" s="5"/>
    </row>
    <row r="91" spans="2:20" x14ac:dyDescent="0.25">
      <c r="B91" s="390">
        <v>1012.02</v>
      </c>
      <c r="C91" s="213" t="s">
        <v>554</v>
      </c>
      <c r="D91" s="80">
        <v>7</v>
      </c>
      <c r="E91" s="80">
        <v>7</v>
      </c>
      <c r="F91" s="72">
        <f>E91-D91</f>
        <v>0</v>
      </c>
      <c r="G91" s="80" t="s">
        <v>25</v>
      </c>
      <c r="H91" s="81">
        <f>UNITARIOS!K3271</f>
        <v>371</v>
      </c>
      <c r="I91" s="297">
        <f>H91</f>
        <v>371</v>
      </c>
      <c r="J91" s="115">
        <f>I91-H91</f>
        <v>0</v>
      </c>
      <c r="K91" s="296">
        <f>D91*H91</f>
        <v>2597</v>
      </c>
      <c r="L91" s="218">
        <f>+E91*H91</f>
        <v>2597</v>
      </c>
      <c r="M91" s="218">
        <f>+E91*I91</f>
        <v>2597</v>
      </c>
      <c r="N91" s="310">
        <f>L91-K91</f>
        <v>0</v>
      </c>
      <c r="O91" s="311">
        <f>M91-K91</f>
        <v>0</v>
      </c>
      <c r="P91" s="236">
        <f>SUM(L87:L91)</f>
        <v>8932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97"/>
      <c r="J92" s="297"/>
      <c r="K92" s="297"/>
      <c r="L92" s="218"/>
      <c r="M92" s="218"/>
      <c r="N92" s="308"/>
      <c r="O92" s="305"/>
      <c r="Q92" s="68"/>
      <c r="R92" s="68"/>
      <c r="T92" s="5"/>
    </row>
    <row r="93" spans="2:20" x14ac:dyDescent="0.25">
      <c r="B93" s="390">
        <v>1207.01</v>
      </c>
      <c r="C93" s="213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UNITARIOS!K3321</f>
        <v>1924.37</v>
      </c>
      <c r="I93" s="297">
        <f>H93</f>
        <v>1924.37</v>
      </c>
      <c r="J93" s="115">
        <f>I93-H93</f>
        <v>0</v>
      </c>
      <c r="K93" s="296">
        <f>D93*H93</f>
        <v>1924.37</v>
      </c>
      <c r="L93" s="218">
        <f>+E93*H93</f>
        <v>1924.37</v>
      </c>
      <c r="M93" s="218">
        <f>+E93*I93</f>
        <v>1924.37</v>
      </c>
      <c r="N93" s="310">
        <f>L93-K93</f>
        <v>0</v>
      </c>
      <c r="O93" s="311">
        <f>M93-K93</f>
        <v>0</v>
      </c>
      <c r="Q93" s="68"/>
      <c r="R93" s="68"/>
      <c r="T93" s="5"/>
    </row>
    <row r="94" spans="2:20" x14ac:dyDescent="0.25">
      <c r="B94" s="390">
        <v>1207.03</v>
      </c>
      <c r="C94" s="213" t="s">
        <v>512</v>
      </c>
      <c r="D94" s="80">
        <v>1</v>
      </c>
      <c r="E94" s="80">
        <v>1</v>
      </c>
      <c r="F94" s="72">
        <f>E94-D94</f>
        <v>0</v>
      </c>
      <c r="G94" s="80" t="s">
        <v>25</v>
      </c>
      <c r="H94" s="81">
        <f>UNITARIOS!K3371</f>
        <v>1624</v>
      </c>
      <c r="I94" s="297">
        <f>H94</f>
        <v>1624</v>
      </c>
      <c r="J94" s="115">
        <f>I94-H94</f>
        <v>0</v>
      </c>
      <c r="K94" s="296">
        <f>D94*H94</f>
        <v>1624</v>
      </c>
      <c r="L94" s="218">
        <f>+E94*H94</f>
        <v>1624</v>
      </c>
      <c r="M94" s="218">
        <f>+E94*I94</f>
        <v>1624</v>
      </c>
      <c r="N94" s="310">
        <f>L94-K94</f>
        <v>0</v>
      </c>
      <c r="O94" s="311">
        <f>M94-K94</f>
        <v>0</v>
      </c>
      <c r="T94" s="5"/>
    </row>
    <row r="95" spans="2:20" x14ac:dyDescent="0.25">
      <c r="B95" s="390">
        <v>1208.02</v>
      </c>
      <c r="C95" s="213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UNITARIOS!K3421</f>
        <v>2881.2</v>
      </c>
      <c r="I95" s="297">
        <f>H95</f>
        <v>2881.2</v>
      </c>
      <c r="J95" s="115">
        <f>I95-H95</f>
        <v>0</v>
      </c>
      <c r="K95" s="296">
        <f>D95*H95</f>
        <v>2881.2</v>
      </c>
      <c r="L95" s="218">
        <f>+E95*H95</f>
        <v>2881.2</v>
      </c>
      <c r="M95" s="218">
        <f>+E95*I95</f>
        <v>2881.2</v>
      </c>
      <c r="N95" s="310">
        <f>L95-K95</f>
        <v>0</v>
      </c>
      <c r="O95" s="311">
        <f>M95-K95</f>
        <v>0</v>
      </c>
      <c r="P95" s="236">
        <f>SUM(L93:L95)</f>
        <v>6429.57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96"/>
      <c r="J96" s="296"/>
      <c r="K96" s="296"/>
      <c r="L96" s="218"/>
      <c r="M96" s="218"/>
      <c r="N96" s="308"/>
      <c r="O96" s="305"/>
      <c r="T96" s="5"/>
    </row>
    <row r="97" spans="2:23" x14ac:dyDescent="0.25">
      <c r="B97" s="79">
        <v>1304.02</v>
      </c>
      <c r="C97" s="213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UNITARIOS!K3476</f>
        <v>1400</v>
      </c>
      <c r="I97" s="296">
        <f>'UNITARIOS NUEVOS'!K3023</f>
        <v>635.6</v>
      </c>
      <c r="J97" s="115">
        <f>I97-H97</f>
        <v>-764.4</v>
      </c>
      <c r="K97" s="296">
        <f>D97*H97</f>
        <v>4746</v>
      </c>
      <c r="L97" s="218">
        <f>+E97*H97</f>
        <v>4746</v>
      </c>
      <c r="M97" s="218">
        <f>+E97*I97</f>
        <v>2154.6840000000002</v>
      </c>
      <c r="N97" s="310">
        <f>L97-K97</f>
        <v>0</v>
      </c>
      <c r="O97" s="311">
        <f>M97-K97</f>
        <v>-2591.3159999999998</v>
      </c>
      <c r="T97" s="5"/>
    </row>
    <row r="98" spans="2:23" x14ac:dyDescent="0.25">
      <c r="B98" s="390">
        <v>1304.0139999999999</v>
      </c>
      <c r="C98" s="213" t="s">
        <v>459</v>
      </c>
      <c r="D98" s="72">
        <v>1</v>
      </c>
      <c r="E98" s="72">
        <v>1</v>
      </c>
      <c r="F98" s="72">
        <f>E98-D98</f>
        <v>0</v>
      </c>
      <c r="G98" s="72" t="s">
        <v>25</v>
      </c>
      <c r="H98" s="84">
        <f>UNITARIOS!K3531</f>
        <v>7791</v>
      </c>
      <c r="I98" s="296">
        <f>H98</f>
        <v>7791</v>
      </c>
      <c r="J98" s="115">
        <f>I98-H98</f>
        <v>0</v>
      </c>
      <c r="K98" s="296">
        <f>D98*H98</f>
        <v>7791</v>
      </c>
      <c r="L98" s="218">
        <f>+E98*H98</f>
        <v>7791</v>
      </c>
      <c r="M98" s="218">
        <f>+E98*I98</f>
        <v>7791</v>
      </c>
      <c r="N98" s="310">
        <f>L98-K98</f>
        <v>0</v>
      </c>
      <c r="O98" s="311">
        <f>M98-K98</f>
        <v>0</v>
      </c>
      <c r="P98" s="236">
        <f>SUM(L96:L98)</f>
        <v>12537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96"/>
      <c r="J99" s="296"/>
      <c r="K99" s="296"/>
      <c r="L99" s="218"/>
      <c r="M99" s="218"/>
      <c r="N99" s="308"/>
      <c r="O99" s="305"/>
      <c r="T99" s="5"/>
    </row>
    <row r="100" spans="2:23" x14ac:dyDescent="0.25">
      <c r="B100" s="390">
        <v>1410.05</v>
      </c>
      <c r="C100" s="213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UNITARIOS!K3586</f>
        <v>4508</v>
      </c>
      <c r="I100" s="296">
        <f>H100</f>
        <v>4508</v>
      </c>
      <c r="J100" s="115">
        <f>I100-H100</f>
        <v>0</v>
      </c>
      <c r="K100" s="296">
        <f>D100*H100</f>
        <v>4508</v>
      </c>
      <c r="L100" s="218">
        <f>+E100*H100</f>
        <v>4508</v>
      </c>
      <c r="M100" s="218">
        <f>+E100*I100</f>
        <v>4508</v>
      </c>
      <c r="N100" s="310">
        <f>L100-K100</f>
        <v>0</v>
      </c>
      <c r="O100" s="311">
        <f>M100-K100</f>
        <v>0</v>
      </c>
      <c r="P100" s="236">
        <f>SUM(L99:L100)</f>
        <v>4508</v>
      </c>
      <c r="Q100" s="67">
        <f>SUM(L10:L100)</f>
        <v>180936.77000000002</v>
      </c>
      <c r="R100" s="67">
        <f>$L$165</f>
        <v>521252.27</v>
      </c>
      <c r="T100" s="5"/>
    </row>
    <row r="101" spans="2:23" s="192" customFormat="1" x14ac:dyDescent="0.25">
      <c r="B101" s="91"/>
      <c r="C101" s="216" t="s">
        <v>514</v>
      </c>
      <c r="D101" s="196"/>
      <c r="E101" s="196"/>
      <c r="F101" s="196"/>
      <c r="G101" s="196"/>
      <c r="H101" s="198"/>
      <c r="I101" s="298"/>
      <c r="J101" s="298"/>
      <c r="K101" s="389"/>
      <c r="L101" s="389"/>
      <c r="M101" s="389"/>
      <c r="N101" s="389"/>
      <c r="O101" s="389"/>
      <c r="Q101" s="199"/>
      <c r="R101" s="199"/>
      <c r="T101" s="193"/>
      <c r="W101" s="194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96"/>
      <c r="J102" s="296"/>
      <c r="K102" s="296"/>
      <c r="L102" s="218"/>
      <c r="M102" s="218"/>
      <c r="N102" s="308"/>
      <c r="O102" s="305"/>
      <c r="T102" s="5"/>
    </row>
    <row r="103" spans="2:23" x14ac:dyDescent="0.25">
      <c r="B103" s="390">
        <v>101.07</v>
      </c>
      <c r="C103" s="214" t="s">
        <v>460</v>
      </c>
      <c r="D103" s="72">
        <v>29</v>
      </c>
      <c r="E103" s="72">
        <v>28</v>
      </c>
      <c r="F103" s="72">
        <f t="shared" ref="F103:F106" si="53">E103-D103</f>
        <v>-1</v>
      </c>
      <c r="G103" s="72" t="s">
        <v>24</v>
      </c>
      <c r="H103" s="84">
        <f>UNITARIOS!K3642</f>
        <v>14</v>
      </c>
      <c r="I103" s="296">
        <f t="shared" ref="I103:I106" si="54">H103</f>
        <v>14</v>
      </c>
      <c r="J103" s="115">
        <f t="shared" ref="J103:J106" si="55">I103-H103</f>
        <v>0</v>
      </c>
      <c r="K103" s="296">
        <f t="shared" ref="K103:K106" si="56">D103*H103</f>
        <v>406</v>
      </c>
      <c r="L103" s="218">
        <f t="shared" ref="L103:L106" si="57">+E103*H103</f>
        <v>392</v>
      </c>
      <c r="M103" s="218">
        <f t="shared" ref="M103:M106" si="58">+E103*I103</f>
        <v>392</v>
      </c>
      <c r="N103" s="310">
        <f t="shared" ref="N103:N106" si="59">L103-K103</f>
        <v>-14</v>
      </c>
      <c r="O103" s="311">
        <f t="shared" ref="O103:O106" si="60">M103-K103</f>
        <v>-14</v>
      </c>
      <c r="T103" s="5"/>
    </row>
    <row r="104" spans="2:23" x14ac:dyDescent="0.25">
      <c r="B104" s="390">
        <v>111.03</v>
      </c>
      <c r="C104" s="213" t="s">
        <v>492</v>
      </c>
      <c r="D104" s="72">
        <v>37</v>
      </c>
      <c r="E104" s="72">
        <v>28</v>
      </c>
      <c r="F104" s="72">
        <f t="shared" si="53"/>
        <v>-9</v>
      </c>
      <c r="G104" s="72" t="s">
        <v>24</v>
      </c>
      <c r="H104" s="84">
        <f>UNITARIOS!K4238</f>
        <v>126</v>
      </c>
      <c r="I104" s="296">
        <f t="shared" si="54"/>
        <v>126</v>
      </c>
      <c r="J104" s="115">
        <f t="shared" si="55"/>
        <v>0</v>
      </c>
      <c r="K104" s="296">
        <f t="shared" si="56"/>
        <v>4662</v>
      </c>
      <c r="L104" s="218">
        <f t="shared" si="57"/>
        <v>3528</v>
      </c>
      <c r="M104" s="218">
        <f t="shared" si="58"/>
        <v>3528</v>
      </c>
      <c r="N104" s="310">
        <f t="shared" si="59"/>
        <v>-1134</v>
      </c>
      <c r="O104" s="311">
        <f t="shared" si="60"/>
        <v>-1134</v>
      </c>
      <c r="T104" s="5"/>
    </row>
    <row r="105" spans="2:23" x14ac:dyDescent="0.25">
      <c r="B105" s="390">
        <v>114.03</v>
      </c>
      <c r="C105" s="213" t="s">
        <v>276</v>
      </c>
      <c r="D105" s="72">
        <v>21</v>
      </c>
      <c r="E105" s="72">
        <v>32</v>
      </c>
      <c r="F105" s="72">
        <f t="shared" si="53"/>
        <v>11</v>
      </c>
      <c r="G105" s="72" t="s">
        <v>24</v>
      </c>
      <c r="H105" s="84">
        <f>UNITARIOS!K4289</f>
        <v>84</v>
      </c>
      <c r="I105" s="296">
        <f t="shared" si="54"/>
        <v>84</v>
      </c>
      <c r="J105" s="115">
        <f t="shared" si="55"/>
        <v>0</v>
      </c>
      <c r="K105" s="296">
        <f t="shared" si="56"/>
        <v>1764</v>
      </c>
      <c r="L105" s="218">
        <f t="shared" si="57"/>
        <v>2688</v>
      </c>
      <c r="M105" s="218">
        <f t="shared" si="58"/>
        <v>2688</v>
      </c>
      <c r="N105" s="310">
        <f t="shared" si="59"/>
        <v>924</v>
      </c>
      <c r="O105" s="311">
        <f t="shared" si="60"/>
        <v>924</v>
      </c>
      <c r="T105" s="5"/>
    </row>
    <row r="106" spans="2:23" x14ac:dyDescent="0.25">
      <c r="B106" s="390">
        <v>118.01</v>
      </c>
      <c r="C106" s="213" t="s">
        <v>519</v>
      </c>
      <c r="D106" s="72">
        <v>3</v>
      </c>
      <c r="E106" s="72">
        <v>3</v>
      </c>
      <c r="F106" s="72">
        <f t="shared" si="53"/>
        <v>0</v>
      </c>
      <c r="G106" s="72" t="s">
        <v>25</v>
      </c>
      <c r="H106" s="84">
        <f>UNITARIOS!K4338</f>
        <v>84</v>
      </c>
      <c r="I106" s="296">
        <f t="shared" si="54"/>
        <v>84</v>
      </c>
      <c r="J106" s="115">
        <f t="shared" si="55"/>
        <v>0</v>
      </c>
      <c r="K106" s="296">
        <f t="shared" si="56"/>
        <v>252</v>
      </c>
      <c r="L106" s="218">
        <f t="shared" si="57"/>
        <v>252</v>
      </c>
      <c r="M106" s="218">
        <f t="shared" si="58"/>
        <v>252</v>
      </c>
      <c r="N106" s="310">
        <f t="shared" si="59"/>
        <v>0</v>
      </c>
      <c r="O106" s="311">
        <f t="shared" si="60"/>
        <v>0</v>
      </c>
      <c r="P106" s="236">
        <f>SUM(L104:L106)</f>
        <v>6468</v>
      </c>
      <c r="T106" s="5"/>
    </row>
    <row r="107" spans="2:23" x14ac:dyDescent="0.25">
      <c r="B107" s="390">
        <v>115.02</v>
      </c>
      <c r="C107" s="213" t="s">
        <v>380</v>
      </c>
      <c r="D107" s="72">
        <v>3</v>
      </c>
      <c r="E107" s="72">
        <v>1</v>
      </c>
      <c r="F107" s="72">
        <f>E107-D107</f>
        <v>-2</v>
      </c>
      <c r="G107" s="72" t="s">
        <v>25</v>
      </c>
      <c r="H107" s="84">
        <f>UNITARIOS!K3698</f>
        <v>308</v>
      </c>
      <c r="I107" s="296">
        <f>H107</f>
        <v>308</v>
      </c>
      <c r="J107" s="115">
        <f>I107-H107</f>
        <v>0</v>
      </c>
      <c r="K107" s="296">
        <f>D107*H107</f>
        <v>924</v>
      </c>
      <c r="L107" s="218">
        <f>+E107*H107</f>
        <v>308</v>
      </c>
      <c r="M107" s="218">
        <f>+E107*I107</f>
        <v>308</v>
      </c>
      <c r="N107" s="310">
        <f>L107-K107</f>
        <v>-616</v>
      </c>
      <c r="O107" s="311">
        <f>M107-K107</f>
        <v>-616</v>
      </c>
      <c r="P107" s="236">
        <f>SUM(L103:L107)</f>
        <v>7168</v>
      </c>
      <c r="T107" s="5"/>
    </row>
    <row r="108" spans="2:23" x14ac:dyDescent="0.25">
      <c r="B108" s="82"/>
      <c r="C108" s="88" t="s">
        <v>49</v>
      </c>
      <c r="D108" s="72"/>
      <c r="E108" s="72"/>
      <c r="F108" s="72"/>
      <c r="G108" s="73" t="s">
        <v>59</v>
      </c>
      <c r="H108" s="84"/>
      <c r="I108" s="296"/>
      <c r="J108" s="296"/>
      <c r="K108" s="296"/>
      <c r="L108" s="218"/>
      <c r="M108" s="218"/>
      <c r="N108" s="308"/>
      <c r="O108" s="305"/>
      <c r="T108" s="5"/>
    </row>
    <row r="109" spans="2:23" x14ac:dyDescent="0.25">
      <c r="B109" s="79">
        <v>508.01</v>
      </c>
      <c r="C109" s="214" t="s">
        <v>556</v>
      </c>
      <c r="D109" s="72">
        <v>21</v>
      </c>
      <c r="E109" s="72">
        <v>32</v>
      </c>
      <c r="F109" s="72">
        <f>E109-D109</f>
        <v>11</v>
      </c>
      <c r="G109" s="72" t="s">
        <v>24</v>
      </c>
      <c r="H109" s="84">
        <f>UNITARIOS!K3754</f>
        <v>490</v>
      </c>
      <c r="I109" s="296">
        <f>H109</f>
        <v>490</v>
      </c>
      <c r="J109" s="115">
        <f>I109-H109</f>
        <v>0</v>
      </c>
      <c r="K109" s="296">
        <f>D109*H109</f>
        <v>10290</v>
      </c>
      <c r="L109" s="218">
        <f>+E109*H109</f>
        <v>15680</v>
      </c>
      <c r="M109" s="218">
        <f>+E109*I109</f>
        <v>15680</v>
      </c>
      <c r="N109" s="310">
        <f>L109-K109</f>
        <v>5390</v>
      </c>
      <c r="O109" s="311">
        <f>M109-K109</f>
        <v>5390</v>
      </c>
      <c r="P109" s="236">
        <f>SUM(L108:L109)</f>
        <v>15680</v>
      </c>
      <c r="R109" s="68"/>
      <c r="T109" s="5"/>
    </row>
    <row r="110" spans="2:23" x14ac:dyDescent="0.25">
      <c r="B110" s="82"/>
      <c r="C110" s="88" t="s">
        <v>50</v>
      </c>
      <c r="D110" s="72"/>
      <c r="E110" s="72"/>
      <c r="F110" s="72"/>
      <c r="G110" s="73" t="s">
        <v>59</v>
      </c>
      <c r="H110" s="84"/>
      <c r="I110" s="296"/>
      <c r="J110" s="296"/>
      <c r="K110" s="296"/>
      <c r="L110" s="218"/>
      <c r="M110" s="218"/>
      <c r="N110" s="308"/>
      <c r="O110" s="305"/>
      <c r="T110" s="5"/>
    </row>
    <row r="111" spans="2:23" x14ac:dyDescent="0.25">
      <c r="B111" s="79">
        <v>605.01</v>
      </c>
      <c r="C111" s="214" t="s">
        <v>557</v>
      </c>
      <c r="D111" s="72">
        <v>29</v>
      </c>
      <c r="E111" s="72">
        <v>28</v>
      </c>
      <c r="F111" s="72">
        <f>E111-D111</f>
        <v>-1</v>
      </c>
      <c r="G111" s="72" t="s">
        <v>24</v>
      </c>
      <c r="H111" s="84">
        <f>UNITARIOS!K3805</f>
        <v>315</v>
      </c>
      <c r="I111" s="296">
        <f>H111</f>
        <v>315</v>
      </c>
      <c r="J111" s="115">
        <f>I111-H111</f>
        <v>0</v>
      </c>
      <c r="K111" s="296">
        <f>D111*H111</f>
        <v>9135</v>
      </c>
      <c r="L111" s="218">
        <f>+E111*H111</f>
        <v>8820</v>
      </c>
      <c r="M111" s="218">
        <f>+E111*I111</f>
        <v>8820</v>
      </c>
      <c r="N111" s="310">
        <f>L111-K111</f>
        <v>-315</v>
      </c>
      <c r="O111" s="311">
        <f>M111-K111</f>
        <v>-315</v>
      </c>
      <c r="T111" s="5"/>
    </row>
    <row r="112" spans="2:23" x14ac:dyDescent="0.25">
      <c r="B112" s="79">
        <v>605.08000000000004</v>
      </c>
      <c r="C112" s="568" t="s">
        <v>558</v>
      </c>
      <c r="D112" s="72">
        <v>8</v>
      </c>
      <c r="E112" s="72">
        <v>0</v>
      </c>
      <c r="F112" s="72">
        <f>E112-D112</f>
        <v>-8</v>
      </c>
      <c r="G112" s="72" t="s">
        <v>24</v>
      </c>
      <c r="H112" s="84">
        <f>UNITARIOS!K3856</f>
        <v>350</v>
      </c>
      <c r="I112" s="296">
        <f>H112</f>
        <v>350</v>
      </c>
      <c r="J112" s="115">
        <f>I112-H112</f>
        <v>0</v>
      </c>
      <c r="K112" s="296">
        <f>D112*H112</f>
        <v>2800</v>
      </c>
      <c r="L112" s="218">
        <f>+E112*H112</f>
        <v>0</v>
      </c>
      <c r="M112" s="218">
        <f>+E112*I112</f>
        <v>0</v>
      </c>
      <c r="N112" s="310">
        <f>L112-K112</f>
        <v>-2800</v>
      </c>
      <c r="O112" s="311">
        <f>M112-K112</f>
        <v>-2800</v>
      </c>
      <c r="T112" s="5"/>
    </row>
    <row r="113" spans="2:20" x14ac:dyDescent="0.25">
      <c r="B113" s="79">
        <v>611.01</v>
      </c>
      <c r="C113" s="214" t="s">
        <v>52</v>
      </c>
      <c r="D113" s="72">
        <v>130</v>
      </c>
      <c r="E113" s="72">
        <v>80</v>
      </c>
      <c r="F113" s="72">
        <f>E113-D113</f>
        <v>-50</v>
      </c>
      <c r="G113" s="72" t="s">
        <v>24</v>
      </c>
      <c r="H113" s="84">
        <f>UNITARIOS!K3912</f>
        <v>49</v>
      </c>
      <c r="I113" s="296">
        <f>H113</f>
        <v>49</v>
      </c>
      <c r="J113" s="115">
        <f>I113-H113</f>
        <v>0</v>
      </c>
      <c r="K113" s="296">
        <f>D113*H113</f>
        <v>6370</v>
      </c>
      <c r="L113" s="218">
        <f>+E113*H113</f>
        <v>3920</v>
      </c>
      <c r="M113" s="218">
        <f>+E113*I113</f>
        <v>3920</v>
      </c>
      <c r="N113" s="310">
        <f>L113-K113</f>
        <v>-2450</v>
      </c>
      <c r="O113" s="311">
        <f>M113-K113</f>
        <v>-2450</v>
      </c>
      <c r="P113" s="236">
        <f>SUM(L111:L113)</f>
        <v>12740</v>
      </c>
      <c r="T113" s="5"/>
    </row>
    <row r="114" spans="2:20" x14ac:dyDescent="0.25">
      <c r="B114" s="82"/>
      <c r="C114" s="88" t="s">
        <v>53</v>
      </c>
      <c r="D114" s="72"/>
      <c r="E114" s="72"/>
      <c r="F114" s="72"/>
      <c r="G114" s="73" t="s">
        <v>59</v>
      </c>
      <c r="H114" s="84"/>
      <c r="I114" s="296"/>
      <c r="J114" s="296"/>
      <c r="K114" s="296"/>
      <c r="L114" s="218"/>
      <c r="M114" s="218"/>
      <c r="N114" s="308"/>
      <c r="O114" s="305"/>
      <c r="T114" s="5"/>
    </row>
    <row r="115" spans="2:20" x14ac:dyDescent="0.25">
      <c r="B115" s="390">
        <v>701.02</v>
      </c>
      <c r="C115" s="214" t="s">
        <v>559</v>
      </c>
      <c r="D115" s="72">
        <v>3</v>
      </c>
      <c r="E115" s="72">
        <v>1</v>
      </c>
      <c r="F115" s="72">
        <f>E115-D115</f>
        <v>-2</v>
      </c>
      <c r="G115" s="72" t="s">
        <v>25</v>
      </c>
      <c r="H115" s="84">
        <f>UNITARIOS!K3968</f>
        <v>2583</v>
      </c>
      <c r="I115" s="296">
        <f>H115</f>
        <v>2583</v>
      </c>
      <c r="J115" s="115">
        <f>I115-H115</f>
        <v>0</v>
      </c>
      <c r="K115" s="296">
        <f>D115*H115</f>
        <v>7749</v>
      </c>
      <c r="L115" s="218">
        <f>+E115*H115</f>
        <v>2583</v>
      </c>
      <c r="M115" s="218">
        <f>+E115*I115</f>
        <v>2583</v>
      </c>
      <c r="N115" s="310">
        <f>L115-K115</f>
        <v>-5166</v>
      </c>
      <c r="O115" s="311">
        <f>M115-K115</f>
        <v>-5166</v>
      </c>
      <c r="P115" s="236">
        <f>SUM(L114:L115)</f>
        <v>2583</v>
      </c>
      <c r="T115" s="5"/>
    </row>
    <row r="116" spans="2:20" x14ac:dyDescent="0.25">
      <c r="B116" s="79"/>
      <c r="C116" s="88" t="s">
        <v>54</v>
      </c>
      <c r="D116" s="190"/>
      <c r="E116" s="190"/>
      <c r="F116" s="190"/>
      <c r="G116" s="191"/>
      <c r="H116" s="81"/>
      <c r="I116" s="297"/>
      <c r="J116" s="297"/>
      <c r="K116" s="297"/>
      <c r="L116" s="218"/>
      <c r="M116" s="218"/>
      <c r="N116" s="308"/>
      <c r="O116" s="305"/>
      <c r="T116" s="5"/>
    </row>
    <row r="117" spans="2:20" x14ac:dyDescent="0.25">
      <c r="B117" s="79">
        <v>806.06</v>
      </c>
      <c r="C117" s="214" t="s">
        <v>515</v>
      </c>
      <c r="D117" s="190">
        <v>10</v>
      </c>
      <c r="E117" s="190">
        <v>1.5</v>
      </c>
      <c r="F117" s="72">
        <f>E117-D117</f>
        <v>-8.5</v>
      </c>
      <c r="G117" s="191" t="s">
        <v>24</v>
      </c>
      <c r="H117" s="81">
        <f>UNITARIOS!K4024</f>
        <v>700</v>
      </c>
      <c r="I117" s="296">
        <f>H117</f>
        <v>700</v>
      </c>
      <c r="J117" s="115">
        <f>I117-H117</f>
        <v>0</v>
      </c>
      <c r="K117" s="296">
        <f>D117*H117</f>
        <v>7000</v>
      </c>
      <c r="L117" s="218">
        <f>+E117*H117</f>
        <v>1050</v>
      </c>
      <c r="M117" s="218">
        <f>+E117*I117</f>
        <v>1050</v>
      </c>
      <c r="N117" s="310">
        <f>L117-K117</f>
        <v>-5950</v>
      </c>
      <c r="O117" s="311">
        <f>M117-K117</f>
        <v>-5950</v>
      </c>
      <c r="T117" s="5"/>
    </row>
    <row r="118" spans="2:20" x14ac:dyDescent="0.25">
      <c r="B118" s="79">
        <v>806.09</v>
      </c>
      <c r="C118" s="214" t="s">
        <v>516</v>
      </c>
      <c r="D118" s="190">
        <v>10</v>
      </c>
      <c r="E118" s="190">
        <v>1.5</v>
      </c>
      <c r="F118" s="72">
        <f>E118-D118</f>
        <v>-8.5</v>
      </c>
      <c r="G118" s="191" t="s">
        <v>24</v>
      </c>
      <c r="H118" s="81">
        <f>UNITARIOS!K4080</f>
        <v>259</v>
      </c>
      <c r="I118" s="296">
        <f>H118</f>
        <v>259</v>
      </c>
      <c r="J118" s="115">
        <f>I118-H118</f>
        <v>0</v>
      </c>
      <c r="K118" s="296">
        <f>D118*H118</f>
        <v>2590</v>
      </c>
      <c r="L118" s="218">
        <f>+E118*H118</f>
        <v>388.5</v>
      </c>
      <c r="M118" s="218">
        <f>+E118*I118</f>
        <v>388.5</v>
      </c>
      <c r="N118" s="310">
        <f>L118-K118</f>
        <v>-2201.5</v>
      </c>
      <c r="O118" s="311">
        <f>M118-K118</f>
        <v>-2201.5</v>
      </c>
      <c r="P118" s="236">
        <f>SUM(L117:L118)</f>
        <v>1438.5</v>
      </c>
      <c r="T118" s="5"/>
    </row>
    <row r="119" spans="2:20" x14ac:dyDescent="0.25">
      <c r="B119" s="82"/>
      <c r="C119" s="88" t="s">
        <v>517</v>
      </c>
      <c r="D119" s="83"/>
      <c r="E119" s="83"/>
      <c r="F119" s="83"/>
      <c r="G119" s="74"/>
      <c r="H119" s="84"/>
      <c r="I119" s="296"/>
      <c r="J119" s="296"/>
      <c r="K119" s="296"/>
      <c r="L119" s="218"/>
      <c r="M119" s="218"/>
      <c r="N119" s="308"/>
      <c r="O119" s="305"/>
      <c r="T119" s="5"/>
    </row>
    <row r="120" spans="2:20" x14ac:dyDescent="0.25">
      <c r="B120" s="79">
        <v>1109.03</v>
      </c>
      <c r="C120" s="213" t="s">
        <v>553</v>
      </c>
      <c r="D120" s="72">
        <v>3</v>
      </c>
      <c r="E120" s="72">
        <v>3</v>
      </c>
      <c r="F120" s="72">
        <f>E120-D120</f>
        <v>0</v>
      </c>
      <c r="G120" s="72" t="s">
        <v>25</v>
      </c>
      <c r="H120" s="84">
        <f>UNITARIOS!K4132</f>
        <v>819</v>
      </c>
      <c r="I120" s="296">
        <f>H120</f>
        <v>819</v>
      </c>
      <c r="J120" s="115">
        <f>I120-H120</f>
        <v>0</v>
      </c>
      <c r="K120" s="296">
        <f>D120*H120</f>
        <v>2457</v>
      </c>
      <c r="L120" s="218">
        <f>+E120*H120</f>
        <v>2457</v>
      </c>
      <c r="M120" s="218">
        <f>+E120*I120</f>
        <v>2457</v>
      </c>
      <c r="N120" s="310">
        <f>L120-K120</f>
        <v>0</v>
      </c>
      <c r="O120" s="311">
        <f>M120-K120</f>
        <v>0</v>
      </c>
      <c r="T120" s="5"/>
    </row>
    <row r="121" spans="2:20" x14ac:dyDescent="0.25">
      <c r="B121" s="79">
        <v>1112.01</v>
      </c>
      <c r="C121" s="213" t="s">
        <v>560</v>
      </c>
      <c r="D121" s="72">
        <v>1</v>
      </c>
      <c r="E121" s="72">
        <v>3</v>
      </c>
      <c r="F121" s="72">
        <f>E121-D121</f>
        <v>2</v>
      </c>
      <c r="G121" s="72" t="s">
        <v>25</v>
      </c>
      <c r="H121" s="84">
        <f>UNITARIOS!K4182</f>
        <v>273</v>
      </c>
      <c r="I121" s="296">
        <f>H121</f>
        <v>273</v>
      </c>
      <c r="J121" s="115">
        <f>I121-H121</f>
        <v>0</v>
      </c>
      <c r="K121" s="296">
        <f>D121*H121</f>
        <v>273</v>
      </c>
      <c r="L121" s="218">
        <f>+E121*H121</f>
        <v>819</v>
      </c>
      <c r="M121" s="218">
        <f>+E121*I121</f>
        <v>819</v>
      </c>
      <c r="N121" s="310">
        <f>L121-K121</f>
        <v>546</v>
      </c>
      <c r="O121" s="311">
        <f>M121-K121</f>
        <v>546</v>
      </c>
      <c r="P121" s="236">
        <f>SUM(L120:L121)</f>
        <v>3276</v>
      </c>
      <c r="Q121" s="67">
        <f>SUM(L103:L121)</f>
        <v>42885.5</v>
      </c>
      <c r="R121" s="67">
        <f>$L$165</f>
        <v>521252.27</v>
      </c>
      <c r="T121" s="5"/>
    </row>
    <row r="122" spans="2:20" x14ac:dyDescent="0.25">
      <c r="B122" s="91"/>
      <c r="C122" s="216" t="s">
        <v>518</v>
      </c>
      <c r="D122" s="196"/>
      <c r="E122" s="196"/>
      <c r="F122" s="196"/>
      <c r="G122" s="196"/>
      <c r="H122" s="198"/>
      <c r="I122" s="298"/>
      <c r="J122" s="298"/>
      <c r="K122" s="298"/>
      <c r="L122" s="219"/>
      <c r="M122" s="219"/>
      <c r="N122" s="309"/>
      <c r="O122" s="306"/>
      <c r="T122" s="5"/>
    </row>
    <row r="123" spans="2:20" x14ac:dyDescent="0.25">
      <c r="B123" s="79"/>
      <c r="C123" s="88" t="s">
        <v>45</v>
      </c>
      <c r="D123" s="72"/>
      <c r="E123" s="72"/>
      <c r="F123" s="72"/>
      <c r="G123" s="72"/>
      <c r="H123" s="84"/>
      <c r="I123" s="296"/>
      <c r="J123" s="296"/>
      <c r="K123" s="296"/>
      <c r="L123" s="218"/>
      <c r="M123" s="218"/>
      <c r="N123" s="308"/>
      <c r="O123" s="305"/>
      <c r="T123" s="5"/>
    </row>
    <row r="124" spans="2:20" x14ac:dyDescent="0.25">
      <c r="B124" s="79">
        <v>101.07</v>
      </c>
      <c r="C124" s="214" t="s">
        <v>460</v>
      </c>
      <c r="D124" s="72">
        <v>108</v>
      </c>
      <c r="E124" s="72">
        <v>132</v>
      </c>
      <c r="F124" s="72">
        <f>E124-D124</f>
        <v>24</v>
      </c>
      <c r="G124" s="72" t="s">
        <v>24</v>
      </c>
      <c r="H124" s="84">
        <f>UNITARIOS!K4390</f>
        <v>14</v>
      </c>
      <c r="I124" s="296">
        <f t="shared" ref="I124:I128" si="61">H124</f>
        <v>14</v>
      </c>
      <c r="J124" s="115">
        <f t="shared" ref="J124:J128" si="62">I124-H124</f>
        <v>0</v>
      </c>
      <c r="K124" s="296">
        <f t="shared" ref="K124:K128" si="63">D124*H124</f>
        <v>1512</v>
      </c>
      <c r="L124" s="218">
        <f t="shared" ref="L124:L128" si="64">+E124*H124</f>
        <v>1848</v>
      </c>
      <c r="M124" s="218">
        <f t="shared" ref="M124:M128" si="65">+E124*I124</f>
        <v>1848</v>
      </c>
      <c r="N124" s="310">
        <f t="shared" ref="N124:N128" si="66">L124-K124</f>
        <v>336</v>
      </c>
      <c r="O124" s="311">
        <f t="shared" ref="O124:O128" si="67">M124-K124</f>
        <v>336</v>
      </c>
      <c r="T124" s="5"/>
    </row>
    <row r="125" spans="2:20" x14ac:dyDescent="0.25">
      <c r="B125" s="79">
        <v>111.03</v>
      </c>
      <c r="C125" s="213" t="s">
        <v>492</v>
      </c>
      <c r="D125" s="72">
        <v>136</v>
      </c>
      <c r="E125" s="72">
        <v>118</v>
      </c>
      <c r="F125" s="72">
        <f t="shared" ref="F125:F128" si="68">E125-D125</f>
        <v>-18</v>
      </c>
      <c r="G125" s="72" t="s">
        <v>24</v>
      </c>
      <c r="H125" s="84">
        <f>UNITARIOS!K5032</f>
        <v>126</v>
      </c>
      <c r="I125" s="296">
        <f t="shared" si="61"/>
        <v>126</v>
      </c>
      <c r="J125" s="115">
        <f t="shared" si="62"/>
        <v>0</v>
      </c>
      <c r="K125" s="296">
        <f t="shared" si="63"/>
        <v>17136</v>
      </c>
      <c r="L125" s="218">
        <f t="shared" si="64"/>
        <v>14868</v>
      </c>
      <c r="M125" s="218">
        <f t="shared" si="65"/>
        <v>14868</v>
      </c>
      <c r="N125" s="310">
        <f t="shared" si="66"/>
        <v>-2268</v>
      </c>
      <c r="O125" s="311">
        <f t="shared" si="67"/>
        <v>-2268</v>
      </c>
      <c r="T125" s="5"/>
    </row>
    <row r="126" spans="2:20" x14ac:dyDescent="0.25">
      <c r="B126" s="79">
        <v>114.03</v>
      </c>
      <c r="C126" s="213" t="s">
        <v>276</v>
      </c>
      <c r="D126" s="72">
        <v>156</v>
      </c>
      <c r="E126" s="72">
        <v>139</v>
      </c>
      <c r="F126" s="72">
        <f t="shared" si="68"/>
        <v>-17</v>
      </c>
      <c r="G126" s="72" t="s">
        <v>24</v>
      </c>
      <c r="H126" s="84">
        <f>UNITARIOS!K5088</f>
        <v>84</v>
      </c>
      <c r="I126" s="296">
        <f t="shared" si="61"/>
        <v>84</v>
      </c>
      <c r="J126" s="115">
        <f t="shared" si="62"/>
        <v>0</v>
      </c>
      <c r="K126" s="296">
        <f t="shared" si="63"/>
        <v>13104</v>
      </c>
      <c r="L126" s="218">
        <f t="shared" si="64"/>
        <v>11676</v>
      </c>
      <c r="M126" s="218">
        <f t="shared" si="65"/>
        <v>11676</v>
      </c>
      <c r="N126" s="310">
        <f t="shared" si="66"/>
        <v>-1428</v>
      </c>
      <c r="O126" s="311">
        <f t="shared" si="67"/>
        <v>-1428</v>
      </c>
      <c r="T126" s="5"/>
    </row>
    <row r="127" spans="2:20" x14ac:dyDescent="0.25">
      <c r="B127" s="79">
        <v>118.01</v>
      </c>
      <c r="C127" s="213" t="s">
        <v>519</v>
      </c>
      <c r="D127" s="72">
        <v>14</v>
      </c>
      <c r="E127" s="72">
        <v>14</v>
      </c>
      <c r="F127" s="72">
        <f t="shared" si="68"/>
        <v>0</v>
      </c>
      <c r="G127" s="72" t="s">
        <v>25</v>
      </c>
      <c r="H127" s="84">
        <f>UNITARIOS!K5144</f>
        <v>84</v>
      </c>
      <c r="I127" s="296">
        <f t="shared" si="61"/>
        <v>84</v>
      </c>
      <c r="J127" s="115">
        <f t="shared" si="62"/>
        <v>0</v>
      </c>
      <c r="K127" s="296">
        <f t="shared" si="63"/>
        <v>1176</v>
      </c>
      <c r="L127" s="218">
        <f t="shared" si="64"/>
        <v>1176</v>
      </c>
      <c r="M127" s="218">
        <f t="shared" si="65"/>
        <v>1176</v>
      </c>
      <c r="N127" s="310">
        <f t="shared" si="66"/>
        <v>0</v>
      </c>
      <c r="O127" s="311">
        <f t="shared" si="67"/>
        <v>0</v>
      </c>
      <c r="P127" s="236">
        <f>SUM(L125:L127)</f>
        <v>27720</v>
      </c>
      <c r="T127" s="5"/>
    </row>
    <row r="128" spans="2:20" x14ac:dyDescent="0.25">
      <c r="B128" s="79">
        <v>115.02</v>
      </c>
      <c r="C128" s="213" t="s">
        <v>380</v>
      </c>
      <c r="D128" s="72">
        <v>2</v>
      </c>
      <c r="E128" s="72">
        <v>2</v>
      </c>
      <c r="F128" s="72">
        <f t="shared" si="68"/>
        <v>0</v>
      </c>
      <c r="G128" s="72" t="s">
        <v>25</v>
      </c>
      <c r="H128" s="84">
        <f>UNITARIOS!K4442</f>
        <v>308</v>
      </c>
      <c r="I128" s="296">
        <f t="shared" si="61"/>
        <v>308</v>
      </c>
      <c r="J128" s="115">
        <f t="shared" si="62"/>
        <v>0</v>
      </c>
      <c r="K128" s="296">
        <f t="shared" si="63"/>
        <v>616</v>
      </c>
      <c r="L128" s="218">
        <f t="shared" si="64"/>
        <v>616</v>
      </c>
      <c r="M128" s="218">
        <f t="shared" si="65"/>
        <v>616</v>
      </c>
      <c r="N128" s="310">
        <f t="shared" si="66"/>
        <v>0</v>
      </c>
      <c r="O128" s="311">
        <f t="shared" si="67"/>
        <v>0</v>
      </c>
      <c r="P128" s="236">
        <f>SUM(L123:L128)</f>
        <v>30184</v>
      </c>
      <c r="T128" s="5"/>
    </row>
    <row r="129" spans="2:23" x14ac:dyDescent="0.25">
      <c r="B129" s="82"/>
      <c r="C129" s="88" t="s">
        <v>49</v>
      </c>
      <c r="D129" s="72"/>
      <c r="E129" s="72"/>
      <c r="F129" s="72"/>
      <c r="G129" s="73" t="s">
        <v>59</v>
      </c>
      <c r="H129" s="84"/>
      <c r="I129" s="296"/>
      <c r="J129" s="296"/>
      <c r="K129" s="296"/>
      <c r="L129" s="218"/>
      <c r="M129" s="218"/>
      <c r="N129" s="308"/>
      <c r="O129" s="305"/>
      <c r="T129" s="5"/>
    </row>
    <row r="130" spans="2:23" x14ac:dyDescent="0.25">
      <c r="B130" s="79">
        <v>508.01</v>
      </c>
      <c r="C130" s="214" t="s">
        <v>556</v>
      </c>
      <c r="D130" s="72">
        <v>156</v>
      </c>
      <c r="E130" s="72">
        <v>139</v>
      </c>
      <c r="F130" s="72">
        <f>E130-D130</f>
        <v>-17</v>
      </c>
      <c r="G130" s="72" t="s">
        <v>24</v>
      </c>
      <c r="H130" s="84">
        <f>UNITARIOS!K4495</f>
        <v>490</v>
      </c>
      <c r="I130" s="296">
        <f>H130</f>
        <v>490</v>
      </c>
      <c r="J130" s="115">
        <f>I130-H130</f>
        <v>0</v>
      </c>
      <c r="K130" s="296">
        <f>D130*H130</f>
        <v>76440</v>
      </c>
      <c r="L130" s="218">
        <f>+E130*H130</f>
        <v>68110</v>
      </c>
      <c r="M130" s="218">
        <f>+E130*I130</f>
        <v>68110</v>
      </c>
      <c r="N130" s="310">
        <f>L130-K130</f>
        <v>-8330</v>
      </c>
      <c r="O130" s="311">
        <f>M130-K130</f>
        <v>-8330</v>
      </c>
      <c r="P130" s="236">
        <f>SUM(L129:L130)</f>
        <v>68110</v>
      </c>
      <c r="R130" s="68"/>
      <c r="T130" s="5"/>
    </row>
    <row r="131" spans="2:23" x14ac:dyDescent="0.25">
      <c r="B131" s="82"/>
      <c r="C131" s="88" t="s">
        <v>50</v>
      </c>
      <c r="D131" s="72"/>
      <c r="E131" s="72"/>
      <c r="F131" s="72"/>
      <c r="G131" s="73" t="s">
        <v>59</v>
      </c>
      <c r="H131" s="84"/>
      <c r="I131" s="296"/>
      <c r="J131" s="296"/>
      <c r="K131" s="296"/>
      <c r="L131" s="218"/>
      <c r="M131" s="218"/>
      <c r="N131" s="308"/>
      <c r="O131" s="305"/>
      <c r="T131" s="5"/>
    </row>
    <row r="132" spans="2:23" x14ac:dyDescent="0.25">
      <c r="B132" s="79">
        <v>605.01</v>
      </c>
      <c r="C132" s="214" t="s">
        <v>557</v>
      </c>
      <c r="D132" s="72">
        <v>108</v>
      </c>
      <c r="E132" s="72">
        <v>118</v>
      </c>
      <c r="F132" s="72">
        <f>E132-D132</f>
        <v>10</v>
      </c>
      <c r="G132" s="72" t="s">
        <v>24</v>
      </c>
      <c r="H132" s="84">
        <f>UNITARIOS!K4546</f>
        <v>315</v>
      </c>
      <c r="I132" s="296">
        <f t="shared" ref="I132:I134" si="69">H132</f>
        <v>315</v>
      </c>
      <c r="J132" s="115">
        <f t="shared" ref="J132:J134" si="70">I132-H132</f>
        <v>0</v>
      </c>
      <c r="K132" s="296">
        <f t="shared" ref="K132:K134" si="71">D132*H132</f>
        <v>34020</v>
      </c>
      <c r="L132" s="218">
        <f t="shared" ref="L132:L134" si="72">+E132*H132</f>
        <v>37170</v>
      </c>
      <c r="M132" s="218">
        <f t="shared" ref="M132:M134" si="73">+E132*I132</f>
        <v>37170</v>
      </c>
      <c r="N132" s="310">
        <f t="shared" ref="N132:N134" si="74">L132-K132</f>
        <v>3150</v>
      </c>
      <c r="O132" s="311">
        <f t="shared" ref="O132:O134" si="75">M132-K132</f>
        <v>3150</v>
      </c>
      <c r="T132" s="5"/>
    </row>
    <row r="133" spans="2:23" x14ac:dyDescent="0.25">
      <c r="B133" s="79">
        <v>605.08000000000004</v>
      </c>
      <c r="C133" s="214" t="s">
        <v>558</v>
      </c>
      <c r="D133" s="72">
        <v>28</v>
      </c>
      <c r="E133" s="72">
        <v>0</v>
      </c>
      <c r="F133" s="72">
        <f>E133-D133</f>
        <v>-28</v>
      </c>
      <c r="G133" s="72" t="s">
        <v>24</v>
      </c>
      <c r="H133" s="84">
        <f>UNITARIOS!K4597</f>
        <v>350</v>
      </c>
      <c r="I133" s="296">
        <f t="shared" si="69"/>
        <v>350</v>
      </c>
      <c r="J133" s="115">
        <f t="shared" si="70"/>
        <v>0</v>
      </c>
      <c r="K133" s="296">
        <f t="shared" si="71"/>
        <v>9800</v>
      </c>
      <c r="L133" s="218">
        <f t="shared" si="72"/>
        <v>0</v>
      </c>
      <c r="M133" s="218">
        <f t="shared" si="73"/>
        <v>0</v>
      </c>
      <c r="N133" s="310">
        <f t="shared" si="74"/>
        <v>-9800</v>
      </c>
      <c r="O133" s="311">
        <f t="shared" si="75"/>
        <v>-9800</v>
      </c>
      <c r="T133" s="5"/>
    </row>
    <row r="134" spans="2:23" x14ac:dyDescent="0.25">
      <c r="B134" s="79">
        <v>611.01</v>
      </c>
      <c r="C134" s="214" t="s">
        <v>52</v>
      </c>
      <c r="D134" s="72">
        <v>280</v>
      </c>
      <c r="E134" s="72">
        <v>240</v>
      </c>
      <c r="F134" s="72">
        <f>E134-D134</f>
        <v>-40</v>
      </c>
      <c r="G134" s="72" t="s">
        <v>24</v>
      </c>
      <c r="H134" s="84">
        <f>UNITARIOS!K4653</f>
        <v>49</v>
      </c>
      <c r="I134" s="296">
        <f t="shared" si="69"/>
        <v>49</v>
      </c>
      <c r="J134" s="115">
        <f t="shared" si="70"/>
        <v>0</v>
      </c>
      <c r="K134" s="296">
        <f t="shared" si="71"/>
        <v>13720</v>
      </c>
      <c r="L134" s="218">
        <f t="shared" si="72"/>
        <v>11760</v>
      </c>
      <c r="M134" s="218">
        <f t="shared" si="73"/>
        <v>11760</v>
      </c>
      <c r="N134" s="310">
        <f t="shared" si="74"/>
        <v>-1960</v>
      </c>
      <c r="O134" s="311">
        <f t="shared" si="75"/>
        <v>-1960</v>
      </c>
      <c r="P134" s="236">
        <f>SUM(L132:L134)</f>
        <v>48930</v>
      </c>
      <c r="T134" s="5"/>
    </row>
    <row r="135" spans="2:23" x14ac:dyDescent="0.25">
      <c r="B135" s="82"/>
      <c r="C135" s="88" t="s">
        <v>53</v>
      </c>
      <c r="D135" s="72"/>
      <c r="E135" s="72"/>
      <c r="F135" s="72"/>
      <c r="G135" s="73" t="s">
        <v>59</v>
      </c>
      <c r="H135" s="84"/>
      <c r="I135" s="296"/>
      <c r="J135" s="296"/>
      <c r="K135" s="296"/>
      <c r="L135" s="218"/>
      <c r="M135" s="218"/>
      <c r="N135" s="308"/>
      <c r="O135" s="305"/>
      <c r="T135" s="5"/>
    </row>
    <row r="136" spans="2:23" x14ac:dyDescent="0.25">
      <c r="B136" s="79">
        <v>701.02</v>
      </c>
      <c r="C136" s="214" t="s">
        <v>559</v>
      </c>
      <c r="D136" s="72">
        <v>2</v>
      </c>
      <c r="E136" s="72">
        <v>2</v>
      </c>
      <c r="F136" s="72">
        <f>E136-D136</f>
        <v>0</v>
      </c>
      <c r="G136" s="72" t="s">
        <v>25</v>
      </c>
      <c r="H136" s="84">
        <f>UNITARIOS!K4709</f>
        <v>2583</v>
      </c>
      <c r="I136" s="296">
        <f>H136</f>
        <v>2583</v>
      </c>
      <c r="J136" s="115">
        <f>I136-H136</f>
        <v>0</v>
      </c>
      <c r="K136" s="296">
        <f>D136*H136</f>
        <v>5166</v>
      </c>
      <c r="L136" s="218">
        <f>+E136*H136</f>
        <v>5166</v>
      </c>
      <c r="M136" s="218">
        <f>+E136*I136</f>
        <v>5166</v>
      </c>
      <c r="N136" s="310">
        <f>L136-K136</f>
        <v>0</v>
      </c>
      <c r="O136" s="311">
        <f>M136-K136</f>
        <v>0</v>
      </c>
      <c r="P136" s="236">
        <f>SUM(L135:L136)</f>
        <v>5166</v>
      </c>
      <c r="T136" s="5"/>
    </row>
    <row r="137" spans="2:23" x14ac:dyDescent="0.25">
      <c r="B137" s="79"/>
      <c r="C137" s="88" t="s">
        <v>54</v>
      </c>
      <c r="D137" s="190"/>
      <c r="E137" s="190"/>
      <c r="F137" s="190"/>
      <c r="G137" s="191"/>
      <c r="H137" s="81"/>
      <c r="I137" s="297"/>
      <c r="J137" s="297"/>
      <c r="K137" s="297"/>
      <c r="L137" s="218"/>
      <c r="M137" s="218"/>
      <c r="N137" s="308"/>
      <c r="O137" s="305"/>
      <c r="T137" s="5"/>
    </row>
    <row r="138" spans="2:23" x14ac:dyDescent="0.25">
      <c r="B138" s="79">
        <v>806.06</v>
      </c>
      <c r="C138" s="214" t="s">
        <v>515</v>
      </c>
      <c r="D138" s="190">
        <v>40</v>
      </c>
      <c r="E138" s="190">
        <v>41</v>
      </c>
      <c r="F138" s="72">
        <f>E138-D138</f>
        <v>1</v>
      </c>
      <c r="G138" s="191" t="s">
        <v>24</v>
      </c>
      <c r="H138" s="81">
        <f>UNITARIOS!K4765</f>
        <v>700</v>
      </c>
      <c r="I138" s="296">
        <f t="shared" ref="I138:I139" si="76">H138</f>
        <v>700</v>
      </c>
      <c r="J138" s="115">
        <f t="shared" ref="J138:J139" si="77">I138-H138</f>
        <v>0</v>
      </c>
      <c r="K138" s="296">
        <f t="shared" ref="K138:K139" si="78">D138*H138</f>
        <v>28000</v>
      </c>
      <c r="L138" s="218">
        <f t="shared" ref="L138:L139" si="79">+E138*H138</f>
        <v>28700</v>
      </c>
      <c r="M138" s="218">
        <f t="shared" ref="M138:M139" si="80">+E138*I138</f>
        <v>28700</v>
      </c>
      <c r="N138" s="310">
        <f t="shared" ref="N138:N139" si="81">L138-K138</f>
        <v>700</v>
      </c>
      <c r="O138" s="311">
        <f t="shared" ref="O138:O139" si="82">M138-K138</f>
        <v>700</v>
      </c>
      <c r="T138" s="5"/>
    </row>
    <row r="139" spans="2:23" x14ac:dyDescent="0.25">
      <c r="B139" s="79">
        <v>806.09</v>
      </c>
      <c r="C139" s="214" t="s">
        <v>516</v>
      </c>
      <c r="D139" s="190">
        <v>40</v>
      </c>
      <c r="E139" s="190">
        <v>41</v>
      </c>
      <c r="F139" s="72">
        <f>E139-D139</f>
        <v>1</v>
      </c>
      <c r="G139" s="191" t="s">
        <v>24</v>
      </c>
      <c r="H139" s="81">
        <f>UNITARIOS!K4821</f>
        <v>259</v>
      </c>
      <c r="I139" s="296">
        <f t="shared" si="76"/>
        <v>259</v>
      </c>
      <c r="J139" s="115">
        <f t="shared" si="77"/>
        <v>0</v>
      </c>
      <c r="K139" s="296">
        <f t="shared" si="78"/>
        <v>10360</v>
      </c>
      <c r="L139" s="218">
        <f t="shared" si="79"/>
        <v>10619</v>
      </c>
      <c r="M139" s="218">
        <f t="shared" si="80"/>
        <v>10619</v>
      </c>
      <c r="N139" s="310">
        <f t="shared" si="81"/>
        <v>259</v>
      </c>
      <c r="O139" s="311">
        <f t="shared" si="82"/>
        <v>259</v>
      </c>
      <c r="P139" s="236">
        <f>SUM(L137:L139)</f>
        <v>39319</v>
      </c>
      <c r="T139" s="5"/>
    </row>
    <row r="140" spans="2:23" x14ac:dyDescent="0.25">
      <c r="B140" s="82"/>
      <c r="C140" s="88" t="s">
        <v>55</v>
      </c>
      <c r="D140" s="72"/>
      <c r="E140" s="72"/>
      <c r="F140" s="72"/>
      <c r="G140" s="73" t="s">
        <v>59</v>
      </c>
      <c r="H140" s="84"/>
      <c r="I140" s="296"/>
      <c r="J140" s="296"/>
      <c r="K140" s="296"/>
      <c r="L140" s="218"/>
      <c r="M140" s="218"/>
      <c r="N140" s="308"/>
      <c r="O140" s="305"/>
      <c r="T140" s="5"/>
    </row>
    <row r="141" spans="2:23" x14ac:dyDescent="0.25">
      <c r="B141" s="79">
        <v>1105.01</v>
      </c>
      <c r="C141" s="213" t="s">
        <v>458</v>
      </c>
      <c r="D141" s="72">
        <v>2</v>
      </c>
      <c r="E141" s="72">
        <v>2</v>
      </c>
      <c r="F141" s="72">
        <f>E141-D141</f>
        <v>0</v>
      </c>
      <c r="G141" s="72" t="s">
        <v>25</v>
      </c>
      <c r="H141" s="84">
        <f>UNITARIOS!K4874</f>
        <v>3024</v>
      </c>
      <c r="I141" s="296">
        <f t="shared" ref="I141:I143" si="83">H141</f>
        <v>3024</v>
      </c>
      <c r="J141" s="115">
        <f t="shared" ref="J141:J143" si="84">I141-H141</f>
        <v>0</v>
      </c>
      <c r="K141" s="296">
        <f t="shared" ref="K141:K143" si="85">D141*H141</f>
        <v>6048</v>
      </c>
      <c r="L141" s="218">
        <f t="shared" ref="L141:L143" si="86">+E141*H141</f>
        <v>6048</v>
      </c>
      <c r="M141" s="218">
        <f t="shared" ref="M141:M143" si="87">+E141*I141</f>
        <v>6048</v>
      </c>
      <c r="N141" s="310">
        <f t="shared" ref="N141:N143" si="88">L141-K141</f>
        <v>0</v>
      </c>
      <c r="O141" s="311">
        <f t="shared" ref="O141:O143" si="89">M141-K141</f>
        <v>0</v>
      </c>
      <c r="T141" s="5"/>
    </row>
    <row r="142" spans="2:23" x14ac:dyDescent="0.25">
      <c r="B142" s="79">
        <v>1109.03</v>
      </c>
      <c r="C142" s="213" t="s">
        <v>553</v>
      </c>
      <c r="D142" s="72">
        <v>14</v>
      </c>
      <c r="E142" s="72">
        <v>14</v>
      </c>
      <c r="F142" s="72">
        <f>E142-D142</f>
        <v>0</v>
      </c>
      <c r="G142" s="72" t="s">
        <v>25</v>
      </c>
      <c r="H142" s="84">
        <f>UNITARIOS!K4926</f>
        <v>819</v>
      </c>
      <c r="I142" s="296">
        <f t="shared" si="83"/>
        <v>819</v>
      </c>
      <c r="J142" s="115">
        <f t="shared" si="84"/>
        <v>0</v>
      </c>
      <c r="K142" s="296">
        <f t="shared" si="85"/>
        <v>11466</v>
      </c>
      <c r="L142" s="218">
        <f t="shared" si="86"/>
        <v>11466</v>
      </c>
      <c r="M142" s="218">
        <f t="shared" si="87"/>
        <v>11466</v>
      </c>
      <c r="N142" s="310">
        <f t="shared" si="88"/>
        <v>0</v>
      </c>
      <c r="O142" s="311">
        <f t="shared" si="89"/>
        <v>0</v>
      </c>
      <c r="T142" s="5"/>
    </row>
    <row r="143" spans="2:23" x14ac:dyDescent="0.25">
      <c r="B143" s="79">
        <v>1112.01</v>
      </c>
      <c r="C143" s="213" t="s">
        <v>560</v>
      </c>
      <c r="D143" s="80">
        <v>2</v>
      </c>
      <c r="E143" s="80">
        <v>8</v>
      </c>
      <c r="F143" s="72">
        <f>E143-D143</f>
        <v>6</v>
      </c>
      <c r="G143" s="80" t="s">
        <v>25</v>
      </c>
      <c r="H143" s="81">
        <f>UNITARIOS!K4976</f>
        <v>273</v>
      </c>
      <c r="I143" s="296">
        <f t="shared" si="83"/>
        <v>273</v>
      </c>
      <c r="J143" s="115">
        <f t="shared" si="84"/>
        <v>0</v>
      </c>
      <c r="K143" s="296">
        <f t="shared" si="85"/>
        <v>546</v>
      </c>
      <c r="L143" s="218">
        <f t="shared" si="86"/>
        <v>2184</v>
      </c>
      <c r="M143" s="218">
        <f t="shared" si="87"/>
        <v>2184</v>
      </c>
      <c r="N143" s="310">
        <f t="shared" si="88"/>
        <v>1638</v>
      </c>
      <c r="O143" s="311">
        <f t="shared" si="89"/>
        <v>1638</v>
      </c>
      <c r="P143" s="236">
        <f>SUM(L141:L143)</f>
        <v>19698</v>
      </c>
      <c r="T143" s="5"/>
    </row>
    <row r="144" spans="2:23" s="192" customFormat="1" x14ac:dyDescent="0.25">
      <c r="B144" s="195"/>
      <c r="C144" s="216" t="s">
        <v>520</v>
      </c>
      <c r="D144" s="196"/>
      <c r="E144" s="196"/>
      <c r="F144" s="196"/>
      <c r="G144" s="197" t="s">
        <v>59</v>
      </c>
      <c r="H144" s="198"/>
      <c r="I144" s="298"/>
      <c r="J144" s="298"/>
      <c r="K144" s="298"/>
      <c r="L144" s="219"/>
      <c r="M144" s="219"/>
      <c r="N144" s="309"/>
      <c r="O144" s="306"/>
      <c r="Q144" s="199"/>
      <c r="R144" s="199"/>
      <c r="T144" s="193"/>
      <c r="W144" s="194"/>
    </row>
    <row r="145" spans="2:23" x14ac:dyDescent="0.25">
      <c r="B145" s="79"/>
      <c r="C145" s="88" t="s">
        <v>45</v>
      </c>
      <c r="D145" s="72"/>
      <c r="E145" s="72"/>
      <c r="F145" s="72"/>
      <c r="G145" s="72"/>
      <c r="H145" s="84"/>
      <c r="I145" s="296"/>
      <c r="J145" s="296"/>
      <c r="K145" s="296"/>
      <c r="L145" s="218"/>
      <c r="M145" s="218"/>
      <c r="N145" s="308"/>
      <c r="O145" s="305"/>
      <c r="T145" s="5"/>
    </row>
    <row r="146" spans="2:23" x14ac:dyDescent="0.25">
      <c r="B146" s="79">
        <v>105.02</v>
      </c>
      <c r="C146" s="213" t="s">
        <v>380</v>
      </c>
      <c r="D146" s="72">
        <v>3</v>
      </c>
      <c r="E146" s="72">
        <v>2</v>
      </c>
      <c r="F146" s="72">
        <f>E146-D146</f>
        <v>-1</v>
      </c>
      <c r="G146" s="72" t="s">
        <v>25</v>
      </c>
      <c r="H146" s="84">
        <f>UNITARIOS!K5200</f>
        <v>308</v>
      </c>
      <c r="I146" s="296">
        <f t="shared" ref="I146:I148" si="90">H146</f>
        <v>308</v>
      </c>
      <c r="J146" s="115">
        <f t="shared" ref="J146:J148" si="91">I146-H146</f>
        <v>0</v>
      </c>
      <c r="K146" s="296">
        <f t="shared" ref="K146:K148" si="92">D146*H146</f>
        <v>924</v>
      </c>
      <c r="L146" s="218">
        <f t="shared" ref="L146:L148" si="93">+E146*H146</f>
        <v>616</v>
      </c>
      <c r="M146" s="218">
        <f t="shared" ref="M146:M148" si="94">+E146*I146</f>
        <v>616</v>
      </c>
      <c r="N146" s="310">
        <f t="shared" ref="N146:N148" si="95">L146-K146</f>
        <v>-308</v>
      </c>
      <c r="O146" s="311">
        <f t="shared" ref="O146:O148" si="96">M146-K146</f>
        <v>-308</v>
      </c>
      <c r="P146" s="236">
        <f>SUM(L144:L146)</f>
        <v>616</v>
      </c>
      <c r="T146" s="5"/>
    </row>
    <row r="147" spans="2:23" x14ac:dyDescent="0.25">
      <c r="B147" s="79">
        <v>111.03</v>
      </c>
      <c r="C147" s="213" t="s">
        <v>492</v>
      </c>
      <c r="D147" s="72">
        <v>6</v>
      </c>
      <c r="E147" s="72">
        <v>4</v>
      </c>
      <c r="F147" s="72">
        <f>E147-D147</f>
        <v>-2</v>
      </c>
      <c r="G147" s="72" t="s">
        <v>24</v>
      </c>
      <c r="H147" s="84">
        <f>UNITARIOS!K5528</f>
        <v>126</v>
      </c>
      <c r="I147" s="296">
        <f t="shared" si="90"/>
        <v>126</v>
      </c>
      <c r="J147" s="115">
        <f t="shared" si="91"/>
        <v>0</v>
      </c>
      <c r="K147" s="296">
        <f t="shared" si="92"/>
        <v>756</v>
      </c>
      <c r="L147" s="218">
        <f t="shared" si="93"/>
        <v>504</v>
      </c>
      <c r="M147" s="218">
        <f t="shared" si="94"/>
        <v>504</v>
      </c>
      <c r="N147" s="310">
        <f t="shared" si="95"/>
        <v>-252</v>
      </c>
      <c r="O147" s="311">
        <f t="shared" si="96"/>
        <v>-252</v>
      </c>
      <c r="T147" s="5"/>
    </row>
    <row r="148" spans="2:23" x14ac:dyDescent="0.25">
      <c r="B148" s="79">
        <v>117.01</v>
      </c>
      <c r="C148" s="214" t="s">
        <v>328</v>
      </c>
      <c r="D148" s="72">
        <v>6</v>
      </c>
      <c r="E148" s="72">
        <v>2</v>
      </c>
      <c r="F148" s="72">
        <f>E148-D148</f>
        <v>-4</v>
      </c>
      <c r="G148" s="72" t="s">
        <v>25</v>
      </c>
      <c r="H148" s="84">
        <f>UNITARIOS!K5584</f>
        <v>364</v>
      </c>
      <c r="I148" s="296">
        <f t="shared" si="90"/>
        <v>364</v>
      </c>
      <c r="J148" s="115">
        <f t="shared" si="91"/>
        <v>0</v>
      </c>
      <c r="K148" s="296">
        <f t="shared" si="92"/>
        <v>2184</v>
      </c>
      <c r="L148" s="218">
        <f t="shared" si="93"/>
        <v>728</v>
      </c>
      <c r="M148" s="218">
        <f t="shared" si="94"/>
        <v>728</v>
      </c>
      <c r="N148" s="310">
        <f t="shared" si="95"/>
        <v>-1456</v>
      </c>
      <c r="O148" s="311">
        <f t="shared" si="96"/>
        <v>-1456</v>
      </c>
      <c r="P148" s="236">
        <f>SUM(L147:L148)</f>
        <v>1232</v>
      </c>
      <c r="T148" s="5"/>
    </row>
    <row r="149" spans="2:23" x14ac:dyDescent="0.25">
      <c r="B149" s="79"/>
      <c r="C149" s="88" t="s">
        <v>562</v>
      </c>
      <c r="D149" s="72"/>
      <c r="E149" s="72"/>
      <c r="F149" s="72"/>
      <c r="G149" s="72"/>
      <c r="H149" s="84"/>
      <c r="I149" s="296"/>
      <c r="J149" s="296"/>
      <c r="K149" s="296"/>
      <c r="L149" s="218"/>
      <c r="M149" s="218"/>
      <c r="N149" s="308"/>
      <c r="O149" s="305"/>
      <c r="T149" s="5"/>
    </row>
    <row r="150" spans="2:23" x14ac:dyDescent="0.25">
      <c r="B150" s="79">
        <v>605.08000000000004</v>
      </c>
      <c r="C150" s="214" t="s">
        <v>558</v>
      </c>
      <c r="D150" s="72">
        <v>6</v>
      </c>
      <c r="E150" s="72">
        <v>4</v>
      </c>
      <c r="F150" s="72">
        <f>E150-D150</f>
        <v>-2</v>
      </c>
      <c r="G150" s="72" t="s">
        <v>24</v>
      </c>
      <c r="H150" s="84">
        <f>UNITARIOS!K5251</f>
        <v>350</v>
      </c>
      <c r="I150" s="296">
        <f t="shared" ref="I150:I151" si="97">H150</f>
        <v>350</v>
      </c>
      <c r="J150" s="115">
        <f t="shared" ref="J150:J151" si="98">I150-H150</f>
        <v>0</v>
      </c>
      <c r="K150" s="296">
        <f t="shared" ref="K150:K151" si="99">D150*H150</f>
        <v>2100</v>
      </c>
      <c r="L150" s="218">
        <f t="shared" ref="L150:L151" si="100">+E150*H150</f>
        <v>1400</v>
      </c>
      <c r="M150" s="218">
        <f t="shared" ref="M150:M151" si="101">+E150*I150</f>
        <v>1400</v>
      </c>
      <c r="N150" s="310">
        <f t="shared" ref="N150:N151" si="102">L150-K150</f>
        <v>-700</v>
      </c>
      <c r="O150" s="311">
        <f t="shared" ref="O150:O151" si="103">M150-K150</f>
        <v>-700</v>
      </c>
      <c r="T150" s="5"/>
    </row>
    <row r="151" spans="2:23" x14ac:dyDescent="0.25">
      <c r="B151" s="79">
        <v>609.01</v>
      </c>
      <c r="C151" s="214" t="s">
        <v>521</v>
      </c>
      <c r="D151" s="72">
        <v>17</v>
      </c>
      <c r="E151" s="72">
        <v>10</v>
      </c>
      <c r="F151" s="72">
        <f>E151-D151</f>
        <v>-7</v>
      </c>
      <c r="G151" s="72" t="s">
        <v>24</v>
      </c>
      <c r="H151" s="84">
        <f>UNITARIOS!K5304</f>
        <v>238</v>
      </c>
      <c r="I151" s="296">
        <f t="shared" si="97"/>
        <v>238</v>
      </c>
      <c r="J151" s="115">
        <f t="shared" si="98"/>
        <v>0</v>
      </c>
      <c r="K151" s="296">
        <f t="shared" si="99"/>
        <v>4046</v>
      </c>
      <c r="L151" s="218">
        <f t="shared" si="100"/>
        <v>2380</v>
      </c>
      <c r="M151" s="218">
        <f t="shared" si="101"/>
        <v>2380</v>
      </c>
      <c r="N151" s="310">
        <f t="shared" si="102"/>
        <v>-1666</v>
      </c>
      <c r="O151" s="311">
        <f t="shared" si="103"/>
        <v>-1666</v>
      </c>
      <c r="P151" s="236">
        <f>SUM(L149:L151)</f>
        <v>3780</v>
      </c>
      <c r="T151" s="5"/>
    </row>
    <row r="152" spans="2:23" x14ac:dyDescent="0.25">
      <c r="B152" s="82"/>
      <c r="C152" s="88" t="s">
        <v>53</v>
      </c>
      <c r="D152" s="72"/>
      <c r="E152" s="72"/>
      <c r="F152" s="72"/>
      <c r="G152" s="73" t="s">
        <v>59</v>
      </c>
      <c r="H152" s="84"/>
      <c r="I152" s="296"/>
      <c r="J152" s="296"/>
      <c r="K152" s="296"/>
      <c r="L152" s="218"/>
      <c r="M152" s="218"/>
      <c r="N152" s="308"/>
      <c r="O152" s="305"/>
      <c r="T152" s="5"/>
    </row>
    <row r="153" spans="2:23" x14ac:dyDescent="0.25">
      <c r="B153" s="79">
        <v>701.02</v>
      </c>
      <c r="C153" s="214" t="s">
        <v>559</v>
      </c>
      <c r="D153" s="72">
        <v>3</v>
      </c>
      <c r="E153" s="72">
        <v>2</v>
      </c>
      <c r="F153" s="72">
        <f>E153-D153</f>
        <v>-1</v>
      </c>
      <c r="G153" s="72" t="s">
        <v>25</v>
      </c>
      <c r="H153" s="84">
        <f>UNITARIOS!K5360</f>
        <v>2583</v>
      </c>
      <c r="I153" s="296">
        <f>H153</f>
        <v>2583</v>
      </c>
      <c r="J153" s="115">
        <f>I153-H153</f>
        <v>0</v>
      </c>
      <c r="K153" s="296">
        <f>D153*H153</f>
        <v>7749</v>
      </c>
      <c r="L153" s="218">
        <f>+E153*H153</f>
        <v>5166</v>
      </c>
      <c r="M153" s="218">
        <f>+E153*I153</f>
        <v>5166</v>
      </c>
      <c r="N153" s="310">
        <f>L153-K153</f>
        <v>-2583</v>
      </c>
      <c r="O153" s="311">
        <f>M153-K153</f>
        <v>-2583</v>
      </c>
      <c r="P153" s="236">
        <f>SUM(L152:L153)</f>
        <v>5166</v>
      </c>
      <c r="T153" s="5"/>
    </row>
    <row r="154" spans="2:23" x14ac:dyDescent="0.25">
      <c r="B154" s="79"/>
      <c r="C154" s="88" t="s">
        <v>549</v>
      </c>
      <c r="D154" s="72"/>
      <c r="E154" s="72"/>
      <c r="F154" s="72"/>
      <c r="G154" s="72"/>
      <c r="H154" s="84"/>
      <c r="I154" s="296"/>
      <c r="J154" s="296"/>
      <c r="K154" s="296"/>
      <c r="L154" s="218"/>
      <c r="M154" s="218"/>
      <c r="N154" s="308"/>
      <c r="O154" s="305"/>
      <c r="T154" s="5"/>
    </row>
    <row r="155" spans="2:23" x14ac:dyDescent="0.25">
      <c r="B155" s="79">
        <v>1001.01</v>
      </c>
      <c r="C155" s="214" t="s">
        <v>282</v>
      </c>
      <c r="D155" s="72">
        <v>3</v>
      </c>
      <c r="E155" s="72">
        <v>2</v>
      </c>
      <c r="F155" s="72">
        <f>E155-D155</f>
        <v>-1</v>
      </c>
      <c r="G155" s="72" t="s">
        <v>25</v>
      </c>
      <c r="H155" s="84">
        <f>UNITARIOS!K5416</f>
        <v>2051</v>
      </c>
      <c r="I155" s="296">
        <f t="shared" ref="I155:I156" si="104">H155</f>
        <v>2051</v>
      </c>
      <c r="J155" s="115">
        <f t="shared" ref="J155:J156" si="105">I155-H155</f>
        <v>0</v>
      </c>
      <c r="K155" s="296">
        <f t="shared" ref="K155:K156" si="106">D155*H155</f>
        <v>6153</v>
      </c>
      <c r="L155" s="218">
        <f t="shared" ref="L155:L156" si="107">+E155*H155</f>
        <v>4102</v>
      </c>
      <c r="M155" s="218">
        <f t="shared" ref="M155:M156" si="108">+E155*I155</f>
        <v>4102</v>
      </c>
      <c r="N155" s="310">
        <f t="shared" ref="N155:N156" si="109">L155-K155</f>
        <v>-2051</v>
      </c>
      <c r="O155" s="311">
        <f t="shared" ref="O155:O156" si="110">M155-K155</f>
        <v>-2051</v>
      </c>
      <c r="T155" s="5"/>
    </row>
    <row r="156" spans="2:23" x14ac:dyDescent="0.25">
      <c r="B156" s="79">
        <v>1002.02</v>
      </c>
      <c r="C156" s="214" t="s">
        <v>508</v>
      </c>
      <c r="D156" s="72">
        <v>3</v>
      </c>
      <c r="E156" s="72">
        <v>2</v>
      </c>
      <c r="F156" s="72">
        <f>E156-D156</f>
        <v>-1</v>
      </c>
      <c r="G156" s="72" t="s">
        <v>25</v>
      </c>
      <c r="H156" s="84">
        <f>UNITARIOS!K5472</f>
        <v>1428</v>
      </c>
      <c r="I156" s="296">
        <f t="shared" si="104"/>
        <v>1428</v>
      </c>
      <c r="J156" s="115">
        <f t="shared" si="105"/>
        <v>0</v>
      </c>
      <c r="K156" s="296">
        <f t="shared" si="106"/>
        <v>4284</v>
      </c>
      <c r="L156" s="218">
        <f t="shared" si="107"/>
        <v>2856</v>
      </c>
      <c r="M156" s="218">
        <f t="shared" si="108"/>
        <v>2856</v>
      </c>
      <c r="N156" s="310">
        <f t="shared" si="109"/>
        <v>-1428</v>
      </c>
      <c r="O156" s="311">
        <f t="shared" si="110"/>
        <v>-1428</v>
      </c>
      <c r="P156" s="236">
        <f>SUM(L155:L156)</f>
        <v>6958</v>
      </c>
      <c r="T156" s="5"/>
    </row>
    <row r="157" spans="2:23" s="192" customFormat="1" x14ac:dyDescent="0.25">
      <c r="B157" s="200"/>
      <c r="C157" s="216" t="s">
        <v>564</v>
      </c>
      <c r="D157" s="196"/>
      <c r="E157" s="196"/>
      <c r="F157" s="196"/>
      <c r="G157" s="201" t="s">
        <v>59</v>
      </c>
      <c r="H157" s="198"/>
      <c r="I157" s="298"/>
      <c r="J157" s="298"/>
      <c r="K157" s="298"/>
      <c r="L157" s="219"/>
      <c r="M157" s="219"/>
      <c r="N157" s="309"/>
      <c r="O157" s="306"/>
      <c r="Q157" s="199"/>
      <c r="R157" s="199"/>
      <c r="T157" s="193"/>
      <c r="W157" s="194"/>
    </row>
    <row r="158" spans="2:23" x14ac:dyDescent="0.25">
      <c r="B158" s="85"/>
      <c r="C158" s="88" t="s">
        <v>53</v>
      </c>
      <c r="D158" s="72"/>
      <c r="E158" s="72"/>
      <c r="F158" s="72"/>
      <c r="G158" s="86"/>
      <c r="H158" s="84"/>
      <c r="I158" s="296"/>
      <c r="J158" s="296"/>
      <c r="K158" s="296"/>
      <c r="L158" s="218"/>
      <c r="M158" s="218"/>
      <c r="N158" s="308"/>
      <c r="O158" s="305"/>
      <c r="T158" s="5"/>
    </row>
    <row r="159" spans="2:23" x14ac:dyDescent="0.25">
      <c r="B159" s="85">
        <v>711.07</v>
      </c>
      <c r="C159" s="214" t="s">
        <v>565</v>
      </c>
      <c r="D159" s="72">
        <v>1</v>
      </c>
      <c r="E159" s="72">
        <v>1</v>
      </c>
      <c r="F159" s="72">
        <f>E159-D159</f>
        <v>0</v>
      </c>
      <c r="G159" s="86" t="s">
        <v>25</v>
      </c>
      <c r="H159" s="84">
        <f>UNITARIOS!K5640</f>
        <v>2541</v>
      </c>
      <c r="I159" s="296">
        <f>H159</f>
        <v>2541</v>
      </c>
      <c r="J159" s="115">
        <f>I159-H159</f>
        <v>0</v>
      </c>
      <c r="K159" s="296">
        <f>D159*H159</f>
        <v>2541</v>
      </c>
      <c r="L159" s="218">
        <f>+E159*H159</f>
        <v>2541</v>
      </c>
      <c r="M159" s="218">
        <f>+E159*I159</f>
        <v>2541</v>
      </c>
      <c r="N159" s="310">
        <f>L159-K159</f>
        <v>0</v>
      </c>
      <c r="O159" s="311">
        <f>M159-K159</f>
        <v>0</v>
      </c>
      <c r="P159" s="236">
        <f>SUM(L158:L159)</f>
        <v>2541</v>
      </c>
      <c r="T159" s="5"/>
    </row>
    <row r="160" spans="2:23" x14ac:dyDescent="0.25">
      <c r="B160" s="85"/>
      <c r="C160" s="88" t="s">
        <v>548</v>
      </c>
      <c r="D160" s="72"/>
      <c r="E160" s="72"/>
      <c r="F160" s="72"/>
      <c r="G160" s="86"/>
      <c r="H160" s="84"/>
      <c r="I160" s="296"/>
      <c r="J160" s="296"/>
      <c r="K160" s="296"/>
      <c r="L160" s="218"/>
      <c r="M160" s="218"/>
      <c r="N160" s="308"/>
      <c r="O160" s="305"/>
      <c r="T160" s="5"/>
    </row>
    <row r="161" spans="2:20" x14ac:dyDescent="0.25">
      <c r="B161" s="85">
        <v>909.04</v>
      </c>
      <c r="C161" s="214" t="s">
        <v>567</v>
      </c>
      <c r="D161" s="72">
        <v>1</v>
      </c>
      <c r="E161" s="72">
        <v>1</v>
      </c>
      <c r="F161" s="72">
        <f>E161-D161</f>
        <v>0</v>
      </c>
      <c r="G161" s="86" t="s">
        <v>25</v>
      </c>
      <c r="H161" s="84">
        <f>UNITARIOS!K5696</f>
        <v>8757</v>
      </c>
      <c r="I161" s="296">
        <f>H161</f>
        <v>8757</v>
      </c>
      <c r="J161" s="115">
        <f>I161-H161</f>
        <v>0</v>
      </c>
      <c r="K161" s="296">
        <f>D161*H161</f>
        <v>8757</v>
      </c>
      <c r="L161" s="218">
        <f>+E161*H161</f>
        <v>8757</v>
      </c>
      <c r="M161" s="218">
        <f>+E161*I161</f>
        <v>8757</v>
      </c>
      <c r="N161" s="310">
        <f>L161-K161</f>
        <v>0</v>
      </c>
      <c r="O161" s="311">
        <f>M161-K161</f>
        <v>0</v>
      </c>
      <c r="P161" s="236">
        <f>SUM(L160:L161)</f>
        <v>8757</v>
      </c>
      <c r="T161" s="5"/>
    </row>
    <row r="162" spans="2:20" x14ac:dyDescent="0.25">
      <c r="B162" s="85"/>
      <c r="C162" s="88" t="s">
        <v>57</v>
      </c>
      <c r="D162" s="72"/>
      <c r="E162" s="72"/>
      <c r="F162" s="72"/>
      <c r="G162" s="86" t="s">
        <v>59</v>
      </c>
      <c r="H162" s="84"/>
      <c r="I162" s="296"/>
      <c r="J162" s="296"/>
      <c r="K162" s="296"/>
      <c r="L162" s="218"/>
      <c r="M162" s="218"/>
      <c r="N162" s="308"/>
      <c r="O162" s="305"/>
      <c r="T162" s="5"/>
    </row>
    <row r="163" spans="2:20" x14ac:dyDescent="0.25">
      <c r="B163" s="137">
        <v>1401.01</v>
      </c>
      <c r="C163" s="214" t="s">
        <v>386</v>
      </c>
      <c r="D163" s="72">
        <v>1</v>
      </c>
      <c r="E163" s="72">
        <v>1</v>
      </c>
      <c r="F163" s="72">
        <f>E163-D163</f>
        <v>0</v>
      </c>
      <c r="G163" s="86" t="s">
        <v>25</v>
      </c>
      <c r="H163" s="84">
        <f>UNITARIOS!K5752</f>
        <v>4473</v>
      </c>
      <c r="I163" s="296">
        <f t="shared" ref="I163:I164" si="111">H163</f>
        <v>4473</v>
      </c>
      <c r="J163" s="115">
        <f t="shared" ref="J163:J164" si="112">I163-H163</f>
        <v>0</v>
      </c>
      <c r="K163" s="296">
        <f t="shared" ref="K163:K164" si="113">D163*H163</f>
        <v>4473</v>
      </c>
      <c r="L163" s="218">
        <f t="shared" ref="L163:L164" si="114">+E163*H163</f>
        <v>4473</v>
      </c>
      <c r="M163" s="218">
        <f t="shared" ref="M163:M164" si="115">+E163*I163</f>
        <v>4473</v>
      </c>
      <c r="N163" s="310">
        <f t="shared" ref="N163:N164" si="116">L163-K163</f>
        <v>0</v>
      </c>
      <c r="O163" s="311">
        <f t="shared" ref="O163:O164" si="117">M163-K163</f>
        <v>0</v>
      </c>
      <c r="Q163" s="67">
        <f>SUM(L125:L164)</f>
        <v>295582</v>
      </c>
      <c r="R163" s="67">
        <f>$L$165</f>
        <v>521252.27</v>
      </c>
      <c r="T163" s="5"/>
    </row>
    <row r="164" spans="2:20" ht="16.5" thickBot="1" x14ac:dyDescent="0.3">
      <c r="B164" s="137">
        <v>1413.06</v>
      </c>
      <c r="C164" s="214" t="s">
        <v>566</v>
      </c>
      <c r="D164" s="72">
        <v>30</v>
      </c>
      <c r="E164" s="72">
        <v>30</v>
      </c>
      <c r="F164" s="72">
        <f>E164-D164</f>
        <v>0</v>
      </c>
      <c r="G164" s="86" t="s">
        <v>71</v>
      </c>
      <c r="H164" s="84">
        <f>UNITARIOS!K5808</f>
        <v>1750</v>
      </c>
      <c r="I164" s="296">
        <f t="shared" si="111"/>
        <v>1750</v>
      </c>
      <c r="J164" s="115">
        <f t="shared" si="112"/>
        <v>0</v>
      </c>
      <c r="K164" s="296">
        <f t="shared" si="113"/>
        <v>52500</v>
      </c>
      <c r="L164" s="218">
        <f t="shared" si="114"/>
        <v>52500</v>
      </c>
      <c r="M164" s="218">
        <f t="shared" si="115"/>
        <v>52500</v>
      </c>
      <c r="N164" s="310">
        <f t="shared" si="116"/>
        <v>0</v>
      </c>
      <c r="O164" s="311">
        <f t="shared" si="117"/>
        <v>0</v>
      </c>
      <c r="P164" s="236">
        <f>SUM(L163:L164)</f>
        <v>56973</v>
      </c>
      <c r="Q164" s="68"/>
      <c r="R164" s="68"/>
      <c r="T164" s="5"/>
    </row>
    <row r="165" spans="2:20" ht="16.5" thickBot="1" x14ac:dyDescent="0.3">
      <c r="B165" s="396" t="s">
        <v>8</v>
      </c>
      <c r="C165" s="397"/>
      <c r="D165" s="397"/>
      <c r="E165" s="397"/>
      <c r="F165" s="397"/>
      <c r="G165" s="397"/>
      <c r="H165" s="397"/>
      <c r="I165" s="299"/>
      <c r="J165" s="299"/>
      <c r="K165" s="299"/>
      <c r="L165" s="220">
        <f>SUM(L10:L164)</f>
        <v>521252.27</v>
      </c>
      <c r="M165" s="220">
        <f>SUM(M10:M164)</f>
        <v>563104.79399999999</v>
      </c>
      <c r="N165" s="220">
        <f>SUM(N10:N164)</f>
        <v>-231996.73</v>
      </c>
      <c r="O165" s="220">
        <f>SUM(O10:O164)</f>
        <v>-189619.20599999995</v>
      </c>
      <c r="Q165" s="69">
        <v>753249</v>
      </c>
      <c r="T165" s="5"/>
    </row>
    <row r="166" spans="2:20" x14ac:dyDescent="0.25">
      <c r="Q166" s="69">
        <f>Q165-L165</f>
        <v>231996.72999999998</v>
      </c>
    </row>
    <row r="167" spans="2:20" x14ac:dyDescent="0.25">
      <c r="Q167" s="70"/>
    </row>
  </sheetData>
  <mergeCells count="8">
    <mergeCell ref="R8:W8"/>
    <mergeCell ref="B2:L2"/>
    <mergeCell ref="B1:L1"/>
    <mergeCell ref="B165:H165"/>
    <mergeCell ref="B4:L4"/>
    <mergeCell ref="B3:L3"/>
    <mergeCell ref="B5:L5"/>
    <mergeCell ref="B7:O7"/>
  </mergeCells>
  <conditionalFormatting sqref="F15">
    <cfRule type="cellIs" dxfId="2888" priority="1183" operator="equal">
      <formula>0</formula>
    </cfRule>
    <cfRule type="cellIs" dxfId="2887" priority="1184" operator="lessThan">
      <formula>0</formula>
    </cfRule>
    <cfRule type="cellIs" dxfId="2886" priority="1185" operator="greaterThan">
      <formula>0</formula>
    </cfRule>
  </conditionalFormatting>
  <conditionalFormatting sqref="J15">
    <cfRule type="cellIs" dxfId="2885" priority="1180" operator="equal">
      <formula>0</formula>
    </cfRule>
    <cfRule type="cellIs" dxfId="2884" priority="1181" operator="lessThan">
      <formula>0</formula>
    </cfRule>
    <cfRule type="cellIs" dxfId="2883" priority="1182" operator="greaterThan">
      <formula>0</formula>
    </cfRule>
  </conditionalFormatting>
  <conditionalFormatting sqref="N14">
    <cfRule type="cellIs" dxfId="2882" priority="1165" operator="equal">
      <formula>0</formula>
    </cfRule>
    <cfRule type="cellIs" dxfId="2881" priority="1166" operator="lessThan">
      <formula>0</formula>
    </cfRule>
    <cfRule type="cellIs" dxfId="2880" priority="1167" operator="greaterThan">
      <formula>0</formula>
    </cfRule>
  </conditionalFormatting>
  <conditionalFormatting sqref="F14">
    <cfRule type="cellIs" dxfId="2879" priority="1171" operator="equal">
      <formula>0</formula>
    </cfRule>
    <cfRule type="cellIs" dxfId="2878" priority="1172" operator="lessThan">
      <formula>0</formula>
    </cfRule>
    <cfRule type="cellIs" dxfId="2877" priority="1173" operator="greaterThan">
      <formula>0</formula>
    </cfRule>
  </conditionalFormatting>
  <conditionalFormatting sqref="J14">
    <cfRule type="cellIs" dxfId="2876" priority="1168" operator="equal">
      <formula>0</formula>
    </cfRule>
    <cfRule type="cellIs" dxfId="2875" priority="1169" operator="lessThan">
      <formula>0</formula>
    </cfRule>
    <cfRule type="cellIs" dxfId="2874" priority="1170" operator="greaterThan">
      <formula>0</formula>
    </cfRule>
  </conditionalFormatting>
  <conditionalFormatting sqref="O14">
    <cfRule type="cellIs" dxfId="2873" priority="1159" operator="equal">
      <formula>0</formula>
    </cfRule>
    <cfRule type="cellIs" dxfId="2872" priority="1160" operator="lessThan">
      <formula>0</formula>
    </cfRule>
    <cfRule type="cellIs" dxfId="2871" priority="1161" operator="greaterThan">
      <formula>0</formula>
    </cfRule>
  </conditionalFormatting>
  <conditionalFormatting sqref="O15">
    <cfRule type="cellIs" dxfId="2870" priority="1156" operator="equal">
      <formula>0</formula>
    </cfRule>
    <cfRule type="cellIs" dxfId="2869" priority="1157" operator="lessThan">
      <formula>0</formula>
    </cfRule>
    <cfRule type="cellIs" dxfId="2868" priority="1158" operator="greaterThan">
      <formula>0</formula>
    </cfRule>
  </conditionalFormatting>
  <conditionalFormatting sqref="N15">
    <cfRule type="cellIs" dxfId="2867" priority="1153" operator="equal">
      <formula>0</formula>
    </cfRule>
    <cfRule type="cellIs" dxfId="2866" priority="1154" operator="lessThan">
      <formula>0</formula>
    </cfRule>
    <cfRule type="cellIs" dxfId="2865" priority="1155" operator="greaterThan">
      <formula>0</formula>
    </cfRule>
  </conditionalFormatting>
  <conditionalFormatting sqref="F13">
    <cfRule type="cellIs" dxfId="2864" priority="1150" operator="equal">
      <formula>0</formula>
    </cfRule>
    <cfRule type="cellIs" dxfId="2863" priority="1151" operator="lessThan">
      <formula>0</formula>
    </cfRule>
    <cfRule type="cellIs" dxfId="2862" priority="1152" operator="greaterThan">
      <formula>0</formula>
    </cfRule>
  </conditionalFormatting>
  <conditionalFormatting sqref="J13">
    <cfRule type="cellIs" dxfId="2861" priority="1147" operator="equal">
      <formula>0</formula>
    </cfRule>
    <cfRule type="cellIs" dxfId="2860" priority="1148" operator="lessThan">
      <formula>0</formula>
    </cfRule>
    <cfRule type="cellIs" dxfId="2859" priority="1149" operator="greaterThan">
      <formula>0</formula>
    </cfRule>
  </conditionalFormatting>
  <conditionalFormatting sqref="N13">
    <cfRule type="cellIs" dxfId="2858" priority="1144" operator="equal">
      <formula>0</formula>
    </cfRule>
    <cfRule type="cellIs" dxfId="2857" priority="1145" operator="lessThan">
      <formula>0</formula>
    </cfRule>
    <cfRule type="cellIs" dxfId="2856" priority="1146" operator="greaterThan">
      <formula>0</formula>
    </cfRule>
  </conditionalFormatting>
  <conditionalFormatting sqref="O13">
    <cfRule type="cellIs" dxfId="2855" priority="1141" operator="equal">
      <formula>0</formula>
    </cfRule>
    <cfRule type="cellIs" dxfId="2854" priority="1142" operator="lessThan">
      <formula>0</formula>
    </cfRule>
    <cfRule type="cellIs" dxfId="2853" priority="1143" operator="greaterThan">
      <formula>0</formula>
    </cfRule>
  </conditionalFormatting>
  <conditionalFormatting sqref="F16">
    <cfRule type="cellIs" dxfId="2852" priority="1138" operator="equal">
      <formula>0</formula>
    </cfRule>
    <cfRule type="cellIs" dxfId="2851" priority="1139" operator="lessThan">
      <formula>0</formula>
    </cfRule>
    <cfRule type="cellIs" dxfId="2850" priority="1140" operator="greaterThan">
      <formula>0</formula>
    </cfRule>
  </conditionalFormatting>
  <conditionalFormatting sqref="J16">
    <cfRule type="cellIs" dxfId="2849" priority="1135" operator="equal">
      <formula>0</formula>
    </cfRule>
    <cfRule type="cellIs" dxfId="2848" priority="1136" operator="lessThan">
      <formula>0</formula>
    </cfRule>
    <cfRule type="cellIs" dxfId="2847" priority="1137" operator="greaterThan">
      <formula>0</formula>
    </cfRule>
  </conditionalFormatting>
  <conditionalFormatting sqref="N16">
    <cfRule type="cellIs" dxfId="2846" priority="1132" operator="equal">
      <formula>0</formula>
    </cfRule>
    <cfRule type="cellIs" dxfId="2845" priority="1133" operator="lessThan">
      <formula>0</formula>
    </cfRule>
    <cfRule type="cellIs" dxfId="2844" priority="1134" operator="greaterThan">
      <formula>0</formula>
    </cfRule>
  </conditionalFormatting>
  <conditionalFormatting sqref="O16">
    <cfRule type="cellIs" dxfId="2843" priority="1129" operator="equal">
      <formula>0</formula>
    </cfRule>
    <cfRule type="cellIs" dxfId="2842" priority="1130" operator="lessThan">
      <formula>0</formula>
    </cfRule>
    <cfRule type="cellIs" dxfId="2841" priority="1131" operator="greaterThan">
      <formula>0</formula>
    </cfRule>
  </conditionalFormatting>
  <conditionalFormatting sqref="F17:F18">
    <cfRule type="cellIs" dxfId="2840" priority="1126" operator="equal">
      <formula>0</formula>
    </cfRule>
    <cfRule type="cellIs" dxfId="2839" priority="1127" operator="lessThan">
      <formula>0</formula>
    </cfRule>
    <cfRule type="cellIs" dxfId="2838" priority="1128" operator="greaterThan">
      <formula>0</formula>
    </cfRule>
  </conditionalFormatting>
  <conditionalFormatting sqref="J17:J18">
    <cfRule type="cellIs" dxfId="2837" priority="1123" operator="equal">
      <formula>0</formula>
    </cfRule>
    <cfRule type="cellIs" dxfId="2836" priority="1124" operator="lessThan">
      <formula>0</formula>
    </cfRule>
    <cfRule type="cellIs" dxfId="2835" priority="1125" operator="greaterThan">
      <formula>0</formula>
    </cfRule>
  </conditionalFormatting>
  <conditionalFormatting sqref="N17:N18">
    <cfRule type="cellIs" dxfId="2834" priority="1120" operator="equal">
      <formula>0</formula>
    </cfRule>
    <cfRule type="cellIs" dxfId="2833" priority="1121" operator="lessThan">
      <formula>0</formula>
    </cfRule>
    <cfRule type="cellIs" dxfId="2832" priority="1122" operator="greaterThan">
      <formula>0</formula>
    </cfRule>
  </conditionalFormatting>
  <conditionalFormatting sqref="O17:O18">
    <cfRule type="cellIs" dxfId="2831" priority="1117" operator="equal">
      <formula>0</formula>
    </cfRule>
    <cfRule type="cellIs" dxfId="2830" priority="1118" operator="lessThan">
      <formula>0</formula>
    </cfRule>
    <cfRule type="cellIs" dxfId="2829" priority="1119" operator="greaterThan">
      <formula>0</formula>
    </cfRule>
  </conditionalFormatting>
  <conditionalFormatting sqref="F12">
    <cfRule type="cellIs" dxfId="2828" priority="1093" operator="equal">
      <formula>0</formula>
    </cfRule>
    <cfRule type="cellIs" dxfId="2827" priority="1094" operator="lessThan">
      <formula>0</formula>
    </cfRule>
    <cfRule type="cellIs" dxfId="2826" priority="1095" operator="greaterThan">
      <formula>0</formula>
    </cfRule>
  </conditionalFormatting>
  <conditionalFormatting sqref="J12">
    <cfRule type="cellIs" dxfId="2825" priority="1090" operator="equal">
      <formula>0</formula>
    </cfRule>
    <cfRule type="cellIs" dxfId="2824" priority="1091" operator="lessThan">
      <formula>0</formula>
    </cfRule>
    <cfRule type="cellIs" dxfId="2823" priority="1092" operator="greaterThan">
      <formula>0</formula>
    </cfRule>
  </conditionalFormatting>
  <conditionalFormatting sqref="F19">
    <cfRule type="cellIs" dxfId="2822" priority="1102" operator="equal">
      <formula>0</formula>
    </cfRule>
    <cfRule type="cellIs" dxfId="2821" priority="1103" operator="lessThan">
      <formula>0</formula>
    </cfRule>
    <cfRule type="cellIs" dxfId="2820" priority="1104" operator="greaterThan">
      <formula>0</formula>
    </cfRule>
  </conditionalFormatting>
  <conditionalFormatting sqref="N19">
    <cfRule type="cellIs" dxfId="2819" priority="1099" operator="equal">
      <formula>0</formula>
    </cfRule>
    <cfRule type="cellIs" dxfId="2818" priority="1100" operator="lessThan">
      <formula>0</formula>
    </cfRule>
    <cfRule type="cellIs" dxfId="2817" priority="1101" operator="greaterThan">
      <formula>0</formula>
    </cfRule>
  </conditionalFormatting>
  <conditionalFormatting sqref="O19">
    <cfRule type="cellIs" dxfId="2816" priority="1096" operator="equal">
      <formula>0</formula>
    </cfRule>
    <cfRule type="cellIs" dxfId="2815" priority="1097" operator="lessThan">
      <formula>0</formula>
    </cfRule>
    <cfRule type="cellIs" dxfId="2814" priority="1098" operator="greaterThan">
      <formula>0</formula>
    </cfRule>
  </conditionalFormatting>
  <conditionalFormatting sqref="N12">
    <cfRule type="cellIs" dxfId="2813" priority="1087" operator="equal">
      <formula>0</formula>
    </cfRule>
    <cfRule type="cellIs" dxfId="2812" priority="1088" operator="lessThan">
      <formula>0</formula>
    </cfRule>
    <cfRule type="cellIs" dxfId="2811" priority="1089" operator="greaterThan">
      <formula>0</formula>
    </cfRule>
  </conditionalFormatting>
  <conditionalFormatting sqref="O12">
    <cfRule type="cellIs" dxfId="2810" priority="1084" operator="equal">
      <formula>0</formula>
    </cfRule>
    <cfRule type="cellIs" dxfId="2809" priority="1085" operator="lessThan">
      <formula>0</formula>
    </cfRule>
    <cfRule type="cellIs" dxfId="2808" priority="1086" operator="greaterThan">
      <formula>0</formula>
    </cfRule>
  </conditionalFormatting>
  <conditionalFormatting sqref="F23">
    <cfRule type="cellIs" dxfId="2807" priority="1081" operator="equal">
      <formula>0</formula>
    </cfRule>
    <cfRule type="cellIs" dxfId="2806" priority="1082" operator="lessThan">
      <formula>0</formula>
    </cfRule>
    <cfRule type="cellIs" dxfId="2805" priority="1083" operator="greaterThan">
      <formula>0</formula>
    </cfRule>
  </conditionalFormatting>
  <conditionalFormatting sqref="J19">
    <cfRule type="cellIs" dxfId="2804" priority="1078" operator="equal">
      <formula>0</formula>
    </cfRule>
    <cfRule type="cellIs" dxfId="2803" priority="1079" operator="lessThan">
      <formula>0</formula>
    </cfRule>
    <cfRule type="cellIs" dxfId="2802" priority="1080" operator="greaterThan">
      <formula>0</formula>
    </cfRule>
  </conditionalFormatting>
  <conditionalFormatting sqref="J23">
    <cfRule type="cellIs" dxfId="2801" priority="1075" operator="equal">
      <formula>0</formula>
    </cfRule>
    <cfRule type="cellIs" dxfId="2800" priority="1076" operator="lessThan">
      <formula>0</formula>
    </cfRule>
    <cfRule type="cellIs" dxfId="2799" priority="1077" operator="greaterThan">
      <formula>0</formula>
    </cfRule>
  </conditionalFormatting>
  <conditionalFormatting sqref="N23">
    <cfRule type="cellIs" dxfId="2798" priority="1072" operator="equal">
      <formula>0</formula>
    </cfRule>
    <cfRule type="cellIs" dxfId="2797" priority="1073" operator="lessThan">
      <formula>0</formula>
    </cfRule>
    <cfRule type="cellIs" dxfId="2796" priority="1074" operator="greaterThan">
      <formula>0</formula>
    </cfRule>
  </conditionalFormatting>
  <conditionalFormatting sqref="O23">
    <cfRule type="cellIs" dxfId="2795" priority="1069" operator="equal">
      <formula>0</formula>
    </cfRule>
    <cfRule type="cellIs" dxfId="2794" priority="1070" operator="lessThan">
      <formula>0</formula>
    </cfRule>
    <cfRule type="cellIs" dxfId="2793" priority="1071" operator="greaterThan">
      <formula>0</formula>
    </cfRule>
  </conditionalFormatting>
  <conditionalFormatting sqref="F21">
    <cfRule type="cellIs" dxfId="2792" priority="1066" operator="equal">
      <formula>0</formula>
    </cfRule>
    <cfRule type="cellIs" dxfId="2791" priority="1067" operator="lessThan">
      <formula>0</formula>
    </cfRule>
    <cfRule type="cellIs" dxfId="2790" priority="1068" operator="greaterThan">
      <formula>0</formula>
    </cfRule>
  </conditionalFormatting>
  <conditionalFormatting sqref="J21">
    <cfRule type="cellIs" dxfId="2789" priority="1063" operator="equal">
      <formula>0</formula>
    </cfRule>
    <cfRule type="cellIs" dxfId="2788" priority="1064" operator="lessThan">
      <formula>0</formula>
    </cfRule>
    <cfRule type="cellIs" dxfId="2787" priority="1065" operator="greaterThan">
      <formula>0</formula>
    </cfRule>
  </conditionalFormatting>
  <conditionalFormatting sqref="N21">
    <cfRule type="cellIs" dxfId="2786" priority="1060" operator="equal">
      <formula>0</formula>
    </cfRule>
    <cfRule type="cellIs" dxfId="2785" priority="1061" operator="lessThan">
      <formula>0</formula>
    </cfRule>
    <cfRule type="cellIs" dxfId="2784" priority="1062" operator="greaterThan">
      <formula>0</formula>
    </cfRule>
  </conditionalFormatting>
  <conditionalFormatting sqref="O21">
    <cfRule type="cellIs" dxfId="2783" priority="1057" operator="equal">
      <formula>0</formula>
    </cfRule>
    <cfRule type="cellIs" dxfId="2782" priority="1058" operator="lessThan">
      <formula>0</formula>
    </cfRule>
    <cfRule type="cellIs" dxfId="2781" priority="1059" operator="greaterThan">
      <formula>0</formula>
    </cfRule>
  </conditionalFormatting>
  <conditionalFormatting sqref="F22">
    <cfRule type="cellIs" dxfId="2780" priority="1054" operator="equal">
      <formula>0</formula>
    </cfRule>
    <cfRule type="cellIs" dxfId="2779" priority="1055" operator="lessThan">
      <formula>0</formula>
    </cfRule>
    <cfRule type="cellIs" dxfId="2778" priority="1056" operator="greaterThan">
      <formula>0</formula>
    </cfRule>
  </conditionalFormatting>
  <conditionalFormatting sqref="J22">
    <cfRule type="cellIs" dxfId="2777" priority="1051" operator="equal">
      <formula>0</formula>
    </cfRule>
    <cfRule type="cellIs" dxfId="2776" priority="1052" operator="lessThan">
      <formula>0</formula>
    </cfRule>
    <cfRule type="cellIs" dxfId="2775" priority="1053" operator="greaterThan">
      <formula>0</formula>
    </cfRule>
  </conditionalFormatting>
  <conditionalFormatting sqref="N22">
    <cfRule type="cellIs" dxfId="2774" priority="1048" operator="equal">
      <formula>0</formula>
    </cfRule>
    <cfRule type="cellIs" dxfId="2773" priority="1049" operator="lessThan">
      <formula>0</formula>
    </cfRule>
    <cfRule type="cellIs" dxfId="2772" priority="1050" operator="greaterThan">
      <formula>0</formula>
    </cfRule>
  </conditionalFormatting>
  <conditionalFormatting sqref="O22">
    <cfRule type="cellIs" dxfId="2771" priority="1045" operator="equal">
      <formula>0</formula>
    </cfRule>
    <cfRule type="cellIs" dxfId="2770" priority="1046" operator="lessThan">
      <formula>0</formula>
    </cfRule>
    <cfRule type="cellIs" dxfId="2769" priority="1047" operator="greaterThan">
      <formula>0</formula>
    </cfRule>
  </conditionalFormatting>
  <conditionalFormatting sqref="F24">
    <cfRule type="cellIs" dxfId="2768" priority="1042" operator="equal">
      <formula>0</formula>
    </cfRule>
    <cfRule type="cellIs" dxfId="2767" priority="1043" operator="lessThan">
      <formula>0</formula>
    </cfRule>
    <cfRule type="cellIs" dxfId="2766" priority="1044" operator="greaterThan">
      <formula>0</formula>
    </cfRule>
  </conditionalFormatting>
  <conditionalFormatting sqref="J24">
    <cfRule type="cellIs" dxfId="2765" priority="1039" operator="equal">
      <formula>0</formula>
    </cfRule>
    <cfRule type="cellIs" dxfId="2764" priority="1040" operator="lessThan">
      <formula>0</formula>
    </cfRule>
    <cfRule type="cellIs" dxfId="2763" priority="1041" operator="greaterThan">
      <formula>0</formula>
    </cfRule>
  </conditionalFormatting>
  <conditionalFormatting sqref="N24">
    <cfRule type="cellIs" dxfId="2762" priority="1036" operator="equal">
      <formula>0</formula>
    </cfRule>
    <cfRule type="cellIs" dxfId="2761" priority="1037" operator="lessThan">
      <formula>0</formula>
    </cfRule>
    <cfRule type="cellIs" dxfId="2760" priority="1038" operator="greaterThan">
      <formula>0</formula>
    </cfRule>
  </conditionalFormatting>
  <conditionalFormatting sqref="O24">
    <cfRule type="cellIs" dxfId="2759" priority="1033" operator="equal">
      <formula>0</formula>
    </cfRule>
    <cfRule type="cellIs" dxfId="2758" priority="1034" operator="lessThan">
      <formula>0</formula>
    </cfRule>
    <cfRule type="cellIs" dxfId="2757" priority="1035" operator="greaterThan">
      <formula>0</formula>
    </cfRule>
  </conditionalFormatting>
  <conditionalFormatting sqref="F26">
    <cfRule type="cellIs" dxfId="2756" priority="1030" operator="equal">
      <formula>0</formula>
    </cfRule>
    <cfRule type="cellIs" dxfId="2755" priority="1031" operator="lessThan">
      <formula>0</formula>
    </cfRule>
    <cfRule type="cellIs" dxfId="2754" priority="1032" operator="greaterThan">
      <formula>0</formula>
    </cfRule>
  </conditionalFormatting>
  <conditionalFormatting sqref="J26">
    <cfRule type="cellIs" dxfId="2753" priority="1027" operator="equal">
      <formula>0</formula>
    </cfRule>
    <cfRule type="cellIs" dxfId="2752" priority="1028" operator="lessThan">
      <formula>0</formula>
    </cfRule>
    <cfRule type="cellIs" dxfId="2751" priority="1029" operator="greaterThan">
      <formula>0</formula>
    </cfRule>
  </conditionalFormatting>
  <conditionalFormatting sqref="N26">
    <cfRule type="cellIs" dxfId="2750" priority="1024" operator="equal">
      <formula>0</formula>
    </cfRule>
    <cfRule type="cellIs" dxfId="2749" priority="1025" operator="lessThan">
      <formula>0</formula>
    </cfRule>
    <cfRule type="cellIs" dxfId="2748" priority="1026" operator="greaterThan">
      <formula>0</formula>
    </cfRule>
  </conditionalFormatting>
  <conditionalFormatting sqref="O26">
    <cfRule type="cellIs" dxfId="2747" priority="1021" operator="equal">
      <formula>0</formula>
    </cfRule>
    <cfRule type="cellIs" dxfId="2746" priority="1022" operator="lessThan">
      <formula>0</formula>
    </cfRule>
    <cfRule type="cellIs" dxfId="2745" priority="1023" operator="greaterThan">
      <formula>0</formula>
    </cfRule>
  </conditionalFormatting>
  <conditionalFormatting sqref="F25">
    <cfRule type="cellIs" dxfId="2744" priority="1018" operator="equal">
      <formula>0</formula>
    </cfRule>
    <cfRule type="cellIs" dxfId="2743" priority="1019" operator="lessThan">
      <formula>0</formula>
    </cfRule>
    <cfRule type="cellIs" dxfId="2742" priority="1020" operator="greaterThan">
      <formula>0</formula>
    </cfRule>
  </conditionalFormatting>
  <conditionalFormatting sqref="J25">
    <cfRule type="cellIs" dxfId="2741" priority="1015" operator="equal">
      <formula>0</formula>
    </cfRule>
    <cfRule type="cellIs" dxfId="2740" priority="1016" operator="lessThan">
      <formula>0</formula>
    </cfRule>
    <cfRule type="cellIs" dxfId="2739" priority="1017" operator="greaterThan">
      <formula>0</formula>
    </cfRule>
  </conditionalFormatting>
  <conditionalFormatting sqref="N25">
    <cfRule type="cellIs" dxfId="2738" priority="1012" operator="equal">
      <formula>0</formula>
    </cfRule>
    <cfRule type="cellIs" dxfId="2737" priority="1013" operator="lessThan">
      <formula>0</formula>
    </cfRule>
    <cfRule type="cellIs" dxfId="2736" priority="1014" operator="greaterThan">
      <formula>0</formula>
    </cfRule>
  </conditionalFormatting>
  <conditionalFormatting sqref="O25">
    <cfRule type="cellIs" dxfId="2735" priority="1009" operator="equal">
      <formula>0</formula>
    </cfRule>
    <cfRule type="cellIs" dxfId="2734" priority="1010" operator="lessThan">
      <formula>0</formula>
    </cfRule>
    <cfRule type="cellIs" dxfId="2733" priority="1011" operator="greaterThan">
      <formula>0</formula>
    </cfRule>
  </conditionalFormatting>
  <conditionalFormatting sqref="F28">
    <cfRule type="cellIs" dxfId="2732" priority="1006" operator="equal">
      <formula>0</formula>
    </cfRule>
    <cfRule type="cellIs" dxfId="2731" priority="1007" operator="lessThan">
      <formula>0</formula>
    </cfRule>
    <cfRule type="cellIs" dxfId="2730" priority="1008" operator="greaterThan">
      <formula>0</formula>
    </cfRule>
  </conditionalFormatting>
  <conditionalFormatting sqref="F30">
    <cfRule type="cellIs" dxfId="2729" priority="1003" operator="equal">
      <formula>0</formula>
    </cfRule>
    <cfRule type="cellIs" dxfId="2728" priority="1004" operator="lessThan">
      <formula>0</formula>
    </cfRule>
    <cfRule type="cellIs" dxfId="2727" priority="1005" operator="greaterThan">
      <formula>0</formula>
    </cfRule>
  </conditionalFormatting>
  <conditionalFormatting sqref="J28">
    <cfRule type="cellIs" dxfId="2726" priority="1000" operator="equal">
      <formula>0</formula>
    </cfRule>
    <cfRule type="cellIs" dxfId="2725" priority="1001" operator="lessThan">
      <formula>0</formula>
    </cfRule>
    <cfRule type="cellIs" dxfId="2724" priority="1002" operator="greaterThan">
      <formula>0</formula>
    </cfRule>
  </conditionalFormatting>
  <conditionalFormatting sqref="J30">
    <cfRule type="cellIs" dxfId="2723" priority="997" operator="equal">
      <formula>0</formula>
    </cfRule>
    <cfRule type="cellIs" dxfId="2722" priority="998" operator="lessThan">
      <formula>0</formula>
    </cfRule>
    <cfRule type="cellIs" dxfId="2721" priority="999" operator="greaterThan">
      <formula>0</formula>
    </cfRule>
  </conditionalFormatting>
  <conditionalFormatting sqref="N28">
    <cfRule type="cellIs" dxfId="2720" priority="994" operator="equal">
      <formula>0</formula>
    </cfRule>
    <cfRule type="cellIs" dxfId="2719" priority="995" operator="lessThan">
      <formula>0</formula>
    </cfRule>
    <cfRule type="cellIs" dxfId="2718" priority="996" operator="greaterThan">
      <formula>0</formula>
    </cfRule>
  </conditionalFormatting>
  <conditionalFormatting sqref="N30">
    <cfRule type="cellIs" dxfId="2717" priority="991" operator="equal">
      <formula>0</formula>
    </cfRule>
    <cfRule type="cellIs" dxfId="2716" priority="992" operator="lessThan">
      <formula>0</formula>
    </cfRule>
    <cfRule type="cellIs" dxfId="2715" priority="993" operator="greaterThan">
      <formula>0</formula>
    </cfRule>
  </conditionalFormatting>
  <conditionalFormatting sqref="O28">
    <cfRule type="cellIs" dxfId="2714" priority="988" operator="equal">
      <formula>0</formula>
    </cfRule>
    <cfRule type="cellIs" dxfId="2713" priority="989" operator="lessThan">
      <formula>0</formula>
    </cfRule>
    <cfRule type="cellIs" dxfId="2712" priority="990" operator="greaterThan">
      <formula>0</formula>
    </cfRule>
  </conditionalFormatting>
  <conditionalFormatting sqref="O30">
    <cfRule type="cellIs" dxfId="2711" priority="985" operator="equal">
      <formula>0</formula>
    </cfRule>
    <cfRule type="cellIs" dxfId="2710" priority="986" operator="lessThan">
      <formula>0</formula>
    </cfRule>
    <cfRule type="cellIs" dxfId="2709" priority="987" operator="greaterThan">
      <formula>0</formula>
    </cfRule>
  </conditionalFormatting>
  <conditionalFormatting sqref="F31">
    <cfRule type="cellIs" dxfId="2708" priority="982" operator="equal">
      <formula>0</formula>
    </cfRule>
    <cfRule type="cellIs" dxfId="2707" priority="983" operator="lessThan">
      <formula>0</formula>
    </cfRule>
    <cfRule type="cellIs" dxfId="2706" priority="984" operator="greaterThan">
      <formula>0</formula>
    </cfRule>
  </conditionalFormatting>
  <conditionalFormatting sqref="J31">
    <cfRule type="cellIs" dxfId="2705" priority="979" operator="equal">
      <formula>0</formula>
    </cfRule>
    <cfRule type="cellIs" dxfId="2704" priority="980" operator="lessThan">
      <formula>0</formula>
    </cfRule>
    <cfRule type="cellIs" dxfId="2703" priority="981" operator="greaterThan">
      <formula>0</formula>
    </cfRule>
  </conditionalFormatting>
  <conditionalFormatting sqref="N31">
    <cfRule type="cellIs" dxfId="2702" priority="976" operator="equal">
      <formula>0</formula>
    </cfRule>
    <cfRule type="cellIs" dxfId="2701" priority="977" operator="lessThan">
      <formula>0</formula>
    </cfRule>
    <cfRule type="cellIs" dxfId="2700" priority="978" operator="greaterThan">
      <formula>0</formula>
    </cfRule>
  </conditionalFormatting>
  <conditionalFormatting sqref="O31">
    <cfRule type="cellIs" dxfId="2699" priority="973" operator="equal">
      <formula>0</formula>
    </cfRule>
    <cfRule type="cellIs" dxfId="2698" priority="974" operator="lessThan">
      <formula>0</formula>
    </cfRule>
    <cfRule type="cellIs" dxfId="2697" priority="975" operator="greaterThan">
      <formula>0</formula>
    </cfRule>
  </conditionalFormatting>
  <conditionalFormatting sqref="F29">
    <cfRule type="cellIs" dxfId="2696" priority="970" operator="equal">
      <formula>0</formula>
    </cfRule>
    <cfRule type="cellIs" dxfId="2695" priority="971" operator="lessThan">
      <formula>0</formula>
    </cfRule>
    <cfRule type="cellIs" dxfId="2694" priority="972" operator="greaterThan">
      <formula>0</formula>
    </cfRule>
  </conditionalFormatting>
  <conditionalFormatting sqref="J29">
    <cfRule type="cellIs" dxfId="2693" priority="967" operator="equal">
      <formula>0</formula>
    </cfRule>
    <cfRule type="cellIs" dxfId="2692" priority="968" operator="lessThan">
      <formula>0</formula>
    </cfRule>
    <cfRule type="cellIs" dxfId="2691" priority="969" operator="greaterThan">
      <formula>0</formula>
    </cfRule>
  </conditionalFormatting>
  <conditionalFormatting sqref="N29">
    <cfRule type="cellIs" dxfId="2690" priority="964" operator="equal">
      <formula>0</formula>
    </cfRule>
    <cfRule type="cellIs" dxfId="2689" priority="965" operator="lessThan">
      <formula>0</formula>
    </cfRule>
    <cfRule type="cellIs" dxfId="2688" priority="966" operator="greaterThan">
      <formula>0</formula>
    </cfRule>
  </conditionalFormatting>
  <conditionalFormatting sqref="O29">
    <cfRule type="cellIs" dxfId="2687" priority="961" operator="equal">
      <formula>0</formula>
    </cfRule>
    <cfRule type="cellIs" dxfId="2686" priority="962" operator="lessThan">
      <formula>0</formula>
    </cfRule>
    <cfRule type="cellIs" dxfId="2685" priority="963" operator="greaterThan">
      <formula>0</formula>
    </cfRule>
  </conditionalFormatting>
  <conditionalFormatting sqref="F35">
    <cfRule type="cellIs" dxfId="2684" priority="958" operator="equal">
      <formula>0</formula>
    </cfRule>
    <cfRule type="cellIs" dxfId="2683" priority="959" operator="lessThan">
      <formula>0</formula>
    </cfRule>
    <cfRule type="cellIs" dxfId="2682" priority="960" operator="greaterThan">
      <formula>0</formula>
    </cfRule>
  </conditionalFormatting>
  <conditionalFormatting sqref="J35">
    <cfRule type="cellIs" dxfId="2681" priority="955" operator="equal">
      <formula>0</formula>
    </cfRule>
    <cfRule type="cellIs" dxfId="2680" priority="956" operator="lessThan">
      <formula>0</formula>
    </cfRule>
    <cfRule type="cellIs" dxfId="2679" priority="957" operator="greaterThan">
      <formula>0</formula>
    </cfRule>
  </conditionalFormatting>
  <conditionalFormatting sqref="N35">
    <cfRule type="cellIs" dxfId="2678" priority="952" operator="equal">
      <formula>0</formula>
    </cfRule>
    <cfRule type="cellIs" dxfId="2677" priority="953" operator="lessThan">
      <formula>0</formula>
    </cfRule>
    <cfRule type="cellIs" dxfId="2676" priority="954" operator="greaterThan">
      <formula>0</formula>
    </cfRule>
  </conditionalFormatting>
  <conditionalFormatting sqref="O35">
    <cfRule type="cellIs" dxfId="2675" priority="949" operator="equal">
      <formula>0</formula>
    </cfRule>
    <cfRule type="cellIs" dxfId="2674" priority="950" operator="lessThan">
      <formula>0</formula>
    </cfRule>
    <cfRule type="cellIs" dxfId="2673" priority="951" operator="greaterThan">
      <formula>0</formula>
    </cfRule>
  </conditionalFormatting>
  <conditionalFormatting sqref="F37">
    <cfRule type="cellIs" dxfId="2672" priority="946" operator="equal">
      <formula>0</formula>
    </cfRule>
    <cfRule type="cellIs" dxfId="2671" priority="947" operator="lessThan">
      <formula>0</formula>
    </cfRule>
    <cfRule type="cellIs" dxfId="2670" priority="948" operator="greaterThan">
      <formula>0</formula>
    </cfRule>
  </conditionalFormatting>
  <conditionalFormatting sqref="J37">
    <cfRule type="cellIs" dxfId="2669" priority="943" operator="equal">
      <formula>0</formula>
    </cfRule>
    <cfRule type="cellIs" dxfId="2668" priority="944" operator="lessThan">
      <formula>0</formula>
    </cfRule>
    <cfRule type="cellIs" dxfId="2667" priority="945" operator="greaterThan">
      <formula>0</formula>
    </cfRule>
  </conditionalFormatting>
  <conditionalFormatting sqref="N37">
    <cfRule type="cellIs" dxfId="2666" priority="940" operator="equal">
      <formula>0</formula>
    </cfRule>
    <cfRule type="cellIs" dxfId="2665" priority="941" operator="lessThan">
      <formula>0</formula>
    </cfRule>
    <cfRule type="cellIs" dxfId="2664" priority="942" operator="greaterThan">
      <formula>0</formula>
    </cfRule>
  </conditionalFormatting>
  <conditionalFormatting sqref="O37">
    <cfRule type="cellIs" dxfId="2663" priority="937" operator="equal">
      <formula>0</formula>
    </cfRule>
    <cfRule type="cellIs" dxfId="2662" priority="938" operator="lessThan">
      <formula>0</formula>
    </cfRule>
    <cfRule type="cellIs" dxfId="2661" priority="939" operator="greaterThan">
      <formula>0</formula>
    </cfRule>
  </conditionalFormatting>
  <conditionalFormatting sqref="F44">
    <cfRule type="cellIs" dxfId="2660" priority="934" operator="equal">
      <formula>0</formula>
    </cfRule>
    <cfRule type="cellIs" dxfId="2659" priority="935" operator="lessThan">
      <formula>0</formula>
    </cfRule>
    <cfRule type="cellIs" dxfId="2658" priority="936" operator="greaterThan">
      <formula>0</formula>
    </cfRule>
  </conditionalFormatting>
  <conditionalFormatting sqref="F45">
    <cfRule type="cellIs" dxfId="2657" priority="931" operator="equal">
      <formula>0</formula>
    </cfRule>
    <cfRule type="cellIs" dxfId="2656" priority="932" operator="lessThan">
      <formula>0</formula>
    </cfRule>
    <cfRule type="cellIs" dxfId="2655" priority="933" operator="greaterThan">
      <formula>0</formula>
    </cfRule>
  </conditionalFormatting>
  <conditionalFormatting sqref="F46">
    <cfRule type="cellIs" dxfId="2654" priority="928" operator="equal">
      <formula>0</formula>
    </cfRule>
    <cfRule type="cellIs" dxfId="2653" priority="929" operator="lessThan">
      <formula>0</formula>
    </cfRule>
    <cfRule type="cellIs" dxfId="2652" priority="930" operator="greaterThan">
      <formula>0</formula>
    </cfRule>
  </conditionalFormatting>
  <conditionalFormatting sqref="F47">
    <cfRule type="cellIs" dxfId="2651" priority="925" operator="equal">
      <formula>0</formula>
    </cfRule>
    <cfRule type="cellIs" dxfId="2650" priority="926" operator="lessThan">
      <formula>0</formula>
    </cfRule>
    <cfRule type="cellIs" dxfId="2649" priority="927" operator="greaterThan">
      <formula>0</formula>
    </cfRule>
  </conditionalFormatting>
  <conditionalFormatting sqref="F48">
    <cfRule type="cellIs" dxfId="2648" priority="922" operator="equal">
      <formula>0</formula>
    </cfRule>
    <cfRule type="cellIs" dxfId="2647" priority="923" operator="lessThan">
      <formula>0</formula>
    </cfRule>
    <cfRule type="cellIs" dxfId="2646" priority="924" operator="greaterThan">
      <formula>0</formula>
    </cfRule>
  </conditionalFormatting>
  <conditionalFormatting sqref="F49">
    <cfRule type="cellIs" dxfId="2645" priority="919" operator="equal">
      <formula>0</formula>
    </cfRule>
    <cfRule type="cellIs" dxfId="2644" priority="920" operator="lessThan">
      <formula>0</formula>
    </cfRule>
    <cfRule type="cellIs" dxfId="2643" priority="921" operator="greaterThan">
      <formula>0</formula>
    </cfRule>
  </conditionalFormatting>
  <conditionalFormatting sqref="J44">
    <cfRule type="cellIs" dxfId="2642" priority="916" operator="equal">
      <formula>0</formula>
    </cfRule>
    <cfRule type="cellIs" dxfId="2641" priority="917" operator="lessThan">
      <formula>0</formula>
    </cfRule>
    <cfRule type="cellIs" dxfId="2640" priority="918" operator="greaterThan">
      <formula>0</formula>
    </cfRule>
  </conditionalFormatting>
  <conditionalFormatting sqref="N44">
    <cfRule type="cellIs" dxfId="2639" priority="913" operator="equal">
      <formula>0</formula>
    </cfRule>
    <cfRule type="cellIs" dxfId="2638" priority="914" operator="lessThan">
      <formula>0</formula>
    </cfRule>
    <cfRule type="cellIs" dxfId="2637" priority="915" operator="greaterThan">
      <formula>0</formula>
    </cfRule>
  </conditionalFormatting>
  <conditionalFormatting sqref="O44">
    <cfRule type="cellIs" dxfId="2636" priority="910" operator="equal">
      <formula>0</formula>
    </cfRule>
    <cfRule type="cellIs" dxfId="2635" priority="911" operator="lessThan">
      <formula>0</formula>
    </cfRule>
    <cfRule type="cellIs" dxfId="2634" priority="912" operator="greaterThan">
      <formula>0</formula>
    </cfRule>
  </conditionalFormatting>
  <conditionalFormatting sqref="J45">
    <cfRule type="cellIs" dxfId="2633" priority="907" operator="equal">
      <formula>0</formula>
    </cfRule>
    <cfRule type="cellIs" dxfId="2632" priority="908" operator="lessThan">
      <formula>0</formula>
    </cfRule>
    <cfRule type="cellIs" dxfId="2631" priority="909" operator="greaterThan">
      <formula>0</formula>
    </cfRule>
  </conditionalFormatting>
  <conditionalFormatting sqref="N45">
    <cfRule type="cellIs" dxfId="2630" priority="904" operator="equal">
      <formula>0</formula>
    </cfRule>
    <cfRule type="cellIs" dxfId="2629" priority="905" operator="lessThan">
      <formula>0</formula>
    </cfRule>
    <cfRule type="cellIs" dxfId="2628" priority="906" operator="greaterThan">
      <formula>0</formula>
    </cfRule>
  </conditionalFormatting>
  <conditionalFormatting sqref="O45">
    <cfRule type="cellIs" dxfId="2627" priority="901" operator="equal">
      <formula>0</formula>
    </cfRule>
    <cfRule type="cellIs" dxfId="2626" priority="902" operator="lessThan">
      <formula>0</formula>
    </cfRule>
    <cfRule type="cellIs" dxfId="2625" priority="903" operator="greaterThan">
      <formula>0</formula>
    </cfRule>
  </conditionalFormatting>
  <conditionalFormatting sqref="J46">
    <cfRule type="cellIs" dxfId="2624" priority="898" operator="equal">
      <formula>0</formula>
    </cfRule>
    <cfRule type="cellIs" dxfId="2623" priority="899" operator="lessThan">
      <formula>0</formula>
    </cfRule>
    <cfRule type="cellIs" dxfId="2622" priority="900" operator="greaterThan">
      <formula>0</formula>
    </cfRule>
  </conditionalFormatting>
  <conditionalFormatting sqref="N46">
    <cfRule type="cellIs" dxfId="2621" priority="895" operator="equal">
      <formula>0</formula>
    </cfRule>
    <cfRule type="cellIs" dxfId="2620" priority="896" operator="lessThan">
      <formula>0</formula>
    </cfRule>
    <cfRule type="cellIs" dxfId="2619" priority="897" operator="greaterThan">
      <formula>0</formula>
    </cfRule>
  </conditionalFormatting>
  <conditionalFormatting sqref="O46">
    <cfRule type="cellIs" dxfId="2618" priority="892" operator="equal">
      <formula>0</formula>
    </cfRule>
    <cfRule type="cellIs" dxfId="2617" priority="893" operator="lessThan">
      <formula>0</formula>
    </cfRule>
    <cfRule type="cellIs" dxfId="2616" priority="894" operator="greaterThan">
      <formula>0</formula>
    </cfRule>
  </conditionalFormatting>
  <conditionalFormatting sqref="J47">
    <cfRule type="cellIs" dxfId="2615" priority="889" operator="equal">
      <formula>0</formula>
    </cfRule>
    <cfRule type="cellIs" dxfId="2614" priority="890" operator="lessThan">
      <formula>0</formula>
    </cfRule>
    <cfRule type="cellIs" dxfId="2613" priority="891" operator="greaterThan">
      <formula>0</formula>
    </cfRule>
  </conditionalFormatting>
  <conditionalFormatting sqref="N47">
    <cfRule type="cellIs" dxfId="2612" priority="886" operator="equal">
      <formula>0</formula>
    </cfRule>
    <cfRule type="cellIs" dxfId="2611" priority="887" operator="lessThan">
      <formula>0</formula>
    </cfRule>
    <cfRule type="cellIs" dxfId="2610" priority="888" operator="greaterThan">
      <formula>0</formula>
    </cfRule>
  </conditionalFormatting>
  <conditionalFormatting sqref="O47">
    <cfRule type="cellIs" dxfId="2609" priority="883" operator="equal">
      <formula>0</formula>
    </cfRule>
    <cfRule type="cellIs" dxfId="2608" priority="884" operator="lessThan">
      <formula>0</formula>
    </cfRule>
    <cfRule type="cellIs" dxfId="2607" priority="885" operator="greaterThan">
      <formula>0</formula>
    </cfRule>
  </conditionalFormatting>
  <conditionalFormatting sqref="J48">
    <cfRule type="cellIs" dxfId="2606" priority="880" operator="equal">
      <formula>0</formula>
    </cfRule>
    <cfRule type="cellIs" dxfId="2605" priority="881" operator="lessThan">
      <formula>0</formula>
    </cfRule>
    <cfRule type="cellIs" dxfId="2604" priority="882" operator="greaterThan">
      <formula>0</formula>
    </cfRule>
  </conditionalFormatting>
  <conditionalFormatting sqref="N48">
    <cfRule type="cellIs" dxfId="2603" priority="877" operator="equal">
      <formula>0</formula>
    </cfRule>
    <cfRule type="cellIs" dxfId="2602" priority="878" operator="lessThan">
      <formula>0</formula>
    </cfRule>
    <cfRule type="cellIs" dxfId="2601" priority="879" operator="greaterThan">
      <formula>0</formula>
    </cfRule>
  </conditionalFormatting>
  <conditionalFormatting sqref="O48">
    <cfRule type="cellIs" dxfId="2600" priority="874" operator="equal">
      <formula>0</formula>
    </cfRule>
    <cfRule type="cellIs" dxfId="2599" priority="875" operator="lessThan">
      <formula>0</formula>
    </cfRule>
    <cfRule type="cellIs" dxfId="2598" priority="876" operator="greaterThan">
      <formula>0</formula>
    </cfRule>
  </conditionalFormatting>
  <conditionalFormatting sqref="J49">
    <cfRule type="cellIs" dxfId="2597" priority="871" operator="equal">
      <formula>0</formula>
    </cfRule>
    <cfRule type="cellIs" dxfId="2596" priority="872" operator="lessThan">
      <formula>0</formula>
    </cfRule>
    <cfRule type="cellIs" dxfId="2595" priority="873" operator="greaterThan">
      <formula>0</formula>
    </cfRule>
  </conditionalFormatting>
  <conditionalFormatting sqref="N49">
    <cfRule type="cellIs" dxfId="2594" priority="868" operator="equal">
      <formula>0</formula>
    </cfRule>
    <cfRule type="cellIs" dxfId="2593" priority="869" operator="lessThan">
      <formula>0</formula>
    </cfRule>
    <cfRule type="cellIs" dxfId="2592" priority="870" operator="greaterThan">
      <formula>0</formula>
    </cfRule>
  </conditionalFormatting>
  <conditionalFormatting sqref="O49">
    <cfRule type="cellIs" dxfId="2591" priority="865" operator="equal">
      <formula>0</formula>
    </cfRule>
    <cfRule type="cellIs" dxfId="2590" priority="866" operator="lessThan">
      <formula>0</formula>
    </cfRule>
    <cfRule type="cellIs" dxfId="2589" priority="867" operator="greaterThan">
      <formula>0</formula>
    </cfRule>
  </conditionalFormatting>
  <conditionalFormatting sqref="F55">
    <cfRule type="cellIs" dxfId="2588" priority="862" operator="equal">
      <formula>0</formula>
    </cfRule>
    <cfRule type="cellIs" dxfId="2587" priority="863" operator="lessThan">
      <formula>0</formula>
    </cfRule>
    <cfRule type="cellIs" dxfId="2586" priority="864" operator="greaterThan">
      <formula>0</formula>
    </cfRule>
  </conditionalFormatting>
  <conditionalFormatting sqref="O85">
    <cfRule type="cellIs" dxfId="2585" priority="679" operator="equal">
      <formula>0</formula>
    </cfRule>
    <cfRule type="cellIs" dxfId="2584" priority="680" operator="lessThan">
      <formula>0</formula>
    </cfRule>
    <cfRule type="cellIs" dxfId="2583" priority="681" operator="greaterThan">
      <formula>0</formula>
    </cfRule>
  </conditionalFormatting>
  <conditionalFormatting sqref="J55">
    <cfRule type="cellIs" dxfId="2582" priority="853" operator="equal">
      <formula>0</formula>
    </cfRule>
    <cfRule type="cellIs" dxfId="2581" priority="854" operator="lessThan">
      <formula>0</formula>
    </cfRule>
    <cfRule type="cellIs" dxfId="2580" priority="855" operator="greaterThan">
      <formula>0</formula>
    </cfRule>
  </conditionalFormatting>
  <conditionalFormatting sqref="N55">
    <cfRule type="cellIs" dxfId="2579" priority="850" operator="equal">
      <formula>0</formula>
    </cfRule>
    <cfRule type="cellIs" dxfId="2578" priority="851" operator="lessThan">
      <formula>0</formula>
    </cfRule>
    <cfRule type="cellIs" dxfId="2577" priority="852" operator="greaterThan">
      <formula>0</formula>
    </cfRule>
  </conditionalFormatting>
  <conditionalFormatting sqref="O55">
    <cfRule type="cellIs" dxfId="2576" priority="847" operator="equal">
      <formula>0</formula>
    </cfRule>
    <cfRule type="cellIs" dxfId="2575" priority="848" operator="lessThan">
      <formula>0</formula>
    </cfRule>
    <cfRule type="cellIs" dxfId="2574" priority="849" operator="greaterThan">
      <formula>0</formula>
    </cfRule>
  </conditionalFormatting>
  <conditionalFormatting sqref="F78">
    <cfRule type="cellIs" dxfId="2573" priority="826" operator="equal">
      <formula>0</formula>
    </cfRule>
    <cfRule type="cellIs" dxfId="2572" priority="827" operator="lessThan">
      <formula>0</formula>
    </cfRule>
    <cfRule type="cellIs" dxfId="2571" priority="828" operator="greaterThan">
      <formula>0</formula>
    </cfRule>
  </conditionalFormatting>
  <conditionalFormatting sqref="J78">
    <cfRule type="cellIs" dxfId="2570" priority="823" operator="equal">
      <formula>0</formula>
    </cfRule>
    <cfRule type="cellIs" dxfId="2569" priority="824" operator="lessThan">
      <formula>0</formula>
    </cfRule>
    <cfRule type="cellIs" dxfId="2568" priority="825" operator="greaterThan">
      <formula>0</formula>
    </cfRule>
  </conditionalFormatting>
  <conditionalFormatting sqref="N78">
    <cfRule type="cellIs" dxfId="2567" priority="820" operator="equal">
      <formula>0</formula>
    </cfRule>
    <cfRule type="cellIs" dxfId="2566" priority="821" operator="lessThan">
      <formula>0</formula>
    </cfRule>
    <cfRule type="cellIs" dxfId="2565" priority="822" operator="greaterThan">
      <formula>0</formula>
    </cfRule>
  </conditionalFormatting>
  <conditionalFormatting sqref="O78">
    <cfRule type="cellIs" dxfId="2564" priority="817" operator="equal">
      <formula>0</formula>
    </cfRule>
    <cfRule type="cellIs" dxfId="2563" priority="818" operator="lessThan">
      <formula>0</formula>
    </cfRule>
    <cfRule type="cellIs" dxfId="2562" priority="819" operator="greaterThan">
      <formula>0</formula>
    </cfRule>
  </conditionalFormatting>
  <conditionalFormatting sqref="F79">
    <cfRule type="cellIs" dxfId="2561" priority="814" operator="equal">
      <formula>0</formula>
    </cfRule>
    <cfRule type="cellIs" dxfId="2560" priority="815" operator="lessThan">
      <formula>0</formula>
    </cfRule>
    <cfRule type="cellIs" dxfId="2559" priority="816" operator="greaterThan">
      <formula>0</formula>
    </cfRule>
  </conditionalFormatting>
  <conditionalFormatting sqref="F80">
    <cfRule type="cellIs" dxfId="2558" priority="811" operator="equal">
      <formula>0</formula>
    </cfRule>
    <cfRule type="cellIs" dxfId="2557" priority="812" operator="lessThan">
      <formula>0</formula>
    </cfRule>
    <cfRule type="cellIs" dxfId="2556" priority="813" operator="greaterThan">
      <formula>0</formula>
    </cfRule>
  </conditionalFormatting>
  <conditionalFormatting sqref="F81">
    <cfRule type="cellIs" dxfId="2555" priority="808" operator="equal">
      <formula>0</formula>
    </cfRule>
    <cfRule type="cellIs" dxfId="2554" priority="809" operator="lessThan">
      <formula>0</formula>
    </cfRule>
    <cfRule type="cellIs" dxfId="2553" priority="810" operator="greaterThan">
      <formula>0</formula>
    </cfRule>
  </conditionalFormatting>
  <conditionalFormatting sqref="F82">
    <cfRule type="cellIs" dxfId="2552" priority="805" operator="equal">
      <formula>0</formula>
    </cfRule>
    <cfRule type="cellIs" dxfId="2551" priority="806" operator="lessThan">
      <formula>0</formula>
    </cfRule>
    <cfRule type="cellIs" dxfId="2550" priority="807" operator="greaterThan">
      <formula>0</formula>
    </cfRule>
  </conditionalFormatting>
  <conditionalFormatting sqref="F83">
    <cfRule type="cellIs" dxfId="2549" priority="802" operator="equal">
      <formula>0</formula>
    </cfRule>
    <cfRule type="cellIs" dxfId="2548" priority="803" operator="lessThan">
      <formula>0</formula>
    </cfRule>
    <cfRule type="cellIs" dxfId="2547" priority="804" operator="greaterThan">
      <formula>0</formula>
    </cfRule>
  </conditionalFormatting>
  <conditionalFormatting sqref="F84">
    <cfRule type="cellIs" dxfId="2546" priority="799" operator="equal">
      <formula>0</formula>
    </cfRule>
    <cfRule type="cellIs" dxfId="2545" priority="800" operator="lessThan">
      <formula>0</formula>
    </cfRule>
    <cfRule type="cellIs" dxfId="2544" priority="801" operator="greaterThan">
      <formula>0</formula>
    </cfRule>
  </conditionalFormatting>
  <conditionalFormatting sqref="F85">
    <cfRule type="cellIs" dxfId="2543" priority="796" operator="equal">
      <formula>0</formula>
    </cfRule>
    <cfRule type="cellIs" dxfId="2542" priority="797" operator="lessThan">
      <formula>0</formula>
    </cfRule>
    <cfRule type="cellIs" dxfId="2541" priority="798" operator="greaterThan">
      <formula>0</formula>
    </cfRule>
  </conditionalFormatting>
  <conditionalFormatting sqref="F87">
    <cfRule type="cellIs" dxfId="2540" priority="793" operator="equal">
      <formula>0</formula>
    </cfRule>
    <cfRule type="cellIs" dxfId="2539" priority="794" operator="lessThan">
      <formula>0</formula>
    </cfRule>
    <cfRule type="cellIs" dxfId="2538" priority="795" operator="greaterThan">
      <formula>0</formula>
    </cfRule>
  </conditionalFormatting>
  <conditionalFormatting sqref="F88">
    <cfRule type="cellIs" dxfId="2537" priority="790" operator="equal">
      <formula>0</formula>
    </cfRule>
    <cfRule type="cellIs" dxfId="2536" priority="791" operator="lessThan">
      <formula>0</formula>
    </cfRule>
    <cfRule type="cellIs" dxfId="2535" priority="792" operator="greaterThan">
      <formula>0</formula>
    </cfRule>
  </conditionalFormatting>
  <conditionalFormatting sqref="F89">
    <cfRule type="cellIs" dxfId="2534" priority="787" operator="equal">
      <formula>0</formula>
    </cfRule>
    <cfRule type="cellIs" dxfId="2533" priority="788" operator="lessThan">
      <formula>0</formula>
    </cfRule>
    <cfRule type="cellIs" dxfId="2532" priority="789" operator="greaterThan">
      <formula>0</formula>
    </cfRule>
  </conditionalFormatting>
  <conditionalFormatting sqref="F90">
    <cfRule type="cellIs" dxfId="2531" priority="784" operator="equal">
      <formula>0</formula>
    </cfRule>
    <cfRule type="cellIs" dxfId="2530" priority="785" operator="lessThan">
      <formula>0</formula>
    </cfRule>
    <cfRule type="cellIs" dxfId="2529" priority="786" operator="greaterThan">
      <formula>0</formula>
    </cfRule>
  </conditionalFormatting>
  <conditionalFormatting sqref="F91">
    <cfRule type="cellIs" dxfId="2528" priority="781" operator="equal">
      <formula>0</formula>
    </cfRule>
    <cfRule type="cellIs" dxfId="2527" priority="782" operator="lessThan">
      <formula>0</formula>
    </cfRule>
    <cfRule type="cellIs" dxfId="2526" priority="783" operator="greaterThan">
      <formula>0</formula>
    </cfRule>
  </conditionalFormatting>
  <conditionalFormatting sqref="F93">
    <cfRule type="cellIs" dxfId="2525" priority="778" operator="equal">
      <formula>0</formula>
    </cfRule>
    <cfRule type="cellIs" dxfId="2524" priority="779" operator="lessThan">
      <formula>0</formula>
    </cfRule>
    <cfRule type="cellIs" dxfId="2523" priority="780" operator="greaterThan">
      <formula>0</formula>
    </cfRule>
  </conditionalFormatting>
  <conditionalFormatting sqref="F94">
    <cfRule type="cellIs" dxfId="2522" priority="775" operator="equal">
      <formula>0</formula>
    </cfRule>
    <cfRule type="cellIs" dxfId="2521" priority="776" operator="lessThan">
      <formula>0</formula>
    </cfRule>
    <cfRule type="cellIs" dxfId="2520" priority="777" operator="greaterThan">
      <formula>0</formula>
    </cfRule>
  </conditionalFormatting>
  <conditionalFormatting sqref="F95">
    <cfRule type="cellIs" dxfId="2519" priority="772" operator="equal">
      <formula>0</formula>
    </cfRule>
    <cfRule type="cellIs" dxfId="2518" priority="773" operator="lessThan">
      <formula>0</formula>
    </cfRule>
    <cfRule type="cellIs" dxfId="2517" priority="774" operator="greaterThan">
      <formula>0</formula>
    </cfRule>
  </conditionalFormatting>
  <conditionalFormatting sqref="F100">
    <cfRule type="cellIs" dxfId="2516" priority="769" operator="equal">
      <formula>0</formula>
    </cfRule>
    <cfRule type="cellIs" dxfId="2515" priority="770" operator="lessThan">
      <formula>0</formula>
    </cfRule>
    <cfRule type="cellIs" dxfId="2514" priority="771" operator="greaterThan">
      <formula>0</formula>
    </cfRule>
  </conditionalFormatting>
  <conditionalFormatting sqref="J79">
    <cfRule type="cellIs" dxfId="2513" priority="766" operator="equal">
      <formula>0</formula>
    </cfRule>
    <cfRule type="cellIs" dxfId="2512" priority="767" operator="lessThan">
      <formula>0</formula>
    </cfRule>
    <cfRule type="cellIs" dxfId="2511" priority="768" operator="greaterThan">
      <formula>0</formula>
    </cfRule>
  </conditionalFormatting>
  <conditionalFormatting sqref="N79">
    <cfRule type="cellIs" dxfId="2510" priority="763" operator="equal">
      <formula>0</formula>
    </cfRule>
    <cfRule type="cellIs" dxfId="2509" priority="764" operator="lessThan">
      <formula>0</formula>
    </cfRule>
    <cfRule type="cellIs" dxfId="2508" priority="765" operator="greaterThan">
      <formula>0</formula>
    </cfRule>
  </conditionalFormatting>
  <conditionalFormatting sqref="O79">
    <cfRule type="cellIs" dxfId="2507" priority="760" operator="equal">
      <formula>0</formula>
    </cfRule>
    <cfRule type="cellIs" dxfId="2506" priority="761" operator="lessThan">
      <formula>0</formula>
    </cfRule>
    <cfRule type="cellIs" dxfId="2505" priority="762" operator="greaterThan">
      <formula>0</formula>
    </cfRule>
  </conditionalFormatting>
  <conditionalFormatting sqref="J80">
    <cfRule type="cellIs" dxfId="2504" priority="757" operator="equal">
      <formula>0</formula>
    </cfRule>
    <cfRule type="cellIs" dxfId="2503" priority="758" operator="lessThan">
      <formula>0</formula>
    </cfRule>
    <cfRule type="cellIs" dxfId="2502" priority="759" operator="greaterThan">
      <formula>0</formula>
    </cfRule>
  </conditionalFormatting>
  <conditionalFormatting sqref="N80">
    <cfRule type="cellIs" dxfId="2501" priority="754" operator="equal">
      <formula>0</formula>
    </cfRule>
    <cfRule type="cellIs" dxfId="2500" priority="755" operator="lessThan">
      <formula>0</formula>
    </cfRule>
    <cfRule type="cellIs" dxfId="2499" priority="756" operator="greaterThan">
      <formula>0</formula>
    </cfRule>
  </conditionalFormatting>
  <conditionalFormatting sqref="O80">
    <cfRule type="cellIs" dxfId="2498" priority="751" operator="equal">
      <formula>0</formula>
    </cfRule>
    <cfRule type="cellIs" dxfId="2497" priority="752" operator="lessThan">
      <formula>0</formula>
    </cfRule>
    <cfRule type="cellIs" dxfId="2496" priority="753" operator="greaterThan">
      <formula>0</formula>
    </cfRule>
  </conditionalFormatting>
  <conditionalFormatting sqref="J82">
    <cfRule type="cellIs" dxfId="2495" priority="748" operator="equal">
      <formula>0</formula>
    </cfRule>
    <cfRule type="cellIs" dxfId="2494" priority="749" operator="lessThan">
      <formula>0</formula>
    </cfRule>
    <cfRule type="cellIs" dxfId="2493" priority="750" operator="greaterThan">
      <formula>0</formula>
    </cfRule>
  </conditionalFormatting>
  <conditionalFormatting sqref="N82">
    <cfRule type="cellIs" dxfId="2492" priority="745" operator="equal">
      <formula>0</formula>
    </cfRule>
    <cfRule type="cellIs" dxfId="2491" priority="746" operator="lessThan">
      <formula>0</formula>
    </cfRule>
    <cfRule type="cellIs" dxfId="2490" priority="747" operator="greaterThan">
      <formula>0</formula>
    </cfRule>
  </conditionalFormatting>
  <conditionalFormatting sqref="O82">
    <cfRule type="cellIs" dxfId="2489" priority="742" operator="equal">
      <formula>0</formula>
    </cfRule>
    <cfRule type="cellIs" dxfId="2488" priority="743" operator="lessThan">
      <formula>0</formula>
    </cfRule>
    <cfRule type="cellIs" dxfId="2487" priority="744" operator="greaterThan">
      <formula>0</formula>
    </cfRule>
  </conditionalFormatting>
  <conditionalFormatting sqref="J83">
    <cfRule type="cellIs" dxfId="2486" priority="739" operator="equal">
      <formula>0</formula>
    </cfRule>
    <cfRule type="cellIs" dxfId="2485" priority="740" operator="lessThan">
      <formula>0</formula>
    </cfRule>
    <cfRule type="cellIs" dxfId="2484" priority="741" operator="greaterThan">
      <formula>0</formula>
    </cfRule>
  </conditionalFormatting>
  <conditionalFormatting sqref="N83">
    <cfRule type="cellIs" dxfId="2483" priority="736" operator="equal">
      <formula>0</formula>
    </cfRule>
    <cfRule type="cellIs" dxfId="2482" priority="737" operator="lessThan">
      <formula>0</formula>
    </cfRule>
    <cfRule type="cellIs" dxfId="2481" priority="738" operator="greaterThan">
      <formula>0</formula>
    </cfRule>
  </conditionalFormatting>
  <conditionalFormatting sqref="O83">
    <cfRule type="cellIs" dxfId="2480" priority="733" operator="equal">
      <formula>0</formula>
    </cfRule>
    <cfRule type="cellIs" dxfId="2479" priority="734" operator="lessThan">
      <formula>0</formula>
    </cfRule>
    <cfRule type="cellIs" dxfId="2478" priority="735" operator="greaterThan">
      <formula>0</formula>
    </cfRule>
  </conditionalFormatting>
  <conditionalFormatting sqref="F64">
    <cfRule type="cellIs" dxfId="2477" priority="730" operator="equal">
      <formula>0</formula>
    </cfRule>
    <cfRule type="cellIs" dxfId="2476" priority="731" operator="lessThan">
      <formula>0</formula>
    </cfRule>
    <cfRule type="cellIs" dxfId="2475" priority="732" operator="greaterThan">
      <formula>0</formula>
    </cfRule>
  </conditionalFormatting>
  <conditionalFormatting sqref="F97">
    <cfRule type="cellIs" dxfId="2474" priority="640" operator="equal">
      <formula>0</formula>
    </cfRule>
    <cfRule type="cellIs" dxfId="2473" priority="641" operator="lessThan">
      <formula>0</formula>
    </cfRule>
    <cfRule type="cellIs" dxfId="2472" priority="642" operator="greaterThan">
      <formula>0</formula>
    </cfRule>
  </conditionalFormatting>
  <conditionalFormatting sqref="J64">
    <cfRule type="cellIs" dxfId="2471" priority="724" operator="equal">
      <formula>0</formula>
    </cfRule>
    <cfRule type="cellIs" dxfId="2470" priority="725" operator="lessThan">
      <formula>0</formula>
    </cfRule>
    <cfRule type="cellIs" dxfId="2469" priority="726" operator="greaterThan">
      <formula>0</formula>
    </cfRule>
  </conditionalFormatting>
  <conditionalFormatting sqref="N64">
    <cfRule type="cellIs" dxfId="2468" priority="721" operator="equal">
      <formula>0</formula>
    </cfRule>
    <cfRule type="cellIs" dxfId="2467" priority="722" operator="lessThan">
      <formula>0</formula>
    </cfRule>
    <cfRule type="cellIs" dxfId="2466" priority="723" operator="greaterThan">
      <formula>0</formula>
    </cfRule>
  </conditionalFormatting>
  <conditionalFormatting sqref="O64">
    <cfRule type="cellIs" dxfId="2465" priority="718" operator="equal">
      <formula>0</formula>
    </cfRule>
    <cfRule type="cellIs" dxfId="2464" priority="719" operator="lessThan">
      <formula>0</formula>
    </cfRule>
    <cfRule type="cellIs" dxfId="2463" priority="720" operator="greaterThan">
      <formula>0</formula>
    </cfRule>
  </conditionalFormatting>
  <conditionalFormatting sqref="F66">
    <cfRule type="cellIs" dxfId="2462" priority="715" operator="equal">
      <formula>0</formula>
    </cfRule>
    <cfRule type="cellIs" dxfId="2461" priority="716" operator="lessThan">
      <formula>0</formula>
    </cfRule>
    <cfRule type="cellIs" dxfId="2460" priority="717" operator="greaterThan">
      <formula>0</formula>
    </cfRule>
  </conditionalFormatting>
  <conditionalFormatting sqref="J66">
    <cfRule type="cellIs" dxfId="2459" priority="712" operator="equal">
      <formula>0</formula>
    </cfRule>
    <cfRule type="cellIs" dxfId="2458" priority="713" operator="lessThan">
      <formula>0</formula>
    </cfRule>
    <cfRule type="cellIs" dxfId="2457" priority="714" operator="greaterThan">
      <formula>0</formula>
    </cfRule>
  </conditionalFormatting>
  <conditionalFormatting sqref="N66">
    <cfRule type="cellIs" dxfId="2456" priority="709" operator="equal">
      <formula>0</formula>
    </cfRule>
    <cfRule type="cellIs" dxfId="2455" priority="710" operator="lessThan">
      <formula>0</formula>
    </cfRule>
    <cfRule type="cellIs" dxfId="2454" priority="711" operator="greaterThan">
      <formula>0</formula>
    </cfRule>
  </conditionalFormatting>
  <conditionalFormatting sqref="O66">
    <cfRule type="cellIs" dxfId="2453" priority="706" operator="equal">
      <formula>0</formula>
    </cfRule>
    <cfRule type="cellIs" dxfId="2452" priority="707" operator="lessThan">
      <formula>0</formula>
    </cfRule>
    <cfRule type="cellIs" dxfId="2451" priority="708" operator="greaterThan">
      <formula>0</formula>
    </cfRule>
  </conditionalFormatting>
  <conditionalFormatting sqref="J81">
    <cfRule type="cellIs" dxfId="2450" priority="703" operator="equal">
      <formula>0</formula>
    </cfRule>
    <cfRule type="cellIs" dxfId="2449" priority="704" operator="lessThan">
      <formula>0</formula>
    </cfRule>
    <cfRule type="cellIs" dxfId="2448" priority="705" operator="greaterThan">
      <formula>0</formula>
    </cfRule>
  </conditionalFormatting>
  <conditionalFormatting sqref="N81">
    <cfRule type="cellIs" dxfId="2447" priority="700" operator="equal">
      <formula>0</formula>
    </cfRule>
    <cfRule type="cellIs" dxfId="2446" priority="701" operator="lessThan">
      <formula>0</formula>
    </cfRule>
    <cfRule type="cellIs" dxfId="2445" priority="702" operator="greaterThan">
      <formula>0</formula>
    </cfRule>
  </conditionalFormatting>
  <conditionalFormatting sqref="O81">
    <cfRule type="cellIs" dxfId="2444" priority="697" operator="equal">
      <formula>0</formula>
    </cfRule>
    <cfRule type="cellIs" dxfId="2443" priority="698" operator="lessThan">
      <formula>0</formula>
    </cfRule>
    <cfRule type="cellIs" dxfId="2442" priority="699" operator="greaterThan">
      <formula>0</formula>
    </cfRule>
  </conditionalFormatting>
  <conditionalFormatting sqref="J84">
    <cfRule type="cellIs" dxfId="2441" priority="694" operator="equal">
      <formula>0</formula>
    </cfRule>
    <cfRule type="cellIs" dxfId="2440" priority="695" operator="lessThan">
      <formula>0</formula>
    </cfRule>
    <cfRule type="cellIs" dxfId="2439" priority="696" operator="greaterThan">
      <formula>0</formula>
    </cfRule>
  </conditionalFormatting>
  <conditionalFormatting sqref="N84">
    <cfRule type="cellIs" dxfId="2438" priority="691" operator="equal">
      <formula>0</formula>
    </cfRule>
    <cfRule type="cellIs" dxfId="2437" priority="692" operator="lessThan">
      <formula>0</formula>
    </cfRule>
    <cfRule type="cellIs" dxfId="2436" priority="693" operator="greaterThan">
      <formula>0</formula>
    </cfRule>
  </conditionalFormatting>
  <conditionalFormatting sqref="O84">
    <cfRule type="cellIs" dxfId="2435" priority="688" operator="equal">
      <formula>0</formula>
    </cfRule>
    <cfRule type="cellIs" dxfId="2434" priority="689" operator="lessThan">
      <formula>0</formula>
    </cfRule>
    <cfRule type="cellIs" dxfId="2433" priority="690" operator="greaterThan">
      <formula>0</formula>
    </cfRule>
  </conditionalFormatting>
  <conditionalFormatting sqref="J85">
    <cfRule type="cellIs" dxfId="2432" priority="685" operator="equal">
      <formula>0</formula>
    </cfRule>
    <cfRule type="cellIs" dxfId="2431" priority="686" operator="lessThan">
      <formula>0</formula>
    </cfRule>
    <cfRule type="cellIs" dxfId="2430" priority="687" operator="greaterThan">
      <formula>0</formula>
    </cfRule>
  </conditionalFormatting>
  <conditionalFormatting sqref="N85">
    <cfRule type="cellIs" dxfId="2429" priority="682" operator="equal">
      <formula>0</formula>
    </cfRule>
    <cfRule type="cellIs" dxfId="2428" priority="683" operator="lessThan">
      <formula>0</formula>
    </cfRule>
    <cfRule type="cellIs" dxfId="2427" priority="684" operator="greaterThan">
      <formula>0</formula>
    </cfRule>
  </conditionalFormatting>
  <conditionalFormatting sqref="O93">
    <cfRule type="cellIs" dxfId="2426" priority="670" operator="equal">
      <formula>0</formula>
    </cfRule>
    <cfRule type="cellIs" dxfId="2425" priority="671" operator="lessThan">
      <formula>0</formula>
    </cfRule>
    <cfRule type="cellIs" dxfId="2424" priority="672" operator="greaterThan">
      <formula>0</formula>
    </cfRule>
  </conditionalFormatting>
  <conditionalFormatting sqref="J93">
    <cfRule type="cellIs" dxfId="2423" priority="676" operator="equal">
      <formula>0</formula>
    </cfRule>
    <cfRule type="cellIs" dxfId="2422" priority="677" operator="lessThan">
      <formula>0</formula>
    </cfRule>
    <cfRule type="cellIs" dxfId="2421" priority="678" operator="greaterThan">
      <formula>0</formula>
    </cfRule>
  </conditionalFormatting>
  <conditionalFormatting sqref="N93">
    <cfRule type="cellIs" dxfId="2420" priority="673" operator="equal">
      <formula>0</formula>
    </cfRule>
    <cfRule type="cellIs" dxfId="2419" priority="674" operator="lessThan">
      <formula>0</formula>
    </cfRule>
    <cfRule type="cellIs" dxfId="2418" priority="675" operator="greaterThan">
      <formula>0</formula>
    </cfRule>
  </conditionalFormatting>
  <conditionalFormatting sqref="O94">
    <cfRule type="cellIs" dxfId="2417" priority="661" operator="equal">
      <formula>0</formula>
    </cfRule>
    <cfRule type="cellIs" dxfId="2416" priority="662" operator="lessThan">
      <formula>0</formula>
    </cfRule>
    <cfRule type="cellIs" dxfId="2415" priority="663" operator="greaterThan">
      <formula>0</formula>
    </cfRule>
  </conditionalFormatting>
  <conditionalFormatting sqref="J94">
    <cfRule type="cellIs" dxfId="2414" priority="667" operator="equal">
      <formula>0</formula>
    </cfRule>
    <cfRule type="cellIs" dxfId="2413" priority="668" operator="lessThan">
      <formula>0</formula>
    </cfRule>
    <cfRule type="cellIs" dxfId="2412" priority="669" operator="greaterThan">
      <formula>0</formula>
    </cfRule>
  </conditionalFormatting>
  <conditionalFormatting sqref="N94">
    <cfRule type="cellIs" dxfId="2411" priority="664" operator="equal">
      <formula>0</formula>
    </cfRule>
    <cfRule type="cellIs" dxfId="2410" priority="665" operator="lessThan">
      <formula>0</formula>
    </cfRule>
    <cfRule type="cellIs" dxfId="2409" priority="666" operator="greaterThan">
      <formula>0</formula>
    </cfRule>
  </conditionalFormatting>
  <conditionalFormatting sqref="O95">
    <cfRule type="cellIs" dxfId="2408" priority="652" operator="equal">
      <formula>0</formula>
    </cfRule>
    <cfRule type="cellIs" dxfId="2407" priority="653" operator="lessThan">
      <formula>0</formula>
    </cfRule>
    <cfRule type="cellIs" dxfId="2406" priority="654" operator="greaterThan">
      <formula>0</formula>
    </cfRule>
  </conditionalFormatting>
  <conditionalFormatting sqref="J95">
    <cfRule type="cellIs" dxfId="2405" priority="658" operator="equal">
      <formula>0</formula>
    </cfRule>
    <cfRule type="cellIs" dxfId="2404" priority="659" operator="lessThan">
      <formula>0</formula>
    </cfRule>
    <cfRule type="cellIs" dxfId="2403" priority="660" operator="greaterThan">
      <formula>0</formula>
    </cfRule>
  </conditionalFormatting>
  <conditionalFormatting sqref="N95">
    <cfRule type="cellIs" dxfId="2402" priority="655" operator="equal">
      <formula>0</formula>
    </cfRule>
    <cfRule type="cellIs" dxfId="2401" priority="656" operator="lessThan">
      <formula>0</formula>
    </cfRule>
    <cfRule type="cellIs" dxfId="2400" priority="657" operator="greaterThan">
      <formula>0</formula>
    </cfRule>
  </conditionalFormatting>
  <conditionalFormatting sqref="O100">
    <cfRule type="cellIs" dxfId="2399" priority="643" operator="equal">
      <formula>0</formula>
    </cfRule>
    <cfRule type="cellIs" dxfId="2398" priority="644" operator="lessThan">
      <formula>0</formula>
    </cfRule>
    <cfRule type="cellIs" dxfId="2397" priority="645" operator="greaterThan">
      <formula>0</formula>
    </cfRule>
  </conditionalFormatting>
  <conditionalFormatting sqref="J100">
    <cfRule type="cellIs" dxfId="2396" priority="649" operator="equal">
      <formula>0</formula>
    </cfRule>
    <cfRule type="cellIs" dxfId="2395" priority="650" operator="lessThan">
      <formula>0</formula>
    </cfRule>
    <cfRule type="cellIs" dxfId="2394" priority="651" operator="greaterThan">
      <formula>0</formula>
    </cfRule>
  </conditionalFormatting>
  <conditionalFormatting sqref="N100">
    <cfRule type="cellIs" dxfId="2393" priority="646" operator="equal">
      <formula>0</formula>
    </cfRule>
    <cfRule type="cellIs" dxfId="2392" priority="647" operator="lessThan">
      <formula>0</formula>
    </cfRule>
    <cfRule type="cellIs" dxfId="2391" priority="648" operator="greaterThan">
      <formula>0</formula>
    </cfRule>
  </conditionalFormatting>
  <conditionalFormatting sqref="F33:F34">
    <cfRule type="cellIs" dxfId="2390" priority="637" operator="equal">
      <formula>0</formula>
    </cfRule>
    <cfRule type="cellIs" dxfId="2389" priority="638" operator="lessThan">
      <formula>0</formula>
    </cfRule>
    <cfRule type="cellIs" dxfId="2388" priority="639" operator="greaterThan">
      <formula>0</formula>
    </cfRule>
  </conditionalFormatting>
  <conditionalFormatting sqref="F36">
    <cfRule type="cellIs" dxfId="2387" priority="634" operator="equal">
      <formula>0</formula>
    </cfRule>
    <cfRule type="cellIs" dxfId="2386" priority="635" operator="lessThan">
      <formula>0</formula>
    </cfRule>
    <cfRule type="cellIs" dxfId="2385" priority="636" operator="greaterThan">
      <formula>0</formula>
    </cfRule>
  </conditionalFormatting>
  <conditionalFormatting sqref="J36">
    <cfRule type="cellIs" dxfId="2384" priority="631" operator="equal">
      <formula>0</formula>
    </cfRule>
    <cfRule type="cellIs" dxfId="2383" priority="632" operator="lessThan">
      <formula>0</formula>
    </cfRule>
    <cfRule type="cellIs" dxfId="2382" priority="633" operator="greaterThan">
      <formula>0</formula>
    </cfRule>
  </conditionalFormatting>
  <conditionalFormatting sqref="N36">
    <cfRule type="cellIs" dxfId="2381" priority="628" operator="equal">
      <formula>0</formula>
    </cfRule>
    <cfRule type="cellIs" dxfId="2380" priority="629" operator="lessThan">
      <formula>0</formula>
    </cfRule>
    <cfRule type="cellIs" dxfId="2379" priority="630" operator="greaterThan">
      <formula>0</formula>
    </cfRule>
  </conditionalFormatting>
  <conditionalFormatting sqref="O36">
    <cfRule type="cellIs" dxfId="2378" priority="625" operator="equal">
      <formula>0</formula>
    </cfRule>
    <cfRule type="cellIs" dxfId="2377" priority="626" operator="lessThan">
      <formula>0</formula>
    </cfRule>
    <cfRule type="cellIs" dxfId="2376" priority="627" operator="greaterThan">
      <formula>0</formula>
    </cfRule>
  </conditionalFormatting>
  <conditionalFormatting sqref="J33">
    <cfRule type="cellIs" dxfId="2375" priority="622" operator="equal">
      <formula>0</formula>
    </cfRule>
    <cfRule type="cellIs" dxfId="2374" priority="623" operator="lessThan">
      <formula>0</formula>
    </cfRule>
    <cfRule type="cellIs" dxfId="2373" priority="624" operator="greaterThan">
      <formula>0</formula>
    </cfRule>
  </conditionalFormatting>
  <conditionalFormatting sqref="N33">
    <cfRule type="cellIs" dxfId="2372" priority="619" operator="equal">
      <formula>0</formula>
    </cfRule>
    <cfRule type="cellIs" dxfId="2371" priority="620" operator="lessThan">
      <formula>0</formula>
    </cfRule>
    <cfRule type="cellIs" dxfId="2370" priority="621" operator="greaterThan">
      <formula>0</formula>
    </cfRule>
  </conditionalFormatting>
  <conditionalFormatting sqref="O33">
    <cfRule type="cellIs" dxfId="2369" priority="616" operator="equal">
      <formula>0</formula>
    </cfRule>
    <cfRule type="cellIs" dxfId="2368" priority="617" operator="lessThan">
      <formula>0</formula>
    </cfRule>
    <cfRule type="cellIs" dxfId="2367" priority="618" operator="greaterThan">
      <formula>0</formula>
    </cfRule>
  </conditionalFormatting>
  <conditionalFormatting sqref="J34">
    <cfRule type="cellIs" dxfId="2366" priority="613" operator="equal">
      <formula>0</formula>
    </cfRule>
    <cfRule type="cellIs" dxfId="2365" priority="614" operator="lessThan">
      <formula>0</formula>
    </cfRule>
    <cfRule type="cellIs" dxfId="2364" priority="615" operator="greaterThan">
      <formula>0</formula>
    </cfRule>
  </conditionalFormatting>
  <conditionalFormatting sqref="N34">
    <cfRule type="cellIs" dxfId="2363" priority="610" operator="equal">
      <formula>0</formula>
    </cfRule>
    <cfRule type="cellIs" dxfId="2362" priority="611" operator="lessThan">
      <formula>0</formula>
    </cfRule>
    <cfRule type="cellIs" dxfId="2361" priority="612" operator="greaterThan">
      <formula>0</formula>
    </cfRule>
  </conditionalFormatting>
  <conditionalFormatting sqref="O34">
    <cfRule type="cellIs" dxfId="2360" priority="607" operator="equal">
      <formula>0</formula>
    </cfRule>
    <cfRule type="cellIs" dxfId="2359" priority="608" operator="lessThan">
      <formula>0</formula>
    </cfRule>
    <cfRule type="cellIs" dxfId="2358" priority="609" operator="greaterThan">
      <formula>0</formula>
    </cfRule>
  </conditionalFormatting>
  <conditionalFormatting sqref="F38">
    <cfRule type="cellIs" dxfId="2357" priority="604" operator="equal">
      <formula>0</formula>
    </cfRule>
    <cfRule type="cellIs" dxfId="2356" priority="605" operator="lessThan">
      <formula>0</formula>
    </cfRule>
    <cfRule type="cellIs" dxfId="2355" priority="606" operator="greaterThan">
      <formula>0</formula>
    </cfRule>
  </conditionalFormatting>
  <conditionalFormatting sqref="J38">
    <cfRule type="cellIs" dxfId="2354" priority="601" operator="equal">
      <formula>0</formula>
    </cfRule>
    <cfRule type="cellIs" dxfId="2353" priority="602" operator="lessThan">
      <formula>0</formula>
    </cfRule>
    <cfRule type="cellIs" dxfId="2352" priority="603" operator="greaterThan">
      <formula>0</formula>
    </cfRule>
  </conditionalFormatting>
  <conditionalFormatting sqref="N38">
    <cfRule type="cellIs" dxfId="2351" priority="598" operator="equal">
      <formula>0</formula>
    </cfRule>
    <cfRule type="cellIs" dxfId="2350" priority="599" operator="lessThan">
      <formula>0</formula>
    </cfRule>
    <cfRule type="cellIs" dxfId="2349" priority="600" operator="greaterThan">
      <formula>0</formula>
    </cfRule>
  </conditionalFormatting>
  <conditionalFormatting sqref="O38">
    <cfRule type="cellIs" dxfId="2348" priority="595" operator="equal">
      <formula>0</formula>
    </cfRule>
    <cfRule type="cellIs" dxfId="2347" priority="596" operator="lessThan">
      <formula>0</formula>
    </cfRule>
    <cfRule type="cellIs" dxfId="2346" priority="597" operator="greaterThan">
      <formula>0</formula>
    </cfRule>
  </conditionalFormatting>
  <conditionalFormatting sqref="F39">
    <cfRule type="cellIs" dxfId="2345" priority="592" operator="equal">
      <formula>0</formula>
    </cfRule>
    <cfRule type="cellIs" dxfId="2344" priority="593" operator="lessThan">
      <formula>0</formula>
    </cfRule>
    <cfRule type="cellIs" dxfId="2343" priority="594" operator="greaterThan">
      <formula>0</formula>
    </cfRule>
  </conditionalFormatting>
  <conditionalFormatting sqref="F40">
    <cfRule type="cellIs" dxfId="2342" priority="589" operator="equal">
      <formula>0</formula>
    </cfRule>
    <cfRule type="cellIs" dxfId="2341" priority="590" operator="lessThan">
      <formula>0</formula>
    </cfRule>
    <cfRule type="cellIs" dxfId="2340" priority="591" operator="greaterThan">
      <formula>0</formula>
    </cfRule>
  </conditionalFormatting>
  <conditionalFormatting sqref="F41">
    <cfRule type="cellIs" dxfId="2339" priority="586" operator="equal">
      <formula>0</formula>
    </cfRule>
    <cfRule type="cellIs" dxfId="2338" priority="587" operator="lessThan">
      <formula>0</formula>
    </cfRule>
    <cfRule type="cellIs" dxfId="2337" priority="588" operator="greaterThan">
      <formula>0</formula>
    </cfRule>
  </conditionalFormatting>
  <conditionalFormatting sqref="F42">
    <cfRule type="cellIs" dxfId="2336" priority="583" operator="equal">
      <formula>0</formula>
    </cfRule>
    <cfRule type="cellIs" dxfId="2335" priority="584" operator="lessThan">
      <formula>0</formula>
    </cfRule>
    <cfRule type="cellIs" dxfId="2334" priority="585" operator="greaterThan">
      <formula>0</formula>
    </cfRule>
  </conditionalFormatting>
  <conditionalFormatting sqref="F43">
    <cfRule type="cellIs" dxfId="2333" priority="580" operator="equal">
      <formula>0</formula>
    </cfRule>
    <cfRule type="cellIs" dxfId="2332" priority="581" operator="lessThan">
      <formula>0</formula>
    </cfRule>
    <cfRule type="cellIs" dxfId="2331" priority="582" operator="greaterThan">
      <formula>0</formula>
    </cfRule>
  </conditionalFormatting>
  <conditionalFormatting sqref="J39">
    <cfRule type="cellIs" dxfId="2330" priority="577" operator="equal">
      <formula>0</formula>
    </cfRule>
    <cfRule type="cellIs" dxfId="2329" priority="578" operator="lessThan">
      <formula>0</formula>
    </cfRule>
    <cfRule type="cellIs" dxfId="2328" priority="579" operator="greaterThan">
      <formula>0</formula>
    </cfRule>
  </conditionalFormatting>
  <conditionalFormatting sqref="N39">
    <cfRule type="cellIs" dxfId="2327" priority="574" operator="equal">
      <formula>0</formula>
    </cfRule>
    <cfRule type="cellIs" dxfId="2326" priority="575" operator="lessThan">
      <formula>0</formula>
    </cfRule>
    <cfRule type="cellIs" dxfId="2325" priority="576" operator="greaterThan">
      <formula>0</formula>
    </cfRule>
  </conditionalFormatting>
  <conditionalFormatting sqref="O39">
    <cfRule type="cellIs" dxfId="2324" priority="571" operator="equal">
      <formula>0</formula>
    </cfRule>
    <cfRule type="cellIs" dxfId="2323" priority="572" operator="lessThan">
      <formula>0</formula>
    </cfRule>
    <cfRule type="cellIs" dxfId="2322" priority="573" operator="greaterThan">
      <formula>0</formula>
    </cfRule>
  </conditionalFormatting>
  <conditionalFormatting sqref="J40">
    <cfRule type="cellIs" dxfId="2321" priority="568" operator="equal">
      <formula>0</formula>
    </cfRule>
    <cfRule type="cellIs" dxfId="2320" priority="569" operator="lessThan">
      <formula>0</formula>
    </cfRule>
    <cfRule type="cellIs" dxfId="2319" priority="570" operator="greaterThan">
      <formula>0</formula>
    </cfRule>
  </conditionalFormatting>
  <conditionalFormatting sqref="N40">
    <cfRule type="cellIs" dxfId="2318" priority="565" operator="equal">
      <formula>0</formula>
    </cfRule>
    <cfRule type="cellIs" dxfId="2317" priority="566" operator="lessThan">
      <formula>0</formula>
    </cfRule>
    <cfRule type="cellIs" dxfId="2316" priority="567" operator="greaterThan">
      <formula>0</formula>
    </cfRule>
  </conditionalFormatting>
  <conditionalFormatting sqref="O40">
    <cfRule type="cellIs" dxfId="2315" priority="562" operator="equal">
      <formula>0</formula>
    </cfRule>
    <cfRule type="cellIs" dxfId="2314" priority="563" operator="lessThan">
      <formula>0</formula>
    </cfRule>
    <cfRule type="cellIs" dxfId="2313" priority="564" operator="greaterThan">
      <formula>0</formula>
    </cfRule>
  </conditionalFormatting>
  <conditionalFormatting sqref="J41">
    <cfRule type="cellIs" dxfId="2312" priority="559" operator="equal">
      <formula>0</formula>
    </cfRule>
    <cfRule type="cellIs" dxfId="2311" priority="560" operator="lessThan">
      <formula>0</formula>
    </cfRule>
    <cfRule type="cellIs" dxfId="2310" priority="561" operator="greaterThan">
      <formula>0</formula>
    </cfRule>
  </conditionalFormatting>
  <conditionalFormatting sqref="N41">
    <cfRule type="cellIs" dxfId="2309" priority="556" operator="equal">
      <formula>0</formula>
    </cfRule>
    <cfRule type="cellIs" dxfId="2308" priority="557" operator="lessThan">
      <formula>0</formula>
    </cfRule>
    <cfRule type="cellIs" dxfId="2307" priority="558" operator="greaterThan">
      <formula>0</formula>
    </cfRule>
  </conditionalFormatting>
  <conditionalFormatting sqref="O41">
    <cfRule type="cellIs" dxfId="2306" priority="553" operator="equal">
      <formula>0</formula>
    </cfRule>
    <cfRule type="cellIs" dxfId="2305" priority="554" operator="lessThan">
      <formula>0</formula>
    </cfRule>
    <cfRule type="cellIs" dxfId="2304" priority="555" operator="greaterThan">
      <formula>0</formula>
    </cfRule>
  </conditionalFormatting>
  <conditionalFormatting sqref="J42">
    <cfRule type="cellIs" dxfId="2303" priority="550" operator="equal">
      <formula>0</formula>
    </cfRule>
    <cfRule type="cellIs" dxfId="2302" priority="551" operator="lessThan">
      <formula>0</formula>
    </cfRule>
    <cfRule type="cellIs" dxfId="2301" priority="552" operator="greaterThan">
      <formula>0</formula>
    </cfRule>
  </conditionalFormatting>
  <conditionalFormatting sqref="N42">
    <cfRule type="cellIs" dxfId="2300" priority="547" operator="equal">
      <formula>0</formula>
    </cfRule>
    <cfRule type="cellIs" dxfId="2299" priority="548" operator="lessThan">
      <formula>0</formula>
    </cfRule>
    <cfRule type="cellIs" dxfId="2298" priority="549" operator="greaterThan">
      <formula>0</formula>
    </cfRule>
  </conditionalFormatting>
  <conditionalFormatting sqref="O42">
    <cfRule type="cellIs" dxfId="2297" priority="544" operator="equal">
      <formula>0</formula>
    </cfRule>
    <cfRule type="cellIs" dxfId="2296" priority="545" operator="lessThan">
      <formula>0</formula>
    </cfRule>
    <cfRule type="cellIs" dxfId="2295" priority="546" operator="greaterThan">
      <formula>0</formula>
    </cfRule>
  </conditionalFormatting>
  <conditionalFormatting sqref="J43">
    <cfRule type="cellIs" dxfId="2294" priority="541" operator="equal">
      <formula>0</formula>
    </cfRule>
    <cfRule type="cellIs" dxfId="2293" priority="542" operator="lessThan">
      <formula>0</formula>
    </cfRule>
    <cfRule type="cellIs" dxfId="2292" priority="543" operator="greaterThan">
      <formula>0</formula>
    </cfRule>
  </conditionalFormatting>
  <conditionalFormatting sqref="N43">
    <cfRule type="cellIs" dxfId="2291" priority="538" operator="equal">
      <formula>0</formula>
    </cfRule>
    <cfRule type="cellIs" dxfId="2290" priority="539" operator="lessThan">
      <formula>0</formula>
    </cfRule>
    <cfRule type="cellIs" dxfId="2289" priority="540" operator="greaterThan">
      <formula>0</formula>
    </cfRule>
  </conditionalFormatting>
  <conditionalFormatting sqref="O43">
    <cfRule type="cellIs" dxfId="2288" priority="535" operator="equal">
      <formula>0</formula>
    </cfRule>
    <cfRule type="cellIs" dxfId="2287" priority="536" operator="lessThan">
      <formula>0</formula>
    </cfRule>
    <cfRule type="cellIs" dxfId="2286" priority="537" operator="greaterThan">
      <formula>0</formula>
    </cfRule>
  </conditionalFormatting>
  <conditionalFormatting sqref="F72">
    <cfRule type="cellIs" dxfId="2285" priority="532" operator="equal">
      <formula>0</formula>
    </cfRule>
    <cfRule type="cellIs" dxfId="2284" priority="533" operator="lessThan">
      <formula>0</formula>
    </cfRule>
    <cfRule type="cellIs" dxfId="2283" priority="534" operator="greaterThan">
      <formula>0</formula>
    </cfRule>
  </conditionalFormatting>
  <conditionalFormatting sqref="J72">
    <cfRule type="cellIs" dxfId="2282" priority="529" operator="equal">
      <formula>0</formula>
    </cfRule>
    <cfRule type="cellIs" dxfId="2281" priority="530" operator="lessThan">
      <formula>0</formula>
    </cfRule>
    <cfRule type="cellIs" dxfId="2280" priority="531" operator="greaterThan">
      <formula>0</formula>
    </cfRule>
  </conditionalFormatting>
  <conditionalFormatting sqref="N72">
    <cfRule type="cellIs" dxfId="2279" priority="526" operator="equal">
      <formula>0</formula>
    </cfRule>
    <cfRule type="cellIs" dxfId="2278" priority="527" operator="lessThan">
      <formula>0</formula>
    </cfRule>
    <cfRule type="cellIs" dxfId="2277" priority="528" operator="greaterThan">
      <formula>0</formula>
    </cfRule>
  </conditionalFormatting>
  <conditionalFormatting sqref="O72">
    <cfRule type="cellIs" dxfId="2276" priority="523" operator="equal">
      <formula>0</formula>
    </cfRule>
    <cfRule type="cellIs" dxfId="2275" priority="524" operator="lessThan">
      <formula>0</formula>
    </cfRule>
    <cfRule type="cellIs" dxfId="2274" priority="525" operator="greaterThan">
      <formula>0</formula>
    </cfRule>
  </conditionalFormatting>
  <conditionalFormatting sqref="F73">
    <cfRule type="cellIs" dxfId="2273" priority="520" operator="equal">
      <formula>0</formula>
    </cfRule>
    <cfRule type="cellIs" dxfId="2272" priority="521" operator="lessThan">
      <formula>0</formula>
    </cfRule>
    <cfRule type="cellIs" dxfId="2271" priority="522" operator="greaterThan">
      <formula>0</formula>
    </cfRule>
  </conditionalFormatting>
  <conditionalFormatting sqref="J73">
    <cfRule type="cellIs" dxfId="2270" priority="517" operator="equal">
      <formula>0</formula>
    </cfRule>
    <cfRule type="cellIs" dxfId="2269" priority="518" operator="lessThan">
      <formula>0</formula>
    </cfRule>
    <cfRule type="cellIs" dxfId="2268" priority="519" operator="greaterThan">
      <formula>0</formula>
    </cfRule>
  </conditionalFormatting>
  <conditionalFormatting sqref="N73">
    <cfRule type="cellIs" dxfId="2267" priority="514" operator="equal">
      <formula>0</formula>
    </cfRule>
    <cfRule type="cellIs" dxfId="2266" priority="515" operator="lessThan">
      <formula>0</formula>
    </cfRule>
    <cfRule type="cellIs" dxfId="2265" priority="516" operator="greaterThan">
      <formula>0</formula>
    </cfRule>
  </conditionalFormatting>
  <conditionalFormatting sqref="O73">
    <cfRule type="cellIs" dxfId="2264" priority="511" operator="equal">
      <formula>0</formula>
    </cfRule>
    <cfRule type="cellIs" dxfId="2263" priority="512" operator="lessThan">
      <formula>0</formula>
    </cfRule>
    <cfRule type="cellIs" dxfId="2262" priority="513" operator="greaterThan">
      <formula>0</formula>
    </cfRule>
  </conditionalFormatting>
  <conditionalFormatting sqref="F74">
    <cfRule type="cellIs" dxfId="2261" priority="508" operator="equal">
      <formula>0</formula>
    </cfRule>
    <cfRule type="cellIs" dxfId="2260" priority="509" operator="lessThan">
      <formula>0</formula>
    </cfRule>
    <cfRule type="cellIs" dxfId="2259" priority="510" operator="greaterThan">
      <formula>0</formula>
    </cfRule>
  </conditionalFormatting>
  <conditionalFormatting sqref="J74">
    <cfRule type="cellIs" dxfId="2258" priority="505" operator="equal">
      <formula>0</formula>
    </cfRule>
    <cfRule type="cellIs" dxfId="2257" priority="506" operator="lessThan">
      <formula>0</formula>
    </cfRule>
    <cfRule type="cellIs" dxfId="2256" priority="507" operator="greaterThan">
      <formula>0</formula>
    </cfRule>
  </conditionalFormatting>
  <conditionalFormatting sqref="N74">
    <cfRule type="cellIs" dxfId="2255" priority="502" operator="equal">
      <formula>0</formula>
    </cfRule>
    <cfRule type="cellIs" dxfId="2254" priority="503" operator="lessThan">
      <formula>0</formula>
    </cfRule>
    <cfRule type="cellIs" dxfId="2253" priority="504" operator="greaterThan">
      <formula>0</formula>
    </cfRule>
  </conditionalFormatting>
  <conditionalFormatting sqref="O74">
    <cfRule type="cellIs" dxfId="2252" priority="499" operator="equal">
      <formula>0</formula>
    </cfRule>
    <cfRule type="cellIs" dxfId="2251" priority="500" operator="lessThan">
      <formula>0</formula>
    </cfRule>
    <cfRule type="cellIs" dxfId="2250" priority="501" operator="greaterThan">
      <formula>0</formula>
    </cfRule>
  </conditionalFormatting>
  <conditionalFormatting sqref="O87">
    <cfRule type="cellIs" dxfId="2249" priority="490" operator="equal">
      <formula>0</formula>
    </cfRule>
    <cfRule type="cellIs" dxfId="2248" priority="491" operator="lessThan">
      <formula>0</formula>
    </cfRule>
    <cfRule type="cellIs" dxfId="2247" priority="492" operator="greaterThan">
      <formula>0</formula>
    </cfRule>
  </conditionalFormatting>
  <conditionalFormatting sqref="J87">
    <cfRule type="cellIs" dxfId="2246" priority="496" operator="equal">
      <formula>0</formula>
    </cfRule>
    <cfRule type="cellIs" dxfId="2245" priority="497" operator="lessThan">
      <formula>0</formula>
    </cfRule>
    <cfRule type="cellIs" dxfId="2244" priority="498" operator="greaterThan">
      <formula>0</formula>
    </cfRule>
  </conditionalFormatting>
  <conditionalFormatting sqref="N87">
    <cfRule type="cellIs" dxfId="2243" priority="493" operator="equal">
      <formula>0</formula>
    </cfRule>
    <cfRule type="cellIs" dxfId="2242" priority="494" operator="lessThan">
      <formula>0</formula>
    </cfRule>
    <cfRule type="cellIs" dxfId="2241" priority="495" operator="greaterThan">
      <formula>0</formula>
    </cfRule>
  </conditionalFormatting>
  <conditionalFormatting sqref="O88">
    <cfRule type="cellIs" dxfId="2240" priority="481" operator="equal">
      <formula>0</formula>
    </cfRule>
    <cfRule type="cellIs" dxfId="2239" priority="482" operator="lessThan">
      <formula>0</formula>
    </cfRule>
    <cfRule type="cellIs" dxfId="2238" priority="483" operator="greaterThan">
      <formula>0</formula>
    </cfRule>
  </conditionalFormatting>
  <conditionalFormatting sqref="J88">
    <cfRule type="cellIs" dxfId="2237" priority="487" operator="equal">
      <formula>0</formula>
    </cfRule>
    <cfRule type="cellIs" dxfId="2236" priority="488" operator="lessThan">
      <formula>0</formula>
    </cfRule>
    <cfRule type="cellIs" dxfId="2235" priority="489" operator="greaterThan">
      <formula>0</formula>
    </cfRule>
  </conditionalFormatting>
  <conditionalFormatting sqref="N88">
    <cfRule type="cellIs" dxfId="2234" priority="484" operator="equal">
      <formula>0</formula>
    </cfRule>
    <cfRule type="cellIs" dxfId="2233" priority="485" operator="lessThan">
      <formula>0</formula>
    </cfRule>
    <cfRule type="cellIs" dxfId="2232" priority="486" operator="greaterThan">
      <formula>0</formula>
    </cfRule>
  </conditionalFormatting>
  <conditionalFormatting sqref="O89">
    <cfRule type="cellIs" dxfId="2231" priority="472" operator="equal">
      <formula>0</formula>
    </cfRule>
    <cfRule type="cellIs" dxfId="2230" priority="473" operator="lessThan">
      <formula>0</formula>
    </cfRule>
    <cfRule type="cellIs" dxfId="2229" priority="474" operator="greaterThan">
      <formula>0</formula>
    </cfRule>
  </conditionalFormatting>
  <conditionalFormatting sqref="J89">
    <cfRule type="cellIs" dxfId="2228" priority="478" operator="equal">
      <formula>0</formula>
    </cfRule>
    <cfRule type="cellIs" dxfId="2227" priority="479" operator="lessThan">
      <formula>0</formula>
    </cfRule>
    <cfRule type="cellIs" dxfId="2226" priority="480" operator="greaterThan">
      <formula>0</formula>
    </cfRule>
  </conditionalFormatting>
  <conditionalFormatting sqref="N89">
    <cfRule type="cellIs" dxfId="2225" priority="475" operator="equal">
      <formula>0</formula>
    </cfRule>
    <cfRule type="cellIs" dxfId="2224" priority="476" operator="lessThan">
      <formula>0</formula>
    </cfRule>
    <cfRule type="cellIs" dxfId="2223" priority="477" operator="greaterThan">
      <formula>0</formula>
    </cfRule>
  </conditionalFormatting>
  <conditionalFormatting sqref="O90">
    <cfRule type="cellIs" dxfId="2222" priority="463" operator="equal">
      <formula>0</formula>
    </cfRule>
    <cfRule type="cellIs" dxfId="2221" priority="464" operator="lessThan">
      <formula>0</formula>
    </cfRule>
    <cfRule type="cellIs" dxfId="2220" priority="465" operator="greaterThan">
      <formula>0</formula>
    </cfRule>
  </conditionalFormatting>
  <conditionalFormatting sqref="J90">
    <cfRule type="cellIs" dxfId="2219" priority="469" operator="equal">
      <formula>0</formula>
    </cfRule>
    <cfRule type="cellIs" dxfId="2218" priority="470" operator="lessThan">
      <formula>0</formula>
    </cfRule>
    <cfRule type="cellIs" dxfId="2217" priority="471" operator="greaterThan">
      <formula>0</formula>
    </cfRule>
  </conditionalFormatting>
  <conditionalFormatting sqref="N90">
    <cfRule type="cellIs" dxfId="2216" priority="466" operator="equal">
      <formula>0</formula>
    </cfRule>
    <cfRule type="cellIs" dxfId="2215" priority="467" operator="lessThan">
      <formula>0</formula>
    </cfRule>
    <cfRule type="cellIs" dxfId="2214" priority="468" operator="greaterThan">
      <formula>0</formula>
    </cfRule>
  </conditionalFormatting>
  <conditionalFormatting sqref="O91">
    <cfRule type="cellIs" dxfId="2213" priority="454" operator="equal">
      <formula>0</formula>
    </cfRule>
    <cfRule type="cellIs" dxfId="2212" priority="455" operator="lessThan">
      <formula>0</formula>
    </cfRule>
    <cfRule type="cellIs" dxfId="2211" priority="456" operator="greaterThan">
      <formula>0</formula>
    </cfRule>
  </conditionalFormatting>
  <conditionalFormatting sqref="J91">
    <cfRule type="cellIs" dxfId="2210" priority="460" operator="equal">
      <formula>0</formula>
    </cfRule>
    <cfRule type="cellIs" dxfId="2209" priority="461" operator="lessThan">
      <formula>0</formula>
    </cfRule>
    <cfRule type="cellIs" dxfId="2208" priority="462" operator="greaterThan">
      <formula>0</formula>
    </cfRule>
  </conditionalFormatting>
  <conditionalFormatting sqref="N91">
    <cfRule type="cellIs" dxfId="2207" priority="457" operator="equal">
      <formula>0</formula>
    </cfRule>
    <cfRule type="cellIs" dxfId="2206" priority="458" operator="lessThan">
      <formula>0</formula>
    </cfRule>
    <cfRule type="cellIs" dxfId="2205" priority="459" operator="greaterThan">
      <formula>0</formula>
    </cfRule>
  </conditionalFormatting>
  <conditionalFormatting sqref="F98">
    <cfRule type="cellIs" dxfId="2204" priority="451" operator="equal">
      <formula>0</formula>
    </cfRule>
    <cfRule type="cellIs" dxfId="2203" priority="452" operator="lessThan">
      <formula>0</formula>
    </cfRule>
    <cfRule type="cellIs" dxfId="2202" priority="453" operator="greaterThan">
      <formula>0</formula>
    </cfRule>
  </conditionalFormatting>
  <conditionalFormatting sqref="O98">
    <cfRule type="cellIs" dxfId="2201" priority="433" operator="equal">
      <formula>0</formula>
    </cfRule>
    <cfRule type="cellIs" dxfId="2200" priority="434" operator="lessThan">
      <formula>0</formula>
    </cfRule>
    <cfRule type="cellIs" dxfId="2199" priority="435" operator="greaterThan">
      <formula>0</formula>
    </cfRule>
  </conditionalFormatting>
  <conditionalFormatting sqref="J98">
    <cfRule type="cellIs" dxfId="2198" priority="439" operator="equal">
      <formula>0</formula>
    </cfRule>
    <cfRule type="cellIs" dxfId="2197" priority="440" operator="lessThan">
      <formula>0</formula>
    </cfRule>
    <cfRule type="cellIs" dxfId="2196" priority="441" operator="greaterThan">
      <formula>0</formula>
    </cfRule>
  </conditionalFormatting>
  <conditionalFormatting sqref="N98">
    <cfRule type="cellIs" dxfId="2195" priority="436" operator="equal">
      <formula>0</formula>
    </cfRule>
    <cfRule type="cellIs" dxfId="2194" priority="437" operator="lessThan">
      <formula>0</formula>
    </cfRule>
    <cfRule type="cellIs" dxfId="2193" priority="438" operator="greaterThan">
      <formula>0</formula>
    </cfRule>
  </conditionalFormatting>
  <conditionalFormatting sqref="F75">
    <cfRule type="cellIs" dxfId="2192" priority="430" operator="equal">
      <formula>0</formula>
    </cfRule>
    <cfRule type="cellIs" dxfId="2191" priority="431" operator="lessThan">
      <formula>0</formula>
    </cfRule>
    <cfRule type="cellIs" dxfId="2190" priority="432" operator="greaterThan">
      <formula>0</formula>
    </cfRule>
  </conditionalFormatting>
  <conditionalFormatting sqref="F76">
    <cfRule type="cellIs" dxfId="2189" priority="427" operator="equal">
      <formula>0</formula>
    </cfRule>
    <cfRule type="cellIs" dxfId="2188" priority="428" operator="lessThan">
      <formula>0</formula>
    </cfRule>
    <cfRule type="cellIs" dxfId="2187" priority="429" operator="greaterThan">
      <formula>0</formula>
    </cfRule>
  </conditionalFormatting>
  <conditionalFormatting sqref="J75">
    <cfRule type="cellIs" dxfId="2186" priority="424" operator="equal">
      <formula>0</formula>
    </cfRule>
    <cfRule type="cellIs" dxfId="2185" priority="425" operator="lessThan">
      <formula>0</formula>
    </cfRule>
    <cfRule type="cellIs" dxfId="2184" priority="426" operator="greaterThan">
      <formula>0</formula>
    </cfRule>
  </conditionalFormatting>
  <conditionalFormatting sqref="N75">
    <cfRule type="cellIs" dxfId="2183" priority="421" operator="equal">
      <formula>0</formula>
    </cfRule>
    <cfRule type="cellIs" dxfId="2182" priority="422" operator="lessThan">
      <formula>0</formula>
    </cfRule>
    <cfRule type="cellIs" dxfId="2181" priority="423" operator="greaterThan">
      <formula>0</formula>
    </cfRule>
  </conditionalFormatting>
  <conditionalFormatting sqref="O75">
    <cfRule type="cellIs" dxfId="2180" priority="418" operator="equal">
      <formula>0</formula>
    </cfRule>
    <cfRule type="cellIs" dxfId="2179" priority="419" operator="lessThan">
      <formula>0</formula>
    </cfRule>
    <cfRule type="cellIs" dxfId="2178" priority="420" operator="greaterThan">
      <formula>0</formula>
    </cfRule>
  </conditionalFormatting>
  <conditionalFormatting sqref="J76">
    <cfRule type="cellIs" dxfId="2177" priority="415" operator="equal">
      <formula>0</formula>
    </cfRule>
    <cfRule type="cellIs" dxfId="2176" priority="416" operator="lessThan">
      <formula>0</formula>
    </cfRule>
    <cfRule type="cellIs" dxfId="2175" priority="417" operator="greaterThan">
      <formula>0</formula>
    </cfRule>
  </conditionalFormatting>
  <conditionalFormatting sqref="N76">
    <cfRule type="cellIs" dxfId="2174" priority="412" operator="equal">
      <formula>0</formula>
    </cfRule>
    <cfRule type="cellIs" dxfId="2173" priority="413" operator="lessThan">
      <formula>0</formula>
    </cfRule>
    <cfRule type="cellIs" dxfId="2172" priority="414" operator="greaterThan">
      <formula>0</formula>
    </cfRule>
  </conditionalFormatting>
  <conditionalFormatting sqref="O76">
    <cfRule type="cellIs" dxfId="2171" priority="409" operator="equal">
      <formula>0</formula>
    </cfRule>
    <cfRule type="cellIs" dxfId="2170" priority="410" operator="lessThan">
      <formula>0</formula>
    </cfRule>
    <cfRule type="cellIs" dxfId="2169" priority="411" operator="greaterThan">
      <formula>0</formula>
    </cfRule>
  </conditionalFormatting>
  <conditionalFormatting sqref="F51">
    <cfRule type="cellIs" dxfId="2168" priority="406" operator="equal">
      <formula>0</formula>
    </cfRule>
    <cfRule type="cellIs" dxfId="2167" priority="407" operator="lessThan">
      <formula>0</formula>
    </cfRule>
    <cfRule type="cellIs" dxfId="2166" priority="408" operator="greaterThan">
      <formula>0</formula>
    </cfRule>
  </conditionalFormatting>
  <conditionalFormatting sqref="J51">
    <cfRule type="cellIs" dxfId="2165" priority="403" operator="equal">
      <formula>0</formula>
    </cfRule>
    <cfRule type="cellIs" dxfId="2164" priority="404" operator="lessThan">
      <formula>0</formula>
    </cfRule>
    <cfRule type="cellIs" dxfId="2163" priority="405" operator="greaterThan">
      <formula>0</formula>
    </cfRule>
  </conditionalFormatting>
  <conditionalFormatting sqref="N51">
    <cfRule type="cellIs" dxfId="2162" priority="400" operator="equal">
      <formula>0</formula>
    </cfRule>
    <cfRule type="cellIs" dxfId="2161" priority="401" operator="lessThan">
      <formula>0</formula>
    </cfRule>
    <cfRule type="cellIs" dxfId="2160" priority="402" operator="greaterThan">
      <formula>0</formula>
    </cfRule>
  </conditionalFormatting>
  <conditionalFormatting sqref="O51">
    <cfRule type="cellIs" dxfId="2159" priority="397" operator="equal">
      <formula>0</formula>
    </cfRule>
    <cfRule type="cellIs" dxfId="2158" priority="398" operator="lessThan">
      <formula>0</formula>
    </cfRule>
    <cfRule type="cellIs" dxfId="2157" priority="399" operator="greaterThan">
      <formula>0</formula>
    </cfRule>
  </conditionalFormatting>
  <conditionalFormatting sqref="F52">
    <cfRule type="cellIs" dxfId="2156" priority="394" operator="equal">
      <formula>0</formula>
    </cfRule>
    <cfRule type="cellIs" dxfId="2155" priority="395" operator="lessThan">
      <formula>0</formula>
    </cfRule>
    <cfRule type="cellIs" dxfId="2154" priority="396" operator="greaterThan">
      <formula>0</formula>
    </cfRule>
  </conditionalFormatting>
  <conditionalFormatting sqref="J52">
    <cfRule type="cellIs" dxfId="2153" priority="391" operator="equal">
      <formula>0</formula>
    </cfRule>
    <cfRule type="cellIs" dxfId="2152" priority="392" operator="lessThan">
      <formula>0</formula>
    </cfRule>
    <cfRule type="cellIs" dxfId="2151" priority="393" operator="greaterThan">
      <formula>0</formula>
    </cfRule>
  </conditionalFormatting>
  <conditionalFormatting sqref="N52">
    <cfRule type="cellIs" dxfId="2150" priority="388" operator="equal">
      <formula>0</formula>
    </cfRule>
    <cfRule type="cellIs" dxfId="2149" priority="389" operator="lessThan">
      <formula>0</formula>
    </cfRule>
    <cfRule type="cellIs" dxfId="2148" priority="390" operator="greaterThan">
      <formula>0</formula>
    </cfRule>
  </conditionalFormatting>
  <conditionalFormatting sqref="O52">
    <cfRule type="cellIs" dxfId="2147" priority="385" operator="equal">
      <formula>0</formula>
    </cfRule>
    <cfRule type="cellIs" dxfId="2146" priority="386" operator="lessThan">
      <formula>0</formula>
    </cfRule>
    <cfRule type="cellIs" dxfId="2145" priority="387" operator="greaterThan">
      <formula>0</formula>
    </cfRule>
  </conditionalFormatting>
  <conditionalFormatting sqref="F53">
    <cfRule type="cellIs" dxfId="2144" priority="382" operator="equal">
      <formula>0</formula>
    </cfRule>
    <cfRule type="cellIs" dxfId="2143" priority="383" operator="lessThan">
      <formula>0</formula>
    </cfRule>
    <cfRule type="cellIs" dxfId="2142" priority="384" operator="greaterThan">
      <formula>0</formula>
    </cfRule>
  </conditionalFormatting>
  <conditionalFormatting sqref="J53">
    <cfRule type="cellIs" dxfId="2141" priority="379" operator="equal">
      <formula>0</formula>
    </cfRule>
    <cfRule type="cellIs" dxfId="2140" priority="380" operator="lessThan">
      <formula>0</formula>
    </cfRule>
    <cfRule type="cellIs" dxfId="2139" priority="381" operator="greaterThan">
      <formula>0</formula>
    </cfRule>
  </conditionalFormatting>
  <conditionalFormatting sqref="N53">
    <cfRule type="cellIs" dxfId="2138" priority="376" operator="equal">
      <formula>0</formula>
    </cfRule>
    <cfRule type="cellIs" dxfId="2137" priority="377" operator="lessThan">
      <formula>0</formula>
    </cfRule>
    <cfRule type="cellIs" dxfId="2136" priority="378" operator="greaterThan">
      <formula>0</formula>
    </cfRule>
  </conditionalFormatting>
  <conditionalFormatting sqref="O53">
    <cfRule type="cellIs" dxfId="2135" priority="373" operator="equal">
      <formula>0</formula>
    </cfRule>
    <cfRule type="cellIs" dxfId="2134" priority="374" operator="lessThan">
      <formula>0</formula>
    </cfRule>
    <cfRule type="cellIs" dxfId="2133" priority="375" operator="greaterThan">
      <formula>0</formula>
    </cfRule>
  </conditionalFormatting>
  <conditionalFormatting sqref="F56:F62">
    <cfRule type="cellIs" dxfId="2132" priority="370" operator="equal">
      <formula>0</formula>
    </cfRule>
    <cfRule type="cellIs" dxfId="2131" priority="371" operator="lessThan">
      <formula>0</formula>
    </cfRule>
    <cfRule type="cellIs" dxfId="2130" priority="372" operator="greaterThan">
      <formula>0</formula>
    </cfRule>
  </conditionalFormatting>
  <conditionalFormatting sqref="J56:J62">
    <cfRule type="cellIs" dxfId="2129" priority="367" operator="equal">
      <formula>0</formula>
    </cfRule>
    <cfRule type="cellIs" dxfId="2128" priority="368" operator="lessThan">
      <formula>0</formula>
    </cfRule>
    <cfRule type="cellIs" dxfId="2127" priority="369" operator="greaterThan">
      <formula>0</formula>
    </cfRule>
  </conditionalFormatting>
  <conditionalFormatting sqref="N56:N62">
    <cfRule type="cellIs" dxfId="2126" priority="364" operator="equal">
      <formula>0</formula>
    </cfRule>
    <cfRule type="cellIs" dxfId="2125" priority="365" operator="lessThan">
      <formula>0</formula>
    </cfRule>
    <cfRule type="cellIs" dxfId="2124" priority="366" operator="greaterThan">
      <formula>0</formula>
    </cfRule>
  </conditionalFormatting>
  <conditionalFormatting sqref="O56:O62">
    <cfRule type="cellIs" dxfId="2123" priority="361" operator="equal">
      <formula>0</formula>
    </cfRule>
    <cfRule type="cellIs" dxfId="2122" priority="362" operator="lessThan">
      <formula>0</formula>
    </cfRule>
    <cfRule type="cellIs" dxfId="2121" priority="363" operator="greaterThan">
      <formula>0</formula>
    </cfRule>
  </conditionalFormatting>
  <conditionalFormatting sqref="F68:F71">
    <cfRule type="cellIs" dxfId="2120" priority="358" operator="equal">
      <formula>0</formula>
    </cfRule>
    <cfRule type="cellIs" dxfId="2119" priority="359" operator="lessThan">
      <formula>0</formula>
    </cfRule>
    <cfRule type="cellIs" dxfId="2118" priority="360" operator="greaterThan">
      <formula>0</formula>
    </cfRule>
  </conditionalFormatting>
  <conditionalFormatting sqref="J69">
    <cfRule type="cellIs" dxfId="2117" priority="355" operator="equal">
      <formula>0</formula>
    </cfRule>
    <cfRule type="cellIs" dxfId="2116" priority="356" operator="lessThan">
      <formula>0</formula>
    </cfRule>
    <cfRule type="cellIs" dxfId="2115" priority="357" operator="greaterThan">
      <formula>0</formula>
    </cfRule>
  </conditionalFormatting>
  <conditionalFormatting sqref="N69">
    <cfRule type="cellIs" dxfId="2114" priority="352" operator="equal">
      <formula>0</formula>
    </cfRule>
    <cfRule type="cellIs" dxfId="2113" priority="353" operator="lessThan">
      <formula>0</formula>
    </cfRule>
    <cfRule type="cellIs" dxfId="2112" priority="354" operator="greaterThan">
      <formula>0</formula>
    </cfRule>
  </conditionalFormatting>
  <conditionalFormatting sqref="O69">
    <cfRule type="cellIs" dxfId="2111" priority="349" operator="equal">
      <formula>0</formula>
    </cfRule>
    <cfRule type="cellIs" dxfId="2110" priority="350" operator="lessThan">
      <formula>0</formula>
    </cfRule>
    <cfRule type="cellIs" dxfId="2109" priority="351" operator="greaterThan">
      <formula>0</formula>
    </cfRule>
  </conditionalFormatting>
  <conditionalFormatting sqref="J70">
    <cfRule type="cellIs" dxfId="2108" priority="346" operator="equal">
      <formula>0</formula>
    </cfRule>
    <cfRule type="cellIs" dxfId="2107" priority="347" operator="lessThan">
      <formula>0</formula>
    </cfRule>
    <cfRule type="cellIs" dxfId="2106" priority="348" operator="greaterThan">
      <formula>0</formula>
    </cfRule>
  </conditionalFormatting>
  <conditionalFormatting sqref="N70">
    <cfRule type="cellIs" dxfId="2105" priority="343" operator="equal">
      <formula>0</formula>
    </cfRule>
    <cfRule type="cellIs" dxfId="2104" priority="344" operator="lessThan">
      <formula>0</formula>
    </cfRule>
    <cfRule type="cellIs" dxfId="2103" priority="345" operator="greaterThan">
      <formula>0</formula>
    </cfRule>
  </conditionalFormatting>
  <conditionalFormatting sqref="O70">
    <cfRule type="cellIs" dxfId="2102" priority="340" operator="equal">
      <formula>0</formula>
    </cfRule>
    <cfRule type="cellIs" dxfId="2101" priority="341" operator="lessThan">
      <formula>0</formula>
    </cfRule>
    <cfRule type="cellIs" dxfId="2100" priority="342" operator="greaterThan">
      <formula>0</formula>
    </cfRule>
  </conditionalFormatting>
  <conditionalFormatting sqref="J71">
    <cfRule type="cellIs" dxfId="2099" priority="337" operator="equal">
      <formula>0</formula>
    </cfRule>
    <cfRule type="cellIs" dxfId="2098" priority="338" operator="lessThan">
      <formula>0</formula>
    </cfRule>
    <cfRule type="cellIs" dxfId="2097" priority="339" operator="greaterThan">
      <formula>0</formula>
    </cfRule>
  </conditionalFormatting>
  <conditionalFormatting sqref="N71">
    <cfRule type="cellIs" dxfId="2096" priority="334" operator="equal">
      <formula>0</formula>
    </cfRule>
    <cfRule type="cellIs" dxfId="2095" priority="335" operator="lessThan">
      <formula>0</formula>
    </cfRule>
    <cfRule type="cellIs" dxfId="2094" priority="336" operator="greaterThan">
      <formula>0</formula>
    </cfRule>
  </conditionalFormatting>
  <conditionalFormatting sqref="O71">
    <cfRule type="cellIs" dxfId="2093" priority="331" operator="equal">
      <formula>0</formula>
    </cfRule>
    <cfRule type="cellIs" dxfId="2092" priority="332" operator="lessThan">
      <formula>0</formula>
    </cfRule>
    <cfRule type="cellIs" dxfId="2091" priority="333" operator="greaterThan">
      <formula>0</formula>
    </cfRule>
  </conditionalFormatting>
  <conditionalFormatting sqref="O97">
    <cfRule type="cellIs" dxfId="2090" priority="322" operator="equal">
      <formula>0</formula>
    </cfRule>
    <cfRule type="cellIs" dxfId="2089" priority="323" operator="lessThan">
      <formula>0</formula>
    </cfRule>
    <cfRule type="cellIs" dxfId="2088" priority="324" operator="greaterThan">
      <formula>0</formula>
    </cfRule>
  </conditionalFormatting>
  <conditionalFormatting sqref="J97">
    <cfRule type="cellIs" dxfId="2087" priority="328" operator="equal">
      <formula>0</formula>
    </cfRule>
    <cfRule type="cellIs" dxfId="2086" priority="329" operator="lessThan">
      <formula>0</formula>
    </cfRule>
    <cfRule type="cellIs" dxfId="2085" priority="330" operator="greaterThan">
      <formula>0</formula>
    </cfRule>
  </conditionalFormatting>
  <conditionalFormatting sqref="N97">
    <cfRule type="cellIs" dxfId="2084" priority="325" operator="equal">
      <formula>0</formula>
    </cfRule>
    <cfRule type="cellIs" dxfId="2083" priority="326" operator="lessThan">
      <formula>0</formula>
    </cfRule>
    <cfRule type="cellIs" dxfId="2082" priority="327" operator="greaterThan">
      <formula>0</formula>
    </cfRule>
  </conditionalFormatting>
  <conditionalFormatting sqref="F107">
    <cfRule type="cellIs" dxfId="2081" priority="319" operator="equal">
      <formula>0</formula>
    </cfRule>
    <cfRule type="cellIs" dxfId="2080" priority="320" operator="lessThan">
      <formula>0</formula>
    </cfRule>
    <cfRule type="cellIs" dxfId="2079" priority="321" operator="greaterThan">
      <formula>0</formula>
    </cfRule>
  </conditionalFormatting>
  <conditionalFormatting sqref="O107">
    <cfRule type="cellIs" dxfId="2078" priority="310" operator="equal">
      <formula>0</formula>
    </cfRule>
    <cfRule type="cellIs" dxfId="2077" priority="311" operator="lessThan">
      <formula>0</formula>
    </cfRule>
    <cfRule type="cellIs" dxfId="2076" priority="312" operator="greaterThan">
      <formula>0</formula>
    </cfRule>
  </conditionalFormatting>
  <conditionalFormatting sqref="J107">
    <cfRule type="cellIs" dxfId="2075" priority="316" operator="equal">
      <formula>0</formula>
    </cfRule>
    <cfRule type="cellIs" dxfId="2074" priority="317" operator="lessThan">
      <formula>0</formula>
    </cfRule>
    <cfRule type="cellIs" dxfId="2073" priority="318" operator="greaterThan">
      <formula>0</formula>
    </cfRule>
  </conditionalFormatting>
  <conditionalFormatting sqref="N107">
    <cfRule type="cellIs" dxfId="2072" priority="313" operator="equal">
      <formula>0</formula>
    </cfRule>
    <cfRule type="cellIs" dxfId="2071" priority="314" operator="lessThan">
      <formula>0</formula>
    </cfRule>
    <cfRule type="cellIs" dxfId="2070" priority="315" operator="greaterThan">
      <formula>0</formula>
    </cfRule>
  </conditionalFormatting>
  <conditionalFormatting sqref="F112">
    <cfRule type="cellIs" dxfId="2069" priority="307" operator="equal">
      <formula>0</formula>
    </cfRule>
    <cfRule type="cellIs" dxfId="2068" priority="308" operator="lessThan">
      <formula>0</formula>
    </cfRule>
    <cfRule type="cellIs" dxfId="2067" priority="309" operator="greaterThan">
      <formula>0</formula>
    </cfRule>
  </conditionalFormatting>
  <conditionalFormatting sqref="O112">
    <cfRule type="cellIs" dxfId="2066" priority="298" operator="equal">
      <formula>0</formula>
    </cfRule>
    <cfRule type="cellIs" dxfId="2065" priority="299" operator="lessThan">
      <formula>0</formula>
    </cfRule>
    <cfRule type="cellIs" dxfId="2064" priority="300" operator="greaterThan">
      <formula>0</formula>
    </cfRule>
  </conditionalFormatting>
  <conditionalFormatting sqref="J112">
    <cfRule type="cellIs" dxfId="2063" priority="304" operator="equal">
      <formula>0</formula>
    </cfRule>
    <cfRule type="cellIs" dxfId="2062" priority="305" operator="lessThan">
      <formula>0</formula>
    </cfRule>
    <cfRule type="cellIs" dxfId="2061" priority="306" operator="greaterThan">
      <formula>0</formula>
    </cfRule>
  </conditionalFormatting>
  <conditionalFormatting sqref="N112">
    <cfRule type="cellIs" dxfId="2060" priority="301" operator="equal">
      <formula>0</formula>
    </cfRule>
    <cfRule type="cellIs" dxfId="2059" priority="302" operator="lessThan">
      <formula>0</formula>
    </cfRule>
    <cfRule type="cellIs" dxfId="2058" priority="303" operator="greaterThan">
      <formula>0</formula>
    </cfRule>
  </conditionalFormatting>
  <conditionalFormatting sqref="F115">
    <cfRule type="cellIs" dxfId="2057" priority="295" operator="equal">
      <formula>0</formula>
    </cfRule>
    <cfRule type="cellIs" dxfId="2056" priority="296" operator="lessThan">
      <formula>0</formula>
    </cfRule>
    <cfRule type="cellIs" dxfId="2055" priority="297" operator="greaterThan">
      <formula>0</formula>
    </cfRule>
  </conditionalFormatting>
  <conditionalFormatting sqref="O115">
    <cfRule type="cellIs" dxfId="2054" priority="286" operator="equal">
      <formula>0</formula>
    </cfRule>
    <cfRule type="cellIs" dxfId="2053" priority="287" operator="lessThan">
      <formula>0</formula>
    </cfRule>
    <cfRule type="cellIs" dxfId="2052" priority="288" operator="greaterThan">
      <formula>0</formula>
    </cfRule>
  </conditionalFormatting>
  <conditionalFormatting sqref="J115">
    <cfRule type="cellIs" dxfId="2051" priority="292" operator="equal">
      <formula>0</formula>
    </cfRule>
    <cfRule type="cellIs" dxfId="2050" priority="293" operator="lessThan">
      <formula>0</formula>
    </cfRule>
    <cfRule type="cellIs" dxfId="2049" priority="294" operator="greaterThan">
      <formula>0</formula>
    </cfRule>
  </conditionalFormatting>
  <conditionalFormatting sqref="N115">
    <cfRule type="cellIs" dxfId="2048" priority="289" operator="equal">
      <formula>0</formula>
    </cfRule>
    <cfRule type="cellIs" dxfId="2047" priority="290" operator="lessThan">
      <formula>0</formula>
    </cfRule>
    <cfRule type="cellIs" dxfId="2046" priority="291" operator="greaterThan">
      <formula>0</formula>
    </cfRule>
  </conditionalFormatting>
  <conditionalFormatting sqref="F103:F106">
    <cfRule type="cellIs" dxfId="2045" priority="283" operator="equal">
      <formula>0</formula>
    </cfRule>
    <cfRule type="cellIs" dxfId="2044" priority="284" operator="lessThan">
      <formula>0</formula>
    </cfRule>
    <cfRule type="cellIs" dxfId="2043" priority="285" operator="greaterThan">
      <formula>0</formula>
    </cfRule>
  </conditionalFormatting>
  <conditionalFormatting sqref="O103:O106">
    <cfRule type="cellIs" dxfId="2042" priority="274" operator="equal">
      <formula>0</formula>
    </cfRule>
    <cfRule type="cellIs" dxfId="2041" priority="275" operator="lessThan">
      <formula>0</formula>
    </cfRule>
    <cfRule type="cellIs" dxfId="2040" priority="276" operator="greaterThan">
      <formula>0</formula>
    </cfRule>
  </conditionalFormatting>
  <conditionalFormatting sqref="J103:J106">
    <cfRule type="cellIs" dxfId="2039" priority="280" operator="equal">
      <formula>0</formula>
    </cfRule>
    <cfRule type="cellIs" dxfId="2038" priority="281" operator="lessThan">
      <formula>0</formula>
    </cfRule>
    <cfRule type="cellIs" dxfId="2037" priority="282" operator="greaterThan">
      <formula>0</formula>
    </cfRule>
  </conditionalFormatting>
  <conditionalFormatting sqref="N103:N106">
    <cfRule type="cellIs" dxfId="2036" priority="277" operator="equal">
      <formula>0</formula>
    </cfRule>
    <cfRule type="cellIs" dxfId="2035" priority="278" operator="lessThan">
      <formula>0</formula>
    </cfRule>
    <cfRule type="cellIs" dxfId="2034" priority="279" operator="greaterThan">
      <formula>0</formula>
    </cfRule>
  </conditionalFormatting>
  <conditionalFormatting sqref="F109">
    <cfRule type="cellIs" dxfId="2033" priority="271" operator="equal">
      <formula>0</formula>
    </cfRule>
    <cfRule type="cellIs" dxfId="2032" priority="272" operator="lessThan">
      <formula>0</formula>
    </cfRule>
    <cfRule type="cellIs" dxfId="2031" priority="273" operator="greaterThan">
      <formula>0</formula>
    </cfRule>
  </conditionalFormatting>
  <conditionalFormatting sqref="O109">
    <cfRule type="cellIs" dxfId="2030" priority="262" operator="equal">
      <formula>0</formula>
    </cfRule>
    <cfRule type="cellIs" dxfId="2029" priority="263" operator="lessThan">
      <formula>0</formula>
    </cfRule>
    <cfRule type="cellIs" dxfId="2028" priority="264" operator="greaterThan">
      <formula>0</formula>
    </cfRule>
  </conditionalFormatting>
  <conditionalFormatting sqref="J109">
    <cfRule type="cellIs" dxfId="2027" priority="268" operator="equal">
      <formula>0</formula>
    </cfRule>
    <cfRule type="cellIs" dxfId="2026" priority="269" operator="lessThan">
      <formula>0</formula>
    </cfRule>
    <cfRule type="cellIs" dxfId="2025" priority="270" operator="greaterThan">
      <formula>0</formula>
    </cfRule>
  </conditionalFormatting>
  <conditionalFormatting sqref="N109">
    <cfRule type="cellIs" dxfId="2024" priority="265" operator="equal">
      <formula>0</formula>
    </cfRule>
    <cfRule type="cellIs" dxfId="2023" priority="266" operator="lessThan">
      <formula>0</formula>
    </cfRule>
    <cfRule type="cellIs" dxfId="2022" priority="267" operator="greaterThan">
      <formula>0</formula>
    </cfRule>
  </conditionalFormatting>
  <conditionalFormatting sqref="F111">
    <cfRule type="cellIs" dxfId="2021" priority="259" operator="equal">
      <formula>0</formula>
    </cfRule>
    <cfRule type="cellIs" dxfId="2020" priority="260" operator="lessThan">
      <formula>0</formula>
    </cfRule>
    <cfRule type="cellIs" dxfId="2019" priority="261" operator="greaterThan">
      <formula>0</formula>
    </cfRule>
  </conditionalFormatting>
  <conditionalFormatting sqref="O111">
    <cfRule type="cellIs" dxfId="2018" priority="250" operator="equal">
      <formula>0</formula>
    </cfRule>
    <cfRule type="cellIs" dxfId="2017" priority="251" operator="lessThan">
      <formula>0</formula>
    </cfRule>
    <cfRule type="cellIs" dxfId="2016" priority="252" operator="greaterThan">
      <formula>0</formula>
    </cfRule>
  </conditionalFormatting>
  <conditionalFormatting sqref="J111">
    <cfRule type="cellIs" dxfId="2015" priority="256" operator="equal">
      <formula>0</formula>
    </cfRule>
    <cfRule type="cellIs" dxfId="2014" priority="257" operator="lessThan">
      <formula>0</formula>
    </cfRule>
    <cfRule type="cellIs" dxfId="2013" priority="258" operator="greaterThan">
      <formula>0</formula>
    </cfRule>
  </conditionalFormatting>
  <conditionalFormatting sqref="N111">
    <cfRule type="cellIs" dxfId="2012" priority="253" operator="equal">
      <formula>0</formula>
    </cfRule>
    <cfRule type="cellIs" dxfId="2011" priority="254" operator="lessThan">
      <formula>0</formula>
    </cfRule>
    <cfRule type="cellIs" dxfId="2010" priority="255" operator="greaterThan">
      <formula>0</formula>
    </cfRule>
  </conditionalFormatting>
  <conditionalFormatting sqref="F113">
    <cfRule type="cellIs" dxfId="2009" priority="247" operator="equal">
      <formula>0</formula>
    </cfRule>
    <cfRule type="cellIs" dxfId="2008" priority="248" operator="lessThan">
      <formula>0</formula>
    </cfRule>
    <cfRule type="cellIs" dxfId="2007" priority="249" operator="greaterThan">
      <formula>0</formula>
    </cfRule>
  </conditionalFormatting>
  <conditionalFormatting sqref="O113">
    <cfRule type="cellIs" dxfId="2006" priority="238" operator="equal">
      <formula>0</formula>
    </cfRule>
    <cfRule type="cellIs" dxfId="2005" priority="239" operator="lessThan">
      <formula>0</formula>
    </cfRule>
    <cfRule type="cellIs" dxfId="2004" priority="240" operator="greaterThan">
      <formula>0</formula>
    </cfRule>
  </conditionalFormatting>
  <conditionalFormatting sqref="J113">
    <cfRule type="cellIs" dxfId="2003" priority="244" operator="equal">
      <formula>0</formula>
    </cfRule>
    <cfRule type="cellIs" dxfId="2002" priority="245" operator="lessThan">
      <formula>0</formula>
    </cfRule>
    <cfRule type="cellIs" dxfId="2001" priority="246" operator="greaterThan">
      <formula>0</formula>
    </cfRule>
  </conditionalFormatting>
  <conditionalFormatting sqref="N113">
    <cfRule type="cellIs" dxfId="2000" priority="241" operator="equal">
      <formula>0</formula>
    </cfRule>
    <cfRule type="cellIs" dxfId="1999" priority="242" operator="lessThan">
      <formula>0</formula>
    </cfRule>
    <cfRule type="cellIs" dxfId="1998" priority="243" operator="greaterThan">
      <formula>0</formula>
    </cfRule>
  </conditionalFormatting>
  <conditionalFormatting sqref="F117">
    <cfRule type="cellIs" dxfId="1997" priority="235" operator="equal">
      <formula>0</formula>
    </cfRule>
    <cfRule type="cellIs" dxfId="1996" priority="236" operator="lessThan">
      <formula>0</formula>
    </cfRule>
    <cfRule type="cellIs" dxfId="1995" priority="237" operator="greaterThan">
      <formula>0</formula>
    </cfRule>
  </conditionalFormatting>
  <conditionalFormatting sqref="F118">
    <cfRule type="cellIs" dxfId="1994" priority="232" operator="equal">
      <formula>0</formula>
    </cfRule>
    <cfRule type="cellIs" dxfId="1993" priority="233" operator="lessThan">
      <formula>0</formula>
    </cfRule>
    <cfRule type="cellIs" dxfId="1992" priority="234" operator="greaterThan">
      <formula>0</formula>
    </cfRule>
  </conditionalFormatting>
  <conditionalFormatting sqref="O117">
    <cfRule type="cellIs" dxfId="1991" priority="223" operator="equal">
      <formula>0</formula>
    </cfRule>
    <cfRule type="cellIs" dxfId="1990" priority="224" operator="lessThan">
      <formula>0</formula>
    </cfRule>
    <cfRule type="cellIs" dxfId="1989" priority="225" operator="greaterThan">
      <formula>0</formula>
    </cfRule>
  </conditionalFormatting>
  <conditionalFormatting sqref="J117">
    <cfRule type="cellIs" dxfId="1988" priority="229" operator="equal">
      <formula>0</formula>
    </cfRule>
    <cfRule type="cellIs" dxfId="1987" priority="230" operator="lessThan">
      <formula>0</formula>
    </cfRule>
    <cfRule type="cellIs" dxfId="1986" priority="231" operator="greaterThan">
      <formula>0</formula>
    </cfRule>
  </conditionalFormatting>
  <conditionalFormatting sqref="N117">
    <cfRule type="cellIs" dxfId="1985" priority="226" operator="equal">
      <formula>0</formula>
    </cfRule>
    <cfRule type="cellIs" dxfId="1984" priority="227" operator="lessThan">
      <formula>0</formula>
    </cfRule>
    <cfRule type="cellIs" dxfId="1983" priority="228" operator="greaterThan">
      <formula>0</formula>
    </cfRule>
  </conditionalFormatting>
  <conditionalFormatting sqref="O118">
    <cfRule type="cellIs" dxfId="1982" priority="214" operator="equal">
      <formula>0</formula>
    </cfRule>
    <cfRule type="cellIs" dxfId="1981" priority="215" operator="lessThan">
      <formula>0</formula>
    </cfRule>
    <cfRule type="cellIs" dxfId="1980" priority="216" operator="greaterThan">
      <formula>0</formula>
    </cfRule>
  </conditionalFormatting>
  <conditionalFormatting sqref="J118">
    <cfRule type="cellIs" dxfId="1979" priority="220" operator="equal">
      <formula>0</formula>
    </cfRule>
    <cfRule type="cellIs" dxfId="1978" priority="221" operator="lessThan">
      <formula>0</formula>
    </cfRule>
    <cfRule type="cellIs" dxfId="1977" priority="222" operator="greaterThan">
      <formula>0</formula>
    </cfRule>
  </conditionalFormatting>
  <conditionalFormatting sqref="N118">
    <cfRule type="cellIs" dxfId="1976" priority="217" operator="equal">
      <formula>0</formula>
    </cfRule>
    <cfRule type="cellIs" dxfId="1975" priority="218" operator="lessThan">
      <formula>0</formula>
    </cfRule>
    <cfRule type="cellIs" dxfId="1974" priority="219" operator="greaterThan">
      <formula>0</formula>
    </cfRule>
  </conditionalFormatting>
  <conditionalFormatting sqref="F120">
    <cfRule type="cellIs" dxfId="1973" priority="211" operator="equal">
      <formula>0</formula>
    </cfRule>
    <cfRule type="cellIs" dxfId="1972" priority="212" operator="lessThan">
      <formula>0</formula>
    </cfRule>
    <cfRule type="cellIs" dxfId="1971" priority="213" operator="greaterThan">
      <formula>0</formula>
    </cfRule>
  </conditionalFormatting>
  <conditionalFormatting sqref="F121">
    <cfRule type="cellIs" dxfId="1970" priority="208" operator="equal">
      <formula>0</formula>
    </cfRule>
    <cfRule type="cellIs" dxfId="1969" priority="209" operator="lessThan">
      <formula>0</formula>
    </cfRule>
    <cfRule type="cellIs" dxfId="1968" priority="210" operator="greaterThan">
      <formula>0</formula>
    </cfRule>
  </conditionalFormatting>
  <conditionalFormatting sqref="O120">
    <cfRule type="cellIs" dxfId="1967" priority="199" operator="equal">
      <formula>0</formula>
    </cfRule>
    <cfRule type="cellIs" dxfId="1966" priority="200" operator="lessThan">
      <formula>0</formula>
    </cfRule>
    <cfRule type="cellIs" dxfId="1965" priority="201" operator="greaterThan">
      <formula>0</formula>
    </cfRule>
  </conditionalFormatting>
  <conditionalFormatting sqref="J120">
    <cfRule type="cellIs" dxfId="1964" priority="205" operator="equal">
      <formula>0</formula>
    </cfRule>
    <cfRule type="cellIs" dxfId="1963" priority="206" operator="lessThan">
      <formula>0</formula>
    </cfRule>
    <cfRule type="cellIs" dxfId="1962" priority="207" operator="greaterThan">
      <formula>0</formula>
    </cfRule>
  </conditionalFormatting>
  <conditionalFormatting sqref="N120">
    <cfRule type="cellIs" dxfId="1961" priority="202" operator="equal">
      <formula>0</formula>
    </cfRule>
    <cfRule type="cellIs" dxfId="1960" priority="203" operator="lessThan">
      <formula>0</formula>
    </cfRule>
    <cfRule type="cellIs" dxfId="1959" priority="204" operator="greaterThan">
      <formula>0</formula>
    </cfRule>
  </conditionalFormatting>
  <conditionalFormatting sqref="O121">
    <cfRule type="cellIs" dxfId="1958" priority="190" operator="equal">
      <formula>0</formula>
    </cfRule>
    <cfRule type="cellIs" dxfId="1957" priority="191" operator="lessThan">
      <formula>0</formula>
    </cfRule>
    <cfRule type="cellIs" dxfId="1956" priority="192" operator="greaterThan">
      <formula>0</formula>
    </cfRule>
  </conditionalFormatting>
  <conditionalFormatting sqref="J121">
    <cfRule type="cellIs" dxfId="1955" priority="196" operator="equal">
      <formula>0</formula>
    </cfRule>
    <cfRule type="cellIs" dxfId="1954" priority="197" operator="lessThan">
      <formula>0</formula>
    </cfRule>
    <cfRule type="cellIs" dxfId="1953" priority="198" operator="greaterThan">
      <formula>0</formula>
    </cfRule>
  </conditionalFormatting>
  <conditionalFormatting sqref="N121">
    <cfRule type="cellIs" dxfId="1952" priority="193" operator="equal">
      <formula>0</formula>
    </cfRule>
    <cfRule type="cellIs" dxfId="1951" priority="194" operator="lessThan">
      <formula>0</formula>
    </cfRule>
    <cfRule type="cellIs" dxfId="1950" priority="195" operator="greaterThan">
      <formula>0</formula>
    </cfRule>
  </conditionalFormatting>
  <conditionalFormatting sqref="F124">
    <cfRule type="cellIs" dxfId="1949" priority="187" operator="equal">
      <formula>0</formula>
    </cfRule>
    <cfRule type="cellIs" dxfId="1948" priority="188" operator="lessThan">
      <formula>0</formula>
    </cfRule>
    <cfRule type="cellIs" dxfId="1947" priority="189" operator="greaterThan">
      <formula>0</formula>
    </cfRule>
  </conditionalFormatting>
  <conditionalFormatting sqref="F125:F128">
    <cfRule type="cellIs" dxfId="1946" priority="184" operator="equal">
      <formula>0</formula>
    </cfRule>
    <cfRule type="cellIs" dxfId="1945" priority="185" operator="lessThan">
      <formula>0</formula>
    </cfRule>
    <cfRule type="cellIs" dxfId="1944" priority="186" operator="greaterThan">
      <formula>0</formula>
    </cfRule>
  </conditionalFormatting>
  <conditionalFormatting sqref="F130">
    <cfRule type="cellIs" dxfId="1943" priority="181" operator="equal">
      <formula>0</formula>
    </cfRule>
    <cfRule type="cellIs" dxfId="1942" priority="182" operator="lessThan">
      <formula>0</formula>
    </cfRule>
    <cfRule type="cellIs" dxfId="1941" priority="183" operator="greaterThan">
      <formula>0</formula>
    </cfRule>
  </conditionalFormatting>
  <conditionalFormatting sqref="F132">
    <cfRule type="cellIs" dxfId="1940" priority="178" operator="equal">
      <formula>0</formula>
    </cfRule>
    <cfRule type="cellIs" dxfId="1939" priority="179" operator="lessThan">
      <formula>0</formula>
    </cfRule>
    <cfRule type="cellIs" dxfId="1938" priority="180" operator="greaterThan">
      <formula>0</formula>
    </cfRule>
  </conditionalFormatting>
  <conditionalFormatting sqref="F133">
    <cfRule type="cellIs" dxfId="1937" priority="175" operator="equal">
      <formula>0</formula>
    </cfRule>
    <cfRule type="cellIs" dxfId="1936" priority="176" operator="lessThan">
      <formula>0</formula>
    </cfRule>
    <cfRule type="cellIs" dxfId="1935" priority="177" operator="greaterThan">
      <formula>0</formula>
    </cfRule>
  </conditionalFormatting>
  <conditionalFormatting sqref="F134">
    <cfRule type="cellIs" dxfId="1934" priority="172" operator="equal">
      <formula>0</formula>
    </cfRule>
    <cfRule type="cellIs" dxfId="1933" priority="173" operator="lessThan">
      <formula>0</formula>
    </cfRule>
    <cfRule type="cellIs" dxfId="1932" priority="174" operator="greaterThan">
      <formula>0</formula>
    </cfRule>
  </conditionalFormatting>
  <conditionalFormatting sqref="F136">
    <cfRule type="cellIs" dxfId="1931" priority="169" operator="equal">
      <formula>0</formula>
    </cfRule>
    <cfRule type="cellIs" dxfId="1930" priority="170" operator="lessThan">
      <formula>0</formula>
    </cfRule>
    <cfRule type="cellIs" dxfId="1929" priority="171" operator="greaterThan">
      <formula>0</formula>
    </cfRule>
  </conditionalFormatting>
  <conditionalFormatting sqref="F138">
    <cfRule type="cellIs" dxfId="1928" priority="166" operator="equal">
      <formula>0</formula>
    </cfRule>
    <cfRule type="cellIs" dxfId="1927" priority="167" operator="lessThan">
      <formula>0</formula>
    </cfRule>
    <cfRule type="cellIs" dxfId="1926" priority="168" operator="greaterThan">
      <formula>0</formula>
    </cfRule>
  </conditionalFormatting>
  <conditionalFormatting sqref="F139">
    <cfRule type="cellIs" dxfId="1925" priority="163" operator="equal">
      <formula>0</formula>
    </cfRule>
    <cfRule type="cellIs" dxfId="1924" priority="164" operator="lessThan">
      <formula>0</formula>
    </cfRule>
    <cfRule type="cellIs" dxfId="1923" priority="165" operator="greaterThan">
      <formula>0</formula>
    </cfRule>
  </conditionalFormatting>
  <conditionalFormatting sqref="F141">
    <cfRule type="cellIs" dxfId="1922" priority="160" operator="equal">
      <formula>0</formula>
    </cfRule>
    <cfRule type="cellIs" dxfId="1921" priority="161" operator="lessThan">
      <formula>0</formula>
    </cfRule>
    <cfRule type="cellIs" dxfId="1920" priority="162" operator="greaterThan">
      <formula>0</formula>
    </cfRule>
  </conditionalFormatting>
  <conditionalFormatting sqref="F142">
    <cfRule type="cellIs" dxfId="1919" priority="157" operator="equal">
      <formula>0</formula>
    </cfRule>
    <cfRule type="cellIs" dxfId="1918" priority="158" operator="lessThan">
      <formula>0</formula>
    </cfRule>
    <cfRule type="cellIs" dxfId="1917" priority="159" operator="greaterThan">
      <formula>0</formula>
    </cfRule>
  </conditionalFormatting>
  <conditionalFormatting sqref="F143">
    <cfRule type="cellIs" dxfId="1916" priority="154" operator="equal">
      <formula>0</formula>
    </cfRule>
    <cfRule type="cellIs" dxfId="1915" priority="155" operator="lessThan">
      <formula>0</formula>
    </cfRule>
    <cfRule type="cellIs" dxfId="1914" priority="156" operator="greaterThan">
      <formula>0</formula>
    </cfRule>
  </conditionalFormatting>
  <conditionalFormatting sqref="F146">
    <cfRule type="cellIs" dxfId="1913" priority="151" operator="equal">
      <formula>0</formula>
    </cfRule>
    <cfRule type="cellIs" dxfId="1912" priority="152" operator="lessThan">
      <formula>0</formula>
    </cfRule>
    <cfRule type="cellIs" dxfId="1911" priority="153" operator="greaterThan">
      <formula>0</formula>
    </cfRule>
  </conditionalFormatting>
  <conditionalFormatting sqref="F147">
    <cfRule type="cellIs" dxfId="1910" priority="148" operator="equal">
      <formula>0</formula>
    </cfRule>
    <cfRule type="cellIs" dxfId="1909" priority="149" operator="lessThan">
      <formula>0</formula>
    </cfRule>
    <cfRule type="cellIs" dxfId="1908" priority="150" operator="greaterThan">
      <formula>0</formula>
    </cfRule>
  </conditionalFormatting>
  <conditionalFormatting sqref="F148">
    <cfRule type="cellIs" dxfId="1907" priority="145" operator="equal">
      <formula>0</formula>
    </cfRule>
    <cfRule type="cellIs" dxfId="1906" priority="146" operator="lessThan">
      <formula>0</formula>
    </cfRule>
    <cfRule type="cellIs" dxfId="1905" priority="147" operator="greaterThan">
      <formula>0</formula>
    </cfRule>
  </conditionalFormatting>
  <conditionalFormatting sqref="F150">
    <cfRule type="cellIs" dxfId="1904" priority="142" operator="equal">
      <formula>0</formula>
    </cfRule>
    <cfRule type="cellIs" dxfId="1903" priority="143" operator="lessThan">
      <formula>0</formula>
    </cfRule>
    <cfRule type="cellIs" dxfId="1902" priority="144" operator="greaterThan">
      <formula>0</formula>
    </cfRule>
  </conditionalFormatting>
  <conditionalFormatting sqref="F151">
    <cfRule type="cellIs" dxfId="1901" priority="139" operator="equal">
      <formula>0</formula>
    </cfRule>
    <cfRule type="cellIs" dxfId="1900" priority="140" operator="lessThan">
      <formula>0</formula>
    </cfRule>
    <cfRule type="cellIs" dxfId="1899" priority="141" operator="greaterThan">
      <formula>0</formula>
    </cfRule>
  </conditionalFormatting>
  <conditionalFormatting sqref="F153">
    <cfRule type="cellIs" dxfId="1898" priority="136" operator="equal">
      <formula>0</formula>
    </cfRule>
    <cfRule type="cellIs" dxfId="1897" priority="137" operator="lessThan">
      <formula>0</formula>
    </cfRule>
    <cfRule type="cellIs" dxfId="1896" priority="138" operator="greaterThan">
      <formula>0</formula>
    </cfRule>
  </conditionalFormatting>
  <conditionalFormatting sqref="F155">
    <cfRule type="cellIs" dxfId="1895" priority="133" operator="equal">
      <formula>0</formula>
    </cfRule>
    <cfRule type="cellIs" dxfId="1894" priority="134" operator="lessThan">
      <formula>0</formula>
    </cfRule>
    <cfRule type="cellIs" dxfId="1893" priority="135" operator="greaterThan">
      <formula>0</formula>
    </cfRule>
  </conditionalFormatting>
  <conditionalFormatting sqref="F156">
    <cfRule type="cellIs" dxfId="1892" priority="130" operator="equal">
      <formula>0</formula>
    </cfRule>
    <cfRule type="cellIs" dxfId="1891" priority="131" operator="lessThan">
      <formula>0</formula>
    </cfRule>
    <cfRule type="cellIs" dxfId="1890" priority="132" operator="greaterThan">
      <formula>0</formula>
    </cfRule>
  </conditionalFormatting>
  <conditionalFormatting sqref="F159">
    <cfRule type="cellIs" dxfId="1889" priority="127" operator="equal">
      <formula>0</formula>
    </cfRule>
    <cfRule type="cellIs" dxfId="1888" priority="128" operator="lessThan">
      <formula>0</formula>
    </cfRule>
    <cfRule type="cellIs" dxfId="1887" priority="129" operator="greaterThan">
      <formula>0</formula>
    </cfRule>
  </conditionalFormatting>
  <conditionalFormatting sqref="O163:O164">
    <cfRule type="cellIs" dxfId="1886" priority="1" operator="equal">
      <formula>0</formula>
    </cfRule>
    <cfRule type="cellIs" dxfId="1885" priority="2" operator="lessThan">
      <formula>0</formula>
    </cfRule>
    <cfRule type="cellIs" dxfId="1884" priority="3" operator="greaterThan">
      <formula>0</formula>
    </cfRule>
  </conditionalFormatting>
  <conditionalFormatting sqref="F161">
    <cfRule type="cellIs" dxfId="1883" priority="124" operator="equal">
      <formula>0</formula>
    </cfRule>
    <cfRule type="cellIs" dxfId="1882" priority="125" operator="lessThan">
      <formula>0</formula>
    </cfRule>
    <cfRule type="cellIs" dxfId="1881" priority="126" operator="greaterThan">
      <formula>0</formula>
    </cfRule>
  </conditionalFormatting>
  <conditionalFormatting sqref="F163">
    <cfRule type="cellIs" dxfId="1880" priority="121" operator="equal">
      <formula>0</formula>
    </cfRule>
    <cfRule type="cellIs" dxfId="1879" priority="122" operator="lessThan">
      <formula>0</formula>
    </cfRule>
    <cfRule type="cellIs" dxfId="1878" priority="123" operator="greaterThan">
      <formula>0</formula>
    </cfRule>
  </conditionalFormatting>
  <conditionalFormatting sqref="F164">
    <cfRule type="cellIs" dxfId="1877" priority="118" operator="equal">
      <formula>0</formula>
    </cfRule>
    <cfRule type="cellIs" dxfId="1876" priority="119" operator="lessThan">
      <formula>0</formula>
    </cfRule>
    <cfRule type="cellIs" dxfId="1875" priority="120" operator="greaterThan">
      <formula>0</formula>
    </cfRule>
  </conditionalFormatting>
  <conditionalFormatting sqref="O124:O128">
    <cfRule type="cellIs" dxfId="1874" priority="109" operator="equal">
      <formula>0</formula>
    </cfRule>
    <cfRule type="cellIs" dxfId="1873" priority="110" operator="lessThan">
      <formula>0</formula>
    </cfRule>
    <cfRule type="cellIs" dxfId="1872" priority="111" operator="greaterThan">
      <formula>0</formula>
    </cfRule>
  </conditionalFormatting>
  <conditionalFormatting sqref="J124:J128">
    <cfRule type="cellIs" dxfId="1871" priority="115" operator="equal">
      <formula>0</formula>
    </cfRule>
    <cfRule type="cellIs" dxfId="1870" priority="116" operator="lessThan">
      <formula>0</formula>
    </cfRule>
    <cfRule type="cellIs" dxfId="1869" priority="117" operator="greaterThan">
      <formula>0</formula>
    </cfRule>
  </conditionalFormatting>
  <conditionalFormatting sqref="N124:N128">
    <cfRule type="cellIs" dxfId="1868" priority="112" operator="equal">
      <formula>0</formula>
    </cfRule>
    <cfRule type="cellIs" dxfId="1867" priority="113" operator="lessThan">
      <formula>0</formula>
    </cfRule>
    <cfRule type="cellIs" dxfId="1866" priority="114" operator="greaterThan">
      <formula>0</formula>
    </cfRule>
  </conditionalFormatting>
  <conditionalFormatting sqref="O130">
    <cfRule type="cellIs" dxfId="1865" priority="100" operator="equal">
      <formula>0</formula>
    </cfRule>
    <cfRule type="cellIs" dxfId="1864" priority="101" operator="lessThan">
      <formula>0</formula>
    </cfRule>
    <cfRule type="cellIs" dxfId="1863" priority="102" operator="greaterThan">
      <formula>0</formula>
    </cfRule>
  </conditionalFormatting>
  <conditionalFormatting sqref="J130">
    <cfRule type="cellIs" dxfId="1862" priority="106" operator="equal">
      <formula>0</formula>
    </cfRule>
    <cfRule type="cellIs" dxfId="1861" priority="107" operator="lessThan">
      <formula>0</formula>
    </cfRule>
    <cfRule type="cellIs" dxfId="1860" priority="108" operator="greaterThan">
      <formula>0</formula>
    </cfRule>
  </conditionalFormatting>
  <conditionalFormatting sqref="N130">
    <cfRule type="cellIs" dxfId="1859" priority="103" operator="equal">
      <formula>0</formula>
    </cfRule>
    <cfRule type="cellIs" dxfId="1858" priority="104" operator="lessThan">
      <formula>0</formula>
    </cfRule>
    <cfRule type="cellIs" dxfId="1857" priority="105" operator="greaterThan">
      <formula>0</formula>
    </cfRule>
  </conditionalFormatting>
  <conditionalFormatting sqref="O132:O134">
    <cfRule type="cellIs" dxfId="1856" priority="91" operator="equal">
      <formula>0</formula>
    </cfRule>
    <cfRule type="cellIs" dxfId="1855" priority="92" operator="lessThan">
      <formula>0</formula>
    </cfRule>
    <cfRule type="cellIs" dxfId="1854" priority="93" operator="greaterThan">
      <formula>0</formula>
    </cfRule>
  </conditionalFormatting>
  <conditionalFormatting sqref="J132:J134">
    <cfRule type="cellIs" dxfId="1853" priority="97" operator="equal">
      <formula>0</formula>
    </cfRule>
    <cfRule type="cellIs" dxfId="1852" priority="98" operator="lessThan">
      <formula>0</formula>
    </cfRule>
    <cfRule type="cellIs" dxfId="1851" priority="99" operator="greaterThan">
      <formula>0</formula>
    </cfRule>
  </conditionalFormatting>
  <conditionalFormatting sqref="N132:N134">
    <cfRule type="cellIs" dxfId="1850" priority="94" operator="equal">
      <formula>0</formula>
    </cfRule>
    <cfRule type="cellIs" dxfId="1849" priority="95" operator="lessThan">
      <formula>0</formula>
    </cfRule>
    <cfRule type="cellIs" dxfId="1848" priority="96" operator="greaterThan">
      <formula>0</formula>
    </cfRule>
  </conditionalFormatting>
  <conditionalFormatting sqref="O136">
    <cfRule type="cellIs" dxfId="1847" priority="82" operator="equal">
      <formula>0</formula>
    </cfRule>
    <cfRule type="cellIs" dxfId="1846" priority="83" operator="lessThan">
      <formula>0</formula>
    </cfRule>
    <cfRule type="cellIs" dxfId="1845" priority="84" operator="greaterThan">
      <formula>0</formula>
    </cfRule>
  </conditionalFormatting>
  <conditionalFormatting sqref="J136">
    <cfRule type="cellIs" dxfId="1844" priority="88" operator="equal">
      <formula>0</formula>
    </cfRule>
    <cfRule type="cellIs" dxfId="1843" priority="89" operator="lessThan">
      <formula>0</formula>
    </cfRule>
    <cfRule type="cellIs" dxfId="1842" priority="90" operator="greaterThan">
      <formula>0</formula>
    </cfRule>
  </conditionalFormatting>
  <conditionalFormatting sqref="N136">
    <cfRule type="cellIs" dxfId="1841" priority="85" operator="equal">
      <formula>0</formula>
    </cfRule>
    <cfRule type="cellIs" dxfId="1840" priority="86" operator="lessThan">
      <formula>0</formula>
    </cfRule>
    <cfRule type="cellIs" dxfId="1839" priority="87" operator="greaterThan">
      <formula>0</formula>
    </cfRule>
  </conditionalFormatting>
  <conditionalFormatting sqref="O138:O139">
    <cfRule type="cellIs" dxfId="1838" priority="73" operator="equal">
      <formula>0</formula>
    </cfRule>
    <cfRule type="cellIs" dxfId="1837" priority="74" operator="lessThan">
      <formula>0</formula>
    </cfRule>
    <cfRule type="cellIs" dxfId="1836" priority="75" operator="greaterThan">
      <formula>0</formula>
    </cfRule>
  </conditionalFormatting>
  <conditionalFormatting sqref="J138:J139">
    <cfRule type="cellIs" dxfId="1835" priority="79" operator="equal">
      <formula>0</formula>
    </cfRule>
    <cfRule type="cellIs" dxfId="1834" priority="80" operator="lessThan">
      <formula>0</formula>
    </cfRule>
    <cfRule type="cellIs" dxfId="1833" priority="81" operator="greaterThan">
      <formula>0</formula>
    </cfRule>
  </conditionalFormatting>
  <conditionalFormatting sqref="N138:N139">
    <cfRule type="cellIs" dxfId="1832" priority="76" operator="equal">
      <formula>0</formula>
    </cfRule>
    <cfRule type="cellIs" dxfId="1831" priority="77" operator="lessThan">
      <formula>0</formula>
    </cfRule>
    <cfRule type="cellIs" dxfId="1830" priority="78" operator="greaterThan">
      <formula>0</formula>
    </cfRule>
  </conditionalFormatting>
  <conditionalFormatting sqref="O141:O143">
    <cfRule type="cellIs" dxfId="1829" priority="64" operator="equal">
      <formula>0</formula>
    </cfRule>
    <cfRule type="cellIs" dxfId="1828" priority="65" operator="lessThan">
      <formula>0</formula>
    </cfRule>
    <cfRule type="cellIs" dxfId="1827" priority="66" operator="greaterThan">
      <formula>0</formula>
    </cfRule>
  </conditionalFormatting>
  <conditionalFormatting sqref="J141:J143">
    <cfRule type="cellIs" dxfId="1826" priority="70" operator="equal">
      <formula>0</formula>
    </cfRule>
    <cfRule type="cellIs" dxfId="1825" priority="71" operator="lessThan">
      <formula>0</formula>
    </cfRule>
    <cfRule type="cellIs" dxfId="1824" priority="72" operator="greaterThan">
      <formula>0</formula>
    </cfRule>
  </conditionalFormatting>
  <conditionalFormatting sqref="N141:N143">
    <cfRule type="cellIs" dxfId="1823" priority="67" operator="equal">
      <formula>0</formula>
    </cfRule>
    <cfRule type="cellIs" dxfId="1822" priority="68" operator="lessThan">
      <formula>0</formula>
    </cfRule>
    <cfRule type="cellIs" dxfId="1821" priority="69" operator="greaterThan">
      <formula>0</formula>
    </cfRule>
  </conditionalFormatting>
  <conditionalFormatting sqref="O146:O148">
    <cfRule type="cellIs" dxfId="1820" priority="55" operator="equal">
      <formula>0</formula>
    </cfRule>
    <cfRule type="cellIs" dxfId="1819" priority="56" operator="lessThan">
      <formula>0</formula>
    </cfRule>
    <cfRule type="cellIs" dxfId="1818" priority="57" operator="greaterThan">
      <formula>0</formula>
    </cfRule>
  </conditionalFormatting>
  <conditionalFormatting sqref="J146:J148">
    <cfRule type="cellIs" dxfId="1817" priority="61" operator="equal">
      <formula>0</formula>
    </cfRule>
    <cfRule type="cellIs" dxfId="1816" priority="62" operator="lessThan">
      <formula>0</formula>
    </cfRule>
    <cfRule type="cellIs" dxfId="1815" priority="63" operator="greaterThan">
      <formula>0</formula>
    </cfRule>
  </conditionalFormatting>
  <conditionalFormatting sqref="N146:N148">
    <cfRule type="cellIs" dxfId="1814" priority="58" operator="equal">
      <formula>0</formula>
    </cfRule>
    <cfRule type="cellIs" dxfId="1813" priority="59" operator="lessThan">
      <formula>0</formula>
    </cfRule>
    <cfRule type="cellIs" dxfId="1812" priority="60" operator="greaterThan">
      <formula>0</formula>
    </cfRule>
  </conditionalFormatting>
  <conditionalFormatting sqref="O150:O151">
    <cfRule type="cellIs" dxfId="1811" priority="46" operator="equal">
      <formula>0</formula>
    </cfRule>
    <cfRule type="cellIs" dxfId="1810" priority="47" operator="lessThan">
      <formula>0</formula>
    </cfRule>
    <cfRule type="cellIs" dxfId="1809" priority="48" operator="greaterThan">
      <formula>0</formula>
    </cfRule>
  </conditionalFormatting>
  <conditionalFormatting sqref="J150:J151">
    <cfRule type="cellIs" dxfId="1808" priority="52" operator="equal">
      <formula>0</formula>
    </cfRule>
    <cfRule type="cellIs" dxfId="1807" priority="53" operator="lessThan">
      <formula>0</formula>
    </cfRule>
    <cfRule type="cellIs" dxfId="1806" priority="54" operator="greaterThan">
      <formula>0</formula>
    </cfRule>
  </conditionalFormatting>
  <conditionalFormatting sqref="N150:N151">
    <cfRule type="cellIs" dxfId="1805" priority="49" operator="equal">
      <formula>0</formula>
    </cfRule>
    <cfRule type="cellIs" dxfId="1804" priority="50" operator="lessThan">
      <formula>0</formula>
    </cfRule>
    <cfRule type="cellIs" dxfId="1803" priority="51" operator="greaterThan">
      <formula>0</formula>
    </cfRule>
  </conditionalFormatting>
  <conditionalFormatting sqref="O153">
    <cfRule type="cellIs" dxfId="1802" priority="37" operator="equal">
      <formula>0</formula>
    </cfRule>
    <cfRule type="cellIs" dxfId="1801" priority="38" operator="lessThan">
      <formula>0</formula>
    </cfRule>
    <cfRule type="cellIs" dxfId="1800" priority="39" operator="greaterThan">
      <formula>0</formula>
    </cfRule>
  </conditionalFormatting>
  <conditionalFormatting sqref="J153">
    <cfRule type="cellIs" dxfId="1799" priority="43" operator="equal">
      <formula>0</formula>
    </cfRule>
    <cfRule type="cellIs" dxfId="1798" priority="44" operator="lessThan">
      <formula>0</formula>
    </cfRule>
    <cfRule type="cellIs" dxfId="1797" priority="45" operator="greaterThan">
      <formula>0</formula>
    </cfRule>
  </conditionalFormatting>
  <conditionalFormatting sqref="N153">
    <cfRule type="cellIs" dxfId="1796" priority="40" operator="equal">
      <formula>0</formula>
    </cfRule>
    <cfRule type="cellIs" dxfId="1795" priority="41" operator="lessThan">
      <formula>0</formula>
    </cfRule>
    <cfRule type="cellIs" dxfId="1794" priority="42" operator="greaterThan">
      <formula>0</formula>
    </cfRule>
  </conditionalFormatting>
  <conditionalFormatting sqref="O155:O156">
    <cfRule type="cellIs" dxfId="1793" priority="28" operator="equal">
      <formula>0</formula>
    </cfRule>
    <cfRule type="cellIs" dxfId="1792" priority="29" operator="lessThan">
      <formula>0</formula>
    </cfRule>
    <cfRule type="cellIs" dxfId="1791" priority="30" operator="greaterThan">
      <formula>0</formula>
    </cfRule>
  </conditionalFormatting>
  <conditionalFormatting sqref="J155:J156">
    <cfRule type="cellIs" dxfId="1790" priority="34" operator="equal">
      <formula>0</formula>
    </cfRule>
    <cfRule type="cellIs" dxfId="1789" priority="35" operator="lessThan">
      <formula>0</formula>
    </cfRule>
    <cfRule type="cellIs" dxfId="1788" priority="36" operator="greaterThan">
      <formula>0</formula>
    </cfRule>
  </conditionalFormatting>
  <conditionalFormatting sqref="N155:N156">
    <cfRule type="cellIs" dxfId="1787" priority="31" operator="equal">
      <formula>0</formula>
    </cfRule>
    <cfRule type="cellIs" dxfId="1786" priority="32" operator="lessThan">
      <formula>0</formula>
    </cfRule>
    <cfRule type="cellIs" dxfId="1785" priority="33" operator="greaterThan">
      <formula>0</formula>
    </cfRule>
  </conditionalFormatting>
  <conditionalFormatting sqref="O159">
    <cfRule type="cellIs" dxfId="1784" priority="19" operator="equal">
      <formula>0</formula>
    </cfRule>
    <cfRule type="cellIs" dxfId="1783" priority="20" operator="lessThan">
      <formula>0</formula>
    </cfRule>
    <cfRule type="cellIs" dxfId="1782" priority="21" operator="greaterThan">
      <formula>0</formula>
    </cfRule>
  </conditionalFormatting>
  <conditionalFormatting sqref="J159">
    <cfRule type="cellIs" dxfId="1781" priority="25" operator="equal">
      <formula>0</formula>
    </cfRule>
    <cfRule type="cellIs" dxfId="1780" priority="26" operator="lessThan">
      <formula>0</formula>
    </cfRule>
    <cfRule type="cellIs" dxfId="1779" priority="27" operator="greaterThan">
      <formula>0</formula>
    </cfRule>
  </conditionalFormatting>
  <conditionalFormatting sqref="N159">
    <cfRule type="cellIs" dxfId="1778" priority="22" operator="equal">
      <formula>0</formula>
    </cfRule>
    <cfRule type="cellIs" dxfId="1777" priority="23" operator="lessThan">
      <formula>0</formula>
    </cfRule>
    <cfRule type="cellIs" dxfId="1776" priority="24" operator="greaterThan">
      <formula>0</formula>
    </cfRule>
  </conditionalFormatting>
  <conditionalFormatting sqref="O161">
    <cfRule type="cellIs" dxfId="1775" priority="10" operator="equal">
      <formula>0</formula>
    </cfRule>
    <cfRule type="cellIs" dxfId="1774" priority="11" operator="lessThan">
      <formula>0</formula>
    </cfRule>
    <cfRule type="cellIs" dxfId="1773" priority="12" operator="greaterThan">
      <formula>0</formula>
    </cfRule>
  </conditionalFormatting>
  <conditionalFormatting sqref="J161">
    <cfRule type="cellIs" dxfId="1772" priority="16" operator="equal">
      <formula>0</formula>
    </cfRule>
    <cfRule type="cellIs" dxfId="1771" priority="17" operator="lessThan">
      <formula>0</formula>
    </cfRule>
    <cfRule type="cellIs" dxfId="1770" priority="18" operator="greaterThan">
      <formula>0</formula>
    </cfRule>
  </conditionalFormatting>
  <conditionalFormatting sqref="N161">
    <cfRule type="cellIs" dxfId="1769" priority="13" operator="equal">
      <formula>0</formula>
    </cfRule>
    <cfRule type="cellIs" dxfId="1768" priority="14" operator="lessThan">
      <formula>0</formula>
    </cfRule>
    <cfRule type="cellIs" dxfId="1767" priority="15" operator="greaterThan">
      <formula>0</formula>
    </cfRule>
  </conditionalFormatting>
  <conditionalFormatting sqref="J163:J164">
    <cfRule type="cellIs" dxfId="1766" priority="7" operator="equal">
      <formula>0</formula>
    </cfRule>
    <cfRule type="cellIs" dxfId="1765" priority="8" operator="lessThan">
      <formula>0</formula>
    </cfRule>
    <cfRule type="cellIs" dxfId="1764" priority="9" operator="greaterThan">
      <formula>0</formula>
    </cfRule>
  </conditionalFormatting>
  <conditionalFormatting sqref="N163:N164">
    <cfRule type="cellIs" dxfId="1763" priority="4" operator="equal">
      <formula>0</formula>
    </cfRule>
    <cfRule type="cellIs" dxfId="1762" priority="5" operator="lessThan">
      <formula>0</formula>
    </cfRule>
    <cfRule type="cellIs" dxfId="1761" priority="6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9" min="1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7"/>
  <sheetViews>
    <sheetView showGridLines="0" view="pageBreakPreview" topLeftCell="A7" zoomScale="85" zoomScaleNormal="60" zoomScaleSheetLayoutView="85" zoomScalePageLayoutView="55" workbookViewId="0">
      <selection activeCell="A28" sqref="A28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95" t="s">
        <v>453</v>
      </c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3"/>
      <c r="N1" s="393"/>
      <c r="O1" s="393"/>
    </row>
    <row r="2" spans="1:23" ht="17.25" customHeight="1" x14ac:dyDescent="0.25">
      <c r="A2" s="1"/>
      <c r="B2" s="394" t="s">
        <v>638</v>
      </c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2"/>
      <c r="N2" s="392"/>
      <c r="O2" s="392"/>
    </row>
    <row r="3" spans="1:23" ht="17.25" customHeight="1" x14ac:dyDescent="0.25">
      <c r="A3" s="1"/>
      <c r="B3" s="394" t="s">
        <v>635</v>
      </c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2"/>
      <c r="N3" s="392"/>
      <c r="O3" s="392"/>
    </row>
    <row r="4" spans="1:23" ht="15" customHeight="1" x14ac:dyDescent="0.25">
      <c r="A4" s="1"/>
      <c r="B4" s="394" t="s">
        <v>636</v>
      </c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2"/>
      <c r="N4" s="392"/>
      <c r="O4" s="392"/>
    </row>
    <row r="5" spans="1:23" ht="15" customHeight="1" x14ac:dyDescent="0.25">
      <c r="A5" s="1"/>
      <c r="B5" s="398" t="s">
        <v>637</v>
      </c>
      <c r="C5" s="394"/>
      <c r="D5" s="394"/>
      <c r="E5" s="394"/>
      <c r="F5" s="394"/>
      <c r="G5" s="394"/>
      <c r="H5" s="394"/>
      <c r="I5" s="394"/>
      <c r="J5" s="394"/>
      <c r="K5" s="394"/>
      <c r="L5" s="394"/>
      <c r="M5" s="392"/>
      <c r="N5" s="392"/>
      <c r="O5" s="392"/>
    </row>
    <row r="6" spans="1:23" ht="16.5" thickBot="1" x14ac:dyDescent="0.3"/>
    <row r="7" spans="1:23" s="4" customFormat="1" ht="24" customHeight="1" thickBot="1" x14ac:dyDescent="0.3">
      <c r="B7" s="399" t="s">
        <v>366</v>
      </c>
      <c r="C7" s="400"/>
      <c r="D7" s="400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1"/>
      <c r="Q7" s="31"/>
      <c r="R7" s="31"/>
      <c r="W7" s="58"/>
    </row>
    <row r="8" spans="1:23" ht="16.5" thickBot="1" x14ac:dyDescent="0.3">
      <c r="R8" s="394"/>
      <c r="S8" s="394"/>
      <c r="T8" s="394"/>
      <c r="U8" s="394"/>
      <c r="V8" s="394"/>
      <c r="W8" s="394"/>
    </row>
    <row r="9" spans="1:23" ht="46.5" customHeight="1" thickBot="1" x14ac:dyDescent="0.3">
      <c r="B9" s="89" t="s">
        <v>44</v>
      </c>
      <c r="C9" s="90" t="s">
        <v>26</v>
      </c>
      <c r="D9" s="293" t="s">
        <v>641</v>
      </c>
      <c r="E9" s="293" t="s">
        <v>644</v>
      </c>
      <c r="F9" s="293" t="s">
        <v>646</v>
      </c>
      <c r="G9" s="90" t="s">
        <v>3</v>
      </c>
      <c r="H9" s="301" t="s">
        <v>642</v>
      </c>
      <c r="I9" s="300" t="s">
        <v>645</v>
      </c>
      <c r="J9" s="300" t="s">
        <v>647</v>
      </c>
      <c r="K9" s="294" t="s">
        <v>643</v>
      </c>
      <c r="L9" s="302" t="s">
        <v>655</v>
      </c>
      <c r="M9" s="302" t="s">
        <v>654</v>
      </c>
      <c r="N9" s="302" t="s">
        <v>656</v>
      </c>
      <c r="O9" s="302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95"/>
      <c r="J10" s="295"/>
      <c r="K10" s="295"/>
      <c r="L10" s="217"/>
      <c r="M10" s="217"/>
      <c r="N10" s="307"/>
      <c r="O10" s="304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96"/>
      <c r="J11" s="296"/>
      <c r="K11" s="296"/>
      <c r="L11" s="218"/>
      <c r="M11" s="218"/>
      <c r="N11" s="308"/>
      <c r="O11" s="305"/>
      <c r="R11" s="68"/>
    </row>
    <row r="12" spans="1:23" x14ac:dyDescent="0.25">
      <c r="B12" s="79">
        <v>101.01</v>
      </c>
      <c r="C12" s="213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UNITARIOS!K54</f>
        <v>28</v>
      </c>
      <c r="I12" s="296">
        <f>'UNITARIOS NUEVOS'!K54</f>
        <v>28</v>
      </c>
      <c r="J12" s="115">
        <f t="shared" ref="J12:J19" si="1">I12-H12</f>
        <v>0</v>
      </c>
      <c r="K12" s="296">
        <f t="shared" ref="K12:K19" si="2">D12*H12</f>
        <v>1323.28</v>
      </c>
      <c r="L12" s="218">
        <f t="shared" ref="L12:L19" si="3">+E12*H12</f>
        <v>1276.8</v>
      </c>
      <c r="M12" s="218">
        <f t="shared" ref="M12:M19" si="4">+E12*I12</f>
        <v>1276.8</v>
      </c>
      <c r="N12" s="310">
        <f t="shared" ref="N12:N19" si="5">L12-K12</f>
        <v>-46.480000000000018</v>
      </c>
      <c r="O12" s="311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3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UNITARIOS!K110</f>
        <v>49</v>
      </c>
      <c r="I13" s="296">
        <f>'UNITARIOS NUEVOS'!K110</f>
        <v>159.6</v>
      </c>
      <c r="J13" s="115">
        <f t="shared" si="1"/>
        <v>110.6</v>
      </c>
      <c r="K13" s="296">
        <f t="shared" si="2"/>
        <v>1890.91</v>
      </c>
      <c r="L13" s="218">
        <f t="shared" si="3"/>
        <v>764.4</v>
      </c>
      <c r="M13" s="218">
        <f t="shared" si="4"/>
        <v>2489.7599999999998</v>
      </c>
      <c r="N13" s="310">
        <f t="shared" si="5"/>
        <v>-1126.5100000000002</v>
      </c>
      <c r="O13" s="311">
        <f t="shared" si="6"/>
        <v>598.84999999999968</v>
      </c>
      <c r="T13" s="5"/>
    </row>
    <row r="14" spans="1:23" x14ac:dyDescent="0.25">
      <c r="B14" s="79">
        <v>111.03</v>
      </c>
      <c r="C14" s="213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UNITARIOS!K161</f>
        <v>126</v>
      </c>
      <c r="I14" s="296">
        <f>'UNITARIOS NUEVOS'!K161</f>
        <v>159.6</v>
      </c>
      <c r="J14" s="115">
        <f t="shared" si="1"/>
        <v>33.599999999999994</v>
      </c>
      <c r="K14" s="296">
        <f t="shared" si="2"/>
        <v>8381.5199999999986</v>
      </c>
      <c r="L14" s="218">
        <f t="shared" si="3"/>
        <v>3490.2</v>
      </c>
      <c r="M14" s="218">
        <f t="shared" si="4"/>
        <v>4420.92</v>
      </c>
      <c r="N14" s="310">
        <f t="shared" si="5"/>
        <v>-4891.3199999999988</v>
      </c>
      <c r="O14" s="311">
        <f t="shared" si="6"/>
        <v>-3960.5999999999985</v>
      </c>
      <c r="T14" s="5"/>
    </row>
    <row r="15" spans="1:23" x14ac:dyDescent="0.25">
      <c r="B15" s="79">
        <v>114.03</v>
      </c>
      <c r="C15" s="213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UNITARIOS!K212</f>
        <v>364</v>
      </c>
      <c r="I15" s="296">
        <f>'UNITARIOS NUEVOS'!K212</f>
        <v>168</v>
      </c>
      <c r="J15" s="115">
        <f t="shared" si="1"/>
        <v>-196</v>
      </c>
      <c r="K15" s="296">
        <f t="shared" si="2"/>
        <v>2184</v>
      </c>
      <c r="L15" s="218">
        <f t="shared" si="3"/>
        <v>14014</v>
      </c>
      <c r="M15" s="218">
        <f t="shared" si="4"/>
        <v>6468</v>
      </c>
      <c r="N15" s="310">
        <f t="shared" si="5"/>
        <v>11830</v>
      </c>
      <c r="O15" s="311">
        <f t="shared" si="6"/>
        <v>4284</v>
      </c>
      <c r="T15" s="5"/>
    </row>
    <row r="16" spans="1:23" x14ac:dyDescent="0.25">
      <c r="B16" s="79">
        <v>117.01</v>
      </c>
      <c r="C16" s="213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UNITARIOS!K264</f>
        <v>364</v>
      </c>
      <c r="I16" s="296">
        <f>'UNITARIOS NUEVOS'!K264</f>
        <v>315</v>
      </c>
      <c r="J16" s="115">
        <f t="shared" si="1"/>
        <v>-49</v>
      </c>
      <c r="K16" s="296">
        <f t="shared" si="2"/>
        <v>1092</v>
      </c>
      <c r="L16" s="218">
        <f t="shared" si="3"/>
        <v>728</v>
      </c>
      <c r="M16" s="218">
        <f t="shared" si="4"/>
        <v>630</v>
      </c>
      <c r="N16" s="310">
        <f t="shared" si="5"/>
        <v>-364</v>
      </c>
      <c r="O16" s="311">
        <f t="shared" si="6"/>
        <v>-462</v>
      </c>
      <c r="T16" s="5"/>
    </row>
    <row r="17" spans="2:20" x14ac:dyDescent="0.25">
      <c r="B17" s="79">
        <v>118.01</v>
      </c>
      <c r="C17" s="213" t="s">
        <v>569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UNITARIOS!K316</f>
        <v>84</v>
      </c>
      <c r="I17" s="296">
        <f>'UNITARIOS NUEVOS'!K316</f>
        <v>84</v>
      </c>
      <c r="J17" s="115">
        <f t="shared" si="1"/>
        <v>0</v>
      </c>
      <c r="K17" s="296">
        <f t="shared" si="2"/>
        <v>588</v>
      </c>
      <c r="L17" s="218">
        <f t="shared" si="3"/>
        <v>336</v>
      </c>
      <c r="M17" s="218">
        <f t="shared" si="4"/>
        <v>336</v>
      </c>
      <c r="N17" s="310">
        <f t="shared" si="5"/>
        <v>-252</v>
      </c>
      <c r="O17" s="311">
        <f t="shared" si="6"/>
        <v>-252</v>
      </c>
      <c r="P17" s="236"/>
      <c r="Q17" s="221"/>
      <c r="T17" s="5"/>
    </row>
    <row r="18" spans="2:20" x14ac:dyDescent="0.25">
      <c r="B18" s="79" t="s">
        <v>663</v>
      </c>
      <c r="C18" s="314" t="s">
        <v>664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96">
        <f>'UNITARIOS NUEVOS'!K368</f>
        <v>63</v>
      </c>
      <c r="J18" s="115">
        <f t="shared" si="1"/>
        <v>63</v>
      </c>
      <c r="K18" s="296">
        <f t="shared" si="2"/>
        <v>0</v>
      </c>
      <c r="L18" s="218">
        <f>M18</f>
        <v>3339</v>
      </c>
      <c r="M18" s="218">
        <f t="shared" si="4"/>
        <v>3339</v>
      </c>
      <c r="N18" s="310">
        <f t="shared" si="5"/>
        <v>3339</v>
      </c>
      <c r="O18" s="311">
        <f t="shared" si="6"/>
        <v>3339</v>
      </c>
      <c r="P18" s="236"/>
      <c r="Q18" s="221"/>
      <c r="T18" s="5"/>
    </row>
    <row r="19" spans="2:20" x14ac:dyDescent="0.25">
      <c r="B19" s="79" t="s">
        <v>663</v>
      </c>
      <c r="C19" s="314" t="s">
        <v>665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96">
        <f>'UNITARIOS NUEVOS'!K420</f>
        <v>217</v>
      </c>
      <c r="J19" s="115">
        <f t="shared" si="1"/>
        <v>217</v>
      </c>
      <c r="K19" s="296">
        <f t="shared" si="2"/>
        <v>0</v>
      </c>
      <c r="L19" s="218">
        <f>M19</f>
        <v>3385.2</v>
      </c>
      <c r="M19" s="218">
        <f t="shared" si="4"/>
        <v>3385.2</v>
      </c>
      <c r="N19" s="310">
        <f t="shared" si="5"/>
        <v>3385.2</v>
      </c>
      <c r="O19" s="311">
        <f t="shared" si="6"/>
        <v>3385.2</v>
      </c>
      <c r="P19" s="236"/>
      <c r="Q19" s="221"/>
      <c r="T19" s="5"/>
    </row>
    <row r="20" spans="2:20" x14ac:dyDescent="0.25">
      <c r="B20" s="79"/>
      <c r="C20" s="215" t="s">
        <v>383</v>
      </c>
      <c r="D20" s="72"/>
      <c r="E20" s="72"/>
      <c r="F20" s="72"/>
      <c r="G20" s="72"/>
      <c r="H20" s="84"/>
      <c r="I20" s="296"/>
      <c r="J20" s="296"/>
      <c r="K20" s="296"/>
      <c r="L20" s="218"/>
      <c r="M20" s="218"/>
      <c r="N20" s="308"/>
      <c r="O20" s="305"/>
      <c r="P20" s="236"/>
      <c r="T20" s="5"/>
    </row>
    <row r="21" spans="2:20" x14ac:dyDescent="0.25">
      <c r="B21" s="79">
        <v>201.01</v>
      </c>
      <c r="C21" s="213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UNITARIOS!K370</f>
        <v>140</v>
      </c>
      <c r="I21" s="296">
        <f>'UNITARIOS NUEVOS'!K474</f>
        <v>122.5</v>
      </c>
      <c r="J21" s="115">
        <f t="shared" ref="J21:J26" si="8">I21-H21</f>
        <v>-17.5</v>
      </c>
      <c r="K21" s="296">
        <f t="shared" ref="K21:K26" si="9">D21*H21</f>
        <v>2451.4</v>
      </c>
      <c r="L21" s="218">
        <f t="shared" ref="L21:L26" si="10">+E21*H21</f>
        <v>1652</v>
      </c>
      <c r="M21" s="218">
        <f t="shared" ref="M21:M26" si="11">+E21*I21</f>
        <v>1445.5</v>
      </c>
      <c r="N21" s="310">
        <f t="shared" ref="N21:N26" si="12">L21-K21</f>
        <v>-799.40000000000009</v>
      </c>
      <c r="O21" s="311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3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UNITARIOS!K421</f>
        <v>364</v>
      </c>
      <c r="I22" s="296">
        <f>'UNITARIOS NUEVOS'!K525</f>
        <v>162.4</v>
      </c>
      <c r="J22" s="115">
        <f t="shared" si="8"/>
        <v>-201.6</v>
      </c>
      <c r="K22" s="296">
        <f t="shared" si="9"/>
        <v>2467.92</v>
      </c>
      <c r="L22" s="218">
        <f t="shared" si="10"/>
        <v>1929.2</v>
      </c>
      <c r="M22" s="218">
        <f t="shared" si="11"/>
        <v>860.72</v>
      </c>
      <c r="N22" s="310">
        <f t="shared" si="12"/>
        <v>-538.72</v>
      </c>
      <c r="O22" s="311">
        <f t="shared" si="13"/>
        <v>-1607.2</v>
      </c>
      <c r="T22" s="5"/>
    </row>
    <row r="23" spans="2:20" ht="31.5" x14ac:dyDescent="0.25">
      <c r="B23" s="79">
        <v>206.06</v>
      </c>
      <c r="C23" s="315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UNITARIOS!K477</f>
        <v>392</v>
      </c>
      <c r="I23" s="296">
        <f>'UNITARIOS NUEVOS'!K581</f>
        <v>413</v>
      </c>
      <c r="J23" s="115">
        <f t="shared" si="8"/>
        <v>21</v>
      </c>
      <c r="K23" s="296">
        <f t="shared" si="9"/>
        <v>15127.28</v>
      </c>
      <c r="L23" s="218">
        <f t="shared" si="10"/>
        <v>7683.2000000000007</v>
      </c>
      <c r="M23" s="218">
        <f t="shared" si="11"/>
        <v>8094.8</v>
      </c>
      <c r="N23" s="310">
        <f t="shared" si="12"/>
        <v>-7444.08</v>
      </c>
      <c r="O23" s="311">
        <f t="shared" si="13"/>
        <v>-7032.4800000000005</v>
      </c>
      <c r="T23" s="5"/>
    </row>
    <row r="24" spans="2:20" ht="31.5" x14ac:dyDescent="0.25">
      <c r="B24" s="79">
        <v>210.06</v>
      </c>
      <c r="C24" s="381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UNITARIOS!K531</f>
        <v>280</v>
      </c>
      <c r="I24" s="296">
        <v>0</v>
      </c>
      <c r="J24" s="115">
        <f t="shared" si="8"/>
        <v>-280</v>
      </c>
      <c r="K24" s="296">
        <f t="shared" si="9"/>
        <v>2016</v>
      </c>
      <c r="L24" s="218">
        <f t="shared" si="10"/>
        <v>0</v>
      </c>
      <c r="M24" s="218">
        <f t="shared" si="11"/>
        <v>0</v>
      </c>
      <c r="N24" s="310">
        <f t="shared" si="12"/>
        <v>-2016</v>
      </c>
      <c r="O24" s="311">
        <f t="shared" si="13"/>
        <v>-2016</v>
      </c>
      <c r="T24" s="5"/>
    </row>
    <row r="25" spans="2:20" ht="47.25" x14ac:dyDescent="0.25">
      <c r="B25" s="79">
        <v>210.06</v>
      </c>
      <c r="C25" s="314" t="s">
        <v>707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96">
        <f>'UNITARIOS NUEVOS'!K635</f>
        <v>334.6</v>
      </c>
      <c r="J25" s="115">
        <f t="shared" si="8"/>
        <v>334.6</v>
      </c>
      <c r="K25" s="296">
        <f t="shared" si="9"/>
        <v>0</v>
      </c>
      <c r="L25" s="218">
        <f>M25</f>
        <v>2810.6400000000003</v>
      </c>
      <c r="M25" s="218">
        <f t="shared" si="11"/>
        <v>2810.6400000000003</v>
      </c>
      <c r="N25" s="310">
        <f t="shared" si="12"/>
        <v>2810.6400000000003</v>
      </c>
      <c r="O25" s="311">
        <f t="shared" si="13"/>
        <v>2810.6400000000003</v>
      </c>
      <c r="T25" s="5"/>
    </row>
    <row r="26" spans="2:20" ht="31.5" x14ac:dyDescent="0.25">
      <c r="B26" s="79">
        <v>210.09</v>
      </c>
      <c r="C26" s="381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UNITARIOS!K585</f>
        <v>504</v>
      </c>
      <c r="I26" s="296">
        <v>0</v>
      </c>
      <c r="J26" s="115">
        <f t="shared" si="8"/>
        <v>-504</v>
      </c>
      <c r="K26" s="296">
        <f t="shared" si="9"/>
        <v>4173.12</v>
      </c>
      <c r="L26" s="218">
        <f t="shared" si="10"/>
        <v>0</v>
      </c>
      <c r="M26" s="218">
        <f t="shared" si="11"/>
        <v>0</v>
      </c>
      <c r="N26" s="310">
        <f t="shared" si="12"/>
        <v>-4173.12</v>
      </c>
      <c r="O26" s="311">
        <f t="shared" si="13"/>
        <v>-4173.12</v>
      </c>
      <c r="P26" s="236">
        <f>SUM(L21:L26)</f>
        <v>14075.04</v>
      </c>
      <c r="T26" s="5"/>
    </row>
    <row r="27" spans="2:20" x14ac:dyDescent="0.25">
      <c r="B27" s="79"/>
      <c r="C27" s="215" t="s">
        <v>457</v>
      </c>
      <c r="D27" s="72"/>
      <c r="E27" s="72"/>
      <c r="F27" s="72"/>
      <c r="G27" s="72"/>
      <c r="H27" s="84"/>
      <c r="I27" s="296"/>
      <c r="J27" s="296"/>
      <c r="K27" s="296"/>
      <c r="L27" s="218"/>
      <c r="M27" s="218"/>
      <c r="N27" s="308"/>
      <c r="O27" s="305"/>
      <c r="T27" s="5"/>
    </row>
    <row r="28" spans="2:20" ht="31.5" x14ac:dyDescent="0.25">
      <c r="B28" s="136">
        <v>303.06</v>
      </c>
      <c r="C28" s="381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UNITARIOS!K639</f>
        <v>280</v>
      </c>
      <c r="I28" s="296">
        <v>0</v>
      </c>
      <c r="J28" s="115">
        <f>I28-H28</f>
        <v>-280</v>
      </c>
      <c r="K28" s="296">
        <f>D28*H28</f>
        <v>5754</v>
      </c>
      <c r="L28" s="218">
        <f>+E28*H28</f>
        <v>0</v>
      </c>
      <c r="M28" s="218">
        <f>+E28*I28</f>
        <v>0</v>
      </c>
      <c r="N28" s="310">
        <f>L28-K28</f>
        <v>-5754</v>
      </c>
      <c r="O28" s="311">
        <f>M28-K28</f>
        <v>-5754</v>
      </c>
      <c r="T28" s="5"/>
    </row>
    <row r="29" spans="2:20" ht="31.5" x14ac:dyDescent="0.25">
      <c r="B29" s="136">
        <v>303.06</v>
      </c>
      <c r="C29" s="314" t="s">
        <v>713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96">
        <f>'UNITARIOS NUEVOS'!K689</f>
        <v>313.60000000000002</v>
      </c>
      <c r="J29" s="115">
        <f>I29-H29</f>
        <v>313.60000000000002</v>
      </c>
      <c r="K29" s="296">
        <f>D29*H29</f>
        <v>0</v>
      </c>
      <c r="L29" s="218">
        <f>M29</f>
        <v>8843.52</v>
      </c>
      <c r="M29" s="218">
        <f>+E29*I29</f>
        <v>8843.52</v>
      </c>
      <c r="N29" s="310">
        <f>L29-K29</f>
        <v>8843.52</v>
      </c>
      <c r="O29" s="311">
        <f>M29-K29</f>
        <v>8843.52</v>
      </c>
      <c r="T29" s="5"/>
    </row>
    <row r="30" spans="2:20" ht="31.5" x14ac:dyDescent="0.25">
      <c r="B30" s="136">
        <v>303.08999999999997</v>
      </c>
      <c r="C30" s="381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UNITARIOS!K693</f>
        <v>504</v>
      </c>
      <c r="I30" s="296">
        <v>0</v>
      </c>
      <c r="J30" s="115">
        <f>I30-H30</f>
        <v>-504</v>
      </c>
      <c r="K30" s="296">
        <f>D30*H30</f>
        <v>9626.4000000000015</v>
      </c>
      <c r="L30" s="218">
        <f>+E30*H30</f>
        <v>0</v>
      </c>
      <c r="M30" s="218">
        <f>+E30*I30</f>
        <v>0</v>
      </c>
      <c r="N30" s="310">
        <f>L30-K30</f>
        <v>-9626.4000000000015</v>
      </c>
      <c r="O30" s="311">
        <f>M30-K30</f>
        <v>-9626.4000000000015</v>
      </c>
      <c r="T30" s="5"/>
    </row>
    <row r="31" spans="2:20" x14ac:dyDescent="0.25">
      <c r="B31" s="136">
        <v>304.07</v>
      </c>
      <c r="C31" s="381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UNITARIOS!K749</f>
        <v>49</v>
      </c>
      <c r="I31" s="296">
        <v>0</v>
      </c>
      <c r="J31" s="115">
        <f>I31-H31</f>
        <v>-49</v>
      </c>
      <c r="K31" s="296">
        <f>D31*H31</f>
        <v>34368.6</v>
      </c>
      <c r="L31" s="218">
        <f>+E31*H31</f>
        <v>0</v>
      </c>
      <c r="M31" s="218">
        <f>+E31*I31</f>
        <v>0</v>
      </c>
      <c r="N31" s="310">
        <f>L31-K31</f>
        <v>-34368.6</v>
      </c>
      <c r="O31" s="311">
        <f>M31-K31</f>
        <v>-34368.6</v>
      </c>
      <c r="P31" s="236">
        <f>SUM(L28:L31)</f>
        <v>8843.52</v>
      </c>
      <c r="T31" s="5"/>
    </row>
    <row r="32" spans="2:20" x14ac:dyDescent="0.25">
      <c r="B32" s="136"/>
      <c r="C32" s="215" t="s">
        <v>384</v>
      </c>
      <c r="D32" s="72"/>
      <c r="E32" s="72"/>
      <c r="F32" s="72"/>
      <c r="G32" s="72"/>
      <c r="H32" s="84"/>
      <c r="I32" s="296"/>
      <c r="J32" s="296"/>
      <c r="K32" s="296"/>
      <c r="L32" s="218"/>
      <c r="M32" s="218"/>
      <c r="N32" s="308"/>
      <c r="O32" s="305"/>
      <c r="T32" s="5"/>
    </row>
    <row r="33" spans="2:23" s="4" customFormat="1" ht="31.5" x14ac:dyDescent="0.25">
      <c r="B33" s="136">
        <v>401.35</v>
      </c>
      <c r="C33" s="381" t="s">
        <v>496</v>
      </c>
      <c r="D33" s="72">
        <v>15</v>
      </c>
      <c r="E33" s="72">
        <v>0</v>
      </c>
      <c r="F33" s="72">
        <f t="shared" ref="F33:F53" si="14">E33-D33</f>
        <v>-15</v>
      </c>
      <c r="G33" s="72" t="s">
        <v>71</v>
      </c>
      <c r="H33" s="84">
        <f>UNITARIOS!K806</f>
        <v>392</v>
      </c>
      <c r="I33" s="296">
        <v>0</v>
      </c>
      <c r="J33" s="115">
        <f t="shared" ref="J33:J38" si="15">I33-H33</f>
        <v>-392</v>
      </c>
      <c r="K33" s="296">
        <f t="shared" ref="K33:K38" si="16">D33*H33</f>
        <v>5880</v>
      </c>
      <c r="L33" s="218">
        <f t="shared" ref="L33:L38" si="17">+E33*H33</f>
        <v>0</v>
      </c>
      <c r="M33" s="218">
        <f t="shared" ref="M33:M38" si="18">+E33*I33</f>
        <v>0</v>
      </c>
      <c r="N33" s="310">
        <f t="shared" ref="N33:N38" si="19">L33-K33</f>
        <v>-5880</v>
      </c>
      <c r="O33" s="311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314" t="s">
        <v>723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96">
        <f>'UNITARIOS NUEVOS'!K745</f>
        <v>443.1</v>
      </c>
      <c r="J34" s="115">
        <f t="shared" si="15"/>
        <v>443.1</v>
      </c>
      <c r="K34" s="296">
        <f t="shared" si="16"/>
        <v>0</v>
      </c>
      <c r="L34" s="218">
        <f>M34</f>
        <v>14533.68</v>
      </c>
      <c r="M34" s="218">
        <f t="shared" si="18"/>
        <v>14533.68</v>
      </c>
      <c r="N34" s="310">
        <f t="shared" si="19"/>
        <v>14533.68</v>
      </c>
      <c r="O34" s="311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81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UNITARIOS!K862</f>
        <v>252</v>
      </c>
      <c r="I35" s="296">
        <v>0</v>
      </c>
      <c r="J35" s="115">
        <f t="shared" si="15"/>
        <v>-252</v>
      </c>
      <c r="K35" s="296">
        <f t="shared" si="16"/>
        <v>3780</v>
      </c>
      <c r="L35" s="218">
        <f t="shared" si="17"/>
        <v>0</v>
      </c>
      <c r="M35" s="218">
        <f t="shared" si="18"/>
        <v>0</v>
      </c>
      <c r="N35" s="310">
        <f t="shared" si="19"/>
        <v>-3780</v>
      </c>
      <c r="O35" s="311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81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UNITARIOS!K918</f>
        <v>532</v>
      </c>
      <c r="I36" s="296">
        <v>0</v>
      </c>
      <c r="J36" s="115">
        <f t="shared" si="15"/>
        <v>-532</v>
      </c>
      <c r="K36" s="296">
        <f t="shared" si="16"/>
        <v>11172</v>
      </c>
      <c r="L36" s="218">
        <f t="shared" si="17"/>
        <v>0</v>
      </c>
      <c r="M36" s="218">
        <f t="shared" si="18"/>
        <v>0</v>
      </c>
      <c r="N36" s="310">
        <f t="shared" si="19"/>
        <v>-11172</v>
      </c>
      <c r="O36" s="311">
        <f t="shared" si="20"/>
        <v>-11172</v>
      </c>
      <c r="T36" s="5"/>
    </row>
    <row r="37" spans="2:23" ht="31.5" x14ac:dyDescent="0.25">
      <c r="B37" s="136">
        <v>404.01</v>
      </c>
      <c r="C37" s="381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UNITARIOS!K974</f>
        <v>595</v>
      </c>
      <c r="I37" s="296">
        <v>0</v>
      </c>
      <c r="J37" s="115">
        <f t="shared" si="15"/>
        <v>-595</v>
      </c>
      <c r="K37" s="296">
        <f t="shared" si="16"/>
        <v>1071</v>
      </c>
      <c r="L37" s="218">
        <f t="shared" si="17"/>
        <v>0</v>
      </c>
      <c r="M37" s="218">
        <f t="shared" si="18"/>
        <v>0</v>
      </c>
      <c r="N37" s="310">
        <f t="shared" si="19"/>
        <v>-1071</v>
      </c>
      <c r="O37" s="311">
        <f t="shared" si="20"/>
        <v>-1071</v>
      </c>
      <c r="T37" s="5"/>
    </row>
    <row r="38" spans="2:23" x14ac:dyDescent="0.25">
      <c r="B38" s="136">
        <v>405.23</v>
      </c>
      <c r="C38" s="381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UNITARIOS!K1030</f>
        <v>252</v>
      </c>
      <c r="I38" s="296">
        <v>0</v>
      </c>
      <c r="J38" s="115">
        <f t="shared" si="15"/>
        <v>-252</v>
      </c>
      <c r="K38" s="296">
        <f t="shared" si="16"/>
        <v>10009.44</v>
      </c>
      <c r="L38" s="218">
        <f t="shared" si="17"/>
        <v>0</v>
      </c>
      <c r="M38" s="218">
        <f t="shared" si="18"/>
        <v>0</v>
      </c>
      <c r="N38" s="310">
        <f t="shared" si="19"/>
        <v>-10009.44</v>
      </c>
      <c r="O38" s="311">
        <f t="shared" si="20"/>
        <v>-10009.44</v>
      </c>
      <c r="T38" s="5"/>
    </row>
    <row r="39" spans="2:23" ht="31.5" x14ac:dyDescent="0.25">
      <c r="B39" s="136">
        <v>405.23</v>
      </c>
      <c r="C39" s="213" t="s">
        <v>722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96">
        <f>'UNITARIOS NUEVOS'!K801</f>
        <v>302.39999999999998</v>
      </c>
      <c r="J39" s="115">
        <f>I39-H39</f>
        <v>302.39999999999998</v>
      </c>
      <c r="K39" s="296">
        <f>D39*H39</f>
        <v>0</v>
      </c>
      <c r="L39" s="218">
        <f>M39</f>
        <v>4233.5999999999995</v>
      </c>
      <c r="M39" s="218">
        <f>+E39*I39</f>
        <v>4233.5999999999995</v>
      </c>
      <c r="N39" s="310">
        <f>L39-K39</f>
        <v>4233.5999999999995</v>
      </c>
      <c r="O39" s="311">
        <f>M39-K39</f>
        <v>4233.5999999999995</v>
      </c>
      <c r="T39" s="5"/>
    </row>
    <row r="40" spans="2:23" ht="31.5" x14ac:dyDescent="0.25">
      <c r="B40" s="136">
        <v>405.27</v>
      </c>
      <c r="C40" s="213" t="s">
        <v>721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96">
        <f>'UNITARIOS NUEVOS'!K857</f>
        <v>240.8</v>
      </c>
      <c r="J40" s="115">
        <f>I40-H40</f>
        <v>240.8</v>
      </c>
      <c r="K40" s="296">
        <f>D40*H40</f>
        <v>0</v>
      </c>
      <c r="L40" s="218">
        <f>M40</f>
        <v>3082.2400000000002</v>
      </c>
      <c r="M40" s="218">
        <f>+E40*I40</f>
        <v>3082.2400000000002</v>
      </c>
      <c r="N40" s="310">
        <f>L40-K40</f>
        <v>3082.2400000000002</v>
      </c>
      <c r="O40" s="311">
        <f>M40-K40</f>
        <v>3082.2400000000002</v>
      </c>
      <c r="T40" s="5"/>
    </row>
    <row r="41" spans="2:23" ht="31.5" x14ac:dyDescent="0.25">
      <c r="B41" s="136">
        <v>407.09</v>
      </c>
      <c r="C41" s="213" t="s">
        <v>720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96">
        <f>'UNITARIOS NUEVOS'!K913</f>
        <v>302.39999999999998</v>
      </c>
      <c r="J41" s="115">
        <f>I41-H41</f>
        <v>302.39999999999998</v>
      </c>
      <c r="K41" s="296">
        <f>D41*H41</f>
        <v>0</v>
      </c>
      <c r="L41" s="218">
        <f>M41</f>
        <v>4233.5999999999995</v>
      </c>
      <c r="M41" s="218">
        <f>+E41*I41</f>
        <v>4233.5999999999995</v>
      </c>
      <c r="N41" s="310">
        <f>L41-K41</f>
        <v>4233.5999999999995</v>
      </c>
      <c r="O41" s="311">
        <f>M41-K41</f>
        <v>4233.5999999999995</v>
      </c>
      <c r="T41" s="5"/>
    </row>
    <row r="42" spans="2:23" ht="31.5" x14ac:dyDescent="0.25">
      <c r="B42" s="136">
        <v>407.28</v>
      </c>
      <c r="C42" s="213" t="s">
        <v>719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96">
        <f>'UNITARIOS NUEVOS'!K969</f>
        <v>324.8</v>
      </c>
      <c r="J42" s="115">
        <f>I42-H42</f>
        <v>324.8</v>
      </c>
      <c r="K42" s="296">
        <f>D42*H42</f>
        <v>0</v>
      </c>
      <c r="L42" s="218">
        <f>M42</f>
        <v>4547.2</v>
      </c>
      <c r="M42" s="218">
        <f>+E42*I42</f>
        <v>4547.2</v>
      </c>
      <c r="N42" s="310">
        <f>L42-K42</f>
        <v>4547.2</v>
      </c>
      <c r="O42" s="311">
        <f>M42-K42</f>
        <v>4547.2</v>
      </c>
      <c r="T42" s="5"/>
    </row>
    <row r="43" spans="2:23" ht="31.5" x14ac:dyDescent="0.25">
      <c r="B43" s="136">
        <v>407.29</v>
      </c>
      <c r="C43" s="213" t="s">
        <v>724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96">
        <f>'UNITARIOS NUEVOS'!K1025</f>
        <v>317.8</v>
      </c>
      <c r="J43" s="115">
        <f>I43-H43</f>
        <v>317.8</v>
      </c>
      <c r="K43" s="296">
        <f>D43*H43</f>
        <v>0</v>
      </c>
      <c r="L43" s="218">
        <f>M43</f>
        <v>1811.46</v>
      </c>
      <c r="M43" s="218">
        <f>+E43*I43</f>
        <v>1811.46</v>
      </c>
      <c r="N43" s="310">
        <f>L43-K43</f>
        <v>1811.46</v>
      </c>
      <c r="O43" s="311">
        <f>M43-K43</f>
        <v>1811.46</v>
      </c>
      <c r="T43" s="5"/>
    </row>
    <row r="44" spans="2:23" x14ac:dyDescent="0.25">
      <c r="B44" s="136">
        <v>405.27</v>
      </c>
      <c r="C44" s="381" t="s">
        <v>531</v>
      </c>
      <c r="D44" s="72">
        <v>73.180000000000007</v>
      </c>
      <c r="E44" s="72">
        <v>0</v>
      </c>
      <c r="F44" s="72">
        <f t="shared" si="14"/>
        <v>-73.180000000000007</v>
      </c>
      <c r="G44" s="72" t="s">
        <v>71</v>
      </c>
      <c r="H44" s="84">
        <f>UNITARIOS!K1086</f>
        <v>392</v>
      </c>
      <c r="I44" s="296">
        <v>0</v>
      </c>
      <c r="J44" s="115">
        <f t="shared" ref="J44:J49" si="21">I44-H44</f>
        <v>-392</v>
      </c>
      <c r="K44" s="296">
        <f t="shared" ref="K44:K49" si="22">D44*H44</f>
        <v>28686.560000000001</v>
      </c>
      <c r="L44" s="218">
        <f t="shared" ref="L44:L49" si="23">+E44*H44</f>
        <v>0</v>
      </c>
      <c r="M44" s="218">
        <f t="shared" ref="M44:M49" si="24">+E44*I44</f>
        <v>0</v>
      </c>
      <c r="N44" s="310">
        <f t="shared" ref="N44:N49" si="25">L44-K44</f>
        <v>-28686.560000000001</v>
      </c>
      <c r="O44" s="311">
        <f t="shared" ref="O44:O49" si="26">M44-K44</f>
        <v>-28686.560000000001</v>
      </c>
      <c r="T44" s="5"/>
    </row>
    <row r="45" spans="2:23" ht="31.5" x14ac:dyDescent="0.25">
      <c r="B45" s="136">
        <v>407.09</v>
      </c>
      <c r="C45" s="381" t="s">
        <v>527</v>
      </c>
      <c r="D45" s="72">
        <v>16.649999999999999</v>
      </c>
      <c r="E45" s="72">
        <v>0</v>
      </c>
      <c r="F45" s="72">
        <f t="shared" si="14"/>
        <v>-16.649999999999999</v>
      </c>
      <c r="G45" s="72" t="s">
        <v>71</v>
      </c>
      <c r="H45" s="84">
        <f>UNITARIOS!K1142</f>
        <v>420</v>
      </c>
      <c r="I45" s="296">
        <v>0</v>
      </c>
      <c r="J45" s="115">
        <f t="shared" si="21"/>
        <v>-420</v>
      </c>
      <c r="K45" s="296">
        <f t="shared" si="22"/>
        <v>6992.9999999999991</v>
      </c>
      <c r="L45" s="218">
        <f t="shared" si="23"/>
        <v>0</v>
      </c>
      <c r="M45" s="218">
        <f t="shared" si="24"/>
        <v>0</v>
      </c>
      <c r="N45" s="310">
        <f t="shared" si="25"/>
        <v>-6992.9999999999991</v>
      </c>
      <c r="O45" s="311">
        <f t="shared" si="26"/>
        <v>-6992.9999999999991</v>
      </c>
      <c r="T45" s="5"/>
    </row>
    <row r="46" spans="2:23" x14ac:dyDescent="0.25">
      <c r="B46" s="136">
        <v>407.27</v>
      </c>
      <c r="C46" s="381" t="s">
        <v>528</v>
      </c>
      <c r="D46" s="72">
        <v>4.3</v>
      </c>
      <c r="E46" s="72">
        <v>0</v>
      </c>
      <c r="F46" s="72">
        <f t="shared" si="14"/>
        <v>-4.3</v>
      </c>
      <c r="G46" s="72" t="s">
        <v>71</v>
      </c>
      <c r="H46" s="84">
        <f>UNITARIOS!K1198</f>
        <v>287</v>
      </c>
      <c r="I46" s="296">
        <v>0</v>
      </c>
      <c r="J46" s="115">
        <f t="shared" si="21"/>
        <v>-287</v>
      </c>
      <c r="K46" s="296">
        <f t="shared" si="22"/>
        <v>1234.0999999999999</v>
      </c>
      <c r="L46" s="218">
        <f t="shared" si="23"/>
        <v>0</v>
      </c>
      <c r="M46" s="218">
        <f t="shared" si="24"/>
        <v>0</v>
      </c>
      <c r="N46" s="310">
        <f t="shared" si="25"/>
        <v>-1234.0999999999999</v>
      </c>
      <c r="O46" s="311">
        <f t="shared" si="26"/>
        <v>-1234.0999999999999</v>
      </c>
      <c r="T46" s="5"/>
    </row>
    <row r="47" spans="2:23" ht="31.5" x14ac:dyDescent="0.25">
      <c r="B47" s="136">
        <v>407.28</v>
      </c>
      <c r="C47" s="381" t="s">
        <v>529</v>
      </c>
      <c r="D47" s="72">
        <v>15.6</v>
      </c>
      <c r="E47" s="72">
        <v>0</v>
      </c>
      <c r="F47" s="72">
        <f t="shared" si="14"/>
        <v>-15.6</v>
      </c>
      <c r="G47" s="72" t="s">
        <v>71</v>
      </c>
      <c r="H47" s="84">
        <f>UNITARIOS!K1254</f>
        <v>609</v>
      </c>
      <c r="I47" s="296">
        <v>0</v>
      </c>
      <c r="J47" s="115">
        <f t="shared" si="21"/>
        <v>-609</v>
      </c>
      <c r="K47" s="296">
        <f t="shared" si="22"/>
        <v>9500.4</v>
      </c>
      <c r="L47" s="218">
        <f t="shared" si="23"/>
        <v>0</v>
      </c>
      <c r="M47" s="218">
        <f t="shared" si="24"/>
        <v>0</v>
      </c>
      <c r="N47" s="310">
        <f t="shared" si="25"/>
        <v>-9500.4</v>
      </c>
      <c r="O47" s="311">
        <f t="shared" si="26"/>
        <v>-9500.4</v>
      </c>
      <c r="T47" s="5"/>
    </row>
    <row r="48" spans="2:23" ht="31.5" x14ac:dyDescent="0.25">
      <c r="B48" s="136">
        <v>408.01</v>
      </c>
      <c r="C48" s="381" t="s">
        <v>532</v>
      </c>
      <c r="D48" s="72">
        <v>32.57</v>
      </c>
      <c r="E48" s="72">
        <v>0</v>
      </c>
      <c r="F48" s="72">
        <f t="shared" si="14"/>
        <v>-32.57</v>
      </c>
      <c r="G48" s="72" t="s">
        <v>24</v>
      </c>
      <c r="H48" s="84">
        <f>UNITARIOS!K1310</f>
        <v>553</v>
      </c>
      <c r="I48" s="296">
        <v>0</v>
      </c>
      <c r="J48" s="115">
        <f t="shared" si="21"/>
        <v>-553</v>
      </c>
      <c r="K48" s="296">
        <f t="shared" si="22"/>
        <v>18011.21</v>
      </c>
      <c r="L48" s="218">
        <f t="shared" si="23"/>
        <v>0</v>
      </c>
      <c r="M48" s="218">
        <f t="shared" si="24"/>
        <v>0</v>
      </c>
      <c r="N48" s="310">
        <f t="shared" si="25"/>
        <v>-18011.21</v>
      </c>
      <c r="O48" s="311">
        <f t="shared" si="26"/>
        <v>-18011.21</v>
      </c>
      <c r="T48" s="5"/>
    </row>
    <row r="49" spans="2:20" ht="31.5" x14ac:dyDescent="0.25">
      <c r="B49" s="136">
        <v>411.04</v>
      </c>
      <c r="C49" s="381" t="s">
        <v>533</v>
      </c>
      <c r="D49" s="72">
        <v>13.97</v>
      </c>
      <c r="E49" s="72">
        <v>0</v>
      </c>
      <c r="F49" s="72">
        <f t="shared" si="14"/>
        <v>-13.97</v>
      </c>
      <c r="G49" s="72" t="s">
        <v>71</v>
      </c>
      <c r="H49" s="84">
        <f>UNITARIOS!K1366</f>
        <v>308</v>
      </c>
      <c r="I49" s="296">
        <v>0</v>
      </c>
      <c r="J49" s="115">
        <f t="shared" si="21"/>
        <v>-308</v>
      </c>
      <c r="K49" s="296">
        <f t="shared" si="22"/>
        <v>4302.76</v>
      </c>
      <c r="L49" s="218">
        <f t="shared" si="23"/>
        <v>0</v>
      </c>
      <c r="M49" s="218">
        <f t="shared" si="24"/>
        <v>0</v>
      </c>
      <c r="N49" s="310">
        <f t="shared" si="25"/>
        <v>-4302.76</v>
      </c>
      <c r="O49" s="311">
        <f t="shared" si="26"/>
        <v>-4302.76</v>
      </c>
      <c r="P49" s="236">
        <f>SUM(L33:L49)</f>
        <v>32441.78</v>
      </c>
      <c r="T49" s="5"/>
    </row>
    <row r="50" spans="2:20" x14ac:dyDescent="0.25">
      <c r="B50" s="136"/>
      <c r="C50" s="215" t="s">
        <v>49</v>
      </c>
      <c r="D50" s="72"/>
      <c r="E50" s="72"/>
      <c r="F50" s="72"/>
      <c r="G50" s="72"/>
      <c r="H50" s="84"/>
      <c r="I50" s="296"/>
      <c r="J50" s="296"/>
      <c r="K50" s="296"/>
      <c r="L50" s="218"/>
      <c r="M50" s="218"/>
      <c r="N50" s="308"/>
      <c r="O50" s="305"/>
      <c r="T50" s="5"/>
    </row>
    <row r="51" spans="2:20" x14ac:dyDescent="0.25">
      <c r="B51" s="391">
        <v>503.02</v>
      </c>
      <c r="C51" s="213" t="s">
        <v>499</v>
      </c>
      <c r="D51" s="72">
        <v>9.6</v>
      </c>
      <c r="E51" s="72">
        <v>0</v>
      </c>
      <c r="F51" s="72">
        <f t="shared" si="14"/>
        <v>-9.6</v>
      </c>
      <c r="G51" s="72" t="s">
        <v>71</v>
      </c>
      <c r="H51" s="84">
        <v>0</v>
      </c>
      <c r="I51" s="296">
        <f>H51</f>
        <v>0</v>
      </c>
      <c r="J51" s="115">
        <f>I51-H51</f>
        <v>0</v>
      </c>
      <c r="K51" s="296">
        <f>D51*H51</f>
        <v>0</v>
      </c>
      <c r="L51" s="218">
        <f>+E51*H51</f>
        <v>0</v>
      </c>
      <c r="M51" s="218">
        <f>+E51*I51</f>
        <v>0</v>
      </c>
      <c r="N51" s="310">
        <f>L51-K51</f>
        <v>0</v>
      </c>
      <c r="O51" s="311">
        <f>M51-K51</f>
        <v>0</v>
      </c>
      <c r="T51" s="5"/>
    </row>
    <row r="52" spans="2:20" ht="31.5" x14ac:dyDescent="0.25">
      <c r="B52" s="391">
        <v>505.02</v>
      </c>
      <c r="C52" s="213" t="s">
        <v>500</v>
      </c>
      <c r="D52" s="72">
        <v>6</v>
      </c>
      <c r="E52" s="72">
        <v>50</v>
      </c>
      <c r="F52" s="72">
        <f t="shared" si="14"/>
        <v>44</v>
      </c>
      <c r="G52" s="72" t="s">
        <v>24</v>
      </c>
      <c r="H52" s="84">
        <v>0</v>
      </c>
      <c r="I52" s="296">
        <f>H52</f>
        <v>0</v>
      </c>
      <c r="J52" s="115">
        <f>I52-H52</f>
        <v>0</v>
      </c>
      <c r="K52" s="296">
        <f>D52*H52</f>
        <v>0</v>
      </c>
      <c r="L52" s="218">
        <f>+E52*H52</f>
        <v>0</v>
      </c>
      <c r="M52" s="218">
        <f>+E52*I52</f>
        <v>0</v>
      </c>
      <c r="N52" s="310">
        <f>L52-K52</f>
        <v>0</v>
      </c>
      <c r="O52" s="311">
        <f>M52-K52</f>
        <v>0</v>
      </c>
      <c r="T52" s="5"/>
    </row>
    <row r="53" spans="2:20" x14ac:dyDescent="0.25">
      <c r="B53" s="391">
        <v>511.01</v>
      </c>
      <c r="C53" s="213" t="s">
        <v>534</v>
      </c>
      <c r="D53" s="72">
        <v>5.6</v>
      </c>
      <c r="E53" s="72">
        <v>5.6</v>
      </c>
      <c r="F53" s="72">
        <f t="shared" si="14"/>
        <v>0</v>
      </c>
      <c r="G53" s="72" t="s">
        <v>71</v>
      </c>
      <c r="H53" s="84">
        <f>UNITARIOS!K1534</f>
        <v>329</v>
      </c>
      <c r="I53" s="296">
        <f>H53</f>
        <v>329</v>
      </c>
      <c r="J53" s="115">
        <f>I53-H53</f>
        <v>0</v>
      </c>
      <c r="K53" s="296">
        <f>D53*H53</f>
        <v>1842.3999999999999</v>
      </c>
      <c r="L53" s="218">
        <f>+E53*H53</f>
        <v>1842.3999999999999</v>
      </c>
      <c r="M53" s="218">
        <f>+E53*I53</f>
        <v>1842.3999999999999</v>
      </c>
      <c r="N53" s="310">
        <f>L53-K53</f>
        <v>0</v>
      </c>
      <c r="O53" s="311">
        <f>M53-K53</f>
        <v>0</v>
      </c>
      <c r="P53" s="236">
        <f>SUM(L51:L53)</f>
        <v>1842.3999999999999</v>
      </c>
      <c r="T53" s="5"/>
    </row>
    <row r="54" spans="2:20" x14ac:dyDescent="0.25">
      <c r="B54" s="82"/>
      <c r="C54" s="215" t="s">
        <v>50</v>
      </c>
      <c r="D54" s="72"/>
      <c r="E54" s="72"/>
      <c r="F54" s="72"/>
      <c r="G54" s="73" t="s">
        <v>59</v>
      </c>
      <c r="H54" s="84"/>
      <c r="I54" s="296"/>
      <c r="J54" s="296"/>
      <c r="K54" s="296"/>
      <c r="L54" s="218"/>
      <c r="M54" s="218"/>
      <c r="N54" s="308"/>
      <c r="O54" s="305"/>
      <c r="T54" s="5"/>
    </row>
    <row r="55" spans="2:20" x14ac:dyDescent="0.25">
      <c r="B55" s="79">
        <v>601.07000000000005</v>
      </c>
      <c r="C55" s="381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UNITARIOS!K1590</f>
        <v>203</v>
      </c>
      <c r="I55" s="296">
        <v>0</v>
      </c>
      <c r="J55" s="115">
        <f>I55-H55</f>
        <v>-203</v>
      </c>
      <c r="K55" s="296">
        <f>D55*H55</f>
        <v>8467.130000000001</v>
      </c>
      <c r="L55" s="218">
        <f>+E55*H55</f>
        <v>0</v>
      </c>
      <c r="M55" s="218">
        <f t="shared" ref="M55:M62" si="27">+E55*I55</f>
        <v>0</v>
      </c>
      <c r="N55" s="310">
        <f>L55-K55</f>
        <v>-8467.130000000001</v>
      </c>
      <c r="O55" s="311">
        <f>M55-K55</f>
        <v>-8467.130000000001</v>
      </c>
      <c r="T55" s="5"/>
    </row>
    <row r="56" spans="2:20" x14ac:dyDescent="0.25">
      <c r="B56" s="390">
        <v>601.08000000000004</v>
      </c>
      <c r="C56" s="213" t="s">
        <v>536</v>
      </c>
      <c r="D56" s="72">
        <v>140.94</v>
      </c>
      <c r="E56" s="72">
        <v>0</v>
      </c>
      <c r="F56" s="72">
        <f t="shared" ref="F56:F62" si="28">E56-D56</f>
        <v>-140.94</v>
      </c>
      <c r="G56" s="72" t="s">
        <v>24</v>
      </c>
      <c r="H56" s="84">
        <f>UNITARIOS!K1646</f>
        <v>203</v>
      </c>
      <c r="I56" s="296">
        <f>H56</f>
        <v>203</v>
      </c>
      <c r="J56" s="115">
        <f t="shared" ref="J56:J62" si="29">I56-H56</f>
        <v>0</v>
      </c>
      <c r="K56" s="296">
        <f t="shared" ref="K56:K62" si="30">D56*H56</f>
        <v>28610.82</v>
      </c>
      <c r="L56" s="218">
        <f t="shared" ref="L56:L62" si="31">+E56*H56</f>
        <v>0</v>
      </c>
      <c r="M56" s="218">
        <f t="shared" si="27"/>
        <v>0</v>
      </c>
      <c r="N56" s="310">
        <f t="shared" ref="N56:N62" si="32">L56-K56</f>
        <v>-28610.82</v>
      </c>
      <c r="O56" s="311">
        <f t="shared" ref="O56:O62" si="33">M56-K56</f>
        <v>-28610.82</v>
      </c>
      <c r="T56" s="5"/>
    </row>
    <row r="57" spans="2:20" x14ac:dyDescent="0.25">
      <c r="B57" s="390">
        <v>604.03</v>
      </c>
      <c r="C57" s="213" t="s">
        <v>461</v>
      </c>
      <c r="D57" s="72">
        <v>51.5</v>
      </c>
      <c r="E57" s="72">
        <v>27.8</v>
      </c>
      <c r="F57" s="72">
        <f t="shared" si="28"/>
        <v>-23.7</v>
      </c>
      <c r="G57" s="72" t="s">
        <v>24</v>
      </c>
      <c r="H57" s="84">
        <v>300</v>
      </c>
      <c r="I57" s="296">
        <f>H57</f>
        <v>300</v>
      </c>
      <c r="J57" s="115">
        <f t="shared" si="29"/>
        <v>0</v>
      </c>
      <c r="K57" s="296">
        <f t="shared" si="30"/>
        <v>15450</v>
      </c>
      <c r="L57" s="218">
        <f t="shared" si="31"/>
        <v>8340</v>
      </c>
      <c r="M57" s="218">
        <f t="shared" si="27"/>
        <v>8340</v>
      </c>
      <c r="N57" s="310">
        <f t="shared" si="32"/>
        <v>-7110</v>
      </c>
      <c r="O57" s="311">
        <f t="shared" si="33"/>
        <v>-7110</v>
      </c>
      <c r="T57" s="5"/>
    </row>
    <row r="58" spans="2:20" x14ac:dyDescent="0.25">
      <c r="B58" s="79">
        <v>604.04999999999995</v>
      </c>
      <c r="C58" s="381" t="s">
        <v>51</v>
      </c>
      <c r="D58" s="72">
        <v>15.02</v>
      </c>
      <c r="E58" s="72">
        <v>0</v>
      </c>
      <c r="F58" s="72">
        <f t="shared" si="28"/>
        <v>-15.02</v>
      </c>
      <c r="G58" s="72" t="s">
        <v>24</v>
      </c>
      <c r="H58" s="84">
        <f>UNITARIOS!K1755</f>
        <v>406</v>
      </c>
      <c r="I58" s="296">
        <v>0</v>
      </c>
      <c r="J58" s="115">
        <f t="shared" si="29"/>
        <v>-406</v>
      </c>
      <c r="K58" s="296">
        <f t="shared" si="30"/>
        <v>6098.12</v>
      </c>
      <c r="L58" s="218">
        <f t="shared" si="31"/>
        <v>0</v>
      </c>
      <c r="M58" s="218">
        <f t="shared" si="27"/>
        <v>0</v>
      </c>
      <c r="N58" s="310">
        <f t="shared" si="32"/>
        <v>-6098.12</v>
      </c>
      <c r="O58" s="311">
        <f t="shared" si="33"/>
        <v>-6098.12</v>
      </c>
      <c r="T58" s="5"/>
    </row>
    <row r="59" spans="2:20" x14ac:dyDescent="0.25">
      <c r="B59" s="79">
        <v>607.02</v>
      </c>
      <c r="C59" s="381" t="s">
        <v>501</v>
      </c>
      <c r="D59" s="72">
        <v>37</v>
      </c>
      <c r="E59" s="72">
        <v>0</v>
      </c>
      <c r="F59" s="72">
        <f t="shared" si="28"/>
        <v>-37</v>
      </c>
      <c r="G59" s="72" t="s">
        <v>24</v>
      </c>
      <c r="H59" s="84">
        <f>UNITARIOS!K1811</f>
        <v>294</v>
      </c>
      <c r="I59" s="296">
        <v>0</v>
      </c>
      <c r="J59" s="115">
        <f t="shared" si="29"/>
        <v>-294</v>
      </c>
      <c r="K59" s="296">
        <f t="shared" si="30"/>
        <v>10878</v>
      </c>
      <c r="L59" s="218">
        <f t="shared" si="31"/>
        <v>0</v>
      </c>
      <c r="M59" s="218">
        <f t="shared" si="27"/>
        <v>0</v>
      </c>
      <c r="N59" s="310">
        <f t="shared" si="32"/>
        <v>-10878</v>
      </c>
      <c r="O59" s="311">
        <f t="shared" si="33"/>
        <v>-10878</v>
      </c>
      <c r="T59" s="5"/>
    </row>
    <row r="60" spans="2:20" x14ac:dyDescent="0.25">
      <c r="B60" s="390">
        <v>609.02</v>
      </c>
      <c r="C60" s="213" t="s">
        <v>502</v>
      </c>
      <c r="D60" s="72">
        <v>25</v>
      </c>
      <c r="E60" s="72">
        <v>25</v>
      </c>
      <c r="F60" s="72">
        <f t="shared" si="28"/>
        <v>0</v>
      </c>
      <c r="G60" s="72" t="s">
        <v>24</v>
      </c>
      <c r="H60" s="84">
        <f>UNITARIOS!K1864</f>
        <v>322</v>
      </c>
      <c r="I60" s="296">
        <f>H60</f>
        <v>322</v>
      </c>
      <c r="J60" s="115">
        <f t="shared" si="29"/>
        <v>0</v>
      </c>
      <c r="K60" s="296">
        <f t="shared" si="30"/>
        <v>8050</v>
      </c>
      <c r="L60" s="218">
        <f t="shared" si="31"/>
        <v>8050</v>
      </c>
      <c r="M60" s="218">
        <f t="shared" si="27"/>
        <v>8050</v>
      </c>
      <c r="N60" s="310">
        <f t="shared" si="32"/>
        <v>0</v>
      </c>
      <c r="O60" s="311">
        <f t="shared" si="33"/>
        <v>0</v>
      </c>
      <c r="T60" s="5"/>
    </row>
    <row r="61" spans="2:20" x14ac:dyDescent="0.25">
      <c r="B61" s="390">
        <v>611.01</v>
      </c>
      <c r="C61" s="213" t="s">
        <v>52</v>
      </c>
      <c r="D61" s="72">
        <v>117.1</v>
      </c>
      <c r="E61" s="72">
        <v>94</v>
      </c>
      <c r="F61" s="72">
        <f t="shared" si="28"/>
        <v>-23.099999999999994</v>
      </c>
      <c r="G61" s="72" t="s">
        <v>24</v>
      </c>
      <c r="H61" s="84">
        <f>UNITARIOS!K1920</f>
        <v>49</v>
      </c>
      <c r="I61" s="296">
        <f>H61</f>
        <v>49</v>
      </c>
      <c r="J61" s="115">
        <f t="shared" si="29"/>
        <v>0</v>
      </c>
      <c r="K61" s="296">
        <f t="shared" si="30"/>
        <v>5737.9</v>
      </c>
      <c r="L61" s="218">
        <f t="shared" si="31"/>
        <v>4606</v>
      </c>
      <c r="M61" s="218">
        <f t="shared" si="27"/>
        <v>4606</v>
      </c>
      <c r="N61" s="310">
        <f t="shared" si="32"/>
        <v>-1131.8999999999996</v>
      </c>
      <c r="O61" s="311">
        <f t="shared" si="33"/>
        <v>-1131.8999999999996</v>
      </c>
      <c r="T61" s="5"/>
    </row>
    <row r="62" spans="2:20" x14ac:dyDescent="0.25">
      <c r="B62" s="79">
        <v>611.03</v>
      </c>
      <c r="C62" s="381" t="s">
        <v>503</v>
      </c>
      <c r="D62" s="72">
        <v>41.71</v>
      </c>
      <c r="E62" s="72">
        <v>0</v>
      </c>
      <c r="F62" s="72">
        <f t="shared" si="28"/>
        <v>-41.71</v>
      </c>
      <c r="G62" s="72" t="s">
        <v>24</v>
      </c>
      <c r="H62" s="84">
        <f>UNITARIOS!K1976</f>
        <v>56</v>
      </c>
      <c r="I62" s="296">
        <v>0</v>
      </c>
      <c r="J62" s="115">
        <f t="shared" si="29"/>
        <v>-56</v>
      </c>
      <c r="K62" s="296">
        <f t="shared" si="30"/>
        <v>2335.7600000000002</v>
      </c>
      <c r="L62" s="218">
        <f t="shared" si="31"/>
        <v>0</v>
      </c>
      <c r="M62" s="218">
        <f t="shared" si="27"/>
        <v>0</v>
      </c>
      <c r="N62" s="310">
        <f t="shared" si="32"/>
        <v>-2335.7600000000002</v>
      </c>
      <c r="O62" s="311">
        <f t="shared" si="33"/>
        <v>-2335.7600000000002</v>
      </c>
      <c r="P62" s="236">
        <f>SUM(L55:L62)</f>
        <v>20996</v>
      </c>
      <c r="T62" s="5"/>
    </row>
    <row r="63" spans="2:20" x14ac:dyDescent="0.25">
      <c r="B63" s="79"/>
      <c r="C63" s="215" t="s">
        <v>53</v>
      </c>
      <c r="D63" s="72"/>
      <c r="E63" s="72"/>
      <c r="F63" s="72"/>
      <c r="G63" s="72" t="s">
        <v>59</v>
      </c>
      <c r="H63" s="84"/>
      <c r="I63" s="296"/>
      <c r="J63" s="296"/>
      <c r="K63" s="296"/>
      <c r="L63" s="218"/>
      <c r="M63" s="218"/>
      <c r="N63" s="308"/>
      <c r="O63" s="305"/>
      <c r="T63" s="5"/>
    </row>
    <row r="64" spans="2:20" x14ac:dyDescent="0.25">
      <c r="B64" s="390">
        <v>702.01</v>
      </c>
      <c r="C64" s="213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UNITARIOS!K2029</f>
        <v>2716</v>
      </c>
      <c r="I64" s="296">
        <f>H64</f>
        <v>2716</v>
      </c>
      <c r="J64" s="115">
        <f>I64-H64</f>
        <v>0</v>
      </c>
      <c r="K64" s="296">
        <f>D64*H64</f>
        <v>8148</v>
      </c>
      <c r="L64" s="218">
        <f>+E64*H64</f>
        <v>2716</v>
      </c>
      <c r="M64" s="218">
        <f>+E64*I64</f>
        <v>2716</v>
      </c>
      <c r="N64" s="310">
        <f>L64-K64</f>
        <v>-5432</v>
      </c>
      <c r="O64" s="311">
        <f>M64-K64</f>
        <v>-5432</v>
      </c>
      <c r="P64" s="236">
        <f>SUM(L64)</f>
        <v>2716</v>
      </c>
      <c r="T64" s="5"/>
    </row>
    <row r="65" spans="2:22" x14ac:dyDescent="0.25">
      <c r="B65" s="82"/>
      <c r="C65" s="215" t="s">
        <v>54</v>
      </c>
      <c r="D65" s="72"/>
      <c r="E65" s="72"/>
      <c r="F65" s="72"/>
      <c r="G65" s="73" t="s">
        <v>59</v>
      </c>
      <c r="H65" s="84"/>
      <c r="I65" s="296"/>
      <c r="J65" s="296"/>
      <c r="K65" s="296"/>
      <c r="L65" s="218"/>
      <c r="M65" s="218"/>
      <c r="N65" s="308"/>
      <c r="O65" s="305"/>
      <c r="T65" s="5"/>
    </row>
    <row r="66" spans="2:22" ht="31.5" x14ac:dyDescent="0.25">
      <c r="B66" s="390">
        <v>803.05</v>
      </c>
      <c r="C66" s="213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UNITARIOS!K2085</f>
        <v>1400</v>
      </c>
      <c r="I66" s="296">
        <f>H66</f>
        <v>1400</v>
      </c>
      <c r="J66" s="115">
        <f>I66-H66</f>
        <v>0</v>
      </c>
      <c r="K66" s="296">
        <f>D66*H66</f>
        <v>15217.999999999998</v>
      </c>
      <c r="L66" s="218">
        <f>+E66*H66</f>
        <v>5040</v>
      </c>
      <c r="M66" s="218">
        <f>+E66*I66</f>
        <v>5040</v>
      </c>
      <c r="N66" s="310">
        <f>L66-K66</f>
        <v>-10177.999999999998</v>
      </c>
      <c r="O66" s="311">
        <f>M66-K66</f>
        <v>-10177.999999999998</v>
      </c>
      <c r="P66" s="236">
        <f>SUM(L66)</f>
        <v>5040</v>
      </c>
      <c r="T66" s="5"/>
    </row>
    <row r="67" spans="2:22" x14ac:dyDescent="0.25">
      <c r="B67" s="79"/>
      <c r="C67" s="215" t="s">
        <v>548</v>
      </c>
      <c r="D67" s="72"/>
      <c r="E67" s="72"/>
      <c r="F67" s="72"/>
      <c r="G67" s="72"/>
      <c r="H67" s="84"/>
      <c r="I67" s="296"/>
      <c r="J67" s="296"/>
      <c r="K67" s="296"/>
      <c r="L67" s="218"/>
      <c r="M67" s="218"/>
      <c r="N67" s="308"/>
      <c r="O67" s="305"/>
      <c r="T67" s="5"/>
    </row>
    <row r="68" spans="2:22" x14ac:dyDescent="0.25">
      <c r="B68" s="79">
        <v>902.01</v>
      </c>
      <c r="C68" s="381" t="s">
        <v>505</v>
      </c>
      <c r="D68" s="72">
        <v>3</v>
      </c>
      <c r="E68" s="72">
        <v>3</v>
      </c>
      <c r="F68" s="72">
        <f t="shared" ref="F68:F71" si="34">E68-D68</f>
        <v>0</v>
      </c>
      <c r="G68" s="72" t="s">
        <v>71</v>
      </c>
      <c r="H68" s="84">
        <f>UNITARIOS!K2138</f>
        <v>175</v>
      </c>
      <c r="I68" s="296">
        <f>H68</f>
        <v>175</v>
      </c>
      <c r="J68" s="115">
        <f t="shared" ref="J68" si="35">I68-H68</f>
        <v>0</v>
      </c>
      <c r="K68" s="296">
        <f t="shared" ref="K68" si="36">D68*H68</f>
        <v>525</v>
      </c>
      <c r="L68" s="218">
        <f t="shared" ref="L68" si="37">+E68*H68</f>
        <v>525</v>
      </c>
      <c r="M68" s="218">
        <f t="shared" ref="M68" si="38">+E68*I68</f>
        <v>525</v>
      </c>
      <c r="N68" s="310">
        <f t="shared" ref="N68" si="39">L68-K68</f>
        <v>0</v>
      </c>
      <c r="O68" s="311">
        <f t="shared" ref="O68" si="40">M68-K68</f>
        <v>0</v>
      </c>
      <c r="T68" s="5"/>
    </row>
    <row r="69" spans="2:22" ht="31.5" x14ac:dyDescent="0.25">
      <c r="B69" s="390">
        <v>903.01</v>
      </c>
      <c r="C69" s="213" t="s">
        <v>538</v>
      </c>
      <c r="D69" s="72">
        <v>2</v>
      </c>
      <c r="E69" s="72">
        <v>2</v>
      </c>
      <c r="F69" s="72">
        <f t="shared" si="34"/>
        <v>0</v>
      </c>
      <c r="G69" s="72" t="s">
        <v>71</v>
      </c>
      <c r="H69" s="84">
        <f>UNITARIOS!K2191</f>
        <v>77</v>
      </c>
      <c r="I69" s="296">
        <f>H69</f>
        <v>77</v>
      </c>
      <c r="J69" s="115">
        <f t="shared" ref="J69:J76" si="41">I69-H69</f>
        <v>0</v>
      </c>
      <c r="K69" s="296">
        <f t="shared" ref="K69:K76" si="42">D69*H69</f>
        <v>154</v>
      </c>
      <c r="L69" s="218">
        <f t="shared" ref="L69:L76" si="43">+E69*H69</f>
        <v>154</v>
      </c>
      <c r="M69" s="218">
        <f t="shared" ref="L68:M76" si="44">+E69*I69</f>
        <v>154</v>
      </c>
      <c r="N69" s="310">
        <f t="shared" ref="N69:N76" si="45">L69-K69</f>
        <v>0</v>
      </c>
      <c r="O69" s="311">
        <f t="shared" ref="O69:O76" si="46">M69-K69</f>
        <v>0</v>
      </c>
      <c r="T69" s="5"/>
    </row>
    <row r="70" spans="2:22" ht="31.5" x14ac:dyDescent="0.25">
      <c r="B70" s="390">
        <v>903.02</v>
      </c>
      <c r="C70" s="213" t="s">
        <v>539</v>
      </c>
      <c r="D70" s="72">
        <v>11</v>
      </c>
      <c r="E70" s="72">
        <v>12</v>
      </c>
      <c r="F70" s="72">
        <f t="shared" si="34"/>
        <v>1</v>
      </c>
      <c r="G70" s="72" t="s">
        <v>71</v>
      </c>
      <c r="H70" s="84">
        <f>UNITARIOS!K2247</f>
        <v>84</v>
      </c>
      <c r="I70" s="296">
        <f>H70</f>
        <v>84</v>
      </c>
      <c r="J70" s="115">
        <f t="shared" si="41"/>
        <v>0</v>
      </c>
      <c r="K70" s="296">
        <f t="shared" si="42"/>
        <v>924</v>
      </c>
      <c r="L70" s="218">
        <f t="shared" si="43"/>
        <v>1008</v>
      </c>
      <c r="M70" s="218">
        <f t="shared" si="44"/>
        <v>1008</v>
      </c>
      <c r="N70" s="310">
        <f t="shared" si="45"/>
        <v>84</v>
      </c>
      <c r="O70" s="311">
        <f t="shared" si="46"/>
        <v>84</v>
      </c>
      <c r="T70" s="5"/>
    </row>
    <row r="71" spans="2:22" x14ac:dyDescent="0.25">
      <c r="B71" s="390">
        <v>904.01</v>
      </c>
      <c r="C71" s="213" t="s">
        <v>540</v>
      </c>
      <c r="D71" s="72">
        <v>1.5</v>
      </c>
      <c r="E71" s="72">
        <v>18</v>
      </c>
      <c r="F71" s="72">
        <f t="shared" si="34"/>
        <v>16.5</v>
      </c>
      <c r="G71" s="72" t="s">
        <v>71</v>
      </c>
      <c r="H71" s="84">
        <f>UNITARIOS!K2303</f>
        <v>182</v>
      </c>
      <c r="I71" s="296">
        <f>H71</f>
        <v>182</v>
      </c>
      <c r="J71" s="115">
        <f t="shared" si="41"/>
        <v>0</v>
      </c>
      <c r="K71" s="296">
        <f t="shared" si="42"/>
        <v>273</v>
      </c>
      <c r="L71" s="218">
        <f t="shared" si="43"/>
        <v>3276</v>
      </c>
      <c r="M71" s="218">
        <f t="shared" si="44"/>
        <v>3276</v>
      </c>
      <c r="N71" s="310">
        <f t="shared" si="45"/>
        <v>3003</v>
      </c>
      <c r="O71" s="311">
        <f t="shared" si="46"/>
        <v>3003</v>
      </c>
      <c r="T71" s="5"/>
    </row>
    <row r="72" spans="2:22" x14ac:dyDescent="0.25">
      <c r="B72" s="79">
        <v>904.02</v>
      </c>
      <c r="C72" s="381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UNITARIOS!K2354</f>
        <v>280</v>
      </c>
      <c r="I72" s="296">
        <v>0</v>
      </c>
      <c r="J72" s="115">
        <f t="shared" si="41"/>
        <v>-280</v>
      </c>
      <c r="K72" s="296">
        <f t="shared" si="42"/>
        <v>1290.8000000000002</v>
      </c>
      <c r="L72" s="218">
        <f t="shared" si="43"/>
        <v>0</v>
      </c>
      <c r="M72" s="218">
        <f t="shared" si="44"/>
        <v>0</v>
      </c>
      <c r="N72" s="310">
        <f t="shared" si="45"/>
        <v>-1290.8000000000002</v>
      </c>
      <c r="O72" s="311">
        <f t="shared" si="46"/>
        <v>-1290.8000000000002</v>
      </c>
      <c r="T72" s="5"/>
    </row>
    <row r="73" spans="2:22" x14ac:dyDescent="0.25">
      <c r="B73" s="79">
        <v>904.03</v>
      </c>
      <c r="C73" s="381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UNITARIOS!K2405</f>
        <v>336</v>
      </c>
      <c r="I73" s="296">
        <v>0</v>
      </c>
      <c r="J73" s="115">
        <f t="shared" si="41"/>
        <v>-336</v>
      </c>
      <c r="K73" s="296">
        <f t="shared" si="42"/>
        <v>2016</v>
      </c>
      <c r="L73" s="218">
        <f t="shared" si="43"/>
        <v>0</v>
      </c>
      <c r="M73" s="218">
        <f t="shared" si="44"/>
        <v>0</v>
      </c>
      <c r="N73" s="310">
        <f t="shared" si="45"/>
        <v>-2016</v>
      </c>
      <c r="O73" s="311">
        <f t="shared" si="46"/>
        <v>-2016</v>
      </c>
      <c r="T73" s="5"/>
    </row>
    <row r="74" spans="2:22" x14ac:dyDescent="0.25">
      <c r="B74" s="79">
        <v>907.04</v>
      </c>
      <c r="C74" s="381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UNITARIOS!K2458</f>
        <v>700</v>
      </c>
      <c r="I74" s="296">
        <v>0</v>
      </c>
      <c r="J74" s="115">
        <f t="shared" si="41"/>
        <v>-700</v>
      </c>
      <c r="K74" s="296">
        <f t="shared" si="42"/>
        <v>700</v>
      </c>
      <c r="L74" s="218">
        <f t="shared" si="43"/>
        <v>0</v>
      </c>
      <c r="M74" s="218">
        <f t="shared" si="44"/>
        <v>0</v>
      </c>
      <c r="N74" s="310">
        <f t="shared" si="45"/>
        <v>-700</v>
      </c>
      <c r="O74" s="311">
        <f t="shared" si="46"/>
        <v>-700</v>
      </c>
      <c r="T74" s="5"/>
    </row>
    <row r="75" spans="2:22" x14ac:dyDescent="0.25">
      <c r="B75" s="390">
        <v>907.05</v>
      </c>
      <c r="C75" s="213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UNITARIOS!K2514</f>
        <v>1176</v>
      </c>
      <c r="I75" s="296">
        <f>H75</f>
        <v>1176</v>
      </c>
      <c r="J75" s="115">
        <f t="shared" si="41"/>
        <v>0</v>
      </c>
      <c r="K75" s="296">
        <f t="shared" si="42"/>
        <v>1176</v>
      </c>
      <c r="L75" s="218">
        <f t="shared" si="43"/>
        <v>1176</v>
      </c>
      <c r="M75" s="218">
        <f t="shared" si="44"/>
        <v>1176</v>
      </c>
      <c r="N75" s="310">
        <f t="shared" si="45"/>
        <v>0</v>
      </c>
      <c r="O75" s="311">
        <f t="shared" si="46"/>
        <v>0</v>
      </c>
      <c r="T75" s="5"/>
    </row>
    <row r="76" spans="2:22" x14ac:dyDescent="0.25">
      <c r="B76" s="390">
        <v>907.14</v>
      </c>
      <c r="C76" s="213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UNITARIOS!K2570</f>
        <v>2492</v>
      </c>
      <c r="I76" s="296">
        <f>H76</f>
        <v>2492</v>
      </c>
      <c r="J76" s="115">
        <f t="shared" si="41"/>
        <v>0</v>
      </c>
      <c r="K76" s="296">
        <f t="shared" si="42"/>
        <v>2492</v>
      </c>
      <c r="L76" s="218">
        <f t="shared" si="43"/>
        <v>2492</v>
      </c>
      <c r="M76" s="218">
        <f t="shared" si="44"/>
        <v>2492</v>
      </c>
      <c r="N76" s="310">
        <f t="shared" si="45"/>
        <v>0</v>
      </c>
      <c r="O76" s="311">
        <f t="shared" si="46"/>
        <v>0</v>
      </c>
      <c r="P76" s="236">
        <f>SUM(L68:L76)</f>
        <v>8631</v>
      </c>
      <c r="T76" s="5"/>
    </row>
    <row r="77" spans="2:22" x14ac:dyDescent="0.25">
      <c r="B77" s="82"/>
      <c r="C77" s="215" t="s">
        <v>549</v>
      </c>
      <c r="D77" s="72"/>
      <c r="E77" s="72"/>
      <c r="F77" s="72"/>
      <c r="G77" s="73" t="s">
        <v>59</v>
      </c>
      <c r="H77" s="84"/>
      <c r="I77" s="296"/>
      <c r="J77" s="296"/>
      <c r="K77" s="296"/>
      <c r="L77" s="218"/>
      <c r="M77" s="218"/>
      <c r="N77" s="308"/>
      <c r="O77" s="305"/>
      <c r="T77" s="5"/>
      <c r="V77">
        <v>99</v>
      </c>
    </row>
    <row r="78" spans="2:22" x14ac:dyDescent="0.25">
      <c r="B78" s="79">
        <v>1001.01</v>
      </c>
      <c r="C78" s="381" t="s">
        <v>282</v>
      </c>
      <c r="D78" s="72">
        <v>1</v>
      </c>
      <c r="E78" s="72">
        <v>0</v>
      </c>
      <c r="F78" s="72">
        <f t="shared" ref="F78:F85" si="47">E78-D78</f>
        <v>-1</v>
      </c>
      <c r="G78" s="72" t="s">
        <v>25</v>
      </c>
      <c r="H78" s="84">
        <f>UNITARIOS!K2626</f>
        <v>2051</v>
      </c>
      <c r="I78" s="296">
        <v>0</v>
      </c>
      <c r="J78" s="115">
        <f t="shared" ref="J78:J85" si="48">I78-H78</f>
        <v>-2051</v>
      </c>
      <c r="K78" s="296">
        <f t="shared" ref="K78:K85" si="49">D78*H78</f>
        <v>2051</v>
      </c>
      <c r="L78" s="218">
        <f t="shared" ref="L78:L85" si="50">+E78*H78</f>
        <v>0</v>
      </c>
      <c r="M78" s="218">
        <f t="shared" ref="M78:M85" si="51">+E78*I78</f>
        <v>0</v>
      </c>
      <c r="N78" s="310">
        <f t="shared" ref="N78:N85" si="52">L78-K78</f>
        <v>-2051</v>
      </c>
      <c r="O78" s="311">
        <f t="shared" ref="O78:O85" si="53">M78-K78</f>
        <v>-2051</v>
      </c>
      <c r="T78" s="5"/>
    </row>
    <row r="79" spans="2:22" x14ac:dyDescent="0.25">
      <c r="B79" s="79">
        <v>1002.01</v>
      </c>
      <c r="C79" s="381" t="s">
        <v>508</v>
      </c>
      <c r="D79" s="72">
        <v>2</v>
      </c>
      <c r="E79" s="72">
        <v>0</v>
      </c>
      <c r="F79" s="72">
        <f t="shared" si="47"/>
        <v>-2</v>
      </c>
      <c r="G79" s="72" t="s">
        <v>25</v>
      </c>
      <c r="H79" s="84">
        <f>UNITARIOS!K2682</f>
        <v>1428</v>
      </c>
      <c r="I79" s="296">
        <v>0</v>
      </c>
      <c r="J79" s="115">
        <f t="shared" si="48"/>
        <v>-1428</v>
      </c>
      <c r="K79" s="296">
        <f t="shared" si="49"/>
        <v>2856</v>
      </c>
      <c r="L79" s="218">
        <f t="shared" si="50"/>
        <v>0</v>
      </c>
      <c r="M79" s="218">
        <f t="shared" si="51"/>
        <v>0</v>
      </c>
      <c r="N79" s="310">
        <f t="shared" si="52"/>
        <v>-2856</v>
      </c>
      <c r="O79" s="311">
        <f t="shared" si="53"/>
        <v>-2856</v>
      </c>
      <c r="T79" s="5"/>
    </row>
    <row r="80" spans="2:22" x14ac:dyDescent="0.25">
      <c r="B80" s="79">
        <v>1007.01</v>
      </c>
      <c r="C80" s="381" t="s">
        <v>509</v>
      </c>
      <c r="D80" s="72">
        <v>2</v>
      </c>
      <c r="E80" s="72">
        <v>0</v>
      </c>
      <c r="F80" s="72">
        <f t="shared" si="47"/>
        <v>-2</v>
      </c>
      <c r="G80" s="72" t="s">
        <v>24</v>
      </c>
      <c r="H80" s="84">
        <f>UNITARIOS!K2738</f>
        <v>483</v>
      </c>
      <c r="I80" s="296">
        <v>0</v>
      </c>
      <c r="J80" s="115">
        <f t="shared" si="48"/>
        <v>-483</v>
      </c>
      <c r="K80" s="296">
        <f t="shared" si="49"/>
        <v>966</v>
      </c>
      <c r="L80" s="218">
        <f t="shared" si="50"/>
        <v>0</v>
      </c>
      <c r="M80" s="218">
        <f t="shared" si="51"/>
        <v>0</v>
      </c>
      <c r="N80" s="310">
        <f t="shared" si="52"/>
        <v>-966</v>
      </c>
      <c r="O80" s="311">
        <f t="shared" si="53"/>
        <v>-966</v>
      </c>
      <c r="T80" s="5"/>
    </row>
    <row r="81" spans="2:20" x14ac:dyDescent="0.25">
      <c r="B81" s="390">
        <v>1007.02</v>
      </c>
      <c r="C81" s="381" t="s">
        <v>544</v>
      </c>
      <c r="D81" s="72">
        <v>3</v>
      </c>
      <c r="E81" s="72">
        <v>0</v>
      </c>
      <c r="F81" s="72">
        <f t="shared" si="47"/>
        <v>-3</v>
      </c>
      <c r="G81" s="72" t="s">
        <v>25</v>
      </c>
      <c r="H81" s="84">
        <f>UNITARIOS!K2794</f>
        <v>35</v>
      </c>
      <c r="I81" s="296">
        <f>H81</f>
        <v>35</v>
      </c>
      <c r="J81" s="115">
        <f t="shared" si="48"/>
        <v>0</v>
      </c>
      <c r="K81" s="296">
        <f t="shared" si="49"/>
        <v>105</v>
      </c>
      <c r="L81" s="218">
        <f t="shared" si="50"/>
        <v>0</v>
      </c>
      <c r="M81" s="218">
        <f t="shared" si="51"/>
        <v>0</v>
      </c>
      <c r="N81" s="310">
        <f t="shared" si="52"/>
        <v>-105</v>
      </c>
      <c r="O81" s="311">
        <f t="shared" si="53"/>
        <v>-105</v>
      </c>
      <c r="T81" s="5"/>
    </row>
    <row r="82" spans="2:20" x14ac:dyDescent="0.25">
      <c r="B82" s="79">
        <v>1007.05</v>
      </c>
      <c r="C82" s="381" t="s">
        <v>510</v>
      </c>
      <c r="D82" s="72">
        <v>1</v>
      </c>
      <c r="E82" s="72">
        <v>0</v>
      </c>
      <c r="F82" s="72">
        <f t="shared" si="47"/>
        <v>-1</v>
      </c>
      <c r="G82" s="72" t="s">
        <v>25</v>
      </c>
      <c r="H82" s="84">
        <f>UNITARIOS!K2850</f>
        <v>938</v>
      </c>
      <c r="I82" s="296">
        <v>0</v>
      </c>
      <c r="J82" s="115">
        <f t="shared" si="48"/>
        <v>-938</v>
      </c>
      <c r="K82" s="296">
        <f t="shared" si="49"/>
        <v>938</v>
      </c>
      <c r="L82" s="218">
        <f t="shared" si="50"/>
        <v>0</v>
      </c>
      <c r="M82" s="218">
        <f t="shared" si="51"/>
        <v>0</v>
      </c>
      <c r="N82" s="310">
        <f t="shared" si="52"/>
        <v>-938</v>
      </c>
      <c r="O82" s="311">
        <f t="shared" si="53"/>
        <v>-938</v>
      </c>
      <c r="T82" s="5"/>
    </row>
    <row r="83" spans="2:20" x14ac:dyDescent="0.25">
      <c r="B83" s="79">
        <v>1007.06</v>
      </c>
      <c r="C83" s="381" t="s">
        <v>545</v>
      </c>
      <c r="D83" s="72">
        <v>1</v>
      </c>
      <c r="E83" s="72">
        <v>0</v>
      </c>
      <c r="F83" s="72">
        <f t="shared" si="47"/>
        <v>-1</v>
      </c>
      <c r="G83" s="72" t="s">
        <v>25</v>
      </c>
      <c r="H83" s="84">
        <f>UNITARIOS!K2906</f>
        <v>938</v>
      </c>
      <c r="I83" s="296">
        <v>0</v>
      </c>
      <c r="J83" s="115">
        <f t="shared" si="48"/>
        <v>-938</v>
      </c>
      <c r="K83" s="296">
        <f t="shared" si="49"/>
        <v>938</v>
      </c>
      <c r="L83" s="218">
        <f t="shared" si="50"/>
        <v>0</v>
      </c>
      <c r="M83" s="218">
        <f t="shared" si="51"/>
        <v>0</v>
      </c>
      <c r="N83" s="310">
        <f t="shared" si="52"/>
        <v>-938</v>
      </c>
      <c r="O83" s="311">
        <f t="shared" si="53"/>
        <v>-938</v>
      </c>
      <c r="T83" s="5"/>
    </row>
    <row r="84" spans="2:20" x14ac:dyDescent="0.25">
      <c r="B84" s="390">
        <v>1007.08</v>
      </c>
      <c r="C84" s="568" t="s">
        <v>546</v>
      </c>
      <c r="D84" s="72">
        <v>1</v>
      </c>
      <c r="E84" s="72">
        <v>0</v>
      </c>
      <c r="F84" s="72">
        <f t="shared" si="47"/>
        <v>-1</v>
      </c>
      <c r="G84" s="72" t="s">
        <v>25</v>
      </c>
      <c r="H84" s="84">
        <f>UNITARIOS!K2962</f>
        <v>1526</v>
      </c>
      <c r="I84" s="296">
        <f>H84</f>
        <v>1526</v>
      </c>
      <c r="J84" s="115">
        <f t="shared" si="48"/>
        <v>0</v>
      </c>
      <c r="K84" s="296">
        <f t="shared" si="49"/>
        <v>1526</v>
      </c>
      <c r="L84" s="218">
        <f t="shared" si="50"/>
        <v>0</v>
      </c>
      <c r="M84" s="218">
        <f t="shared" si="51"/>
        <v>0</v>
      </c>
      <c r="N84" s="310">
        <f t="shared" si="52"/>
        <v>-1526</v>
      </c>
      <c r="O84" s="311">
        <f t="shared" si="53"/>
        <v>-1526</v>
      </c>
      <c r="T84" s="5"/>
    </row>
    <row r="85" spans="2:20" x14ac:dyDescent="0.25">
      <c r="B85" s="390">
        <v>1007.09</v>
      </c>
      <c r="C85" s="381" t="s">
        <v>547</v>
      </c>
      <c r="D85" s="72">
        <v>2</v>
      </c>
      <c r="E85" s="72">
        <v>0</v>
      </c>
      <c r="F85" s="72">
        <f t="shared" si="47"/>
        <v>-2</v>
      </c>
      <c r="G85" s="72" t="s">
        <v>25</v>
      </c>
      <c r="H85" s="84">
        <f>UNITARIOS!K3018</f>
        <v>385</v>
      </c>
      <c r="I85" s="296">
        <f>H85</f>
        <v>385</v>
      </c>
      <c r="J85" s="115">
        <f t="shared" si="48"/>
        <v>0</v>
      </c>
      <c r="K85" s="296">
        <f t="shared" si="49"/>
        <v>770</v>
      </c>
      <c r="L85" s="218">
        <f t="shared" si="50"/>
        <v>0</v>
      </c>
      <c r="M85" s="218">
        <f t="shared" si="51"/>
        <v>0</v>
      </c>
      <c r="N85" s="310">
        <f t="shared" si="52"/>
        <v>-770</v>
      </c>
      <c r="O85" s="311">
        <f t="shared" si="53"/>
        <v>-770</v>
      </c>
      <c r="P85" s="236">
        <f>SUM(L78:L85)</f>
        <v>0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96"/>
      <c r="J86" s="296"/>
      <c r="K86" s="296"/>
      <c r="L86" s="218"/>
      <c r="M86" s="218"/>
      <c r="N86" s="308"/>
      <c r="O86" s="305"/>
      <c r="T86" s="5"/>
    </row>
    <row r="87" spans="2:20" x14ac:dyDescent="0.25">
      <c r="B87" s="390">
        <v>1005.03</v>
      </c>
      <c r="C87" s="213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UNITARIOS!K3071</f>
        <v>2149</v>
      </c>
      <c r="I87" s="296">
        <f>H87</f>
        <v>2149</v>
      </c>
      <c r="J87" s="115">
        <f>I87-H87</f>
        <v>0</v>
      </c>
      <c r="K87" s="296">
        <f>D87*H87</f>
        <v>2149</v>
      </c>
      <c r="L87" s="218">
        <f>+E87*H87</f>
        <v>2149</v>
      </c>
      <c r="M87" s="218">
        <f>+E87*I87</f>
        <v>2149</v>
      </c>
      <c r="N87" s="310">
        <f>L87-K87</f>
        <v>0</v>
      </c>
      <c r="O87" s="311">
        <f>M87-K87</f>
        <v>0</v>
      </c>
      <c r="T87" s="5"/>
    </row>
    <row r="88" spans="2:20" x14ac:dyDescent="0.25">
      <c r="B88" s="390">
        <v>1009.03</v>
      </c>
      <c r="C88" s="213" t="s">
        <v>553</v>
      </c>
      <c r="D88" s="80">
        <v>7</v>
      </c>
      <c r="E88" s="80">
        <v>2</v>
      </c>
      <c r="F88" s="72">
        <f>E88-D88</f>
        <v>-5</v>
      </c>
      <c r="G88" s="80" t="s">
        <v>25</v>
      </c>
      <c r="H88" s="81">
        <f>UNITARIOS!K3123</f>
        <v>819</v>
      </c>
      <c r="I88" s="297">
        <f>H88</f>
        <v>819</v>
      </c>
      <c r="J88" s="115">
        <f>I88-H88</f>
        <v>0</v>
      </c>
      <c r="K88" s="296">
        <f>D88*H88</f>
        <v>5733</v>
      </c>
      <c r="L88" s="218">
        <f>+E88*H88</f>
        <v>1638</v>
      </c>
      <c r="M88" s="218">
        <f>+E88*I88</f>
        <v>1638</v>
      </c>
      <c r="N88" s="310">
        <f>L88-K88</f>
        <v>-4095</v>
      </c>
      <c r="O88" s="311">
        <f>M88-K88</f>
        <v>-4095</v>
      </c>
      <c r="T88" s="5"/>
    </row>
    <row r="89" spans="2:20" x14ac:dyDescent="0.25">
      <c r="B89" s="390">
        <v>1011.01</v>
      </c>
      <c r="C89" s="213" t="s">
        <v>279</v>
      </c>
      <c r="D89" s="80">
        <v>2</v>
      </c>
      <c r="E89" s="80">
        <v>0</v>
      </c>
      <c r="F89" s="72">
        <f>E89-D89</f>
        <v>-2</v>
      </c>
      <c r="G89" s="80" t="s">
        <v>25</v>
      </c>
      <c r="H89" s="81">
        <f>UNITARIOS!K3172</f>
        <v>280</v>
      </c>
      <c r="I89" s="297">
        <f>H89</f>
        <v>280</v>
      </c>
      <c r="J89" s="115">
        <f>I89-H89</f>
        <v>0</v>
      </c>
      <c r="K89" s="296">
        <f>D89*H89</f>
        <v>560</v>
      </c>
      <c r="L89" s="218">
        <f>+E89*H89</f>
        <v>0</v>
      </c>
      <c r="M89" s="218">
        <f>+E89*I89</f>
        <v>0</v>
      </c>
      <c r="N89" s="310">
        <f>L89-K89</f>
        <v>-560</v>
      </c>
      <c r="O89" s="311">
        <f>M89-K89</f>
        <v>-560</v>
      </c>
      <c r="T89" s="5"/>
    </row>
    <row r="90" spans="2:20" x14ac:dyDescent="0.25">
      <c r="B90" s="390">
        <v>1011.02</v>
      </c>
      <c r="C90" s="213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UNITARIOS!K3221</f>
        <v>350</v>
      </c>
      <c r="I90" s="297">
        <f>H90</f>
        <v>350</v>
      </c>
      <c r="J90" s="115">
        <f>I90-H90</f>
        <v>0</v>
      </c>
      <c r="K90" s="296">
        <f>D90*H90</f>
        <v>350</v>
      </c>
      <c r="L90" s="218">
        <f>+E90*H90</f>
        <v>350</v>
      </c>
      <c r="M90" s="218">
        <f>+E90*I90</f>
        <v>350</v>
      </c>
      <c r="N90" s="310">
        <f>L90-K90</f>
        <v>0</v>
      </c>
      <c r="O90" s="311">
        <f>M90-K90</f>
        <v>0</v>
      </c>
      <c r="T90" s="5"/>
    </row>
    <row r="91" spans="2:20" x14ac:dyDescent="0.25">
      <c r="B91" s="390">
        <v>1012.02</v>
      </c>
      <c r="C91" s="213" t="s">
        <v>554</v>
      </c>
      <c r="D91" s="80">
        <v>7</v>
      </c>
      <c r="E91" s="80">
        <v>4</v>
      </c>
      <c r="F91" s="72">
        <f>E91-D91</f>
        <v>-3</v>
      </c>
      <c r="G91" s="80" t="s">
        <v>25</v>
      </c>
      <c r="H91" s="81">
        <f>UNITARIOS!K3271</f>
        <v>371</v>
      </c>
      <c r="I91" s="297">
        <f>H91</f>
        <v>371</v>
      </c>
      <c r="J91" s="115">
        <f>I91-H91</f>
        <v>0</v>
      </c>
      <c r="K91" s="296">
        <f>D91*H91</f>
        <v>2597</v>
      </c>
      <c r="L91" s="218">
        <f>+E91*H91</f>
        <v>1484</v>
      </c>
      <c r="M91" s="218">
        <f>+E91*I91</f>
        <v>1484</v>
      </c>
      <c r="N91" s="310">
        <f>L91-K91</f>
        <v>-1113</v>
      </c>
      <c r="O91" s="311">
        <f>M91-K91</f>
        <v>-1113</v>
      </c>
      <c r="P91" s="236">
        <f>SUM(L87:L91)</f>
        <v>5621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97"/>
      <c r="J92" s="297"/>
      <c r="K92" s="297"/>
      <c r="L92" s="218"/>
      <c r="M92" s="218"/>
      <c r="N92" s="308"/>
      <c r="O92" s="305"/>
      <c r="Q92" s="68"/>
      <c r="R92" s="68"/>
      <c r="T92" s="5"/>
    </row>
    <row r="93" spans="2:20" x14ac:dyDescent="0.25">
      <c r="B93" s="390">
        <v>1207.01</v>
      </c>
      <c r="C93" s="213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UNITARIOS!K3321</f>
        <v>1924.37</v>
      </c>
      <c r="I93" s="297">
        <f>H93</f>
        <v>1924.37</v>
      </c>
      <c r="J93" s="115">
        <f>I93-H93</f>
        <v>0</v>
      </c>
      <c r="K93" s="296">
        <f>D93*H93</f>
        <v>1924.37</v>
      </c>
      <c r="L93" s="218">
        <f>+E93*H93</f>
        <v>1924.37</v>
      </c>
      <c r="M93" s="218">
        <f>+E93*I93</f>
        <v>1924.37</v>
      </c>
      <c r="N93" s="310">
        <f>L93-K93</f>
        <v>0</v>
      </c>
      <c r="O93" s="311">
        <f>M93-K93</f>
        <v>0</v>
      </c>
      <c r="Q93" s="68"/>
      <c r="R93" s="68"/>
      <c r="T93" s="5"/>
    </row>
    <row r="94" spans="2:20" x14ac:dyDescent="0.25">
      <c r="B94" s="390">
        <v>1207.03</v>
      </c>
      <c r="C94" s="213" t="s">
        <v>512</v>
      </c>
      <c r="D94" s="80">
        <v>1</v>
      </c>
      <c r="E94" s="80">
        <v>0</v>
      </c>
      <c r="F94" s="72">
        <f>E94-D94</f>
        <v>-1</v>
      </c>
      <c r="G94" s="80" t="s">
        <v>25</v>
      </c>
      <c r="H94" s="81">
        <f>UNITARIOS!K3371</f>
        <v>1624</v>
      </c>
      <c r="I94" s="297">
        <f>H94</f>
        <v>1624</v>
      </c>
      <c r="J94" s="115">
        <f>I94-H94</f>
        <v>0</v>
      </c>
      <c r="K94" s="296">
        <f>D94*H94</f>
        <v>1624</v>
      </c>
      <c r="L94" s="218">
        <f>+E94*H94</f>
        <v>0</v>
      </c>
      <c r="M94" s="218">
        <f>+E94*I94</f>
        <v>0</v>
      </c>
      <c r="N94" s="310">
        <f>L94-K94</f>
        <v>-1624</v>
      </c>
      <c r="O94" s="311">
        <f>M94-K94</f>
        <v>-1624</v>
      </c>
      <c r="T94" s="5"/>
    </row>
    <row r="95" spans="2:20" x14ac:dyDescent="0.25">
      <c r="B95" s="390">
        <v>1208.02</v>
      </c>
      <c r="C95" s="213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UNITARIOS!K3421</f>
        <v>2881.2</v>
      </c>
      <c r="I95" s="297">
        <f>H95</f>
        <v>2881.2</v>
      </c>
      <c r="J95" s="115">
        <f>I95-H95</f>
        <v>0</v>
      </c>
      <c r="K95" s="296">
        <f>D95*H95</f>
        <v>2881.2</v>
      </c>
      <c r="L95" s="218">
        <f>+E95*H95</f>
        <v>2881.2</v>
      </c>
      <c r="M95" s="218">
        <f>+E95*I95</f>
        <v>2881.2</v>
      </c>
      <c r="N95" s="310">
        <f>L95-K95</f>
        <v>0</v>
      </c>
      <c r="O95" s="311">
        <f>M95-K95</f>
        <v>0</v>
      </c>
      <c r="P95" s="236">
        <f>SUM(L93:L95)</f>
        <v>4805.57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96"/>
      <c r="J96" s="296"/>
      <c r="K96" s="296"/>
      <c r="L96" s="218"/>
      <c r="M96" s="218"/>
      <c r="N96" s="308"/>
      <c r="O96" s="305"/>
      <c r="T96" s="5"/>
    </row>
    <row r="97" spans="2:23" x14ac:dyDescent="0.25">
      <c r="B97" s="79">
        <v>1304.02</v>
      </c>
      <c r="C97" s="213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UNITARIOS!K3476</f>
        <v>1400</v>
      </c>
      <c r="I97" s="296">
        <f>'UNITARIOS NUEVOS'!K3023</f>
        <v>635.6</v>
      </c>
      <c r="J97" s="115">
        <f>I97-H97</f>
        <v>-764.4</v>
      </c>
      <c r="K97" s="296">
        <f>D97*H97</f>
        <v>4746</v>
      </c>
      <c r="L97" s="218">
        <f>+E97*H97</f>
        <v>4746</v>
      </c>
      <c r="M97" s="218">
        <f>+E97*I97</f>
        <v>2154.6840000000002</v>
      </c>
      <c r="N97" s="310">
        <f>L97-K97</f>
        <v>0</v>
      </c>
      <c r="O97" s="311">
        <f>M97-K97</f>
        <v>-2591.3159999999998</v>
      </c>
      <c r="T97" s="5"/>
    </row>
    <row r="98" spans="2:23" x14ac:dyDescent="0.25">
      <c r="B98" s="390">
        <v>1304.0139999999999</v>
      </c>
      <c r="C98" s="213" t="s">
        <v>459</v>
      </c>
      <c r="D98" s="72">
        <v>1</v>
      </c>
      <c r="E98" s="72">
        <v>0</v>
      </c>
      <c r="F98" s="72">
        <f>E98-D98</f>
        <v>-1</v>
      </c>
      <c r="G98" s="72" t="s">
        <v>25</v>
      </c>
      <c r="H98" s="84">
        <f>UNITARIOS!K3531</f>
        <v>7791</v>
      </c>
      <c r="I98" s="296">
        <f>H98</f>
        <v>7791</v>
      </c>
      <c r="J98" s="115">
        <f>I98-H98</f>
        <v>0</v>
      </c>
      <c r="K98" s="296">
        <f>D98*H98</f>
        <v>7791</v>
      </c>
      <c r="L98" s="218">
        <f>+E98*H98</f>
        <v>0</v>
      </c>
      <c r="M98" s="218">
        <f>+E98*I98</f>
        <v>0</v>
      </c>
      <c r="N98" s="310">
        <f>L98-K98</f>
        <v>-7791</v>
      </c>
      <c r="O98" s="311">
        <f>M98-K98</f>
        <v>-7791</v>
      </c>
      <c r="P98" s="236">
        <f>SUM(L96:L98)</f>
        <v>4746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96"/>
      <c r="J99" s="296"/>
      <c r="K99" s="296"/>
      <c r="L99" s="218"/>
      <c r="M99" s="218"/>
      <c r="N99" s="308"/>
      <c r="O99" s="305"/>
      <c r="T99" s="5"/>
    </row>
    <row r="100" spans="2:23" x14ac:dyDescent="0.25">
      <c r="B100" s="390">
        <v>1410.05</v>
      </c>
      <c r="C100" s="213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UNITARIOS!K3586</f>
        <v>4508</v>
      </c>
      <c r="I100" s="296">
        <f>H100</f>
        <v>4508</v>
      </c>
      <c r="J100" s="115">
        <f>I100-H100</f>
        <v>0</v>
      </c>
      <c r="K100" s="296">
        <f>D100*H100</f>
        <v>4508</v>
      </c>
      <c r="L100" s="218">
        <f>+E100*H100</f>
        <v>4508</v>
      </c>
      <c r="M100" s="218">
        <f>+E100*I100</f>
        <v>4508</v>
      </c>
      <c r="N100" s="310">
        <f>L100-K100</f>
        <v>0</v>
      </c>
      <c r="O100" s="311">
        <f>M100-K100</f>
        <v>0</v>
      </c>
      <c r="P100" s="236">
        <f>SUM(L99:L100)</f>
        <v>4508</v>
      </c>
      <c r="Q100" s="67">
        <f>SUM(L10:L100)</f>
        <v>141599.91</v>
      </c>
      <c r="R100" s="67">
        <f>$L$165</f>
        <v>559900.32000000007</v>
      </c>
      <c r="T100" s="5"/>
    </row>
    <row r="101" spans="2:23" s="192" customFormat="1" x14ac:dyDescent="0.25">
      <c r="B101" s="91"/>
      <c r="C101" s="216" t="s">
        <v>514</v>
      </c>
      <c r="D101" s="196"/>
      <c r="E101" s="196"/>
      <c r="F101" s="196"/>
      <c r="G101" s="196"/>
      <c r="H101" s="198"/>
      <c r="I101" s="298"/>
      <c r="J101" s="298"/>
      <c r="K101" s="389"/>
      <c r="L101" s="389">
        <f>SUM(L12:L100)</f>
        <v>141599.91</v>
      </c>
      <c r="M101" s="389"/>
      <c r="N101" s="389"/>
      <c r="O101" s="389"/>
      <c r="Q101" s="199"/>
      <c r="R101" s="199"/>
      <c r="T101" s="193"/>
      <c r="W101" s="194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96"/>
      <c r="J102" s="296"/>
      <c r="K102" s="296"/>
      <c r="L102" s="218"/>
      <c r="M102" s="218"/>
      <c r="N102" s="308"/>
      <c r="O102" s="305"/>
      <c r="T102" s="5"/>
    </row>
    <row r="103" spans="2:23" x14ac:dyDescent="0.25">
      <c r="B103" s="390">
        <v>101.07</v>
      </c>
      <c r="C103" s="214" t="s">
        <v>460</v>
      </c>
      <c r="D103" s="72">
        <v>29</v>
      </c>
      <c r="E103" s="72">
        <v>28</v>
      </c>
      <c r="F103" s="72">
        <f t="shared" ref="F103:F106" si="54">E103-D103</f>
        <v>-1</v>
      </c>
      <c r="G103" s="72" t="s">
        <v>24</v>
      </c>
      <c r="H103" s="84">
        <f>UNITARIOS!K3642</f>
        <v>14</v>
      </c>
      <c r="I103" s="296">
        <f t="shared" ref="I103:I106" si="55">H103</f>
        <v>14</v>
      </c>
      <c r="J103" s="115">
        <f t="shared" ref="J103:J106" si="56">I103-H103</f>
        <v>0</v>
      </c>
      <c r="K103" s="296">
        <f t="shared" ref="K103:K106" si="57">D103*H103</f>
        <v>406</v>
      </c>
      <c r="L103" s="218">
        <f t="shared" ref="L103:L106" si="58">+E103*H103</f>
        <v>392</v>
      </c>
      <c r="M103" s="218">
        <f t="shared" ref="M103:M106" si="59">+E103*I103</f>
        <v>392</v>
      </c>
      <c r="N103" s="310">
        <f t="shared" ref="N103:N106" si="60">L103-K103</f>
        <v>-14</v>
      </c>
      <c r="O103" s="311">
        <f t="shared" ref="O103:O106" si="61">M103-K103</f>
        <v>-14</v>
      </c>
      <c r="T103" s="5"/>
    </row>
    <row r="104" spans="2:23" x14ac:dyDescent="0.25">
      <c r="B104" s="390">
        <v>111.03</v>
      </c>
      <c r="C104" s="213" t="s">
        <v>492</v>
      </c>
      <c r="D104" s="72">
        <v>37</v>
      </c>
      <c r="E104" s="72">
        <v>28</v>
      </c>
      <c r="F104" s="72">
        <f t="shared" si="54"/>
        <v>-9</v>
      </c>
      <c r="G104" s="72" t="s">
        <v>24</v>
      </c>
      <c r="H104" s="84">
        <f>UNITARIOS!K4238</f>
        <v>126</v>
      </c>
      <c r="I104" s="296">
        <f t="shared" si="55"/>
        <v>126</v>
      </c>
      <c r="J104" s="115">
        <f t="shared" si="56"/>
        <v>0</v>
      </c>
      <c r="K104" s="296">
        <f t="shared" si="57"/>
        <v>4662</v>
      </c>
      <c r="L104" s="218">
        <f t="shared" si="58"/>
        <v>3528</v>
      </c>
      <c r="M104" s="218">
        <f t="shared" si="59"/>
        <v>3528</v>
      </c>
      <c r="N104" s="310">
        <f t="shared" si="60"/>
        <v>-1134</v>
      </c>
      <c r="O104" s="311">
        <f t="shared" si="61"/>
        <v>-1134</v>
      </c>
      <c r="T104" s="5"/>
    </row>
    <row r="105" spans="2:23" x14ac:dyDescent="0.25">
      <c r="B105" s="390">
        <v>114.03</v>
      </c>
      <c r="C105" s="213" t="s">
        <v>276</v>
      </c>
      <c r="D105" s="72">
        <v>21</v>
      </c>
      <c r="E105" s="72">
        <v>32</v>
      </c>
      <c r="F105" s="72">
        <f t="shared" si="54"/>
        <v>11</v>
      </c>
      <c r="G105" s="72" t="s">
        <v>24</v>
      </c>
      <c r="H105" s="84">
        <f>UNITARIOS!K4289</f>
        <v>84</v>
      </c>
      <c r="I105" s="296">
        <f t="shared" si="55"/>
        <v>84</v>
      </c>
      <c r="J105" s="115">
        <f t="shared" si="56"/>
        <v>0</v>
      </c>
      <c r="K105" s="296">
        <f t="shared" si="57"/>
        <v>1764</v>
      </c>
      <c r="L105" s="218">
        <f t="shared" si="58"/>
        <v>2688</v>
      </c>
      <c r="M105" s="218">
        <f t="shared" si="59"/>
        <v>2688</v>
      </c>
      <c r="N105" s="310">
        <f t="shared" si="60"/>
        <v>924</v>
      </c>
      <c r="O105" s="311">
        <f t="shared" si="61"/>
        <v>924</v>
      </c>
      <c r="T105" s="5"/>
    </row>
    <row r="106" spans="2:23" x14ac:dyDescent="0.25">
      <c r="B106" s="390">
        <v>118.01</v>
      </c>
      <c r="C106" s="213" t="s">
        <v>519</v>
      </c>
      <c r="D106" s="72">
        <v>3</v>
      </c>
      <c r="E106" s="72">
        <v>3</v>
      </c>
      <c r="F106" s="72">
        <f t="shared" si="54"/>
        <v>0</v>
      </c>
      <c r="G106" s="72" t="s">
        <v>25</v>
      </c>
      <c r="H106" s="84">
        <f>UNITARIOS!K4338</f>
        <v>84</v>
      </c>
      <c r="I106" s="296">
        <f t="shared" si="55"/>
        <v>84</v>
      </c>
      <c r="J106" s="115">
        <f t="shared" si="56"/>
        <v>0</v>
      </c>
      <c r="K106" s="296">
        <f t="shared" si="57"/>
        <v>252</v>
      </c>
      <c r="L106" s="218">
        <f t="shared" si="58"/>
        <v>252</v>
      </c>
      <c r="M106" s="218">
        <f t="shared" si="59"/>
        <v>252</v>
      </c>
      <c r="N106" s="310">
        <f t="shared" si="60"/>
        <v>0</v>
      </c>
      <c r="O106" s="311">
        <f t="shared" si="61"/>
        <v>0</v>
      </c>
      <c r="P106" s="236">
        <f>SUM(L104:L106)</f>
        <v>6468</v>
      </c>
      <c r="T106" s="5"/>
    </row>
    <row r="107" spans="2:23" x14ac:dyDescent="0.25">
      <c r="B107" s="390">
        <v>115.02</v>
      </c>
      <c r="C107" s="213" t="s">
        <v>380</v>
      </c>
      <c r="D107" s="72">
        <v>3</v>
      </c>
      <c r="E107" s="72">
        <v>1</v>
      </c>
      <c r="F107" s="72">
        <f>E107-D107</f>
        <v>-2</v>
      </c>
      <c r="G107" s="72" t="s">
        <v>25</v>
      </c>
      <c r="H107" s="84">
        <f>UNITARIOS!K3698</f>
        <v>308</v>
      </c>
      <c r="I107" s="296">
        <f>H107</f>
        <v>308</v>
      </c>
      <c r="J107" s="115">
        <f>I107-H107</f>
        <v>0</v>
      </c>
      <c r="K107" s="296">
        <f>D107*H107</f>
        <v>924</v>
      </c>
      <c r="L107" s="218">
        <f>+E107*H107</f>
        <v>308</v>
      </c>
      <c r="M107" s="218">
        <f>+E107*I107</f>
        <v>308</v>
      </c>
      <c r="N107" s="310">
        <f>L107-K107</f>
        <v>-616</v>
      </c>
      <c r="O107" s="311">
        <f>M107-K107</f>
        <v>-616</v>
      </c>
      <c r="P107" s="236">
        <f>SUM(L103:L107)</f>
        <v>7168</v>
      </c>
      <c r="T107" s="5"/>
    </row>
    <row r="108" spans="2:23" x14ac:dyDescent="0.25">
      <c r="B108" s="82"/>
      <c r="C108" s="88" t="s">
        <v>49</v>
      </c>
      <c r="D108" s="72"/>
      <c r="E108" s="72"/>
      <c r="F108" s="72"/>
      <c r="G108" s="73" t="s">
        <v>59</v>
      </c>
      <c r="H108" s="84"/>
      <c r="I108" s="296"/>
      <c r="J108" s="296"/>
      <c r="K108" s="296"/>
      <c r="L108" s="218"/>
      <c r="M108" s="218"/>
      <c r="N108" s="308"/>
      <c r="O108" s="305"/>
      <c r="T108" s="5"/>
    </row>
    <row r="109" spans="2:23" x14ac:dyDescent="0.25">
      <c r="B109" s="79">
        <v>508.01</v>
      </c>
      <c r="C109" s="214" t="s">
        <v>556</v>
      </c>
      <c r="D109" s="72">
        <v>21</v>
      </c>
      <c r="E109" s="72">
        <v>32</v>
      </c>
      <c r="F109" s="72">
        <f>E109-D109</f>
        <v>11</v>
      </c>
      <c r="G109" s="72" t="s">
        <v>24</v>
      </c>
      <c r="H109" s="84">
        <f>UNITARIOS!K3754</f>
        <v>490</v>
      </c>
      <c r="I109" s="296">
        <f>H109</f>
        <v>490</v>
      </c>
      <c r="J109" s="115">
        <f>I109-H109</f>
        <v>0</v>
      </c>
      <c r="K109" s="296">
        <f>D109*H109</f>
        <v>10290</v>
      </c>
      <c r="L109" s="218">
        <f>+E109*H109</f>
        <v>15680</v>
      </c>
      <c r="M109" s="218">
        <f>+E109*I109</f>
        <v>15680</v>
      </c>
      <c r="N109" s="310">
        <f>L109-K109</f>
        <v>5390</v>
      </c>
      <c r="O109" s="311">
        <f>M109-K109</f>
        <v>5390</v>
      </c>
      <c r="P109" s="236">
        <f>SUM(L108:L109)</f>
        <v>15680</v>
      </c>
      <c r="R109" s="68"/>
      <c r="T109" s="5"/>
    </row>
    <row r="110" spans="2:23" x14ac:dyDescent="0.25">
      <c r="B110" s="82"/>
      <c r="C110" s="88" t="s">
        <v>50</v>
      </c>
      <c r="D110" s="72"/>
      <c r="E110" s="72"/>
      <c r="F110" s="72"/>
      <c r="G110" s="73" t="s">
        <v>59</v>
      </c>
      <c r="H110" s="84"/>
      <c r="I110" s="296"/>
      <c r="J110" s="296"/>
      <c r="K110" s="296"/>
      <c r="L110" s="218"/>
      <c r="M110" s="218"/>
      <c r="N110" s="308"/>
      <c r="O110" s="305"/>
      <c r="T110" s="5"/>
    </row>
    <row r="111" spans="2:23" x14ac:dyDescent="0.25">
      <c r="B111" s="79">
        <v>605.01</v>
      </c>
      <c r="C111" s="214" t="s">
        <v>557</v>
      </c>
      <c r="D111" s="72">
        <v>29</v>
      </c>
      <c r="E111" s="72">
        <v>28</v>
      </c>
      <c r="F111" s="72">
        <f>E111-D111</f>
        <v>-1</v>
      </c>
      <c r="G111" s="72" t="s">
        <v>24</v>
      </c>
      <c r="H111" s="84">
        <v>300</v>
      </c>
      <c r="I111" s="296">
        <f>H111</f>
        <v>300</v>
      </c>
      <c r="J111" s="115">
        <f>I111-H111</f>
        <v>0</v>
      </c>
      <c r="K111" s="296">
        <f>D111*H111</f>
        <v>8700</v>
      </c>
      <c r="L111" s="218">
        <f>+E111*H111</f>
        <v>8400</v>
      </c>
      <c r="M111" s="218">
        <f>+E111*I111</f>
        <v>8400</v>
      </c>
      <c r="N111" s="310">
        <f>L111-K111</f>
        <v>-300</v>
      </c>
      <c r="O111" s="311">
        <f>M111-K111</f>
        <v>-300</v>
      </c>
      <c r="T111" s="5"/>
    </row>
    <row r="112" spans="2:23" x14ac:dyDescent="0.25">
      <c r="B112" s="79">
        <v>605.08000000000004</v>
      </c>
      <c r="C112" s="568" t="s">
        <v>558</v>
      </c>
      <c r="D112" s="72">
        <v>8</v>
      </c>
      <c r="E112" s="72">
        <v>0</v>
      </c>
      <c r="F112" s="72">
        <f>E112-D112</f>
        <v>-8</v>
      </c>
      <c r="G112" s="72" t="s">
        <v>24</v>
      </c>
      <c r="H112" s="84">
        <f>UNITARIOS!K3856</f>
        <v>350</v>
      </c>
      <c r="I112" s="296">
        <f>H112</f>
        <v>350</v>
      </c>
      <c r="J112" s="115">
        <f>I112-H112</f>
        <v>0</v>
      </c>
      <c r="K112" s="296">
        <f>D112*H112</f>
        <v>2800</v>
      </c>
      <c r="L112" s="218">
        <f>+E112*H112</f>
        <v>0</v>
      </c>
      <c r="M112" s="218">
        <f>+E112*I112</f>
        <v>0</v>
      </c>
      <c r="N112" s="310">
        <f>L112-K112</f>
        <v>-2800</v>
      </c>
      <c r="O112" s="311">
        <f>M112-K112</f>
        <v>-2800</v>
      </c>
      <c r="T112" s="5"/>
    </row>
    <row r="113" spans="2:20" x14ac:dyDescent="0.25">
      <c r="B113" s="79">
        <v>611.01</v>
      </c>
      <c r="C113" s="214" t="s">
        <v>52</v>
      </c>
      <c r="D113" s="72">
        <v>130</v>
      </c>
      <c r="E113" s="72">
        <v>80</v>
      </c>
      <c r="F113" s="72">
        <f>E113-D113</f>
        <v>-50</v>
      </c>
      <c r="G113" s="72" t="s">
        <v>24</v>
      </c>
      <c r="H113" s="84">
        <f>UNITARIOS!K3912</f>
        <v>49</v>
      </c>
      <c r="I113" s="296">
        <f>H113</f>
        <v>49</v>
      </c>
      <c r="J113" s="115">
        <f>I113-H113</f>
        <v>0</v>
      </c>
      <c r="K113" s="296">
        <f>D113*H113</f>
        <v>6370</v>
      </c>
      <c r="L113" s="218">
        <f>+E113*H113</f>
        <v>3920</v>
      </c>
      <c r="M113" s="218">
        <f>+E113*I113</f>
        <v>3920</v>
      </c>
      <c r="N113" s="310">
        <f>L113-K113</f>
        <v>-2450</v>
      </c>
      <c r="O113" s="311">
        <f>M113-K113</f>
        <v>-2450</v>
      </c>
      <c r="P113" s="236">
        <f>SUM(L111:L113)</f>
        <v>12320</v>
      </c>
      <c r="T113" s="5"/>
    </row>
    <row r="114" spans="2:20" x14ac:dyDescent="0.25">
      <c r="B114" s="82"/>
      <c r="C114" s="88" t="s">
        <v>53</v>
      </c>
      <c r="D114" s="72"/>
      <c r="E114" s="72"/>
      <c r="F114" s="72"/>
      <c r="G114" s="73" t="s">
        <v>59</v>
      </c>
      <c r="H114" s="84"/>
      <c r="I114" s="296"/>
      <c r="J114" s="296"/>
      <c r="K114" s="296"/>
      <c r="L114" s="218"/>
      <c r="M114" s="218"/>
      <c r="N114" s="308"/>
      <c r="O114" s="305"/>
      <c r="T114" s="5"/>
    </row>
    <row r="115" spans="2:20" x14ac:dyDescent="0.25">
      <c r="B115" s="390">
        <v>701.02</v>
      </c>
      <c r="C115" s="214" t="s">
        <v>559</v>
      </c>
      <c r="D115" s="72">
        <v>3</v>
      </c>
      <c r="E115" s="72">
        <v>1</v>
      </c>
      <c r="F115" s="72">
        <f>E115-D115</f>
        <v>-2</v>
      </c>
      <c r="G115" s="72" t="s">
        <v>25</v>
      </c>
      <c r="H115" s="84">
        <f>UNITARIOS!K3968</f>
        <v>2583</v>
      </c>
      <c r="I115" s="296">
        <f>H115</f>
        <v>2583</v>
      </c>
      <c r="J115" s="115">
        <f>I115-H115</f>
        <v>0</v>
      </c>
      <c r="K115" s="296">
        <f>D115*H115</f>
        <v>7749</v>
      </c>
      <c r="L115" s="218">
        <f>+E115*H115</f>
        <v>2583</v>
      </c>
      <c r="M115" s="218">
        <f>+E115*I115</f>
        <v>2583</v>
      </c>
      <c r="N115" s="310">
        <f>L115-K115</f>
        <v>-5166</v>
      </c>
      <c r="O115" s="311">
        <f>M115-K115</f>
        <v>-5166</v>
      </c>
      <c r="P115" s="236">
        <f>SUM(L114:L115)</f>
        <v>2583</v>
      </c>
      <c r="T115" s="5"/>
    </row>
    <row r="116" spans="2:20" x14ac:dyDescent="0.25">
      <c r="B116" s="79"/>
      <c r="C116" s="88" t="s">
        <v>54</v>
      </c>
      <c r="D116" s="190"/>
      <c r="E116" s="190"/>
      <c r="F116" s="190"/>
      <c r="G116" s="191"/>
      <c r="H116" s="81"/>
      <c r="I116" s="297"/>
      <c r="J116" s="297"/>
      <c r="K116" s="297"/>
      <c r="L116" s="218"/>
      <c r="M116" s="218"/>
      <c r="N116" s="308"/>
      <c r="O116" s="305"/>
      <c r="T116" s="5"/>
    </row>
    <row r="117" spans="2:20" x14ac:dyDescent="0.25">
      <c r="B117" s="79">
        <v>806.06</v>
      </c>
      <c r="C117" s="214" t="s">
        <v>515</v>
      </c>
      <c r="D117" s="190">
        <v>10</v>
      </c>
      <c r="E117" s="190">
        <v>1.5</v>
      </c>
      <c r="F117" s="72">
        <f>E117-D117</f>
        <v>-8.5</v>
      </c>
      <c r="G117" s="191" t="s">
        <v>24</v>
      </c>
      <c r="H117" s="81">
        <f>UNITARIOS!K4024</f>
        <v>700</v>
      </c>
      <c r="I117" s="296">
        <f>H117</f>
        <v>700</v>
      </c>
      <c r="J117" s="115">
        <f>I117-H117</f>
        <v>0</v>
      </c>
      <c r="K117" s="296">
        <f>D117*H117</f>
        <v>7000</v>
      </c>
      <c r="L117" s="218">
        <f>+E117*H117</f>
        <v>1050</v>
      </c>
      <c r="M117" s="218">
        <f>+E117*I117</f>
        <v>1050</v>
      </c>
      <c r="N117" s="310">
        <f>L117-K117</f>
        <v>-5950</v>
      </c>
      <c r="O117" s="311">
        <f>M117-K117</f>
        <v>-5950</v>
      </c>
      <c r="T117" s="5"/>
    </row>
    <row r="118" spans="2:20" x14ac:dyDescent="0.25">
      <c r="B118" s="79">
        <v>806.09</v>
      </c>
      <c r="C118" s="214" t="s">
        <v>516</v>
      </c>
      <c r="D118" s="190">
        <v>10</v>
      </c>
      <c r="E118" s="190">
        <v>1.5</v>
      </c>
      <c r="F118" s="72">
        <f>E118-D118</f>
        <v>-8.5</v>
      </c>
      <c r="G118" s="191" t="s">
        <v>24</v>
      </c>
      <c r="H118" s="81">
        <f>UNITARIOS!K4080</f>
        <v>259</v>
      </c>
      <c r="I118" s="296">
        <f>H118</f>
        <v>259</v>
      </c>
      <c r="J118" s="115">
        <f>I118-H118</f>
        <v>0</v>
      </c>
      <c r="K118" s="296">
        <f>D118*H118</f>
        <v>2590</v>
      </c>
      <c r="L118" s="218">
        <f>+E118*H118</f>
        <v>388.5</v>
      </c>
      <c r="M118" s="218">
        <f>+E118*I118</f>
        <v>388.5</v>
      </c>
      <c r="N118" s="310">
        <f>L118-K118</f>
        <v>-2201.5</v>
      </c>
      <c r="O118" s="311">
        <f>M118-K118</f>
        <v>-2201.5</v>
      </c>
      <c r="P118" s="236">
        <f>SUM(L117:L118)</f>
        <v>1438.5</v>
      </c>
      <c r="T118" s="5"/>
    </row>
    <row r="119" spans="2:20" x14ac:dyDescent="0.25">
      <c r="B119" s="82"/>
      <c r="C119" s="88" t="s">
        <v>517</v>
      </c>
      <c r="D119" s="83"/>
      <c r="E119" s="83"/>
      <c r="F119" s="83"/>
      <c r="G119" s="74"/>
      <c r="H119" s="84"/>
      <c r="I119" s="296"/>
      <c r="J119" s="296"/>
      <c r="K119" s="296"/>
      <c r="L119" s="218"/>
      <c r="M119" s="218"/>
      <c r="N119" s="308"/>
      <c r="O119" s="305"/>
      <c r="T119" s="5"/>
    </row>
    <row r="120" spans="2:20" x14ac:dyDescent="0.25">
      <c r="B120" s="79">
        <v>1109.03</v>
      </c>
      <c r="C120" s="213" t="s">
        <v>553</v>
      </c>
      <c r="D120" s="72">
        <v>3</v>
      </c>
      <c r="E120" s="72">
        <v>1</v>
      </c>
      <c r="F120" s="72">
        <f>E120-D120</f>
        <v>-2</v>
      </c>
      <c r="G120" s="72" t="s">
        <v>25</v>
      </c>
      <c r="H120" s="84">
        <f>UNITARIOS!K4132</f>
        <v>819</v>
      </c>
      <c r="I120" s="296">
        <f>H120</f>
        <v>819</v>
      </c>
      <c r="J120" s="115">
        <f>I120-H120</f>
        <v>0</v>
      </c>
      <c r="K120" s="296">
        <f>D120*H120</f>
        <v>2457</v>
      </c>
      <c r="L120" s="218">
        <f>+E120*H120</f>
        <v>819</v>
      </c>
      <c r="M120" s="218">
        <f>+E120*I120</f>
        <v>819</v>
      </c>
      <c r="N120" s="310">
        <f>L120-K120</f>
        <v>-1638</v>
      </c>
      <c r="O120" s="311">
        <f>M120-K120</f>
        <v>-1638</v>
      </c>
      <c r="T120" s="5"/>
    </row>
    <row r="121" spans="2:20" x14ac:dyDescent="0.25">
      <c r="B121" s="79">
        <v>1112.01</v>
      </c>
      <c r="C121" s="213" t="s">
        <v>560</v>
      </c>
      <c r="D121" s="72">
        <v>1</v>
      </c>
      <c r="E121" s="72">
        <v>2</v>
      </c>
      <c r="F121" s="72">
        <f>E121-D121</f>
        <v>1</v>
      </c>
      <c r="G121" s="72" t="s">
        <v>25</v>
      </c>
      <c r="H121" s="84">
        <f>UNITARIOS!K4182</f>
        <v>273</v>
      </c>
      <c r="I121" s="296">
        <f>H121</f>
        <v>273</v>
      </c>
      <c r="J121" s="115">
        <f>I121-H121</f>
        <v>0</v>
      </c>
      <c r="K121" s="296">
        <f>D121*H121</f>
        <v>273</v>
      </c>
      <c r="L121" s="218">
        <f>+E121*H121</f>
        <v>546</v>
      </c>
      <c r="M121" s="218">
        <f>+E121*I121</f>
        <v>546</v>
      </c>
      <c r="N121" s="310">
        <f>L121-K121</f>
        <v>273</v>
      </c>
      <c r="O121" s="311">
        <f>M121-K121</f>
        <v>273</v>
      </c>
      <c r="P121" s="236">
        <f>SUM(L120:L121)</f>
        <v>1365</v>
      </c>
      <c r="Q121" s="67">
        <f>SUM(L103:L121)</f>
        <v>40554.5</v>
      </c>
      <c r="R121" s="67">
        <f>$L$165</f>
        <v>559900.32000000007</v>
      </c>
      <c r="T121" s="5"/>
    </row>
    <row r="122" spans="2:20" x14ac:dyDescent="0.25">
      <c r="B122" s="91"/>
      <c r="C122" s="216" t="s">
        <v>518</v>
      </c>
      <c r="D122" s="196"/>
      <c r="E122" s="196"/>
      <c r="F122" s="196"/>
      <c r="G122" s="196"/>
      <c r="H122" s="198"/>
      <c r="I122" s="298"/>
      <c r="J122" s="298"/>
      <c r="K122" s="298"/>
      <c r="L122" s="219"/>
      <c r="M122" s="219"/>
      <c r="N122" s="309"/>
      <c r="O122" s="306"/>
      <c r="T122" s="5"/>
    </row>
    <row r="123" spans="2:20" x14ac:dyDescent="0.25">
      <c r="B123" s="79"/>
      <c r="C123" s="88" t="s">
        <v>45</v>
      </c>
      <c r="D123" s="72"/>
      <c r="E123" s="72"/>
      <c r="F123" s="72"/>
      <c r="G123" s="72"/>
      <c r="H123" s="84"/>
      <c r="I123" s="296"/>
      <c r="J123" s="296"/>
      <c r="K123" s="296"/>
      <c r="L123" s="218"/>
      <c r="M123" s="218"/>
      <c r="N123" s="308"/>
      <c r="O123" s="305"/>
      <c r="T123" s="5"/>
    </row>
    <row r="124" spans="2:20" x14ac:dyDescent="0.25">
      <c r="B124" s="79">
        <v>101.07</v>
      </c>
      <c r="C124" s="214" t="s">
        <v>460</v>
      </c>
      <c r="D124" s="72">
        <v>108</v>
      </c>
      <c r="E124" s="72">
        <v>132</v>
      </c>
      <c r="F124" s="72">
        <f>E124-D124</f>
        <v>24</v>
      </c>
      <c r="G124" s="72" t="s">
        <v>24</v>
      </c>
      <c r="H124" s="84">
        <f>UNITARIOS!K4390</f>
        <v>14</v>
      </c>
      <c r="I124" s="296">
        <f t="shared" ref="I124:I128" si="62">H124</f>
        <v>14</v>
      </c>
      <c r="J124" s="115">
        <f t="shared" ref="J124:J128" si="63">I124-H124</f>
        <v>0</v>
      </c>
      <c r="K124" s="296">
        <f t="shared" ref="K124:K128" si="64">D124*H124</f>
        <v>1512</v>
      </c>
      <c r="L124" s="218">
        <f t="shared" ref="L124:L128" si="65">+E124*H124</f>
        <v>1848</v>
      </c>
      <c r="M124" s="218">
        <f t="shared" ref="M124:M128" si="66">+E124*I124</f>
        <v>1848</v>
      </c>
      <c r="N124" s="310">
        <f t="shared" ref="N124:N128" si="67">L124-K124</f>
        <v>336</v>
      </c>
      <c r="O124" s="311">
        <f t="shared" ref="O124:O128" si="68">M124-K124</f>
        <v>336</v>
      </c>
      <c r="T124" s="5"/>
    </row>
    <row r="125" spans="2:20" x14ac:dyDescent="0.25">
      <c r="B125" s="79">
        <v>111.03</v>
      </c>
      <c r="C125" s="213" t="s">
        <v>492</v>
      </c>
      <c r="D125" s="72">
        <v>136</v>
      </c>
      <c r="E125" s="72">
        <v>118</v>
      </c>
      <c r="F125" s="72">
        <f t="shared" ref="F125:F128" si="69">E125-D125</f>
        <v>-18</v>
      </c>
      <c r="G125" s="72" t="s">
        <v>24</v>
      </c>
      <c r="H125" s="84">
        <f>UNITARIOS!K5032</f>
        <v>126</v>
      </c>
      <c r="I125" s="296">
        <f t="shared" si="62"/>
        <v>126</v>
      </c>
      <c r="J125" s="115">
        <f t="shared" si="63"/>
        <v>0</v>
      </c>
      <c r="K125" s="296">
        <f t="shared" si="64"/>
        <v>17136</v>
      </c>
      <c r="L125" s="218">
        <f t="shared" si="65"/>
        <v>14868</v>
      </c>
      <c r="M125" s="218">
        <f t="shared" si="66"/>
        <v>14868</v>
      </c>
      <c r="N125" s="310">
        <f t="shared" si="67"/>
        <v>-2268</v>
      </c>
      <c r="O125" s="311">
        <f t="shared" si="68"/>
        <v>-2268</v>
      </c>
      <c r="T125" s="5"/>
    </row>
    <row r="126" spans="2:20" x14ac:dyDescent="0.25">
      <c r="B126" s="79">
        <v>114.03</v>
      </c>
      <c r="C126" s="213" t="s">
        <v>276</v>
      </c>
      <c r="D126" s="72">
        <v>156</v>
      </c>
      <c r="E126" s="72">
        <v>139</v>
      </c>
      <c r="F126" s="72">
        <f t="shared" si="69"/>
        <v>-17</v>
      </c>
      <c r="G126" s="72" t="s">
        <v>24</v>
      </c>
      <c r="H126" s="84">
        <f>UNITARIOS!K5088</f>
        <v>84</v>
      </c>
      <c r="I126" s="296">
        <f t="shared" si="62"/>
        <v>84</v>
      </c>
      <c r="J126" s="115">
        <f t="shared" si="63"/>
        <v>0</v>
      </c>
      <c r="K126" s="296">
        <f t="shared" si="64"/>
        <v>13104</v>
      </c>
      <c r="L126" s="218">
        <f t="shared" si="65"/>
        <v>11676</v>
      </c>
      <c r="M126" s="218">
        <f t="shared" si="66"/>
        <v>11676</v>
      </c>
      <c r="N126" s="310">
        <f t="shared" si="67"/>
        <v>-1428</v>
      </c>
      <c r="O126" s="311">
        <f t="shared" si="68"/>
        <v>-1428</v>
      </c>
      <c r="T126" s="5"/>
    </row>
    <row r="127" spans="2:20" x14ac:dyDescent="0.25">
      <c r="B127" s="79">
        <v>118.01</v>
      </c>
      <c r="C127" s="213" t="s">
        <v>519</v>
      </c>
      <c r="D127" s="72">
        <v>14</v>
      </c>
      <c r="E127" s="72">
        <v>14</v>
      </c>
      <c r="F127" s="72">
        <f t="shared" si="69"/>
        <v>0</v>
      </c>
      <c r="G127" s="72" t="s">
        <v>25</v>
      </c>
      <c r="H127" s="84">
        <f>UNITARIOS!K5144</f>
        <v>84</v>
      </c>
      <c r="I127" s="296">
        <f t="shared" si="62"/>
        <v>84</v>
      </c>
      <c r="J127" s="115">
        <f t="shared" si="63"/>
        <v>0</v>
      </c>
      <c r="K127" s="296">
        <f t="shared" si="64"/>
        <v>1176</v>
      </c>
      <c r="L127" s="218">
        <f t="shared" si="65"/>
        <v>1176</v>
      </c>
      <c r="M127" s="218">
        <f t="shared" si="66"/>
        <v>1176</v>
      </c>
      <c r="N127" s="310">
        <f t="shared" si="67"/>
        <v>0</v>
      </c>
      <c r="O127" s="311">
        <f t="shared" si="68"/>
        <v>0</v>
      </c>
      <c r="P127" s="236">
        <f>SUM(L125:L127)</f>
        <v>27720</v>
      </c>
      <c r="T127" s="5"/>
    </row>
    <row r="128" spans="2:20" x14ac:dyDescent="0.25">
      <c r="B128" s="79">
        <v>115.02</v>
      </c>
      <c r="C128" s="213" t="s">
        <v>380</v>
      </c>
      <c r="D128" s="72">
        <v>2</v>
      </c>
      <c r="E128" s="72">
        <v>2</v>
      </c>
      <c r="F128" s="72">
        <f t="shared" si="69"/>
        <v>0</v>
      </c>
      <c r="G128" s="72" t="s">
        <v>25</v>
      </c>
      <c r="H128" s="84">
        <f>UNITARIOS!K4442</f>
        <v>308</v>
      </c>
      <c r="I128" s="296">
        <f t="shared" si="62"/>
        <v>308</v>
      </c>
      <c r="J128" s="115">
        <f t="shared" si="63"/>
        <v>0</v>
      </c>
      <c r="K128" s="296">
        <f t="shared" si="64"/>
        <v>616</v>
      </c>
      <c r="L128" s="218">
        <f t="shared" si="65"/>
        <v>616</v>
      </c>
      <c r="M128" s="218">
        <f t="shared" si="66"/>
        <v>616</v>
      </c>
      <c r="N128" s="310">
        <f t="shared" si="67"/>
        <v>0</v>
      </c>
      <c r="O128" s="311">
        <f t="shared" si="68"/>
        <v>0</v>
      </c>
      <c r="P128" s="236">
        <f>SUM(L123:L128)</f>
        <v>30184</v>
      </c>
      <c r="T128" s="5"/>
    </row>
    <row r="129" spans="2:23" x14ac:dyDescent="0.25">
      <c r="B129" s="82"/>
      <c r="C129" s="88" t="s">
        <v>49</v>
      </c>
      <c r="D129" s="72"/>
      <c r="E129" s="72"/>
      <c r="F129" s="72"/>
      <c r="G129" s="73" t="s">
        <v>59</v>
      </c>
      <c r="H129" s="84"/>
      <c r="I129" s="296"/>
      <c r="J129" s="296"/>
      <c r="K129" s="296"/>
      <c r="L129" s="218"/>
      <c r="M129" s="218"/>
      <c r="N129" s="308"/>
      <c r="O129" s="305"/>
      <c r="T129" s="5"/>
    </row>
    <row r="130" spans="2:23" x14ac:dyDescent="0.25">
      <c r="B130" s="79">
        <v>508.01</v>
      </c>
      <c r="C130" s="214" t="s">
        <v>556</v>
      </c>
      <c r="D130" s="72">
        <v>156</v>
      </c>
      <c r="E130" s="72">
        <v>139</v>
      </c>
      <c r="F130" s="72">
        <f>E130-D130</f>
        <v>-17</v>
      </c>
      <c r="G130" s="72" t="s">
        <v>24</v>
      </c>
      <c r="H130" s="84">
        <f>UNITARIOS!K4495</f>
        <v>490</v>
      </c>
      <c r="I130" s="296">
        <f>H130</f>
        <v>490</v>
      </c>
      <c r="J130" s="115">
        <f>I130-H130</f>
        <v>0</v>
      </c>
      <c r="K130" s="296">
        <f>D130*H130</f>
        <v>76440</v>
      </c>
      <c r="L130" s="218">
        <f>+E130*H130</f>
        <v>68110</v>
      </c>
      <c r="M130" s="218">
        <f>+E130*I130</f>
        <v>68110</v>
      </c>
      <c r="N130" s="310">
        <f>L130-K130</f>
        <v>-8330</v>
      </c>
      <c r="O130" s="311">
        <f>M130-K130</f>
        <v>-8330</v>
      </c>
      <c r="P130" s="236">
        <f>SUM(L129:L130)</f>
        <v>68110</v>
      </c>
      <c r="R130" s="68"/>
      <c r="T130" s="5"/>
    </row>
    <row r="131" spans="2:23" x14ac:dyDescent="0.25">
      <c r="B131" s="82"/>
      <c r="C131" s="88" t="s">
        <v>50</v>
      </c>
      <c r="D131" s="72"/>
      <c r="E131" s="72"/>
      <c r="F131" s="72"/>
      <c r="G131" s="73" t="s">
        <v>59</v>
      </c>
      <c r="H131" s="84"/>
      <c r="I131" s="296"/>
      <c r="J131" s="296"/>
      <c r="K131" s="296"/>
      <c r="L131" s="218"/>
      <c r="M131" s="218"/>
      <c r="N131" s="308"/>
      <c r="O131" s="305"/>
      <c r="T131" s="5"/>
    </row>
    <row r="132" spans="2:23" x14ac:dyDescent="0.25">
      <c r="B132" s="79">
        <v>605.01</v>
      </c>
      <c r="C132" s="214" t="s">
        <v>557</v>
      </c>
      <c r="D132" s="72">
        <v>108</v>
      </c>
      <c r="E132" s="72">
        <v>118</v>
      </c>
      <c r="F132" s="72">
        <f>E132-D132</f>
        <v>10</v>
      </c>
      <c r="G132" s="72" t="s">
        <v>24</v>
      </c>
      <c r="H132" s="84">
        <v>300</v>
      </c>
      <c r="I132" s="296">
        <f t="shared" ref="I132:I134" si="70">H132</f>
        <v>300</v>
      </c>
      <c r="J132" s="115">
        <f t="shared" ref="J132:J134" si="71">I132-H132</f>
        <v>0</v>
      </c>
      <c r="K132" s="296">
        <f t="shared" ref="K132:K134" si="72">D132*H132</f>
        <v>32400</v>
      </c>
      <c r="L132" s="218">
        <f t="shared" ref="L132:L134" si="73">+E132*H132</f>
        <v>35400</v>
      </c>
      <c r="M132" s="218">
        <f t="shared" ref="M132:M134" si="74">+E132*I132</f>
        <v>35400</v>
      </c>
      <c r="N132" s="310">
        <f t="shared" ref="N132:N134" si="75">L132-K132</f>
        <v>3000</v>
      </c>
      <c r="O132" s="311">
        <f t="shared" ref="O132:O134" si="76">M132-K132</f>
        <v>3000</v>
      </c>
      <c r="T132" s="5"/>
    </row>
    <row r="133" spans="2:23" x14ac:dyDescent="0.25">
      <c r="B133" s="79">
        <v>605.08000000000004</v>
      </c>
      <c r="C133" s="214" t="s">
        <v>558</v>
      </c>
      <c r="D133" s="72">
        <v>28</v>
      </c>
      <c r="E133" s="72">
        <v>0</v>
      </c>
      <c r="F133" s="72">
        <f>E133-D133</f>
        <v>-28</v>
      </c>
      <c r="G133" s="72" t="s">
        <v>24</v>
      </c>
      <c r="H133" s="84">
        <f>UNITARIOS!K4597</f>
        <v>350</v>
      </c>
      <c r="I133" s="296">
        <f t="shared" si="70"/>
        <v>350</v>
      </c>
      <c r="J133" s="115">
        <f t="shared" si="71"/>
        <v>0</v>
      </c>
      <c r="K133" s="296">
        <f t="shared" si="72"/>
        <v>9800</v>
      </c>
      <c r="L133" s="218">
        <f t="shared" si="73"/>
        <v>0</v>
      </c>
      <c r="M133" s="218">
        <f t="shared" si="74"/>
        <v>0</v>
      </c>
      <c r="N133" s="310">
        <f t="shared" si="75"/>
        <v>-9800</v>
      </c>
      <c r="O133" s="311">
        <f t="shared" si="76"/>
        <v>-9800</v>
      </c>
      <c r="T133" s="5"/>
    </row>
    <row r="134" spans="2:23" x14ac:dyDescent="0.25">
      <c r="B134" s="79">
        <v>611.01</v>
      </c>
      <c r="C134" s="214" t="s">
        <v>52</v>
      </c>
      <c r="D134" s="72">
        <v>280</v>
      </c>
      <c r="E134" s="72">
        <v>240</v>
      </c>
      <c r="F134" s="72">
        <f>E134-D134</f>
        <v>-40</v>
      </c>
      <c r="G134" s="72" t="s">
        <v>24</v>
      </c>
      <c r="H134" s="84">
        <f>UNITARIOS!K4653</f>
        <v>49</v>
      </c>
      <c r="I134" s="296">
        <f t="shared" si="70"/>
        <v>49</v>
      </c>
      <c r="J134" s="115">
        <f t="shared" si="71"/>
        <v>0</v>
      </c>
      <c r="K134" s="296">
        <f t="shared" si="72"/>
        <v>13720</v>
      </c>
      <c r="L134" s="218">
        <f t="shared" si="73"/>
        <v>11760</v>
      </c>
      <c r="M134" s="218">
        <f t="shared" si="74"/>
        <v>11760</v>
      </c>
      <c r="N134" s="310">
        <f t="shared" si="75"/>
        <v>-1960</v>
      </c>
      <c r="O134" s="311">
        <f t="shared" si="76"/>
        <v>-1960</v>
      </c>
      <c r="P134" s="236">
        <f>SUM(L132:L134)</f>
        <v>47160</v>
      </c>
      <c r="T134" s="5"/>
    </row>
    <row r="135" spans="2:23" x14ac:dyDescent="0.25">
      <c r="B135" s="82"/>
      <c r="C135" s="88" t="s">
        <v>53</v>
      </c>
      <c r="D135" s="72"/>
      <c r="E135" s="72"/>
      <c r="F135" s="72"/>
      <c r="G135" s="73" t="s">
        <v>59</v>
      </c>
      <c r="H135" s="84"/>
      <c r="I135" s="296"/>
      <c r="J135" s="296"/>
      <c r="K135" s="296"/>
      <c r="L135" s="218"/>
      <c r="M135" s="218"/>
      <c r="N135" s="308"/>
      <c r="O135" s="305"/>
      <c r="T135" s="5"/>
    </row>
    <row r="136" spans="2:23" x14ac:dyDescent="0.25">
      <c r="B136" s="79">
        <v>701.02</v>
      </c>
      <c r="C136" s="214" t="s">
        <v>559</v>
      </c>
      <c r="D136" s="72">
        <v>2</v>
      </c>
      <c r="E136" s="72">
        <v>2</v>
      </c>
      <c r="F136" s="72">
        <f>E136-D136</f>
        <v>0</v>
      </c>
      <c r="G136" s="72" t="s">
        <v>25</v>
      </c>
      <c r="H136" s="84">
        <f>UNITARIOS!K4709</f>
        <v>2583</v>
      </c>
      <c r="I136" s="296">
        <f>H136</f>
        <v>2583</v>
      </c>
      <c r="J136" s="115">
        <f>I136-H136</f>
        <v>0</v>
      </c>
      <c r="K136" s="296">
        <f>D136*H136</f>
        <v>5166</v>
      </c>
      <c r="L136" s="218">
        <f>+E136*H136</f>
        <v>5166</v>
      </c>
      <c r="M136" s="218">
        <f>+E136*I136</f>
        <v>5166</v>
      </c>
      <c r="N136" s="310">
        <f>L136-K136</f>
        <v>0</v>
      </c>
      <c r="O136" s="311">
        <f>M136-K136</f>
        <v>0</v>
      </c>
      <c r="P136" s="236">
        <f>SUM(L135:L136)</f>
        <v>5166</v>
      </c>
      <c r="T136" s="5"/>
    </row>
    <row r="137" spans="2:23" x14ac:dyDescent="0.25">
      <c r="B137" s="79"/>
      <c r="C137" s="88" t="s">
        <v>54</v>
      </c>
      <c r="D137" s="190"/>
      <c r="E137" s="190"/>
      <c r="F137" s="190"/>
      <c r="G137" s="191"/>
      <c r="H137" s="81"/>
      <c r="I137" s="297"/>
      <c r="J137" s="297"/>
      <c r="K137" s="297"/>
      <c r="L137" s="218"/>
      <c r="M137" s="218"/>
      <c r="N137" s="308"/>
      <c r="O137" s="305"/>
      <c r="T137" s="5"/>
    </row>
    <row r="138" spans="2:23" x14ac:dyDescent="0.25">
      <c r="B138" s="79">
        <v>806.06</v>
      </c>
      <c r="C138" s="214" t="s">
        <v>515</v>
      </c>
      <c r="D138" s="190">
        <v>40</v>
      </c>
      <c r="E138" s="190">
        <v>41</v>
      </c>
      <c r="F138" s="72">
        <f>E138-D138</f>
        <v>1</v>
      </c>
      <c r="G138" s="191" t="s">
        <v>24</v>
      </c>
      <c r="H138" s="81">
        <f>UNITARIOS!K4765</f>
        <v>700</v>
      </c>
      <c r="I138" s="296">
        <f t="shared" ref="I138:I139" si="77">H138</f>
        <v>700</v>
      </c>
      <c r="J138" s="115">
        <f t="shared" ref="J138:J139" si="78">I138-H138</f>
        <v>0</v>
      </c>
      <c r="K138" s="296">
        <f t="shared" ref="K138:K139" si="79">D138*H138</f>
        <v>28000</v>
      </c>
      <c r="L138" s="218">
        <f t="shared" ref="L138:L139" si="80">+E138*H138</f>
        <v>28700</v>
      </c>
      <c r="M138" s="218">
        <f t="shared" ref="M138:M139" si="81">+E138*I138</f>
        <v>28700</v>
      </c>
      <c r="N138" s="310">
        <f t="shared" ref="N138:N139" si="82">L138-K138</f>
        <v>700</v>
      </c>
      <c r="O138" s="311">
        <f t="shared" ref="O138:O139" si="83">M138-K138</f>
        <v>700</v>
      </c>
      <c r="T138" s="5"/>
    </row>
    <row r="139" spans="2:23" x14ac:dyDescent="0.25">
      <c r="B139" s="79">
        <v>806.09</v>
      </c>
      <c r="C139" s="214" t="s">
        <v>516</v>
      </c>
      <c r="D139" s="190">
        <v>40</v>
      </c>
      <c r="E139" s="190">
        <v>41</v>
      </c>
      <c r="F139" s="72">
        <f>E139-D139</f>
        <v>1</v>
      </c>
      <c r="G139" s="191" t="s">
        <v>24</v>
      </c>
      <c r="H139" s="81">
        <f>UNITARIOS!K4821</f>
        <v>259</v>
      </c>
      <c r="I139" s="296">
        <f t="shared" si="77"/>
        <v>259</v>
      </c>
      <c r="J139" s="115">
        <f t="shared" si="78"/>
        <v>0</v>
      </c>
      <c r="K139" s="296">
        <f t="shared" si="79"/>
        <v>10360</v>
      </c>
      <c r="L139" s="218">
        <f t="shared" si="80"/>
        <v>10619</v>
      </c>
      <c r="M139" s="218">
        <f t="shared" si="81"/>
        <v>10619</v>
      </c>
      <c r="N139" s="310">
        <f t="shared" si="82"/>
        <v>259</v>
      </c>
      <c r="O139" s="311">
        <f t="shared" si="83"/>
        <v>259</v>
      </c>
      <c r="P139" s="236">
        <f>SUM(L137:L139)</f>
        <v>39319</v>
      </c>
      <c r="T139" s="5"/>
    </row>
    <row r="140" spans="2:23" x14ac:dyDescent="0.25">
      <c r="B140" s="82"/>
      <c r="C140" s="88" t="s">
        <v>55</v>
      </c>
      <c r="D140" s="72"/>
      <c r="E140" s="72"/>
      <c r="F140" s="72"/>
      <c r="G140" s="73" t="s">
        <v>59</v>
      </c>
      <c r="H140" s="84"/>
      <c r="I140" s="296"/>
      <c r="J140" s="296"/>
      <c r="K140" s="296"/>
      <c r="L140" s="218"/>
      <c r="M140" s="218"/>
      <c r="N140" s="308"/>
      <c r="O140" s="305"/>
      <c r="T140" s="5"/>
    </row>
    <row r="141" spans="2:23" x14ac:dyDescent="0.25">
      <c r="B141" s="79">
        <v>1105.01</v>
      </c>
      <c r="C141" s="213" t="s">
        <v>458</v>
      </c>
      <c r="D141" s="72">
        <v>2</v>
      </c>
      <c r="E141" s="72">
        <v>2</v>
      </c>
      <c r="F141" s="72">
        <f>E141-D141</f>
        <v>0</v>
      </c>
      <c r="G141" s="72" t="s">
        <v>25</v>
      </c>
      <c r="H141" s="84">
        <f>UNITARIOS!K4874</f>
        <v>3024</v>
      </c>
      <c r="I141" s="296">
        <f t="shared" ref="I141:I143" si="84">H141</f>
        <v>3024</v>
      </c>
      <c r="J141" s="115">
        <f t="shared" ref="J141:J143" si="85">I141-H141</f>
        <v>0</v>
      </c>
      <c r="K141" s="296">
        <f t="shared" ref="K141:K143" si="86">D141*H141</f>
        <v>6048</v>
      </c>
      <c r="L141" s="218">
        <f t="shared" ref="L141:L143" si="87">+E141*H141</f>
        <v>6048</v>
      </c>
      <c r="M141" s="218">
        <f t="shared" ref="M141:M143" si="88">+E141*I141</f>
        <v>6048</v>
      </c>
      <c r="N141" s="310">
        <f t="shared" ref="N141:N143" si="89">L141-K141</f>
        <v>0</v>
      </c>
      <c r="O141" s="311">
        <f t="shared" ref="O141:O143" si="90">M141-K141</f>
        <v>0</v>
      </c>
      <c r="T141" s="5"/>
    </row>
    <row r="142" spans="2:23" x14ac:dyDescent="0.25">
      <c r="B142" s="79">
        <v>1109.03</v>
      </c>
      <c r="C142" s="213" t="s">
        <v>553</v>
      </c>
      <c r="D142" s="72">
        <v>14</v>
      </c>
      <c r="E142" s="72">
        <v>14</v>
      </c>
      <c r="F142" s="72">
        <f>E142-D142</f>
        <v>0</v>
      </c>
      <c r="G142" s="72" t="s">
        <v>25</v>
      </c>
      <c r="H142" s="84">
        <f>UNITARIOS!K4926</f>
        <v>819</v>
      </c>
      <c r="I142" s="296">
        <f t="shared" si="84"/>
        <v>819</v>
      </c>
      <c r="J142" s="115">
        <f t="shared" si="85"/>
        <v>0</v>
      </c>
      <c r="K142" s="296">
        <f t="shared" si="86"/>
        <v>11466</v>
      </c>
      <c r="L142" s="218">
        <f t="shared" si="87"/>
        <v>11466</v>
      </c>
      <c r="M142" s="218">
        <f t="shared" si="88"/>
        <v>11466</v>
      </c>
      <c r="N142" s="310">
        <f t="shared" si="89"/>
        <v>0</v>
      </c>
      <c r="O142" s="311">
        <f t="shared" si="90"/>
        <v>0</v>
      </c>
      <c r="T142" s="5"/>
    </row>
    <row r="143" spans="2:23" x14ac:dyDescent="0.25">
      <c r="B143" s="79">
        <v>1112.01</v>
      </c>
      <c r="C143" s="213" t="s">
        <v>560</v>
      </c>
      <c r="D143" s="80">
        <v>2</v>
      </c>
      <c r="E143" s="80">
        <v>8</v>
      </c>
      <c r="F143" s="72">
        <f>E143-D143</f>
        <v>6</v>
      </c>
      <c r="G143" s="80" t="s">
        <v>25</v>
      </c>
      <c r="H143" s="81">
        <f>UNITARIOS!K4976</f>
        <v>273</v>
      </c>
      <c r="I143" s="296">
        <f t="shared" si="84"/>
        <v>273</v>
      </c>
      <c r="J143" s="115">
        <f t="shared" si="85"/>
        <v>0</v>
      </c>
      <c r="K143" s="296">
        <f t="shared" si="86"/>
        <v>546</v>
      </c>
      <c r="L143" s="218">
        <f t="shared" si="87"/>
        <v>2184</v>
      </c>
      <c r="M143" s="218">
        <f t="shared" si="88"/>
        <v>2184</v>
      </c>
      <c r="N143" s="310">
        <f t="shared" si="89"/>
        <v>1638</v>
      </c>
      <c r="O143" s="311">
        <f t="shared" si="90"/>
        <v>1638</v>
      </c>
      <c r="P143" s="236">
        <f>SUM(L141:L143)</f>
        <v>19698</v>
      </c>
      <c r="T143" s="5"/>
    </row>
    <row r="144" spans="2:23" s="192" customFormat="1" x14ac:dyDescent="0.25">
      <c r="B144" s="195"/>
      <c r="C144" s="216" t="s">
        <v>520</v>
      </c>
      <c r="D144" s="196"/>
      <c r="E144" s="196"/>
      <c r="F144" s="196"/>
      <c r="G144" s="197" t="s">
        <v>59</v>
      </c>
      <c r="H144" s="198"/>
      <c r="I144" s="298"/>
      <c r="J144" s="298"/>
      <c r="K144" s="298"/>
      <c r="L144" s="219"/>
      <c r="M144" s="219"/>
      <c r="N144" s="309"/>
      <c r="O144" s="306"/>
      <c r="Q144" s="199"/>
      <c r="R144" s="199"/>
      <c r="T144" s="193"/>
      <c r="W144" s="194"/>
    </row>
    <row r="145" spans="2:23" x14ac:dyDescent="0.25">
      <c r="B145" s="79"/>
      <c r="C145" s="88" t="s">
        <v>45</v>
      </c>
      <c r="D145" s="72"/>
      <c r="E145" s="72"/>
      <c r="F145" s="72"/>
      <c r="G145" s="72"/>
      <c r="H145" s="84"/>
      <c r="I145" s="296"/>
      <c r="J145" s="296"/>
      <c r="K145" s="296"/>
      <c r="L145" s="218"/>
      <c r="M145" s="218"/>
      <c r="N145" s="308"/>
      <c r="O145" s="305"/>
      <c r="T145" s="5"/>
    </row>
    <row r="146" spans="2:23" x14ac:dyDescent="0.25">
      <c r="B146" s="79">
        <v>105.02</v>
      </c>
      <c r="C146" s="213" t="s">
        <v>380</v>
      </c>
      <c r="D146" s="72">
        <v>3</v>
      </c>
      <c r="E146" s="72">
        <v>2</v>
      </c>
      <c r="F146" s="72">
        <f>E146-D146</f>
        <v>-1</v>
      </c>
      <c r="G146" s="72" t="s">
        <v>25</v>
      </c>
      <c r="H146" s="84">
        <f>UNITARIOS!K5200</f>
        <v>308</v>
      </c>
      <c r="I146" s="296">
        <f t="shared" ref="I146:I148" si="91">H146</f>
        <v>308</v>
      </c>
      <c r="J146" s="115">
        <f t="shared" ref="J146:J148" si="92">I146-H146</f>
        <v>0</v>
      </c>
      <c r="K146" s="296">
        <f t="shared" ref="K146:K148" si="93">D146*H146</f>
        <v>924</v>
      </c>
      <c r="L146" s="218">
        <f t="shared" ref="L146:L148" si="94">+E146*H146</f>
        <v>616</v>
      </c>
      <c r="M146" s="218">
        <f t="shared" ref="M146:M148" si="95">+E146*I146</f>
        <v>616</v>
      </c>
      <c r="N146" s="310">
        <f t="shared" ref="N146:N148" si="96">L146-K146</f>
        <v>-308</v>
      </c>
      <c r="O146" s="311">
        <f t="shared" ref="O146:O148" si="97">M146-K146</f>
        <v>-308</v>
      </c>
      <c r="P146" s="236">
        <f>SUM(L144:L146)</f>
        <v>616</v>
      </c>
      <c r="T146" s="5"/>
    </row>
    <row r="147" spans="2:23" x14ac:dyDescent="0.25">
      <c r="B147" s="79">
        <v>111.03</v>
      </c>
      <c r="C147" s="213" t="s">
        <v>492</v>
      </c>
      <c r="D147" s="72">
        <v>6</v>
      </c>
      <c r="E147" s="72">
        <v>4</v>
      </c>
      <c r="F147" s="72">
        <f>E147-D147</f>
        <v>-2</v>
      </c>
      <c r="G147" s="72" t="s">
        <v>24</v>
      </c>
      <c r="H147" s="84">
        <f>UNITARIOS!K5528</f>
        <v>126</v>
      </c>
      <c r="I147" s="296">
        <f t="shared" si="91"/>
        <v>126</v>
      </c>
      <c r="J147" s="115">
        <f t="shared" si="92"/>
        <v>0</v>
      </c>
      <c r="K147" s="296">
        <f t="shared" si="93"/>
        <v>756</v>
      </c>
      <c r="L147" s="218">
        <f t="shared" si="94"/>
        <v>504</v>
      </c>
      <c r="M147" s="218">
        <f t="shared" si="95"/>
        <v>504</v>
      </c>
      <c r="N147" s="310">
        <f t="shared" si="96"/>
        <v>-252</v>
      </c>
      <c r="O147" s="311">
        <f t="shared" si="97"/>
        <v>-252</v>
      </c>
      <c r="T147" s="5"/>
    </row>
    <row r="148" spans="2:23" x14ac:dyDescent="0.25">
      <c r="B148" s="79">
        <v>117.01</v>
      </c>
      <c r="C148" s="214" t="s">
        <v>328</v>
      </c>
      <c r="D148" s="72">
        <v>6</v>
      </c>
      <c r="E148" s="72">
        <v>2</v>
      </c>
      <c r="F148" s="72">
        <f>E148-D148</f>
        <v>-4</v>
      </c>
      <c r="G148" s="72" t="s">
        <v>25</v>
      </c>
      <c r="H148" s="84">
        <f>UNITARIOS!K5584</f>
        <v>364</v>
      </c>
      <c r="I148" s="296">
        <f t="shared" si="91"/>
        <v>364</v>
      </c>
      <c r="J148" s="115">
        <f t="shared" si="92"/>
        <v>0</v>
      </c>
      <c r="K148" s="296">
        <f t="shared" si="93"/>
        <v>2184</v>
      </c>
      <c r="L148" s="218">
        <f t="shared" si="94"/>
        <v>728</v>
      </c>
      <c r="M148" s="218">
        <f t="shared" si="95"/>
        <v>728</v>
      </c>
      <c r="N148" s="310">
        <f t="shared" si="96"/>
        <v>-1456</v>
      </c>
      <c r="O148" s="311">
        <f t="shared" si="97"/>
        <v>-1456</v>
      </c>
      <c r="P148" s="236">
        <f>SUM(L147:L148)</f>
        <v>1232</v>
      </c>
      <c r="T148" s="5"/>
    </row>
    <row r="149" spans="2:23" x14ac:dyDescent="0.25">
      <c r="B149" s="79"/>
      <c r="C149" s="88" t="s">
        <v>562</v>
      </c>
      <c r="D149" s="72"/>
      <c r="E149" s="72"/>
      <c r="F149" s="72"/>
      <c r="G149" s="72"/>
      <c r="H149" s="84"/>
      <c r="I149" s="296"/>
      <c r="J149" s="296"/>
      <c r="K149" s="296"/>
      <c r="L149" s="218"/>
      <c r="M149" s="218"/>
      <c r="N149" s="308"/>
      <c r="O149" s="305"/>
      <c r="T149" s="5"/>
    </row>
    <row r="150" spans="2:23" x14ac:dyDescent="0.25">
      <c r="B150" s="79">
        <v>605.08000000000004</v>
      </c>
      <c r="C150" s="214" t="s">
        <v>558</v>
      </c>
      <c r="D150" s="72">
        <v>6</v>
      </c>
      <c r="E150" s="72">
        <v>4</v>
      </c>
      <c r="F150" s="72">
        <f>E150-D150</f>
        <v>-2</v>
      </c>
      <c r="G150" s="72" t="s">
        <v>24</v>
      </c>
      <c r="H150" s="84">
        <f>UNITARIOS!K5251</f>
        <v>350</v>
      </c>
      <c r="I150" s="296">
        <f t="shared" ref="I150:I151" si="98">H150</f>
        <v>350</v>
      </c>
      <c r="J150" s="115">
        <f t="shared" ref="J150:J151" si="99">I150-H150</f>
        <v>0</v>
      </c>
      <c r="K150" s="296">
        <f t="shared" ref="K150:K151" si="100">D150*H150</f>
        <v>2100</v>
      </c>
      <c r="L150" s="218">
        <f t="shared" ref="L150:L151" si="101">+E150*H150</f>
        <v>1400</v>
      </c>
      <c r="M150" s="218">
        <f t="shared" ref="M150:M151" si="102">+E150*I150</f>
        <v>1400</v>
      </c>
      <c r="N150" s="310">
        <f t="shared" ref="N150:N151" si="103">L150-K150</f>
        <v>-700</v>
      </c>
      <c r="O150" s="311">
        <f t="shared" ref="O150:O151" si="104">M150-K150</f>
        <v>-700</v>
      </c>
      <c r="T150" s="5"/>
    </row>
    <row r="151" spans="2:23" x14ac:dyDescent="0.25">
      <c r="B151" s="79">
        <v>609.01</v>
      </c>
      <c r="C151" s="214" t="s">
        <v>521</v>
      </c>
      <c r="D151" s="72">
        <v>17</v>
      </c>
      <c r="E151" s="72">
        <v>10</v>
      </c>
      <c r="F151" s="72">
        <f>E151-D151</f>
        <v>-7</v>
      </c>
      <c r="G151" s="72" t="s">
        <v>24</v>
      </c>
      <c r="H151" s="84">
        <f>UNITARIOS!K5304</f>
        <v>238</v>
      </c>
      <c r="I151" s="296">
        <f t="shared" si="98"/>
        <v>238</v>
      </c>
      <c r="J151" s="115">
        <f t="shared" si="99"/>
        <v>0</v>
      </c>
      <c r="K151" s="296">
        <f t="shared" si="100"/>
        <v>4046</v>
      </c>
      <c r="L151" s="218">
        <f t="shared" si="101"/>
        <v>2380</v>
      </c>
      <c r="M151" s="218">
        <f t="shared" si="102"/>
        <v>2380</v>
      </c>
      <c r="N151" s="310">
        <f t="shared" si="103"/>
        <v>-1666</v>
      </c>
      <c r="O151" s="311">
        <f t="shared" si="104"/>
        <v>-1666</v>
      </c>
      <c r="P151" s="236">
        <f>SUM(L149:L151)</f>
        <v>3780</v>
      </c>
      <c r="T151" s="5"/>
    </row>
    <row r="152" spans="2:23" x14ac:dyDescent="0.25">
      <c r="B152" s="82"/>
      <c r="C152" s="88" t="s">
        <v>53</v>
      </c>
      <c r="D152" s="72"/>
      <c r="E152" s="72"/>
      <c r="F152" s="72"/>
      <c r="G152" s="73" t="s">
        <v>59</v>
      </c>
      <c r="H152" s="84"/>
      <c r="I152" s="296"/>
      <c r="J152" s="296"/>
      <c r="K152" s="296"/>
      <c r="L152" s="218"/>
      <c r="M152" s="218"/>
      <c r="N152" s="308"/>
      <c r="O152" s="305"/>
      <c r="T152" s="5"/>
    </row>
    <row r="153" spans="2:23" x14ac:dyDescent="0.25">
      <c r="B153" s="79">
        <v>701.02</v>
      </c>
      <c r="C153" s="214" t="s">
        <v>559</v>
      </c>
      <c r="D153" s="72">
        <v>3</v>
      </c>
      <c r="E153" s="72">
        <v>2</v>
      </c>
      <c r="F153" s="72">
        <f>E153-D153</f>
        <v>-1</v>
      </c>
      <c r="G153" s="72" t="s">
        <v>25</v>
      </c>
      <c r="H153" s="84">
        <f>UNITARIOS!K5360</f>
        <v>2583</v>
      </c>
      <c r="I153" s="296">
        <f>H153</f>
        <v>2583</v>
      </c>
      <c r="J153" s="115">
        <f>I153-H153</f>
        <v>0</v>
      </c>
      <c r="K153" s="296">
        <f>D153*H153</f>
        <v>7749</v>
      </c>
      <c r="L153" s="218">
        <f>+E153*H153</f>
        <v>5166</v>
      </c>
      <c r="M153" s="218">
        <f>+E153*I153</f>
        <v>5166</v>
      </c>
      <c r="N153" s="310">
        <f>L153-K153</f>
        <v>-2583</v>
      </c>
      <c r="O153" s="311">
        <f>M153-K153</f>
        <v>-2583</v>
      </c>
      <c r="P153" s="236">
        <f>SUM(L152:L153)</f>
        <v>5166</v>
      </c>
      <c r="T153" s="5"/>
    </row>
    <row r="154" spans="2:23" x14ac:dyDescent="0.25">
      <c r="B154" s="79"/>
      <c r="C154" s="88" t="s">
        <v>549</v>
      </c>
      <c r="D154" s="72"/>
      <c r="E154" s="72"/>
      <c r="F154" s="72"/>
      <c r="G154" s="72"/>
      <c r="H154" s="84"/>
      <c r="I154" s="296"/>
      <c r="J154" s="296"/>
      <c r="K154" s="296"/>
      <c r="L154" s="218"/>
      <c r="M154" s="218"/>
      <c r="N154" s="308"/>
      <c r="O154" s="305"/>
      <c r="T154" s="5"/>
    </row>
    <row r="155" spans="2:23" x14ac:dyDescent="0.25">
      <c r="B155" s="79">
        <v>1001.01</v>
      </c>
      <c r="C155" s="214" t="s">
        <v>282</v>
      </c>
      <c r="D155" s="72">
        <v>3</v>
      </c>
      <c r="E155" s="72">
        <v>2</v>
      </c>
      <c r="F155" s="72">
        <f>E155-D155</f>
        <v>-1</v>
      </c>
      <c r="G155" s="72" t="s">
        <v>25</v>
      </c>
      <c r="H155" s="84">
        <f>UNITARIOS!K5416</f>
        <v>2051</v>
      </c>
      <c r="I155" s="296">
        <f t="shared" ref="I155:I156" si="105">H155</f>
        <v>2051</v>
      </c>
      <c r="J155" s="115">
        <f t="shared" ref="J155:J156" si="106">I155-H155</f>
        <v>0</v>
      </c>
      <c r="K155" s="296">
        <f t="shared" ref="K155:K156" si="107">D155*H155</f>
        <v>6153</v>
      </c>
      <c r="L155" s="218">
        <f t="shared" ref="L155:L156" si="108">+E155*H155</f>
        <v>4102</v>
      </c>
      <c r="M155" s="218">
        <f t="shared" ref="M155:M156" si="109">+E155*I155</f>
        <v>4102</v>
      </c>
      <c r="N155" s="310">
        <f t="shared" ref="N155:N156" si="110">L155-K155</f>
        <v>-2051</v>
      </c>
      <c r="O155" s="311">
        <f t="shared" ref="O155:O156" si="111">M155-K155</f>
        <v>-2051</v>
      </c>
      <c r="T155" s="5"/>
    </row>
    <row r="156" spans="2:23" x14ac:dyDescent="0.25">
      <c r="B156" s="79">
        <v>1002.02</v>
      </c>
      <c r="C156" s="214" t="s">
        <v>508</v>
      </c>
      <c r="D156" s="72">
        <v>3</v>
      </c>
      <c r="E156" s="72">
        <v>2</v>
      </c>
      <c r="F156" s="72">
        <f>E156-D156</f>
        <v>-1</v>
      </c>
      <c r="G156" s="72" t="s">
        <v>25</v>
      </c>
      <c r="H156" s="84">
        <f>UNITARIOS!K5472</f>
        <v>1428</v>
      </c>
      <c r="I156" s="296">
        <f t="shared" si="105"/>
        <v>1428</v>
      </c>
      <c r="J156" s="115">
        <f t="shared" si="106"/>
        <v>0</v>
      </c>
      <c r="K156" s="296">
        <f t="shared" si="107"/>
        <v>4284</v>
      </c>
      <c r="L156" s="218">
        <f t="shared" si="108"/>
        <v>2856</v>
      </c>
      <c r="M156" s="218">
        <f t="shared" si="109"/>
        <v>2856</v>
      </c>
      <c r="N156" s="310">
        <f t="shared" si="110"/>
        <v>-1428</v>
      </c>
      <c r="O156" s="311">
        <f t="shared" si="111"/>
        <v>-1428</v>
      </c>
      <c r="P156" s="236">
        <f>SUM(L155:L156)</f>
        <v>6958</v>
      </c>
      <c r="T156" s="5"/>
    </row>
    <row r="157" spans="2:23" s="192" customFormat="1" x14ac:dyDescent="0.25">
      <c r="B157" s="200"/>
      <c r="C157" s="216" t="s">
        <v>564</v>
      </c>
      <c r="D157" s="196"/>
      <c r="E157" s="196"/>
      <c r="F157" s="196"/>
      <c r="G157" s="201" t="s">
        <v>59</v>
      </c>
      <c r="H157" s="198"/>
      <c r="I157" s="298"/>
      <c r="J157" s="298"/>
      <c r="K157" s="298"/>
      <c r="L157" s="219"/>
      <c r="M157" s="219"/>
      <c r="N157" s="309"/>
      <c r="O157" s="306"/>
      <c r="Q157" s="199"/>
      <c r="R157" s="199"/>
      <c r="T157" s="193"/>
      <c r="W157" s="194"/>
    </row>
    <row r="158" spans="2:23" x14ac:dyDescent="0.25">
      <c r="B158" s="85"/>
      <c r="C158" s="88" t="s">
        <v>53</v>
      </c>
      <c r="D158" s="72"/>
      <c r="E158" s="72"/>
      <c r="F158" s="72"/>
      <c r="G158" s="86"/>
      <c r="H158" s="84"/>
      <c r="I158" s="296"/>
      <c r="J158" s="296"/>
      <c r="K158" s="296"/>
      <c r="L158" s="218"/>
      <c r="M158" s="218"/>
      <c r="N158" s="308"/>
      <c r="O158" s="305"/>
      <c r="T158" s="5"/>
    </row>
    <row r="159" spans="2:23" x14ac:dyDescent="0.25">
      <c r="B159" s="85">
        <v>711.07</v>
      </c>
      <c r="C159" s="214" t="s">
        <v>565</v>
      </c>
      <c r="D159" s="72">
        <v>1</v>
      </c>
      <c r="E159" s="72">
        <v>0</v>
      </c>
      <c r="F159" s="72">
        <f>E159-D159</f>
        <v>-1</v>
      </c>
      <c r="G159" s="86" t="s">
        <v>25</v>
      </c>
      <c r="H159" s="84">
        <v>6000</v>
      </c>
      <c r="I159" s="296">
        <f>H159</f>
        <v>6000</v>
      </c>
      <c r="J159" s="115">
        <f>I159-H159</f>
        <v>0</v>
      </c>
      <c r="K159" s="296">
        <f>D159*H159</f>
        <v>6000</v>
      </c>
      <c r="L159" s="218">
        <f>+E159*H159</f>
        <v>0</v>
      </c>
      <c r="M159" s="218">
        <f>+E159*I159</f>
        <v>0</v>
      </c>
      <c r="N159" s="310">
        <f>L159-K159</f>
        <v>-6000</v>
      </c>
      <c r="O159" s="311">
        <f>M159-K159</f>
        <v>-6000</v>
      </c>
      <c r="P159" s="236">
        <f>SUM(L158:L159)</f>
        <v>0</v>
      </c>
      <c r="T159" s="5"/>
    </row>
    <row r="160" spans="2:23" x14ac:dyDescent="0.25">
      <c r="B160" s="85"/>
      <c r="C160" s="88" t="s">
        <v>548</v>
      </c>
      <c r="D160" s="72"/>
      <c r="E160" s="72"/>
      <c r="F160" s="72"/>
      <c r="G160" s="86"/>
      <c r="H160" s="84"/>
      <c r="I160" s="296"/>
      <c r="J160" s="296"/>
      <c r="K160" s="296"/>
      <c r="L160" s="218"/>
      <c r="M160" s="218"/>
      <c r="N160" s="308"/>
      <c r="O160" s="305"/>
      <c r="T160" s="5"/>
    </row>
    <row r="161" spans="2:20" x14ac:dyDescent="0.25">
      <c r="B161" s="85">
        <v>909.04</v>
      </c>
      <c r="C161" s="214" t="s">
        <v>567</v>
      </c>
      <c r="D161" s="72">
        <v>1</v>
      </c>
      <c r="E161" s="72">
        <v>1</v>
      </c>
      <c r="F161" s="72">
        <f>E161-D161</f>
        <v>0</v>
      </c>
      <c r="G161" s="86" t="s">
        <v>25</v>
      </c>
      <c r="H161" s="84">
        <f>UNITARIOS!K5696</f>
        <v>8757</v>
      </c>
      <c r="I161" s="296">
        <f>H161</f>
        <v>8757</v>
      </c>
      <c r="J161" s="115">
        <f>I161-H161</f>
        <v>0</v>
      </c>
      <c r="K161" s="296">
        <f>D161*H161</f>
        <v>8757</v>
      </c>
      <c r="L161" s="218">
        <f>+E161*H161</f>
        <v>8757</v>
      </c>
      <c r="M161" s="218">
        <f>+E161*I161</f>
        <v>8757</v>
      </c>
      <c r="N161" s="310">
        <f>L161-K161</f>
        <v>0</v>
      </c>
      <c r="O161" s="311">
        <f>M161-K161</f>
        <v>0</v>
      </c>
      <c r="P161" s="236">
        <f>SUM(L160:L161)</f>
        <v>8757</v>
      </c>
      <c r="T161" s="5"/>
    </row>
    <row r="162" spans="2:20" x14ac:dyDescent="0.25">
      <c r="B162" s="85"/>
      <c r="C162" s="88" t="s">
        <v>57</v>
      </c>
      <c r="D162" s="72"/>
      <c r="E162" s="72"/>
      <c r="F162" s="72"/>
      <c r="G162" s="86" t="s">
        <v>59</v>
      </c>
      <c r="H162" s="84"/>
      <c r="I162" s="296"/>
      <c r="J162" s="296"/>
      <c r="K162" s="296"/>
      <c r="L162" s="218"/>
      <c r="M162" s="218"/>
      <c r="N162" s="308"/>
      <c r="O162" s="305"/>
      <c r="T162" s="5"/>
    </row>
    <row r="163" spans="2:20" x14ac:dyDescent="0.25">
      <c r="B163" s="137">
        <v>1401.01</v>
      </c>
      <c r="C163" s="214" t="s">
        <v>386</v>
      </c>
      <c r="D163" s="72">
        <v>1</v>
      </c>
      <c r="E163" s="72">
        <v>0</v>
      </c>
      <c r="F163" s="72">
        <f>E163-D163</f>
        <v>-1</v>
      </c>
      <c r="G163" s="86" t="s">
        <v>25</v>
      </c>
      <c r="H163" s="84">
        <f>UNITARIOS!K5752</f>
        <v>4473</v>
      </c>
      <c r="I163" s="296">
        <f t="shared" ref="I163:I164" si="112">H163</f>
        <v>4473</v>
      </c>
      <c r="J163" s="115">
        <f t="shared" ref="J163:J164" si="113">I163-H163</f>
        <v>0</v>
      </c>
      <c r="K163" s="296">
        <f t="shared" ref="K163:K164" si="114">D163*H163</f>
        <v>4473</v>
      </c>
      <c r="L163" s="218">
        <f t="shared" ref="L163:L164" si="115">+E163*H163</f>
        <v>0</v>
      </c>
      <c r="M163" s="218">
        <f t="shared" ref="M163:M164" si="116">+E163*I163</f>
        <v>0</v>
      </c>
      <c r="N163" s="310">
        <f t="shared" ref="N163:N164" si="117">L163-K163</f>
        <v>-4473</v>
      </c>
      <c r="O163" s="311">
        <f t="shared" ref="O163:O164" si="118">M163-K163</f>
        <v>-4473</v>
      </c>
      <c r="Q163" s="67">
        <f>SUM(L125:L164)</f>
        <v>234298</v>
      </c>
      <c r="R163" s="67">
        <f>$L$165</f>
        <v>559900.32000000007</v>
      </c>
      <c r="T163" s="5"/>
    </row>
    <row r="164" spans="2:20" ht="16.5" thickBot="1" x14ac:dyDescent="0.3">
      <c r="B164" s="137">
        <v>1413.06</v>
      </c>
      <c r="C164" s="214" t="s">
        <v>566</v>
      </c>
      <c r="D164" s="72">
        <v>30</v>
      </c>
      <c r="E164" s="72">
        <v>0</v>
      </c>
      <c r="F164" s="72">
        <f>E164-D164</f>
        <v>-30</v>
      </c>
      <c r="G164" s="86" t="s">
        <v>71</v>
      </c>
      <c r="H164" s="84">
        <f>UNITARIOS!K5808</f>
        <v>1750</v>
      </c>
      <c r="I164" s="296">
        <f t="shared" si="112"/>
        <v>1750</v>
      </c>
      <c r="J164" s="115">
        <f t="shared" si="113"/>
        <v>0</v>
      </c>
      <c r="K164" s="296">
        <f t="shared" si="114"/>
        <v>52500</v>
      </c>
      <c r="L164" s="218">
        <f t="shared" si="115"/>
        <v>0</v>
      </c>
      <c r="M164" s="218">
        <f t="shared" si="116"/>
        <v>0</v>
      </c>
      <c r="N164" s="310">
        <f t="shared" si="117"/>
        <v>-52500</v>
      </c>
      <c r="O164" s="311">
        <f t="shared" si="118"/>
        <v>-52500</v>
      </c>
      <c r="P164" s="236">
        <f>SUM(L163:L164)</f>
        <v>0</v>
      </c>
      <c r="Q164" s="68"/>
      <c r="R164" s="68"/>
      <c r="T164" s="5"/>
    </row>
    <row r="165" spans="2:20" ht="16.5" thickBot="1" x14ac:dyDescent="0.3">
      <c r="B165" s="396" t="s">
        <v>8</v>
      </c>
      <c r="C165" s="397"/>
      <c r="D165" s="397"/>
      <c r="E165" s="397"/>
      <c r="F165" s="397"/>
      <c r="G165" s="397"/>
      <c r="H165" s="397"/>
      <c r="I165" s="299"/>
      <c r="J165" s="299"/>
      <c r="K165" s="299"/>
      <c r="L165" s="220">
        <f>SUM(L10:L164)</f>
        <v>559900.32000000007</v>
      </c>
      <c r="M165" s="220">
        <f>SUM(M10:M164)</f>
        <v>409857.79399999999</v>
      </c>
      <c r="N165" s="220">
        <f>SUM(N10:N164)</f>
        <v>-322837.99</v>
      </c>
      <c r="O165" s="220">
        <f>SUM(O10:O164)</f>
        <v>-331280.60599999997</v>
      </c>
      <c r="Q165" s="69">
        <v>753249</v>
      </c>
      <c r="T165" s="5"/>
    </row>
    <row r="166" spans="2:20" x14ac:dyDescent="0.25">
      <c r="Q166" s="69">
        <f>Q165-L165</f>
        <v>193348.67999999993</v>
      </c>
    </row>
    <row r="167" spans="2:20" x14ac:dyDescent="0.25">
      <c r="Q167" s="70"/>
    </row>
  </sheetData>
  <mergeCells count="8">
    <mergeCell ref="R8:W8"/>
    <mergeCell ref="B165:H165"/>
    <mergeCell ref="B1:L1"/>
    <mergeCell ref="B2:L2"/>
    <mergeCell ref="B3:L3"/>
    <mergeCell ref="B4:L4"/>
    <mergeCell ref="B5:L5"/>
    <mergeCell ref="B7:O7"/>
  </mergeCells>
  <conditionalFormatting sqref="F15">
    <cfRule type="cellIs" dxfId="1760" priority="1138" operator="equal">
      <formula>0</formula>
    </cfRule>
    <cfRule type="cellIs" dxfId="1759" priority="1139" operator="lessThan">
      <formula>0</formula>
    </cfRule>
    <cfRule type="cellIs" dxfId="1758" priority="1140" operator="greaterThan">
      <formula>0</formula>
    </cfRule>
  </conditionalFormatting>
  <conditionalFormatting sqref="J15">
    <cfRule type="cellIs" dxfId="1757" priority="1135" operator="equal">
      <formula>0</formula>
    </cfRule>
    <cfRule type="cellIs" dxfId="1756" priority="1136" operator="lessThan">
      <formula>0</formula>
    </cfRule>
    <cfRule type="cellIs" dxfId="1755" priority="1137" operator="greaterThan">
      <formula>0</formula>
    </cfRule>
  </conditionalFormatting>
  <conditionalFormatting sqref="N14">
    <cfRule type="cellIs" dxfId="1754" priority="1126" operator="equal">
      <formula>0</formula>
    </cfRule>
    <cfRule type="cellIs" dxfId="1753" priority="1127" operator="lessThan">
      <formula>0</formula>
    </cfRule>
    <cfRule type="cellIs" dxfId="1752" priority="1128" operator="greaterThan">
      <formula>0</formula>
    </cfRule>
  </conditionalFormatting>
  <conditionalFormatting sqref="F14">
    <cfRule type="cellIs" dxfId="1751" priority="1132" operator="equal">
      <formula>0</formula>
    </cfRule>
    <cfRule type="cellIs" dxfId="1750" priority="1133" operator="lessThan">
      <formula>0</formula>
    </cfRule>
    <cfRule type="cellIs" dxfId="1749" priority="1134" operator="greaterThan">
      <formula>0</formula>
    </cfRule>
  </conditionalFormatting>
  <conditionalFormatting sqref="J14">
    <cfRule type="cellIs" dxfId="1748" priority="1129" operator="equal">
      <formula>0</formula>
    </cfRule>
    <cfRule type="cellIs" dxfId="1747" priority="1130" operator="lessThan">
      <formula>0</formula>
    </cfRule>
    <cfRule type="cellIs" dxfId="1746" priority="1131" operator="greaterThan">
      <formula>0</formula>
    </cfRule>
  </conditionalFormatting>
  <conditionalFormatting sqref="O14">
    <cfRule type="cellIs" dxfId="1745" priority="1123" operator="equal">
      <formula>0</formula>
    </cfRule>
    <cfRule type="cellIs" dxfId="1744" priority="1124" operator="lessThan">
      <formula>0</formula>
    </cfRule>
    <cfRule type="cellIs" dxfId="1743" priority="1125" operator="greaterThan">
      <formula>0</formula>
    </cfRule>
  </conditionalFormatting>
  <conditionalFormatting sqref="O15">
    <cfRule type="cellIs" dxfId="1742" priority="1120" operator="equal">
      <formula>0</formula>
    </cfRule>
    <cfRule type="cellIs" dxfId="1741" priority="1121" operator="lessThan">
      <formula>0</formula>
    </cfRule>
    <cfRule type="cellIs" dxfId="1740" priority="1122" operator="greaterThan">
      <formula>0</formula>
    </cfRule>
  </conditionalFormatting>
  <conditionalFormatting sqref="N15">
    <cfRule type="cellIs" dxfId="1739" priority="1117" operator="equal">
      <formula>0</formula>
    </cfRule>
    <cfRule type="cellIs" dxfId="1738" priority="1118" operator="lessThan">
      <formula>0</formula>
    </cfRule>
    <cfRule type="cellIs" dxfId="1737" priority="1119" operator="greaterThan">
      <formula>0</formula>
    </cfRule>
  </conditionalFormatting>
  <conditionalFormatting sqref="F13">
    <cfRule type="cellIs" dxfId="1736" priority="1114" operator="equal">
      <formula>0</formula>
    </cfRule>
    <cfRule type="cellIs" dxfId="1735" priority="1115" operator="lessThan">
      <formula>0</formula>
    </cfRule>
    <cfRule type="cellIs" dxfId="1734" priority="1116" operator="greaterThan">
      <formula>0</formula>
    </cfRule>
  </conditionalFormatting>
  <conditionalFormatting sqref="J13">
    <cfRule type="cellIs" dxfId="1733" priority="1111" operator="equal">
      <formula>0</formula>
    </cfRule>
    <cfRule type="cellIs" dxfId="1732" priority="1112" operator="lessThan">
      <formula>0</formula>
    </cfRule>
    <cfRule type="cellIs" dxfId="1731" priority="1113" operator="greaterThan">
      <formula>0</formula>
    </cfRule>
  </conditionalFormatting>
  <conditionalFormatting sqref="N13">
    <cfRule type="cellIs" dxfId="1730" priority="1108" operator="equal">
      <formula>0</formula>
    </cfRule>
    <cfRule type="cellIs" dxfId="1729" priority="1109" operator="lessThan">
      <formula>0</formula>
    </cfRule>
    <cfRule type="cellIs" dxfId="1728" priority="1110" operator="greaterThan">
      <formula>0</formula>
    </cfRule>
  </conditionalFormatting>
  <conditionalFormatting sqref="O13">
    <cfRule type="cellIs" dxfId="1727" priority="1105" operator="equal">
      <formula>0</formula>
    </cfRule>
    <cfRule type="cellIs" dxfId="1726" priority="1106" operator="lessThan">
      <formula>0</formula>
    </cfRule>
    <cfRule type="cellIs" dxfId="1725" priority="1107" operator="greaterThan">
      <formula>0</formula>
    </cfRule>
  </conditionalFormatting>
  <conditionalFormatting sqref="F16">
    <cfRule type="cellIs" dxfId="1724" priority="1102" operator="equal">
      <formula>0</formula>
    </cfRule>
    <cfRule type="cellIs" dxfId="1723" priority="1103" operator="lessThan">
      <formula>0</formula>
    </cfRule>
    <cfRule type="cellIs" dxfId="1722" priority="1104" operator="greaterThan">
      <formula>0</formula>
    </cfRule>
  </conditionalFormatting>
  <conditionalFormatting sqref="J16">
    <cfRule type="cellIs" dxfId="1721" priority="1099" operator="equal">
      <formula>0</formula>
    </cfRule>
    <cfRule type="cellIs" dxfId="1720" priority="1100" operator="lessThan">
      <formula>0</formula>
    </cfRule>
    <cfRule type="cellIs" dxfId="1719" priority="1101" operator="greaterThan">
      <formula>0</formula>
    </cfRule>
  </conditionalFormatting>
  <conditionalFormatting sqref="N16">
    <cfRule type="cellIs" dxfId="1718" priority="1096" operator="equal">
      <formula>0</formula>
    </cfRule>
    <cfRule type="cellIs" dxfId="1717" priority="1097" operator="lessThan">
      <formula>0</formula>
    </cfRule>
    <cfRule type="cellIs" dxfId="1716" priority="1098" operator="greaterThan">
      <formula>0</formula>
    </cfRule>
  </conditionalFormatting>
  <conditionalFormatting sqref="O16">
    <cfRule type="cellIs" dxfId="1715" priority="1093" operator="equal">
      <formula>0</formula>
    </cfRule>
    <cfRule type="cellIs" dxfId="1714" priority="1094" operator="lessThan">
      <formula>0</formula>
    </cfRule>
    <cfRule type="cellIs" dxfId="1713" priority="1095" operator="greaterThan">
      <formula>0</formula>
    </cfRule>
  </conditionalFormatting>
  <conditionalFormatting sqref="F17:F18">
    <cfRule type="cellIs" dxfId="1712" priority="1090" operator="equal">
      <formula>0</formula>
    </cfRule>
    <cfRule type="cellIs" dxfId="1711" priority="1091" operator="lessThan">
      <formula>0</formula>
    </cfRule>
    <cfRule type="cellIs" dxfId="1710" priority="1092" operator="greaterThan">
      <formula>0</formula>
    </cfRule>
  </conditionalFormatting>
  <conditionalFormatting sqref="J17:J18">
    <cfRule type="cellIs" dxfId="1709" priority="1087" operator="equal">
      <formula>0</formula>
    </cfRule>
    <cfRule type="cellIs" dxfId="1708" priority="1088" operator="lessThan">
      <formula>0</formula>
    </cfRule>
    <cfRule type="cellIs" dxfId="1707" priority="1089" operator="greaterThan">
      <formula>0</formula>
    </cfRule>
  </conditionalFormatting>
  <conditionalFormatting sqref="N17:N18">
    <cfRule type="cellIs" dxfId="1706" priority="1084" operator="equal">
      <formula>0</formula>
    </cfRule>
    <cfRule type="cellIs" dxfId="1705" priority="1085" operator="lessThan">
      <formula>0</formula>
    </cfRule>
    <cfRule type="cellIs" dxfId="1704" priority="1086" operator="greaterThan">
      <formula>0</formula>
    </cfRule>
  </conditionalFormatting>
  <conditionalFormatting sqref="O17:O18">
    <cfRule type="cellIs" dxfId="1703" priority="1081" operator="equal">
      <formula>0</formula>
    </cfRule>
    <cfRule type="cellIs" dxfId="1702" priority="1082" operator="lessThan">
      <formula>0</formula>
    </cfRule>
    <cfRule type="cellIs" dxfId="1701" priority="1083" operator="greaterThan">
      <formula>0</formula>
    </cfRule>
  </conditionalFormatting>
  <conditionalFormatting sqref="F12">
    <cfRule type="cellIs" dxfId="1700" priority="1069" operator="equal">
      <formula>0</formula>
    </cfRule>
    <cfRule type="cellIs" dxfId="1699" priority="1070" operator="lessThan">
      <formula>0</formula>
    </cfRule>
    <cfRule type="cellIs" dxfId="1698" priority="1071" operator="greaterThan">
      <formula>0</formula>
    </cfRule>
  </conditionalFormatting>
  <conditionalFormatting sqref="J12">
    <cfRule type="cellIs" dxfId="1697" priority="1066" operator="equal">
      <formula>0</formula>
    </cfRule>
    <cfRule type="cellIs" dxfId="1696" priority="1067" operator="lessThan">
      <formula>0</formula>
    </cfRule>
    <cfRule type="cellIs" dxfId="1695" priority="1068" operator="greaterThan">
      <formula>0</formula>
    </cfRule>
  </conditionalFormatting>
  <conditionalFormatting sqref="F19">
    <cfRule type="cellIs" dxfId="1694" priority="1078" operator="equal">
      <formula>0</formula>
    </cfRule>
    <cfRule type="cellIs" dxfId="1693" priority="1079" operator="lessThan">
      <formula>0</formula>
    </cfRule>
    <cfRule type="cellIs" dxfId="1692" priority="1080" operator="greaterThan">
      <formula>0</formula>
    </cfRule>
  </conditionalFormatting>
  <conditionalFormatting sqref="N19">
    <cfRule type="cellIs" dxfId="1691" priority="1075" operator="equal">
      <formula>0</formula>
    </cfRule>
    <cfRule type="cellIs" dxfId="1690" priority="1076" operator="lessThan">
      <formula>0</formula>
    </cfRule>
    <cfRule type="cellIs" dxfId="1689" priority="1077" operator="greaterThan">
      <formula>0</formula>
    </cfRule>
  </conditionalFormatting>
  <conditionalFormatting sqref="O19">
    <cfRule type="cellIs" dxfId="1688" priority="1072" operator="equal">
      <formula>0</formula>
    </cfRule>
    <cfRule type="cellIs" dxfId="1687" priority="1073" operator="lessThan">
      <formula>0</formula>
    </cfRule>
    <cfRule type="cellIs" dxfId="1686" priority="1074" operator="greaterThan">
      <formula>0</formula>
    </cfRule>
  </conditionalFormatting>
  <conditionalFormatting sqref="N12">
    <cfRule type="cellIs" dxfId="1685" priority="1063" operator="equal">
      <formula>0</formula>
    </cfRule>
    <cfRule type="cellIs" dxfId="1684" priority="1064" operator="lessThan">
      <formula>0</formula>
    </cfRule>
    <cfRule type="cellIs" dxfId="1683" priority="1065" operator="greaterThan">
      <formula>0</formula>
    </cfRule>
  </conditionalFormatting>
  <conditionalFormatting sqref="O12">
    <cfRule type="cellIs" dxfId="1682" priority="1060" operator="equal">
      <formula>0</formula>
    </cfRule>
    <cfRule type="cellIs" dxfId="1681" priority="1061" operator="lessThan">
      <formula>0</formula>
    </cfRule>
    <cfRule type="cellIs" dxfId="1680" priority="1062" operator="greaterThan">
      <formula>0</formula>
    </cfRule>
  </conditionalFormatting>
  <conditionalFormatting sqref="F23">
    <cfRule type="cellIs" dxfId="1679" priority="1057" operator="equal">
      <formula>0</formula>
    </cfRule>
    <cfRule type="cellIs" dxfId="1678" priority="1058" operator="lessThan">
      <formula>0</formula>
    </cfRule>
    <cfRule type="cellIs" dxfId="1677" priority="1059" operator="greaterThan">
      <formula>0</formula>
    </cfRule>
  </conditionalFormatting>
  <conditionalFormatting sqref="J19">
    <cfRule type="cellIs" dxfId="1676" priority="1054" operator="equal">
      <formula>0</formula>
    </cfRule>
    <cfRule type="cellIs" dxfId="1675" priority="1055" operator="lessThan">
      <formula>0</formula>
    </cfRule>
    <cfRule type="cellIs" dxfId="1674" priority="1056" operator="greaterThan">
      <formula>0</formula>
    </cfRule>
  </conditionalFormatting>
  <conditionalFormatting sqref="J23">
    <cfRule type="cellIs" dxfId="1673" priority="1051" operator="equal">
      <formula>0</formula>
    </cfRule>
    <cfRule type="cellIs" dxfId="1672" priority="1052" operator="lessThan">
      <formula>0</formula>
    </cfRule>
    <cfRule type="cellIs" dxfId="1671" priority="1053" operator="greaterThan">
      <formula>0</formula>
    </cfRule>
  </conditionalFormatting>
  <conditionalFormatting sqref="N23">
    <cfRule type="cellIs" dxfId="1670" priority="1048" operator="equal">
      <formula>0</formula>
    </cfRule>
    <cfRule type="cellIs" dxfId="1669" priority="1049" operator="lessThan">
      <formula>0</formula>
    </cfRule>
    <cfRule type="cellIs" dxfId="1668" priority="1050" operator="greaterThan">
      <formula>0</formula>
    </cfRule>
  </conditionalFormatting>
  <conditionalFormatting sqref="O23">
    <cfRule type="cellIs" dxfId="1667" priority="1045" operator="equal">
      <formula>0</formula>
    </cfRule>
    <cfRule type="cellIs" dxfId="1666" priority="1046" operator="lessThan">
      <formula>0</formula>
    </cfRule>
    <cfRule type="cellIs" dxfId="1665" priority="1047" operator="greaterThan">
      <formula>0</formula>
    </cfRule>
  </conditionalFormatting>
  <conditionalFormatting sqref="F21">
    <cfRule type="cellIs" dxfId="1664" priority="1042" operator="equal">
      <formula>0</formula>
    </cfRule>
    <cfRule type="cellIs" dxfId="1663" priority="1043" operator="lessThan">
      <formula>0</formula>
    </cfRule>
    <cfRule type="cellIs" dxfId="1662" priority="1044" operator="greaterThan">
      <formula>0</formula>
    </cfRule>
  </conditionalFormatting>
  <conditionalFormatting sqref="J21">
    <cfRule type="cellIs" dxfId="1661" priority="1039" operator="equal">
      <formula>0</formula>
    </cfRule>
    <cfRule type="cellIs" dxfId="1660" priority="1040" operator="lessThan">
      <formula>0</formula>
    </cfRule>
    <cfRule type="cellIs" dxfId="1659" priority="1041" operator="greaterThan">
      <formula>0</formula>
    </cfRule>
  </conditionalFormatting>
  <conditionalFormatting sqref="N21">
    <cfRule type="cellIs" dxfId="1658" priority="1036" operator="equal">
      <formula>0</formula>
    </cfRule>
    <cfRule type="cellIs" dxfId="1657" priority="1037" operator="lessThan">
      <formula>0</formula>
    </cfRule>
    <cfRule type="cellIs" dxfId="1656" priority="1038" operator="greaterThan">
      <formula>0</formula>
    </cfRule>
  </conditionalFormatting>
  <conditionalFormatting sqref="O21">
    <cfRule type="cellIs" dxfId="1655" priority="1033" operator="equal">
      <formula>0</formula>
    </cfRule>
    <cfRule type="cellIs" dxfId="1654" priority="1034" operator="lessThan">
      <formula>0</formula>
    </cfRule>
    <cfRule type="cellIs" dxfId="1653" priority="1035" operator="greaterThan">
      <formula>0</formula>
    </cfRule>
  </conditionalFormatting>
  <conditionalFormatting sqref="F22">
    <cfRule type="cellIs" dxfId="1652" priority="1030" operator="equal">
      <formula>0</formula>
    </cfRule>
    <cfRule type="cellIs" dxfId="1651" priority="1031" operator="lessThan">
      <formula>0</formula>
    </cfRule>
    <cfRule type="cellIs" dxfId="1650" priority="1032" operator="greaterThan">
      <formula>0</formula>
    </cfRule>
  </conditionalFormatting>
  <conditionalFormatting sqref="J22">
    <cfRule type="cellIs" dxfId="1649" priority="1027" operator="equal">
      <formula>0</formula>
    </cfRule>
    <cfRule type="cellIs" dxfId="1648" priority="1028" operator="lessThan">
      <formula>0</formula>
    </cfRule>
    <cfRule type="cellIs" dxfId="1647" priority="1029" operator="greaterThan">
      <formula>0</formula>
    </cfRule>
  </conditionalFormatting>
  <conditionalFormatting sqref="N22">
    <cfRule type="cellIs" dxfId="1646" priority="1024" operator="equal">
      <formula>0</formula>
    </cfRule>
    <cfRule type="cellIs" dxfId="1645" priority="1025" operator="lessThan">
      <formula>0</formula>
    </cfRule>
    <cfRule type="cellIs" dxfId="1644" priority="1026" operator="greaterThan">
      <formula>0</formula>
    </cfRule>
  </conditionalFormatting>
  <conditionalFormatting sqref="O22">
    <cfRule type="cellIs" dxfId="1643" priority="1021" operator="equal">
      <formula>0</formula>
    </cfRule>
    <cfRule type="cellIs" dxfId="1642" priority="1022" operator="lessThan">
      <formula>0</formula>
    </cfRule>
    <cfRule type="cellIs" dxfId="1641" priority="1023" operator="greaterThan">
      <formula>0</formula>
    </cfRule>
  </conditionalFormatting>
  <conditionalFormatting sqref="F24">
    <cfRule type="cellIs" dxfId="1640" priority="1018" operator="equal">
      <formula>0</formula>
    </cfRule>
    <cfRule type="cellIs" dxfId="1639" priority="1019" operator="lessThan">
      <formula>0</formula>
    </cfRule>
    <cfRule type="cellIs" dxfId="1638" priority="1020" operator="greaterThan">
      <formula>0</formula>
    </cfRule>
  </conditionalFormatting>
  <conditionalFormatting sqref="J24">
    <cfRule type="cellIs" dxfId="1637" priority="1015" operator="equal">
      <formula>0</formula>
    </cfRule>
    <cfRule type="cellIs" dxfId="1636" priority="1016" operator="lessThan">
      <formula>0</formula>
    </cfRule>
    <cfRule type="cellIs" dxfId="1635" priority="1017" operator="greaterThan">
      <formula>0</formula>
    </cfRule>
  </conditionalFormatting>
  <conditionalFormatting sqref="N24">
    <cfRule type="cellIs" dxfId="1634" priority="1012" operator="equal">
      <formula>0</formula>
    </cfRule>
    <cfRule type="cellIs" dxfId="1633" priority="1013" operator="lessThan">
      <formula>0</formula>
    </cfRule>
    <cfRule type="cellIs" dxfId="1632" priority="1014" operator="greaterThan">
      <formula>0</formula>
    </cfRule>
  </conditionalFormatting>
  <conditionalFormatting sqref="O24">
    <cfRule type="cellIs" dxfId="1631" priority="1009" operator="equal">
      <formula>0</formula>
    </cfRule>
    <cfRule type="cellIs" dxfId="1630" priority="1010" operator="lessThan">
      <formula>0</formula>
    </cfRule>
    <cfRule type="cellIs" dxfId="1629" priority="1011" operator="greaterThan">
      <formula>0</formula>
    </cfRule>
  </conditionalFormatting>
  <conditionalFormatting sqref="F26">
    <cfRule type="cellIs" dxfId="1628" priority="1006" operator="equal">
      <formula>0</formula>
    </cfRule>
    <cfRule type="cellIs" dxfId="1627" priority="1007" operator="lessThan">
      <formula>0</formula>
    </cfRule>
    <cfRule type="cellIs" dxfId="1626" priority="1008" operator="greaterThan">
      <formula>0</formula>
    </cfRule>
  </conditionalFormatting>
  <conditionalFormatting sqref="J26">
    <cfRule type="cellIs" dxfId="1625" priority="1003" operator="equal">
      <formula>0</formula>
    </cfRule>
    <cfRule type="cellIs" dxfId="1624" priority="1004" operator="lessThan">
      <formula>0</formula>
    </cfRule>
    <cfRule type="cellIs" dxfId="1623" priority="1005" operator="greaterThan">
      <formula>0</formula>
    </cfRule>
  </conditionalFormatting>
  <conditionalFormatting sqref="N26">
    <cfRule type="cellIs" dxfId="1622" priority="1000" operator="equal">
      <formula>0</formula>
    </cfRule>
    <cfRule type="cellIs" dxfId="1621" priority="1001" operator="lessThan">
      <formula>0</formula>
    </cfRule>
    <cfRule type="cellIs" dxfId="1620" priority="1002" operator="greaterThan">
      <formula>0</formula>
    </cfRule>
  </conditionalFormatting>
  <conditionalFormatting sqref="O26">
    <cfRule type="cellIs" dxfId="1619" priority="997" operator="equal">
      <formula>0</formula>
    </cfRule>
    <cfRule type="cellIs" dxfId="1618" priority="998" operator="lessThan">
      <formula>0</formula>
    </cfRule>
    <cfRule type="cellIs" dxfId="1617" priority="999" operator="greaterThan">
      <formula>0</formula>
    </cfRule>
  </conditionalFormatting>
  <conditionalFormatting sqref="F25">
    <cfRule type="cellIs" dxfId="1616" priority="994" operator="equal">
      <formula>0</formula>
    </cfRule>
    <cfRule type="cellIs" dxfId="1615" priority="995" operator="lessThan">
      <formula>0</formula>
    </cfRule>
    <cfRule type="cellIs" dxfId="1614" priority="996" operator="greaterThan">
      <formula>0</formula>
    </cfRule>
  </conditionalFormatting>
  <conditionalFormatting sqref="J25">
    <cfRule type="cellIs" dxfId="1613" priority="991" operator="equal">
      <formula>0</formula>
    </cfRule>
    <cfRule type="cellIs" dxfId="1612" priority="992" operator="lessThan">
      <formula>0</formula>
    </cfRule>
    <cfRule type="cellIs" dxfId="1611" priority="993" operator="greaterThan">
      <formula>0</formula>
    </cfRule>
  </conditionalFormatting>
  <conditionalFormatting sqref="N25">
    <cfRule type="cellIs" dxfId="1610" priority="988" operator="equal">
      <formula>0</formula>
    </cfRule>
    <cfRule type="cellIs" dxfId="1609" priority="989" operator="lessThan">
      <formula>0</formula>
    </cfRule>
    <cfRule type="cellIs" dxfId="1608" priority="990" operator="greaterThan">
      <formula>0</formula>
    </cfRule>
  </conditionalFormatting>
  <conditionalFormatting sqref="O25">
    <cfRule type="cellIs" dxfId="1607" priority="985" operator="equal">
      <formula>0</formula>
    </cfRule>
    <cfRule type="cellIs" dxfId="1606" priority="986" operator="lessThan">
      <formula>0</formula>
    </cfRule>
    <cfRule type="cellIs" dxfId="1605" priority="987" operator="greaterThan">
      <formula>0</formula>
    </cfRule>
  </conditionalFormatting>
  <conditionalFormatting sqref="F28">
    <cfRule type="cellIs" dxfId="1604" priority="982" operator="equal">
      <formula>0</formula>
    </cfRule>
    <cfRule type="cellIs" dxfId="1603" priority="983" operator="lessThan">
      <formula>0</formula>
    </cfRule>
    <cfRule type="cellIs" dxfId="1602" priority="984" operator="greaterThan">
      <formula>0</formula>
    </cfRule>
  </conditionalFormatting>
  <conditionalFormatting sqref="F30">
    <cfRule type="cellIs" dxfId="1601" priority="979" operator="equal">
      <formula>0</formula>
    </cfRule>
    <cfRule type="cellIs" dxfId="1600" priority="980" operator="lessThan">
      <formula>0</formula>
    </cfRule>
    <cfRule type="cellIs" dxfId="1599" priority="981" operator="greaterThan">
      <formula>0</formula>
    </cfRule>
  </conditionalFormatting>
  <conditionalFormatting sqref="J28">
    <cfRule type="cellIs" dxfId="1598" priority="976" operator="equal">
      <formula>0</formula>
    </cfRule>
    <cfRule type="cellIs" dxfId="1597" priority="977" operator="lessThan">
      <formula>0</formula>
    </cfRule>
    <cfRule type="cellIs" dxfId="1596" priority="978" operator="greaterThan">
      <formula>0</formula>
    </cfRule>
  </conditionalFormatting>
  <conditionalFormatting sqref="J30">
    <cfRule type="cellIs" dxfId="1595" priority="973" operator="equal">
      <formula>0</formula>
    </cfRule>
    <cfRule type="cellIs" dxfId="1594" priority="974" operator="lessThan">
      <formula>0</formula>
    </cfRule>
    <cfRule type="cellIs" dxfId="1593" priority="975" operator="greaterThan">
      <formula>0</formula>
    </cfRule>
  </conditionalFormatting>
  <conditionalFormatting sqref="N28">
    <cfRule type="cellIs" dxfId="1592" priority="970" operator="equal">
      <formula>0</formula>
    </cfRule>
    <cfRule type="cellIs" dxfId="1591" priority="971" operator="lessThan">
      <formula>0</formula>
    </cfRule>
    <cfRule type="cellIs" dxfId="1590" priority="972" operator="greaterThan">
      <formula>0</formula>
    </cfRule>
  </conditionalFormatting>
  <conditionalFormatting sqref="N30">
    <cfRule type="cellIs" dxfId="1589" priority="967" operator="equal">
      <formula>0</formula>
    </cfRule>
    <cfRule type="cellIs" dxfId="1588" priority="968" operator="lessThan">
      <formula>0</formula>
    </cfRule>
    <cfRule type="cellIs" dxfId="1587" priority="969" operator="greaterThan">
      <formula>0</formula>
    </cfRule>
  </conditionalFormatting>
  <conditionalFormatting sqref="O28">
    <cfRule type="cellIs" dxfId="1586" priority="964" operator="equal">
      <formula>0</formula>
    </cfRule>
    <cfRule type="cellIs" dxfId="1585" priority="965" operator="lessThan">
      <formula>0</formula>
    </cfRule>
    <cfRule type="cellIs" dxfId="1584" priority="966" operator="greaterThan">
      <formula>0</formula>
    </cfRule>
  </conditionalFormatting>
  <conditionalFormatting sqref="O30">
    <cfRule type="cellIs" dxfId="1583" priority="961" operator="equal">
      <formula>0</formula>
    </cfRule>
    <cfRule type="cellIs" dxfId="1582" priority="962" operator="lessThan">
      <formula>0</formula>
    </cfRule>
    <cfRule type="cellIs" dxfId="1581" priority="963" operator="greaterThan">
      <formula>0</formula>
    </cfRule>
  </conditionalFormatting>
  <conditionalFormatting sqref="F31">
    <cfRule type="cellIs" dxfId="1580" priority="958" operator="equal">
      <formula>0</formula>
    </cfRule>
    <cfRule type="cellIs" dxfId="1579" priority="959" operator="lessThan">
      <formula>0</formula>
    </cfRule>
    <cfRule type="cellIs" dxfId="1578" priority="960" operator="greaterThan">
      <formula>0</formula>
    </cfRule>
  </conditionalFormatting>
  <conditionalFormatting sqref="J31">
    <cfRule type="cellIs" dxfId="1577" priority="955" operator="equal">
      <formula>0</formula>
    </cfRule>
    <cfRule type="cellIs" dxfId="1576" priority="956" operator="lessThan">
      <formula>0</formula>
    </cfRule>
    <cfRule type="cellIs" dxfId="1575" priority="957" operator="greaterThan">
      <formula>0</formula>
    </cfRule>
  </conditionalFormatting>
  <conditionalFormatting sqref="N31">
    <cfRule type="cellIs" dxfId="1574" priority="952" operator="equal">
      <formula>0</formula>
    </cfRule>
    <cfRule type="cellIs" dxfId="1573" priority="953" operator="lessThan">
      <formula>0</formula>
    </cfRule>
    <cfRule type="cellIs" dxfId="1572" priority="954" operator="greaterThan">
      <formula>0</formula>
    </cfRule>
  </conditionalFormatting>
  <conditionalFormatting sqref="O31">
    <cfRule type="cellIs" dxfId="1571" priority="949" operator="equal">
      <formula>0</formula>
    </cfRule>
    <cfRule type="cellIs" dxfId="1570" priority="950" operator="lessThan">
      <formula>0</formula>
    </cfRule>
    <cfRule type="cellIs" dxfId="1569" priority="951" operator="greaterThan">
      <formula>0</formula>
    </cfRule>
  </conditionalFormatting>
  <conditionalFormatting sqref="F29">
    <cfRule type="cellIs" dxfId="1568" priority="946" operator="equal">
      <formula>0</formula>
    </cfRule>
    <cfRule type="cellIs" dxfId="1567" priority="947" operator="lessThan">
      <formula>0</formula>
    </cfRule>
    <cfRule type="cellIs" dxfId="1566" priority="948" operator="greaterThan">
      <formula>0</formula>
    </cfRule>
  </conditionalFormatting>
  <conditionalFormatting sqref="J29">
    <cfRule type="cellIs" dxfId="1565" priority="943" operator="equal">
      <formula>0</formula>
    </cfRule>
    <cfRule type="cellIs" dxfId="1564" priority="944" operator="lessThan">
      <formula>0</formula>
    </cfRule>
    <cfRule type="cellIs" dxfId="1563" priority="945" operator="greaterThan">
      <formula>0</formula>
    </cfRule>
  </conditionalFormatting>
  <conditionalFormatting sqref="N29">
    <cfRule type="cellIs" dxfId="1562" priority="940" operator="equal">
      <formula>0</formula>
    </cfRule>
    <cfRule type="cellIs" dxfId="1561" priority="941" operator="lessThan">
      <formula>0</formula>
    </cfRule>
    <cfRule type="cellIs" dxfId="1560" priority="942" operator="greaterThan">
      <formula>0</formula>
    </cfRule>
  </conditionalFormatting>
  <conditionalFormatting sqref="O29">
    <cfRule type="cellIs" dxfId="1559" priority="937" operator="equal">
      <formula>0</formula>
    </cfRule>
    <cfRule type="cellIs" dxfId="1558" priority="938" operator="lessThan">
      <formula>0</formula>
    </cfRule>
    <cfRule type="cellIs" dxfId="1557" priority="939" operator="greaterThan">
      <formula>0</formula>
    </cfRule>
  </conditionalFormatting>
  <conditionalFormatting sqref="F35">
    <cfRule type="cellIs" dxfId="1556" priority="934" operator="equal">
      <formula>0</formula>
    </cfRule>
    <cfRule type="cellIs" dxfId="1555" priority="935" operator="lessThan">
      <formula>0</formula>
    </cfRule>
    <cfRule type="cellIs" dxfId="1554" priority="936" operator="greaterThan">
      <formula>0</formula>
    </cfRule>
  </conditionalFormatting>
  <conditionalFormatting sqref="J35">
    <cfRule type="cellIs" dxfId="1553" priority="931" operator="equal">
      <formula>0</formula>
    </cfRule>
    <cfRule type="cellIs" dxfId="1552" priority="932" operator="lessThan">
      <formula>0</formula>
    </cfRule>
    <cfRule type="cellIs" dxfId="1551" priority="933" operator="greaterThan">
      <formula>0</formula>
    </cfRule>
  </conditionalFormatting>
  <conditionalFormatting sqref="N35">
    <cfRule type="cellIs" dxfId="1550" priority="928" operator="equal">
      <formula>0</formula>
    </cfRule>
    <cfRule type="cellIs" dxfId="1549" priority="929" operator="lessThan">
      <formula>0</formula>
    </cfRule>
    <cfRule type="cellIs" dxfId="1548" priority="930" operator="greaterThan">
      <formula>0</formula>
    </cfRule>
  </conditionalFormatting>
  <conditionalFormatting sqref="O35">
    <cfRule type="cellIs" dxfId="1547" priority="925" operator="equal">
      <formula>0</formula>
    </cfRule>
    <cfRule type="cellIs" dxfId="1546" priority="926" operator="lessThan">
      <formula>0</formula>
    </cfRule>
    <cfRule type="cellIs" dxfId="1545" priority="927" operator="greaterThan">
      <formula>0</formula>
    </cfRule>
  </conditionalFormatting>
  <conditionalFormatting sqref="F37">
    <cfRule type="cellIs" dxfId="1544" priority="922" operator="equal">
      <formula>0</formula>
    </cfRule>
    <cfRule type="cellIs" dxfId="1543" priority="923" operator="lessThan">
      <formula>0</formula>
    </cfRule>
    <cfRule type="cellIs" dxfId="1542" priority="924" operator="greaterThan">
      <formula>0</formula>
    </cfRule>
  </conditionalFormatting>
  <conditionalFormatting sqref="J37">
    <cfRule type="cellIs" dxfId="1541" priority="919" operator="equal">
      <formula>0</formula>
    </cfRule>
    <cfRule type="cellIs" dxfId="1540" priority="920" operator="lessThan">
      <formula>0</formula>
    </cfRule>
    <cfRule type="cellIs" dxfId="1539" priority="921" operator="greaterThan">
      <formula>0</formula>
    </cfRule>
  </conditionalFormatting>
  <conditionalFormatting sqref="N37">
    <cfRule type="cellIs" dxfId="1538" priority="916" operator="equal">
      <formula>0</formula>
    </cfRule>
    <cfRule type="cellIs" dxfId="1537" priority="917" operator="lessThan">
      <formula>0</formula>
    </cfRule>
    <cfRule type="cellIs" dxfId="1536" priority="918" operator="greaterThan">
      <formula>0</formula>
    </cfRule>
  </conditionalFormatting>
  <conditionalFormatting sqref="O37">
    <cfRule type="cellIs" dxfId="1535" priority="913" operator="equal">
      <formula>0</formula>
    </cfRule>
    <cfRule type="cellIs" dxfId="1534" priority="914" operator="lessThan">
      <formula>0</formula>
    </cfRule>
    <cfRule type="cellIs" dxfId="1533" priority="915" operator="greaterThan">
      <formula>0</formula>
    </cfRule>
  </conditionalFormatting>
  <conditionalFormatting sqref="F44">
    <cfRule type="cellIs" dxfId="1532" priority="910" operator="equal">
      <formula>0</formula>
    </cfRule>
    <cfRule type="cellIs" dxfId="1531" priority="911" operator="lessThan">
      <formula>0</formula>
    </cfRule>
    <cfRule type="cellIs" dxfId="1530" priority="912" operator="greaterThan">
      <formula>0</formula>
    </cfRule>
  </conditionalFormatting>
  <conditionalFormatting sqref="F45">
    <cfRule type="cellIs" dxfId="1529" priority="907" operator="equal">
      <formula>0</formula>
    </cfRule>
    <cfRule type="cellIs" dxfId="1528" priority="908" operator="lessThan">
      <formula>0</formula>
    </cfRule>
    <cfRule type="cellIs" dxfId="1527" priority="909" operator="greaterThan">
      <formula>0</formula>
    </cfRule>
  </conditionalFormatting>
  <conditionalFormatting sqref="F46">
    <cfRule type="cellIs" dxfId="1526" priority="904" operator="equal">
      <formula>0</formula>
    </cfRule>
    <cfRule type="cellIs" dxfId="1525" priority="905" operator="lessThan">
      <formula>0</formula>
    </cfRule>
    <cfRule type="cellIs" dxfId="1524" priority="906" operator="greaterThan">
      <formula>0</formula>
    </cfRule>
  </conditionalFormatting>
  <conditionalFormatting sqref="F47">
    <cfRule type="cellIs" dxfId="1523" priority="901" operator="equal">
      <formula>0</formula>
    </cfRule>
    <cfRule type="cellIs" dxfId="1522" priority="902" operator="lessThan">
      <formula>0</formula>
    </cfRule>
    <cfRule type="cellIs" dxfId="1521" priority="903" operator="greaterThan">
      <formula>0</formula>
    </cfRule>
  </conditionalFormatting>
  <conditionalFormatting sqref="F48">
    <cfRule type="cellIs" dxfId="1520" priority="898" operator="equal">
      <formula>0</formula>
    </cfRule>
    <cfRule type="cellIs" dxfId="1519" priority="899" operator="lessThan">
      <formula>0</formula>
    </cfRule>
    <cfRule type="cellIs" dxfId="1518" priority="900" operator="greaterThan">
      <formula>0</formula>
    </cfRule>
  </conditionalFormatting>
  <conditionalFormatting sqref="F49">
    <cfRule type="cellIs" dxfId="1517" priority="895" operator="equal">
      <formula>0</formula>
    </cfRule>
    <cfRule type="cellIs" dxfId="1516" priority="896" operator="lessThan">
      <formula>0</formula>
    </cfRule>
    <cfRule type="cellIs" dxfId="1515" priority="897" operator="greaterThan">
      <formula>0</formula>
    </cfRule>
  </conditionalFormatting>
  <conditionalFormatting sqref="J44">
    <cfRule type="cellIs" dxfId="1514" priority="892" operator="equal">
      <formula>0</formula>
    </cfRule>
    <cfRule type="cellIs" dxfId="1513" priority="893" operator="lessThan">
      <formula>0</formula>
    </cfRule>
    <cfRule type="cellIs" dxfId="1512" priority="894" operator="greaterThan">
      <formula>0</formula>
    </cfRule>
  </conditionalFormatting>
  <conditionalFormatting sqref="N44">
    <cfRule type="cellIs" dxfId="1511" priority="889" operator="equal">
      <formula>0</formula>
    </cfRule>
    <cfRule type="cellIs" dxfId="1510" priority="890" operator="lessThan">
      <formula>0</formula>
    </cfRule>
    <cfRule type="cellIs" dxfId="1509" priority="891" operator="greaterThan">
      <formula>0</formula>
    </cfRule>
  </conditionalFormatting>
  <conditionalFormatting sqref="O44">
    <cfRule type="cellIs" dxfId="1508" priority="886" operator="equal">
      <formula>0</formula>
    </cfRule>
    <cfRule type="cellIs" dxfId="1507" priority="887" operator="lessThan">
      <formula>0</formula>
    </cfRule>
    <cfRule type="cellIs" dxfId="1506" priority="888" operator="greaterThan">
      <formula>0</formula>
    </cfRule>
  </conditionalFormatting>
  <conditionalFormatting sqref="J45">
    <cfRule type="cellIs" dxfId="1505" priority="883" operator="equal">
      <formula>0</formula>
    </cfRule>
    <cfRule type="cellIs" dxfId="1504" priority="884" operator="lessThan">
      <formula>0</formula>
    </cfRule>
    <cfRule type="cellIs" dxfId="1503" priority="885" operator="greaterThan">
      <formula>0</formula>
    </cfRule>
  </conditionalFormatting>
  <conditionalFormatting sqref="N45">
    <cfRule type="cellIs" dxfId="1502" priority="880" operator="equal">
      <formula>0</formula>
    </cfRule>
    <cfRule type="cellIs" dxfId="1501" priority="881" operator="lessThan">
      <formula>0</formula>
    </cfRule>
    <cfRule type="cellIs" dxfId="1500" priority="882" operator="greaterThan">
      <formula>0</formula>
    </cfRule>
  </conditionalFormatting>
  <conditionalFormatting sqref="O45">
    <cfRule type="cellIs" dxfId="1499" priority="877" operator="equal">
      <formula>0</formula>
    </cfRule>
    <cfRule type="cellIs" dxfId="1498" priority="878" operator="lessThan">
      <formula>0</formula>
    </cfRule>
    <cfRule type="cellIs" dxfId="1497" priority="879" operator="greaterThan">
      <formula>0</formula>
    </cfRule>
  </conditionalFormatting>
  <conditionalFormatting sqref="J46">
    <cfRule type="cellIs" dxfId="1496" priority="874" operator="equal">
      <formula>0</formula>
    </cfRule>
    <cfRule type="cellIs" dxfId="1495" priority="875" operator="lessThan">
      <formula>0</formula>
    </cfRule>
    <cfRule type="cellIs" dxfId="1494" priority="876" operator="greaterThan">
      <formula>0</formula>
    </cfRule>
  </conditionalFormatting>
  <conditionalFormatting sqref="N46">
    <cfRule type="cellIs" dxfId="1493" priority="871" operator="equal">
      <formula>0</formula>
    </cfRule>
    <cfRule type="cellIs" dxfId="1492" priority="872" operator="lessThan">
      <formula>0</formula>
    </cfRule>
    <cfRule type="cellIs" dxfId="1491" priority="873" operator="greaterThan">
      <formula>0</formula>
    </cfRule>
  </conditionalFormatting>
  <conditionalFormatting sqref="O46">
    <cfRule type="cellIs" dxfId="1490" priority="868" operator="equal">
      <formula>0</formula>
    </cfRule>
    <cfRule type="cellIs" dxfId="1489" priority="869" operator="lessThan">
      <formula>0</formula>
    </cfRule>
    <cfRule type="cellIs" dxfId="1488" priority="870" operator="greaterThan">
      <formula>0</formula>
    </cfRule>
  </conditionalFormatting>
  <conditionalFormatting sqref="J47">
    <cfRule type="cellIs" dxfId="1487" priority="865" operator="equal">
      <formula>0</formula>
    </cfRule>
    <cfRule type="cellIs" dxfId="1486" priority="866" operator="lessThan">
      <formula>0</formula>
    </cfRule>
    <cfRule type="cellIs" dxfId="1485" priority="867" operator="greaterThan">
      <formula>0</formula>
    </cfRule>
  </conditionalFormatting>
  <conditionalFormatting sqref="N47">
    <cfRule type="cellIs" dxfId="1484" priority="862" operator="equal">
      <formula>0</formula>
    </cfRule>
    <cfRule type="cellIs" dxfId="1483" priority="863" operator="lessThan">
      <formula>0</formula>
    </cfRule>
    <cfRule type="cellIs" dxfId="1482" priority="864" operator="greaterThan">
      <formula>0</formula>
    </cfRule>
  </conditionalFormatting>
  <conditionalFormatting sqref="O47">
    <cfRule type="cellIs" dxfId="1481" priority="859" operator="equal">
      <formula>0</formula>
    </cfRule>
    <cfRule type="cellIs" dxfId="1480" priority="860" operator="lessThan">
      <formula>0</formula>
    </cfRule>
    <cfRule type="cellIs" dxfId="1479" priority="861" operator="greaterThan">
      <formula>0</formula>
    </cfRule>
  </conditionalFormatting>
  <conditionalFormatting sqref="J48">
    <cfRule type="cellIs" dxfId="1478" priority="856" operator="equal">
      <formula>0</formula>
    </cfRule>
    <cfRule type="cellIs" dxfId="1477" priority="857" operator="lessThan">
      <formula>0</formula>
    </cfRule>
    <cfRule type="cellIs" dxfId="1476" priority="858" operator="greaterThan">
      <formula>0</formula>
    </cfRule>
  </conditionalFormatting>
  <conditionalFormatting sqref="N48">
    <cfRule type="cellIs" dxfId="1475" priority="853" operator="equal">
      <formula>0</formula>
    </cfRule>
    <cfRule type="cellIs" dxfId="1474" priority="854" operator="lessThan">
      <formula>0</formula>
    </cfRule>
    <cfRule type="cellIs" dxfId="1473" priority="855" operator="greaterThan">
      <formula>0</formula>
    </cfRule>
  </conditionalFormatting>
  <conditionalFormatting sqref="O48">
    <cfRule type="cellIs" dxfId="1472" priority="850" operator="equal">
      <formula>0</formula>
    </cfRule>
    <cfRule type="cellIs" dxfId="1471" priority="851" operator="lessThan">
      <formula>0</formula>
    </cfRule>
    <cfRule type="cellIs" dxfId="1470" priority="852" operator="greaterThan">
      <formula>0</formula>
    </cfRule>
  </conditionalFormatting>
  <conditionalFormatting sqref="J49">
    <cfRule type="cellIs" dxfId="1469" priority="847" operator="equal">
      <formula>0</formula>
    </cfRule>
    <cfRule type="cellIs" dxfId="1468" priority="848" operator="lessThan">
      <formula>0</formula>
    </cfRule>
    <cfRule type="cellIs" dxfId="1467" priority="849" operator="greaterThan">
      <formula>0</formula>
    </cfRule>
  </conditionalFormatting>
  <conditionalFormatting sqref="N49">
    <cfRule type="cellIs" dxfId="1466" priority="844" operator="equal">
      <formula>0</formula>
    </cfRule>
    <cfRule type="cellIs" dxfId="1465" priority="845" operator="lessThan">
      <formula>0</formula>
    </cfRule>
    <cfRule type="cellIs" dxfId="1464" priority="846" operator="greaterThan">
      <formula>0</formula>
    </cfRule>
  </conditionalFormatting>
  <conditionalFormatting sqref="O49">
    <cfRule type="cellIs" dxfId="1463" priority="841" operator="equal">
      <formula>0</formula>
    </cfRule>
    <cfRule type="cellIs" dxfId="1462" priority="842" operator="lessThan">
      <formula>0</formula>
    </cfRule>
    <cfRule type="cellIs" dxfId="1461" priority="843" operator="greaterThan">
      <formula>0</formula>
    </cfRule>
  </conditionalFormatting>
  <conditionalFormatting sqref="F55">
    <cfRule type="cellIs" dxfId="1460" priority="838" operator="equal">
      <formula>0</formula>
    </cfRule>
    <cfRule type="cellIs" dxfId="1459" priority="839" operator="lessThan">
      <formula>0</formula>
    </cfRule>
    <cfRule type="cellIs" dxfId="1458" priority="840" operator="greaterThan">
      <formula>0</formula>
    </cfRule>
  </conditionalFormatting>
  <conditionalFormatting sqref="O85">
    <cfRule type="cellIs" dxfId="1457" priority="682" operator="equal">
      <formula>0</formula>
    </cfRule>
    <cfRule type="cellIs" dxfId="1456" priority="683" operator="lessThan">
      <formula>0</formula>
    </cfRule>
    <cfRule type="cellIs" dxfId="1455" priority="684" operator="greaterThan">
      <formula>0</formula>
    </cfRule>
  </conditionalFormatting>
  <conditionalFormatting sqref="J55">
    <cfRule type="cellIs" dxfId="1454" priority="835" operator="equal">
      <formula>0</formula>
    </cfRule>
    <cfRule type="cellIs" dxfId="1453" priority="836" operator="lessThan">
      <formula>0</formula>
    </cfRule>
    <cfRule type="cellIs" dxfId="1452" priority="837" operator="greaterThan">
      <formula>0</formula>
    </cfRule>
  </conditionalFormatting>
  <conditionalFormatting sqref="N55">
    <cfRule type="cellIs" dxfId="1451" priority="832" operator="equal">
      <formula>0</formula>
    </cfRule>
    <cfRule type="cellIs" dxfId="1450" priority="833" operator="lessThan">
      <formula>0</formula>
    </cfRule>
    <cfRule type="cellIs" dxfId="1449" priority="834" operator="greaterThan">
      <formula>0</formula>
    </cfRule>
  </conditionalFormatting>
  <conditionalFormatting sqref="O55">
    <cfRule type="cellIs" dxfId="1448" priority="829" operator="equal">
      <formula>0</formula>
    </cfRule>
    <cfRule type="cellIs" dxfId="1447" priority="830" operator="lessThan">
      <formula>0</formula>
    </cfRule>
    <cfRule type="cellIs" dxfId="1446" priority="831" operator="greaterThan">
      <formula>0</formula>
    </cfRule>
  </conditionalFormatting>
  <conditionalFormatting sqref="F78">
    <cfRule type="cellIs" dxfId="1445" priority="826" operator="equal">
      <formula>0</formula>
    </cfRule>
    <cfRule type="cellIs" dxfId="1444" priority="827" operator="lessThan">
      <formula>0</formula>
    </cfRule>
    <cfRule type="cellIs" dxfId="1443" priority="828" operator="greaterThan">
      <formula>0</formula>
    </cfRule>
  </conditionalFormatting>
  <conditionalFormatting sqref="J78">
    <cfRule type="cellIs" dxfId="1442" priority="823" operator="equal">
      <formula>0</formula>
    </cfRule>
    <cfRule type="cellIs" dxfId="1441" priority="824" operator="lessThan">
      <formula>0</formula>
    </cfRule>
    <cfRule type="cellIs" dxfId="1440" priority="825" operator="greaterThan">
      <formula>0</formula>
    </cfRule>
  </conditionalFormatting>
  <conditionalFormatting sqref="N78">
    <cfRule type="cellIs" dxfId="1439" priority="820" operator="equal">
      <formula>0</formula>
    </cfRule>
    <cfRule type="cellIs" dxfId="1438" priority="821" operator="lessThan">
      <formula>0</formula>
    </cfRule>
    <cfRule type="cellIs" dxfId="1437" priority="822" operator="greaterThan">
      <formula>0</formula>
    </cfRule>
  </conditionalFormatting>
  <conditionalFormatting sqref="O78">
    <cfRule type="cellIs" dxfId="1436" priority="817" operator="equal">
      <formula>0</formula>
    </cfRule>
    <cfRule type="cellIs" dxfId="1435" priority="818" operator="lessThan">
      <formula>0</formula>
    </cfRule>
    <cfRule type="cellIs" dxfId="1434" priority="819" operator="greaterThan">
      <formula>0</formula>
    </cfRule>
  </conditionalFormatting>
  <conditionalFormatting sqref="F79">
    <cfRule type="cellIs" dxfId="1433" priority="814" operator="equal">
      <formula>0</formula>
    </cfRule>
    <cfRule type="cellIs" dxfId="1432" priority="815" operator="lessThan">
      <formula>0</formula>
    </cfRule>
    <cfRule type="cellIs" dxfId="1431" priority="816" operator="greaterThan">
      <formula>0</formula>
    </cfRule>
  </conditionalFormatting>
  <conditionalFormatting sqref="F80">
    <cfRule type="cellIs" dxfId="1430" priority="811" operator="equal">
      <formula>0</formula>
    </cfRule>
    <cfRule type="cellIs" dxfId="1429" priority="812" operator="lessThan">
      <formula>0</formula>
    </cfRule>
    <cfRule type="cellIs" dxfId="1428" priority="813" operator="greaterThan">
      <formula>0</formula>
    </cfRule>
  </conditionalFormatting>
  <conditionalFormatting sqref="F81">
    <cfRule type="cellIs" dxfId="1427" priority="808" operator="equal">
      <formula>0</formula>
    </cfRule>
    <cfRule type="cellIs" dxfId="1426" priority="809" operator="lessThan">
      <formula>0</formula>
    </cfRule>
    <cfRule type="cellIs" dxfId="1425" priority="810" operator="greaterThan">
      <formula>0</formula>
    </cfRule>
  </conditionalFormatting>
  <conditionalFormatting sqref="F82">
    <cfRule type="cellIs" dxfId="1424" priority="805" operator="equal">
      <formula>0</formula>
    </cfRule>
    <cfRule type="cellIs" dxfId="1423" priority="806" operator="lessThan">
      <formula>0</formula>
    </cfRule>
    <cfRule type="cellIs" dxfId="1422" priority="807" operator="greaterThan">
      <formula>0</formula>
    </cfRule>
  </conditionalFormatting>
  <conditionalFormatting sqref="F83">
    <cfRule type="cellIs" dxfId="1421" priority="802" operator="equal">
      <formula>0</formula>
    </cfRule>
    <cfRule type="cellIs" dxfId="1420" priority="803" operator="lessThan">
      <formula>0</formula>
    </cfRule>
    <cfRule type="cellIs" dxfId="1419" priority="804" operator="greaterThan">
      <formula>0</formula>
    </cfRule>
  </conditionalFormatting>
  <conditionalFormatting sqref="F84">
    <cfRule type="cellIs" dxfId="1418" priority="799" operator="equal">
      <formula>0</formula>
    </cfRule>
    <cfRule type="cellIs" dxfId="1417" priority="800" operator="lessThan">
      <formula>0</formula>
    </cfRule>
    <cfRule type="cellIs" dxfId="1416" priority="801" operator="greaterThan">
      <formula>0</formula>
    </cfRule>
  </conditionalFormatting>
  <conditionalFormatting sqref="F85">
    <cfRule type="cellIs" dxfId="1415" priority="796" operator="equal">
      <formula>0</formula>
    </cfRule>
    <cfRule type="cellIs" dxfId="1414" priority="797" operator="lessThan">
      <formula>0</formula>
    </cfRule>
    <cfRule type="cellIs" dxfId="1413" priority="798" operator="greaterThan">
      <formula>0</formula>
    </cfRule>
  </conditionalFormatting>
  <conditionalFormatting sqref="F87">
    <cfRule type="cellIs" dxfId="1412" priority="793" operator="equal">
      <formula>0</formula>
    </cfRule>
    <cfRule type="cellIs" dxfId="1411" priority="794" operator="lessThan">
      <formula>0</formula>
    </cfRule>
    <cfRule type="cellIs" dxfId="1410" priority="795" operator="greaterThan">
      <formula>0</formula>
    </cfRule>
  </conditionalFormatting>
  <conditionalFormatting sqref="F88">
    <cfRule type="cellIs" dxfId="1409" priority="790" operator="equal">
      <formula>0</formula>
    </cfRule>
    <cfRule type="cellIs" dxfId="1408" priority="791" operator="lessThan">
      <formula>0</formula>
    </cfRule>
    <cfRule type="cellIs" dxfId="1407" priority="792" operator="greaterThan">
      <formula>0</formula>
    </cfRule>
  </conditionalFormatting>
  <conditionalFormatting sqref="F89">
    <cfRule type="cellIs" dxfId="1406" priority="787" operator="equal">
      <formula>0</formula>
    </cfRule>
    <cfRule type="cellIs" dxfId="1405" priority="788" operator="lessThan">
      <formula>0</formula>
    </cfRule>
    <cfRule type="cellIs" dxfId="1404" priority="789" operator="greaterThan">
      <formula>0</formula>
    </cfRule>
  </conditionalFormatting>
  <conditionalFormatting sqref="F90">
    <cfRule type="cellIs" dxfId="1403" priority="784" operator="equal">
      <formula>0</formula>
    </cfRule>
    <cfRule type="cellIs" dxfId="1402" priority="785" operator="lessThan">
      <formula>0</formula>
    </cfRule>
    <cfRule type="cellIs" dxfId="1401" priority="786" operator="greaterThan">
      <formula>0</formula>
    </cfRule>
  </conditionalFormatting>
  <conditionalFormatting sqref="F91">
    <cfRule type="cellIs" dxfId="1400" priority="781" operator="equal">
      <formula>0</formula>
    </cfRule>
    <cfRule type="cellIs" dxfId="1399" priority="782" operator="lessThan">
      <formula>0</formula>
    </cfRule>
    <cfRule type="cellIs" dxfId="1398" priority="783" operator="greaterThan">
      <formula>0</formula>
    </cfRule>
  </conditionalFormatting>
  <conditionalFormatting sqref="F93">
    <cfRule type="cellIs" dxfId="1397" priority="778" operator="equal">
      <formula>0</formula>
    </cfRule>
    <cfRule type="cellIs" dxfId="1396" priority="779" operator="lessThan">
      <formula>0</formula>
    </cfRule>
    <cfRule type="cellIs" dxfId="1395" priority="780" operator="greaterThan">
      <formula>0</formula>
    </cfRule>
  </conditionalFormatting>
  <conditionalFormatting sqref="F94">
    <cfRule type="cellIs" dxfId="1394" priority="775" operator="equal">
      <formula>0</formula>
    </cfRule>
    <cfRule type="cellIs" dxfId="1393" priority="776" operator="lessThan">
      <formula>0</formula>
    </cfRule>
    <cfRule type="cellIs" dxfId="1392" priority="777" operator="greaterThan">
      <formula>0</formula>
    </cfRule>
  </conditionalFormatting>
  <conditionalFormatting sqref="F95">
    <cfRule type="cellIs" dxfId="1391" priority="772" operator="equal">
      <formula>0</formula>
    </cfRule>
    <cfRule type="cellIs" dxfId="1390" priority="773" operator="lessThan">
      <formula>0</formula>
    </cfRule>
    <cfRule type="cellIs" dxfId="1389" priority="774" operator="greaterThan">
      <formula>0</formula>
    </cfRule>
  </conditionalFormatting>
  <conditionalFormatting sqref="F100">
    <cfRule type="cellIs" dxfId="1388" priority="769" operator="equal">
      <formula>0</formula>
    </cfRule>
    <cfRule type="cellIs" dxfId="1387" priority="770" operator="lessThan">
      <formula>0</formula>
    </cfRule>
    <cfRule type="cellIs" dxfId="1386" priority="771" operator="greaterThan">
      <formula>0</formula>
    </cfRule>
  </conditionalFormatting>
  <conditionalFormatting sqref="J79">
    <cfRule type="cellIs" dxfId="1385" priority="766" operator="equal">
      <formula>0</formula>
    </cfRule>
    <cfRule type="cellIs" dxfId="1384" priority="767" operator="lessThan">
      <formula>0</formula>
    </cfRule>
    <cfRule type="cellIs" dxfId="1383" priority="768" operator="greaterThan">
      <formula>0</formula>
    </cfRule>
  </conditionalFormatting>
  <conditionalFormatting sqref="N79">
    <cfRule type="cellIs" dxfId="1382" priority="763" operator="equal">
      <formula>0</formula>
    </cfRule>
    <cfRule type="cellIs" dxfId="1381" priority="764" operator="lessThan">
      <formula>0</formula>
    </cfRule>
    <cfRule type="cellIs" dxfId="1380" priority="765" operator="greaterThan">
      <formula>0</formula>
    </cfRule>
  </conditionalFormatting>
  <conditionalFormatting sqref="O79">
    <cfRule type="cellIs" dxfId="1379" priority="760" operator="equal">
      <formula>0</formula>
    </cfRule>
    <cfRule type="cellIs" dxfId="1378" priority="761" operator="lessThan">
      <formula>0</formula>
    </cfRule>
    <cfRule type="cellIs" dxfId="1377" priority="762" operator="greaterThan">
      <formula>0</formula>
    </cfRule>
  </conditionalFormatting>
  <conditionalFormatting sqref="J80">
    <cfRule type="cellIs" dxfId="1376" priority="757" operator="equal">
      <formula>0</formula>
    </cfRule>
    <cfRule type="cellIs" dxfId="1375" priority="758" operator="lessThan">
      <formula>0</formula>
    </cfRule>
    <cfRule type="cellIs" dxfId="1374" priority="759" operator="greaterThan">
      <formula>0</formula>
    </cfRule>
  </conditionalFormatting>
  <conditionalFormatting sqref="N80">
    <cfRule type="cellIs" dxfId="1373" priority="754" operator="equal">
      <formula>0</formula>
    </cfRule>
    <cfRule type="cellIs" dxfId="1372" priority="755" operator="lessThan">
      <formula>0</formula>
    </cfRule>
    <cfRule type="cellIs" dxfId="1371" priority="756" operator="greaterThan">
      <formula>0</formula>
    </cfRule>
  </conditionalFormatting>
  <conditionalFormatting sqref="O80">
    <cfRule type="cellIs" dxfId="1370" priority="751" operator="equal">
      <formula>0</formula>
    </cfRule>
    <cfRule type="cellIs" dxfId="1369" priority="752" operator="lessThan">
      <formula>0</formula>
    </cfRule>
    <cfRule type="cellIs" dxfId="1368" priority="753" operator="greaterThan">
      <formula>0</formula>
    </cfRule>
  </conditionalFormatting>
  <conditionalFormatting sqref="J82">
    <cfRule type="cellIs" dxfId="1367" priority="748" operator="equal">
      <formula>0</formula>
    </cfRule>
    <cfRule type="cellIs" dxfId="1366" priority="749" operator="lessThan">
      <formula>0</formula>
    </cfRule>
    <cfRule type="cellIs" dxfId="1365" priority="750" operator="greaterThan">
      <formula>0</formula>
    </cfRule>
  </conditionalFormatting>
  <conditionalFormatting sqref="N82">
    <cfRule type="cellIs" dxfId="1364" priority="745" operator="equal">
      <formula>0</formula>
    </cfRule>
    <cfRule type="cellIs" dxfId="1363" priority="746" operator="lessThan">
      <formula>0</formula>
    </cfRule>
    <cfRule type="cellIs" dxfId="1362" priority="747" operator="greaterThan">
      <formula>0</formula>
    </cfRule>
  </conditionalFormatting>
  <conditionalFormatting sqref="O82">
    <cfRule type="cellIs" dxfId="1361" priority="742" operator="equal">
      <formula>0</formula>
    </cfRule>
    <cfRule type="cellIs" dxfId="1360" priority="743" operator="lessThan">
      <formula>0</formula>
    </cfRule>
    <cfRule type="cellIs" dxfId="1359" priority="744" operator="greaterThan">
      <formula>0</formula>
    </cfRule>
  </conditionalFormatting>
  <conditionalFormatting sqref="J83">
    <cfRule type="cellIs" dxfId="1358" priority="739" operator="equal">
      <formula>0</formula>
    </cfRule>
    <cfRule type="cellIs" dxfId="1357" priority="740" operator="lessThan">
      <formula>0</formula>
    </cfRule>
    <cfRule type="cellIs" dxfId="1356" priority="741" operator="greaterThan">
      <formula>0</formula>
    </cfRule>
  </conditionalFormatting>
  <conditionalFormatting sqref="N83">
    <cfRule type="cellIs" dxfId="1355" priority="736" operator="equal">
      <formula>0</formula>
    </cfRule>
    <cfRule type="cellIs" dxfId="1354" priority="737" operator="lessThan">
      <formula>0</formula>
    </cfRule>
    <cfRule type="cellIs" dxfId="1353" priority="738" operator="greaterThan">
      <formula>0</formula>
    </cfRule>
  </conditionalFormatting>
  <conditionalFormatting sqref="O83">
    <cfRule type="cellIs" dxfId="1352" priority="733" operator="equal">
      <formula>0</formula>
    </cfRule>
    <cfRule type="cellIs" dxfId="1351" priority="734" operator="lessThan">
      <formula>0</formula>
    </cfRule>
    <cfRule type="cellIs" dxfId="1350" priority="735" operator="greaterThan">
      <formula>0</formula>
    </cfRule>
  </conditionalFormatting>
  <conditionalFormatting sqref="F64">
    <cfRule type="cellIs" dxfId="1349" priority="730" operator="equal">
      <formula>0</formula>
    </cfRule>
    <cfRule type="cellIs" dxfId="1348" priority="731" operator="lessThan">
      <formula>0</formula>
    </cfRule>
    <cfRule type="cellIs" dxfId="1347" priority="732" operator="greaterThan">
      <formula>0</formula>
    </cfRule>
  </conditionalFormatting>
  <conditionalFormatting sqref="F97">
    <cfRule type="cellIs" dxfId="1346" priority="643" operator="equal">
      <formula>0</formula>
    </cfRule>
    <cfRule type="cellIs" dxfId="1345" priority="644" operator="lessThan">
      <formula>0</formula>
    </cfRule>
    <cfRule type="cellIs" dxfId="1344" priority="645" operator="greaterThan">
      <formula>0</formula>
    </cfRule>
  </conditionalFormatting>
  <conditionalFormatting sqref="J64">
    <cfRule type="cellIs" dxfId="1343" priority="727" operator="equal">
      <formula>0</formula>
    </cfRule>
    <cfRule type="cellIs" dxfId="1342" priority="728" operator="lessThan">
      <formula>0</formula>
    </cfRule>
    <cfRule type="cellIs" dxfId="1341" priority="729" operator="greaterThan">
      <formula>0</formula>
    </cfRule>
  </conditionalFormatting>
  <conditionalFormatting sqref="N64">
    <cfRule type="cellIs" dxfId="1340" priority="724" operator="equal">
      <formula>0</formula>
    </cfRule>
    <cfRule type="cellIs" dxfId="1339" priority="725" operator="lessThan">
      <formula>0</formula>
    </cfRule>
    <cfRule type="cellIs" dxfId="1338" priority="726" operator="greaterThan">
      <formula>0</formula>
    </cfRule>
  </conditionalFormatting>
  <conditionalFormatting sqref="O64">
    <cfRule type="cellIs" dxfId="1337" priority="721" operator="equal">
      <formula>0</formula>
    </cfRule>
    <cfRule type="cellIs" dxfId="1336" priority="722" operator="lessThan">
      <formula>0</formula>
    </cfRule>
    <cfRule type="cellIs" dxfId="1335" priority="723" operator="greaterThan">
      <formula>0</formula>
    </cfRule>
  </conditionalFormatting>
  <conditionalFormatting sqref="F66">
    <cfRule type="cellIs" dxfId="1334" priority="718" operator="equal">
      <formula>0</formula>
    </cfRule>
    <cfRule type="cellIs" dxfId="1333" priority="719" operator="lessThan">
      <formula>0</formula>
    </cfRule>
    <cfRule type="cellIs" dxfId="1332" priority="720" operator="greaterThan">
      <formula>0</formula>
    </cfRule>
  </conditionalFormatting>
  <conditionalFormatting sqref="J66">
    <cfRule type="cellIs" dxfId="1331" priority="715" operator="equal">
      <formula>0</formula>
    </cfRule>
    <cfRule type="cellIs" dxfId="1330" priority="716" operator="lessThan">
      <formula>0</formula>
    </cfRule>
    <cfRule type="cellIs" dxfId="1329" priority="717" operator="greaterThan">
      <formula>0</formula>
    </cfRule>
  </conditionalFormatting>
  <conditionalFormatting sqref="N66">
    <cfRule type="cellIs" dxfId="1328" priority="712" operator="equal">
      <formula>0</formula>
    </cfRule>
    <cfRule type="cellIs" dxfId="1327" priority="713" operator="lessThan">
      <formula>0</formula>
    </cfRule>
    <cfRule type="cellIs" dxfId="1326" priority="714" operator="greaterThan">
      <formula>0</formula>
    </cfRule>
  </conditionalFormatting>
  <conditionalFormatting sqref="O66">
    <cfRule type="cellIs" dxfId="1325" priority="709" operator="equal">
      <formula>0</formula>
    </cfRule>
    <cfRule type="cellIs" dxfId="1324" priority="710" operator="lessThan">
      <formula>0</formula>
    </cfRule>
    <cfRule type="cellIs" dxfId="1323" priority="711" operator="greaterThan">
      <formula>0</formula>
    </cfRule>
  </conditionalFormatting>
  <conditionalFormatting sqref="J81">
    <cfRule type="cellIs" dxfId="1322" priority="706" operator="equal">
      <formula>0</formula>
    </cfRule>
    <cfRule type="cellIs" dxfId="1321" priority="707" operator="lessThan">
      <formula>0</formula>
    </cfRule>
    <cfRule type="cellIs" dxfId="1320" priority="708" operator="greaterThan">
      <formula>0</formula>
    </cfRule>
  </conditionalFormatting>
  <conditionalFormatting sqref="N81">
    <cfRule type="cellIs" dxfId="1319" priority="703" operator="equal">
      <formula>0</formula>
    </cfRule>
    <cfRule type="cellIs" dxfId="1318" priority="704" operator="lessThan">
      <formula>0</formula>
    </cfRule>
    <cfRule type="cellIs" dxfId="1317" priority="705" operator="greaterThan">
      <formula>0</formula>
    </cfRule>
  </conditionalFormatting>
  <conditionalFormatting sqref="O81">
    <cfRule type="cellIs" dxfId="1316" priority="700" operator="equal">
      <formula>0</formula>
    </cfRule>
    <cfRule type="cellIs" dxfId="1315" priority="701" operator="lessThan">
      <formula>0</formula>
    </cfRule>
    <cfRule type="cellIs" dxfId="1314" priority="702" operator="greaterThan">
      <formula>0</formula>
    </cfRule>
  </conditionalFormatting>
  <conditionalFormatting sqref="J84">
    <cfRule type="cellIs" dxfId="1313" priority="697" operator="equal">
      <formula>0</formula>
    </cfRule>
    <cfRule type="cellIs" dxfId="1312" priority="698" operator="lessThan">
      <formula>0</formula>
    </cfRule>
    <cfRule type="cellIs" dxfId="1311" priority="699" operator="greaterThan">
      <formula>0</formula>
    </cfRule>
  </conditionalFormatting>
  <conditionalFormatting sqref="N84">
    <cfRule type="cellIs" dxfId="1310" priority="694" operator="equal">
      <formula>0</formula>
    </cfRule>
    <cfRule type="cellIs" dxfId="1309" priority="695" operator="lessThan">
      <formula>0</formula>
    </cfRule>
    <cfRule type="cellIs" dxfId="1308" priority="696" operator="greaterThan">
      <formula>0</formula>
    </cfRule>
  </conditionalFormatting>
  <conditionalFormatting sqref="O84">
    <cfRule type="cellIs" dxfId="1307" priority="691" operator="equal">
      <formula>0</formula>
    </cfRule>
    <cfRule type="cellIs" dxfId="1306" priority="692" operator="lessThan">
      <formula>0</formula>
    </cfRule>
    <cfRule type="cellIs" dxfId="1305" priority="693" operator="greaterThan">
      <formula>0</formula>
    </cfRule>
  </conditionalFormatting>
  <conditionalFormatting sqref="J85">
    <cfRule type="cellIs" dxfId="1304" priority="688" operator="equal">
      <formula>0</formula>
    </cfRule>
    <cfRule type="cellIs" dxfId="1303" priority="689" operator="lessThan">
      <formula>0</formula>
    </cfRule>
    <cfRule type="cellIs" dxfId="1302" priority="690" operator="greaterThan">
      <formula>0</formula>
    </cfRule>
  </conditionalFormatting>
  <conditionalFormatting sqref="N85">
    <cfRule type="cellIs" dxfId="1301" priority="685" operator="equal">
      <formula>0</formula>
    </cfRule>
    <cfRule type="cellIs" dxfId="1300" priority="686" operator="lessThan">
      <formula>0</formula>
    </cfRule>
    <cfRule type="cellIs" dxfId="1299" priority="687" operator="greaterThan">
      <formula>0</formula>
    </cfRule>
  </conditionalFormatting>
  <conditionalFormatting sqref="O93">
    <cfRule type="cellIs" dxfId="1298" priority="673" operator="equal">
      <formula>0</formula>
    </cfRule>
    <cfRule type="cellIs" dxfId="1297" priority="674" operator="lessThan">
      <formula>0</formula>
    </cfRule>
    <cfRule type="cellIs" dxfId="1296" priority="675" operator="greaterThan">
      <formula>0</formula>
    </cfRule>
  </conditionalFormatting>
  <conditionalFormatting sqref="J93">
    <cfRule type="cellIs" dxfId="1295" priority="679" operator="equal">
      <formula>0</formula>
    </cfRule>
    <cfRule type="cellIs" dxfId="1294" priority="680" operator="lessThan">
      <formula>0</formula>
    </cfRule>
    <cfRule type="cellIs" dxfId="1293" priority="681" operator="greaterThan">
      <formula>0</formula>
    </cfRule>
  </conditionalFormatting>
  <conditionalFormatting sqref="N93">
    <cfRule type="cellIs" dxfId="1292" priority="676" operator="equal">
      <formula>0</formula>
    </cfRule>
    <cfRule type="cellIs" dxfId="1291" priority="677" operator="lessThan">
      <formula>0</formula>
    </cfRule>
    <cfRule type="cellIs" dxfId="1290" priority="678" operator="greaterThan">
      <formula>0</formula>
    </cfRule>
  </conditionalFormatting>
  <conditionalFormatting sqref="O94">
    <cfRule type="cellIs" dxfId="1289" priority="664" operator="equal">
      <formula>0</formula>
    </cfRule>
    <cfRule type="cellIs" dxfId="1288" priority="665" operator="lessThan">
      <formula>0</formula>
    </cfRule>
    <cfRule type="cellIs" dxfId="1287" priority="666" operator="greaterThan">
      <formula>0</formula>
    </cfRule>
  </conditionalFormatting>
  <conditionalFormatting sqref="J94">
    <cfRule type="cellIs" dxfId="1286" priority="670" operator="equal">
      <formula>0</formula>
    </cfRule>
    <cfRule type="cellIs" dxfId="1285" priority="671" operator="lessThan">
      <formula>0</formula>
    </cfRule>
    <cfRule type="cellIs" dxfId="1284" priority="672" operator="greaterThan">
      <formula>0</formula>
    </cfRule>
  </conditionalFormatting>
  <conditionalFormatting sqref="N94">
    <cfRule type="cellIs" dxfId="1283" priority="667" operator="equal">
      <formula>0</formula>
    </cfRule>
    <cfRule type="cellIs" dxfId="1282" priority="668" operator="lessThan">
      <formula>0</formula>
    </cfRule>
    <cfRule type="cellIs" dxfId="1281" priority="669" operator="greaterThan">
      <formula>0</formula>
    </cfRule>
  </conditionalFormatting>
  <conditionalFormatting sqref="O95">
    <cfRule type="cellIs" dxfId="1280" priority="655" operator="equal">
      <formula>0</formula>
    </cfRule>
    <cfRule type="cellIs" dxfId="1279" priority="656" operator="lessThan">
      <formula>0</formula>
    </cfRule>
    <cfRule type="cellIs" dxfId="1278" priority="657" operator="greaterThan">
      <formula>0</formula>
    </cfRule>
  </conditionalFormatting>
  <conditionalFormatting sqref="J95">
    <cfRule type="cellIs" dxfId="1277" priority="661" operator="equal">
      <formula>0</formula>
    </cfRule>
    <cfRule type="cellIs" dxfId="1276" priority="662" operator="lessThan">
      <formula>0</formula>
    </cfRule>
    <cfRule type="cellIs" dxfId="1275" priority="663" operator="greaterThan">
      <formula>0</formula>
    </cfRule>
  </conditionalFormatting>
  <conditionalFormatting sqref="N95">
    <cfRule type="cellIs" dxfId="1274" priority="658" operator="equal">
      <formula>0</formula>
    </cfRule>
    <cfRule type="cellIs" dxfId="1273" priority="659" operator="lessThan">
      <formula>0</formula>
    </cfRule>
    <cfRule type="cellIs" dxfId="1272" priority="660" operator="greaterThan">
      <formula>0</formula>
    </cfRule>
  </conditionalFormatting>
  <conditionalFormatting sqref="O100">
    <cfRule type="cellIs" dxfId="1271" priority="646" operator="equal">
      <formula>0</formula>
    </cfRule>
    <cfRule type="cellIs" dxfId="1270" priority="647" operator="lessThan">
      <formula>0</formula>
    </cfRule>
    <cfRule type="cellIs" dxfId="1269" priority="648" operator="greaterThan">
      <formula>0</formula>
    </cfRule>
  </conditionalFormatting>
  <conditionalFormatting sqref="J100">
    <cfRule type="cellIs" dxfId="1268" priority="652" operator="equal">
      <formula>0</formula>
    </cfRule>
    <cfRule type="cellIs" dxfId="1267" priority="653" operator="lessThan">
      <formula>0</formula>
    </cfRule>
    <cfRule type="cellIs" dxfId="1266" priority="654" operator="greaterThan">
      <formula>0</formula>
    </cfRule>
  </conditionalFormatting>
  <conditionalFormatting sqref="N100">
    <cfRule type="cellIs" dxfId="1265" priority="649" operator="equal">
      <formula>0</formula>
    </cfRule>
    <cfRule type="cellIs" dxfId="1264" priority="650" operator="lessThan">
      <formula>0</formula>
    </cfRule>
    <cfRule type="cellIs" dxfId="1263" priority="651" operator="greaterThan">
      <formula>0</formula>
    </cfRule>
  </conditionalFormatting>
  <conditionalFormatting sqref="F33:F34">
    <cfRule type="cellIs" dxfId="1262" priority="640" operator="equal">
      <formula>0</formula>
    </cfRule>
    <cfRule type="cellIs" dxfId="1261" priority="641" operator="lessThan">
      <formula>0</formula>
    </cfRule>
    <cfRule type="cellIs" dxfId="1260" priority="642" operator="greaterThan">
      <formula>0</formula>
    </cfRule>
  </conditionalFormatting>
  <conditionalFormatting sqref="F36">
    <cfRule type="cellIs" dxfId="1259" priority="637" operator="equal">
      <formula>0</formula>
    </cfRule>
    <cfRule type="cellIs" dxfId="1258" priority="638" operator="lessThan">
      <formula>0</formula>
    </cfRule>
    <cfRule type="cellIs" dxfId="1257" priority="639" operator="greaterThan">
      <formula>0</formula>
    </cfRule>
  </conditionalFormatting>
  <conditionalFormatting sqref="J36">
    <cfRule type="cellIs" dxfId="1256" priority="634" operator="equal">
      <formula>0</formula>
    </cfRule>
    <cfRule type="cellIs" dxfId="1255" priority="635" operator="lessThan">
      <formula>0</formula>
    </cfRule>
    <cfRule type="cellIs" dxfId="1254" priority="636" operator="greaterThan">
      <formula>0</formula>
    </cfRule>
  </conditionalFormatting>
  <conditionalFormatting sqref="N36">
    <cfRule type="cellIs" dxfId="1253" priority="631" operator="equal">
      <formula>0</formula>
    </cfRule>
    <cfRule type="cellIs" dxfId="1252" priority="632" operator="lessThan">
      <formula>0</formula>
    </cfRule>
    <cfRule type="cellIs" dxfId="1251" priority="633" operator="greaterThan">
      <formula>0</formula>
    </cfRule>
  </conditionalFormatting>
  <conditionalFormatting sqref="O36">
    <cfRule type="cellIs" dxfId="1250" priority="628" operator="equal">
      <formula>0</formula>
    </cfRule>
    <cfRule type="cellIs" dxfId="1249" priority="629" operator="lessThan">
      <formula>0</formula>
    </cfRule>
    <cfRule type="cellIs" dxfId="1248" priority="630" operator="greaterThan">
      <formula>0</formula>
    </cfRule>
  </conditionalFormatting>
  <conditionalFormatting sqref="J33">
    <cfRule type="cellIs" dxfId="1247" priority="625" operator="equal">
      <formula>0</formula>
    </cfRule>
    <cfRule type="cellIs" dxfId="1246" priority="626" operator="lessThan">
      <formula>0</formula>
    </cfRule>
    <cfRule type="cellIs" dxfId="1245" priority="627" operator="greaterThan">
      <formula>0</formula>
    </cfRule>
  </conditionalFormatting>
  <conditionalFormatting sqref="N33">
    <cfRule type="cellIs" dxfId="1244" priority="622" operator="equal">
      <formula>0</formula>
    </cfRule>
    <cfRule type="cellIs" dxfId="1243" priority="623" operator="lessThan">
      <formula>0</formula>
    </cfRule>
    <cfRule type="cellIs" dxfId="1242" priority="624" operator="greaterThan">
      <formula>0</formula>
    </cfRule>
  </conditionalFormatting>
  <conditionalFormatting sqref="O33">
    <cfRule type="cellIs" dxfId="1241" priority="619" operator="equal">
      <formula>0</formula>
    </cfRule>
    <cfRule type="cellIs" dxfId="1240" priority="620" operator="lessThan">
      <formula>0</formula>
    </cfRule>
    <cfRule type="cellIs" dxfId="1239" priority="621" operator="greaterThan">
      <formula>0</formula>
    </cfRule>
  </conditionalFormatting>
  <conditionalFormatting sqref="J34">
    <cfRule type="cellIs" dxfId="1238" priority="616" operator="equal">
      <formula>0</formula>
    </cfRule>
    <cfRule type="cellIs" dxfId="1237" priority="617" operator="lessThan">
      <formula>0</formula>
    </cfRule>
    <cfRule type="cellIs" dxfId="1236" priority="618" operator="greaterThan">
      <formula>0</formula>
    </cfRule>
  </conditionalFormatting>
  <conditionalFormatting sqref="N34">
    <cfRule type="cellIs" dxfId="1235" priority="613" operator="equal">
      <formula>0</formula>
    </cfRule>
    <cfRule type="cellIs" dxfId="1234" priority="614" operator="lessThan">
      <formula>0</formula>
    </cfRule>
    <cfRule type="cellIs" dxfId="1233" priority="615" operator="greaterThan">
      <formula>0</formula>
    </cfRule>
  </conditionalFormatting>
  <conditionalFormatting sqref="O34">
    <cfRule type="cellIs" dxfId="1232" priority="610" operator="equal">
      <formula>0</formula>
    </cfRule>
    <cfRule type="cellIs" dxfId="1231" priority="611" operator="lessThan">
      <formula>0</formula>
    </cfRule>
    <cfRule type="cellIs" dxfId="1230" priority="612" operator="greaterThan">
      <formula>0</formula>
    </cfRule>
  </conditionalFormatting>
  <conditionalFormatting sqref="F38">
    <cfRule type="cellIs" dxfId="1229" priority="607" operator="equal">
      <formula>0</formula>
    </cfRule>
    <cfRule type="cellIs" dxfId="1228" priority="608" operator="lessThan">
      <formula>0</formula>
    </cfRule>
    <cfRule type="cellIs" dxfId="1227" priority="609" operator="greaterThan">
      <formula>0</formula>
    </cfRule>
  </conditionalFormatting>
  <conditionalFormatting sqref="J38">
    <cfRule type="cellIs" dxfId="1226" priority="604" operator="equal">
      <formula>0</formula>
    </cfRule>
    <cfRule type="cellIs" dxfId="1225" priority="605" operator="lessThan">
      <formula>0</formula>
    </cfRule>
    <cfRule type="cellIs" dxfId="1224" priority="606" operator="greaterThan">
      <formula>0</formula>
    </cfRule>
  </conditionalFormatting>
  <conditionalFormatting sqref="N38">
    <cfRule type="cellIs" dxfId="1223" priority="601" operator="equal">
      <formula>0</formula>
    </cfRule>
    <cfRule type="cellIs" dxfId="1222" priority="602" operator="lessThan">
      <formula>0</formula>
    </cfRule>
    <cfRule type="cellIs" dxfId="1221" priority="603" operator="greaterThan">
      <formula>0</formula>
    </cfRule>
  </conditionalFormatting>
  <conditionalFormatting sqref="O38">
    <cfRule type="cellIs" dxfId="1220" priority="598" operator="equal">
      <formula>0</formula>
    </cfRule>
    <cfRule type="cellIs" dxfId="1219" priority="599" operator="lessThan">
      <formula>0</formula>
    </cfRule>
    <cfRule type="cellIs" dxfId="1218" priority="600" operator="greaterThan">
      <formula>0</formula>
    </cfRule>
  </conditionalFormatting>
  <conditionalFormatting sqref="F39">
    <cfRule type="cellIs" dxfId="1217" priority="595" operator="equal">
      <formula>0</formula>
    </cfRule>
    <cfRule type="cellIs" dxfId="1216" priority="596" operator="lessThan">
      <formula>0</formula>
    </cfRule>
    <cfRule type="cellIs" dxfId="1215" priority="597" operator="greaterThan">
      <formula>0</formula>
    </cfRule>
  </conditionalFormatting>
  <conditionalFormatting sqref="F40">
    <cfRule type="cellIs" dxfId="1214" priority="592" operator="equal">
      <formula>0</formula>
    </cfRule>
    <cfRule type="cellIs" dxfId="1213" priority="593" operator="lessThan">
      <formula>0</formula>
    </cfRule>
    <cfRule type="cellIs" dxfId="1212" priority="594" operator="greaterThan">
      <formula>0</formula>
    </cfRule>
  </conditionalFormatting>
  <conditionalFormatting sqref="F41">
    <cfRule type="cellIs" dxfId="1211" priority="589" operator="equal">
      <formula>0</formula>
    </cfRule>
    <cfRule type="cellIs" dxfId="1210" priority="590" operator="lessThan">
      <formula>0</formula>
    </cfRule>
    <cfRule type="cellIs" dxfId="1209" priority="591" operator="greaterThan">
      <formula>0</formula>
    </cfRule>
  </conditionalFormatting>
  <conditionalFormatting sqref="F42">
    <cfRule type="cellIs" dxfId="1208" priority="586" operator="equal">
      <formula>0</formula>
    </cfRule>
    <cfRule type="cellIs" dxfId="1207" priority="587" operator="lessThan">
      <formula>0</formula>
    </cfRule>
    <cfRule type="cellIs" dxfId="1206" priority="588" operator="greaterThan">
      <formula>0</formula>
    </cfRule>
  </conditionalFormatting>
  <conditionalFormatting sqref="F43">
    <cfRule type="cellIs" dxfId="1205" priority="583" operator="equal">
      <formula>0</formula>
    </cfRule>
    <cfRule type="cellIs" dxfId="1204" priority="584" operator="lessThan">
      <formula>0</formula>
    </cfRule>
    <cfRule type="cellIs" dxfId="1203" priority="585" operator="greaterThan">
      <formula>0</formula>
    </cfRule>
  </conditionalFormatting>
  <conditionalFormatting sqref="J39">
    <cfRule type="cellIs" dxfId="1202" priority="580" operator="equal">
      <formula>0</formula>
    </cfRule>
    <cfRule type="cellIs" dxfId="1201" priority="581" operator="lessThan">
      <formula>0</formula>
    </cfRule>
    <cfRule type="cellIs" dxfId="1200" priority="582" operator="greaterThan">
      <formula>0</formula>
    </cfRule>
  </conditionalFormatting>
  <conditionalFormatting sqref="N39">
    <cfRule type="cellIs" dxfId="1199" priority="577" operator="equal">
      <formula>0</formula>
    </cfRule>
    <cfRule type="cellIs" dxfId="1198" priority="578" operator="lessThan">
      <formula>0</formula>
    </cfRule>
    <cfRule type="cellIs" dxfId="1197" priority="579" operator="greaterThan">
      <formula>0</formula>
    </cfRule>
  </conditionalFormatting>
  <conditionalFormatting sqref="O39">
    <cfRule type="cellIs" dxfId="1196" priority="574" operator="equal">
      <formula>0</formula>
    </cfRule>
    <cfRule type="cellIs" dxfId="1195" priority="575" operator="lessThan">
      <formula>0</formula>
    </cfRule>
    <cfRule type="cellIs" dxfId="1194" priority="576" operator="greaterThan">
      <formula>0</formula>
    </cfRule>
  </conditionalFormatting>
  <conditionalFormatting sqref="J40">
    <cfRule type="cellIs" dxfId="1193" priority="571" operator="equal">
      <formula>0</formula>
    </cfRule>
    <cfRule type="cellIs" dxfId="1192" priority="572" operator="lessThan">
      <formula>0</formula>
    </cfRule>
    <cfRule type="cellIs" dxfId="1191" priority="573" operator="greaterThan">
      <formula>0</formula>
    </cfRule>
  </conditionalFormatting>
  <conditionalFormatting sqref="N40">
    <cfRule type="cellIs" dxfId="1190" priority="568" operator="equal">
      <formula>0</formula>
    </cfRule>
    <cfRule type="cellIs" dxfId="1189" priority="569" operator="lessThan">
      <formula>0</formula>
    </cfRule>
    <cfRule type="cellIs" dxfId="1188" priority="570" operator="greaterThan">
      <formula>0</formula>
    </cfRule>
  </conditionalFormatting>
  <conditionalFormatting sqref="O40">
    <cfRule type="cellIs" dxfId="1187" priority="565" operator="equal">
      <formula>0</formula>
    </cfRule>
    <cfRule type="cellIs" dxfId="1186" priority="566" operator="lessThan">
      <formula>0</formula>
    </cfRule>
    <cfRule type="cellIs" dxfId="1185" priority="567" operator="greaterThan">
      <formula>0</formula>
    </cfRule>
  </conditionalFormatting>
  <conditionalFormatting sqref="J41">
    <cfRule type="cellIs" dxfId="1184" priority="562" operator="equal">
      <formula>0</formula>
    </cfRule>
    <cfRule type="cellIs" dxfId="1183" priority="563" operator="lessThan">
      <formula>0</formula>
    </cfRule>
    <cfRule type="cellIs" dxfId="1182" priority="564" operator="greaterThan">
      <formula>0</formula>
    </cfRule>
  </conditionalFormatting>
  <conditionalFormatting sqref="N41">
    <cfRule type="cellIs" dxfId="1181" priority="559" operator="equal">
      <formula>0</formula>
    </cfRule>
    <cfRule type="cellIs" dxfId="1180" priority="560" operator="lessThan">
      <formula>0</formula>
    </cfRule>
    <cfRule type="cellIs" dxfId="1179" priority="561" operator="greaterThan">
      <formula>0</formula>
    </cfRule>
  </conditionalFormatting>
  <conditionalFormatting sqref="O41">
    <cfRule type="cellIs" dxfId="1178" priority="556" operator="equal">
      <formula>0</formula>
    </cfRule>
    <cfRule type="cellIs" dxfId="1177" priority="557" operator="lessThan">
      <formula>0</formula>
    </cfRule>
    <cfRule type="cellIs" dxfId="1176" priority="558" operator="greaterThan">
      <formula>0</formula>
    </cfRule>
  </conditionalFormatting>
  <conditionalFormatting sqref="J42">
    <cfRule type="cellIs" dxfId="1175" priority="553" operator="equal">
      <formula>0</formula>
    </cfRule>
    <cfRule type="cellIs" dxfId="1174" priority="554" operator="lessThan">
      <formula>0</formula>
    </cfRule>
    <cfRule type="cellIs" dxfId="1173" priority="555" operator="greaterThan">
      <formula>0</formula>
    </cfRule>
  </conditionalFormatting>
  <conditionalFormatting sqref="N42">
    <cfRule type="cellIs" dxfId="1172" priority="550" operator="equal">
      <formula>0</formula>
    </cfRule>
    <cfRule type="cellIs" dxfId="1171" priority="551" operator="lessThan">
      <formula>0</formula>
    </cfRule>
    <cfRule type="cellIs" dxfId="1170" priority="552" operator="greaterThan">
      <formula>0</formula>
    </cfRule>
  </conditionalFormatting>
  <conditionalFormatting sqref="O42">
    <cfRule type="cellIs" dxfId="1169" priority="547" operator="equal">
      <formula>0</formula>
    </cfRule>
    <cfRule type="cellIs" dxfId="1168" priority="548" operator="lessThan">
      <formula>0</formula>
    </cfRule>
    <cfRule type="cellIs" dxfId="1167" priority="549" operator="greaterThan">
      <formula>0</formula>
    </cfRule>
  </conditionalFormatting>
  <conditionalFormatting sqref="J43">
    <cfRule type="cellIs" dxfId="1166" priority="544" operator="equal">
      <formula>0</formula>
    </cfRule>
    <cfRule type="cellIs" dxfId="1165" priority="545" operator="lessThan">
      <formula>0</formula>
    </cfRule>
    <cfRule type="cellIs" dxfId="1164" priority="546" operator="greaterThan">
      <formula>0</formula>
    </cfRule>
  </conditionalFormatting>
  <conditionalFormatting sqref="N43">
    <cfRule type="cellIs" dxfId="1163" priority="541" operator="equal">
      <formula>0</formula>
    </cfRule>
    <cfRule type="cellIs" dxfId="1162" priority="542" operator="lessThan">
      <formula>0</formula>
    </cfRule>
    <cfRule type="cellIs" dxfId="1161" priority="543" operator="greaterThan">
      <formula>0</formula>
    </cfRule>
  </conditionalFormatting>
  <conditionalFormatting sqref="O43">
    <cfRule type="cellIs" dxfId="1160" priority="538" operator="equal">
      <formula>0</formula>
    </cfRule>
    <cfRule type="cellIs" dxfId="1159" priority="539" operator="lessThan">
      <formula>0</formula>
    </cfRule>
    <cfRule type="cellIs" dxfId="1158" priority="540" operator="greaterThan">
      <formula>0</formula>
    </cfRule>
  </conditionalFormatting>
  <conditionalFormatting sqref="F72">
    <cfRule type="cellIs" dxfId="1157" priority="535" operator="equal">
      <formula>0</formula>
    </cfRule>
    <cfRule type="cellIs" dxfId="1156" priority="536" operator="lessThan">
      <formula>0</formula>
    </cfRule>
    <cfRule type="cellIs" dxfId="1155" priority="537" operator="greaterThan">
      <formula>0</formula>
    </cfRule>
  </conditionalFormatting>
  <conditionalFormatting sqref="J72">
    <cfRule type="cellIs" dxfId="1154" priority="532" operator="equal">
      <formula>0</formula>
    </cfRule>
    <cfRule type="cellIs" dxfId="1153" priority="533" operator="lessThan">
      <formula>0</formula>
    </cfRule>
    <cfRule type="cellIs" dxfId="1152" priority="534" operator="greaterThan">
      <formula>0</formula>
    </cfRule>
  </conditionalFormatting>
  <conditionalFormatting sqref="N72">
    <cfRule type="cellIs" dxfId="1151" priority="529" operator="equal">
      <formula>0</formula>
    </cfRule>
    <cfRule type="cellIs" dxfId="1150" priority="530" operator="lessThan">
      <formula>0</formula>
    </cfRule>
    <cfRule type="cellIs" dxfId="1149" priority="531" operator="greaterThan">
      <formula>0</formula>
    </cfRule>
  </conditionalFormatting>
  <conditionalFormatting sqref="O72">
    <cfRule type="cellIs" dxfId="1148" priority="526" operator="equal">
      <formula>0</formula>
    </cfRule>
    <cfRule type="cellIs" dxfId="1147" priority="527" operator="lessThan">
      <formula>0</formula>
    </cfRule>
    <cfRule type="cellIs" dxfId="1146" priority="528" operator="greaterThan">
      <formula>0</formula>
    </cfRule>
  </conditionalFormatting>
  <conditionalFormatting sqref="F73">
    <cfRule type="cellIs" dxfId="1145" priority="523" operator="equal">
      <formula>0</formula>
    </cfRule>
    <cfRule type="cellIs" dxfId="1144" priority="524" operator="lessThan">
      <formula>0</formula>
    </cfRule>
    <cfRule type="cellIs" dxfId="1143" priority="525" operator="greaterThan">
      <formula>0</formula>
    </cfRule>
  </conditionalFormatting>
  <conditionalFormatting sqref="J73">
    <cfRule type="cellIs" dxfId="1142" priority="520" operator="equal">
      <formula>0</formula>
    </cfRule>
    <cfRule type="cellIs" dxfId="1141" priority="521" operator="lessThan">
      <formula>0</formula>
    </cfRule>
    <cfRule type="cellIs" dxfId="1140" priority="522" operator="greaterThan">
      <formula>0</formula>
    </cfRule>
  </conditionalFormatting>
  <conditionalFormatting sqref="N73">
    <cfRule type="cellIs" dxfId="1139" priority="517" operator="equal">
      <formula>0</formula>
    </cfRule>
    <cfRule type="cellIs" dxfId="1138" priority="518" operator="lessThan">
      <formula>0</formula>
    </cfRule>
    <cfRule type="cellIs" dxfId="1137" priority="519" operator="greaterThan">
      <formula>0</formula>
    </cfRule>
  </conditionalFormatting>
  <conditionalFormatting sqref="O73">
    <cfRule type="cellIs" dxfId="1136" priority="514" operator="equal">
      <formula>0</formula>
    </cfRule>
    <cfRule type="cellIs" dxfId="1135" priority="515" operator="lessThan">
      <formula>0</formula>
    </cfRule>
    <cfRule type="cellIs" dxfId="1134" priority="516" operator="greaterThan">
      <formula>0</formula>
    </cfRule>
  </conditionalFormatting>
  <conditionalFormatting sqref="F74">
    <cfRule type="cellIs" dxfId="1133" priority="511" operator="equal">
      <formula>0</formula>
    </cfRule>
    <cfRule type="cellIs" dxfId="1132" priority="512" operator="lessThan">
      <formula>0</formula>
    </cfRule>
    <cfRule type="cellIs" dxfId="1131" priority="513" operator="greaterThan">
      <formula>0</formula>
    </cfRule>
  </conditionalFormatting>
  <conditionalFormatting sqref="J74">
    <cfRule type="cellIs" dxfId="1130" priority="508" operator="equal">
      <formula>0</formula>
    </cfRule>
    <cfRule type="cellIs" dxfId="1129" priority="509" operator="lessThan">
      <formula>0</formula>
    </cfRule>
    <cfRule type="cellIs" dxfId="1128" priority="510" operator="greaterThan">
      <formula>0</formula>
    </cfRule>
  </conditionalFormatting>
  <conditionalFormatting sqref="N74">
    <cfRule type="cellIs" dxfId="1127" priority="505" operator="equal">
      <formula>0</formula>
    </cfRule>
    <cfRule type="cellIs" dxfId="1126" priority="506" operator="lessThan">
      <formula>0</formula>
    </cfRule>
    <cfRule type="cellIs" dxfId="1125" priority="507" operator="greaterThan">
      <formula>0</formula>
    </cfRule>
  </conditionalFormatting>
  <conditionalFormatting sqref="O74">
    <cfRule type="cellIs" dxfId="1124" priority="502" operator="equal">
      <formula>0</formula>
    </cfRule>
    <cfRule type="cellIs" dxfId="1123" priority="503" operator="lessThan">
      <formula>0</formula>
    </cfRule>
    <cfRule type="cellIs" dxfId="1122" priority="504" operator="greaterThan">
      <formula>0</formula>
    </cfRule>
  </conditionalFormatting>
  <conditionalFormatting sqref="O87">
    <cfRule type="cellIs" dxfId="1121" priority="493" operator="equal">
      <formula>0</formula>
    </cfRule>
    <cfRule type="cellIs" dxfId="1120" priority="494" operator="lessThan">
      <formula>0</formula>
    </cfRule>
    <cfRule type="cellIs" dxfId="1119" priority="495" operator="greaterThan">
      <formula>0</formula>
    </cfRule>
  </conditionalFormatting>
  <conditionalFormatting sqref="J87">
    <cfRule type="cellIs" dxfId="1118" priority="499" operator="equal">
      <formula>0</formula>
    </cfRule>
    <cfRule type="cellIs" dxfId="1117" priority="500" operator="lessThan">
      <formula>0</formula>
    </cfRule>
    <cfRule type="cellIs" dxfId="1116" priority="501" operator="greaterThan">
      <formula>0</formula>
    </cfRule>
  </conditionalFormatting>
  <conditionalFormatting sqref="N87">
    <cfRule type="cellIs" dxfId="1115" priority="496" operator="equal">
      <formula>0</formula>
    </cfRule>
    <cfRule type="cellIs" dxfId="1114" priority="497" operator="lessThan">
      <formula>0</formula>
    </cfRule>
    <cfRule type="cellIs" dxfId="1113" priority="498" operator="greaterThan">
      <formula>0</formula>
    </cfRule>
  </conditionalFormatting>
  <conditionalFormatting sqref="O88">
    <cfRule type="cellIs" dxfId="1112" priority="484" operator="equal">
      <formula>0</formula>
    </cfRule>
    <cfRule type="cellIs" dxfId="1111" priority="485" operator="lessThan">
      <formula>0</formula>
    </cfRule>
    <cfRule type="cellIs" dxfId="1110" priority="486" operator="greaterThan">
      <formula>0</formula>
    </cfRule>
  </conditionalFormatting>
  <conditionalFormatting sqref="J88">
    <cfRule type="cellIs" dxfId="1109" priority="490" operator="equal">
      <formula>0</formula>
    </cfRule>
    <cfRule type="cellIs" dxfId="1108" priority="491" operator="lessThan">
      <formula>0</formula>
    </cfRule>
    <cfRule type="cellIs" dxfId="1107" priority="492" operator="greaterThan">
      <formula>0</formula>
    </cfRule>
  </conditionalFormatting>
  <conditionalFormatting sqref="N88">
    <cfRule type="cellIs" dxfId="1106" priority="487" operator="equal">
      <formula>0</formula>
    </cfRule>
    <cfRule type="cellIs" dxfId="1105" priority="488" operator="lessThan">
      <formula>0</formula>
    </cfRule>
    <cfRule type="cellIs" dxfId="1104" priority="489" operator="greaterThan">
      <formula>0</formula>
    </cfRule>
  </conditionalFormatting>
  <conditionalFormatting sqref="O89">
    <cfRule type="cellIs" dxfId="1103" priority="475" operator="equal">
      <formula>0</formula>
    </cfRule>
    <cfRule type="cellIs" dxfId="1102" priority="476" operator="lessThan">
      <formula>0</formula>
    </cfRule>
    <cfRule type="cellIs" dxfId="1101" priority="477" operator="greaterThan">
      <formula>0</formula>
    </cfRule>
  </conditionalFormatting>
  <conditionalFormatting sqref="J89">
    <cfRule type="cellIs" dxfId="1100" priority="481" operator="equal">
      <formula>0</formula>
    </cfRule>
    <cfRule type="cellIs" dxfId="1099" priority="482" operator="lessThan">
      <formula>0</formula>
    </cfRule>
    <cfRule type="cellIs" dxfId="1098" priority="483" operator="greaterThan">
      <formula>0</formula>
    </cfRule>
  </conditionalFormatting>
  <conditionalFormatting sqref="N89">
    <cfRule type="cellIs" dxfId="1097" priority="478" operator="equal">
      <formula>0</formula>
    </cfRule>
    <cfRule type="cellIs" dxfId="1096" priority="479" operator="lessThan">
      <formula>0</formula>
    </cfRule>
    <cfRule type="cellIs" dxfId="1095" priority="480" operator="greaterThan">
      <formula>0</formula>
    </cfRule>
  </conditionalFormatting>
  <conditionalFormatting sqref="O90">
    <cfRule type="cellIs" dxfId="1094" priority="466" operator="equal">
      <formula>0</formula>
    </cfRule>
    <cfRule type="cellIs" dxfId="1093" priority="467" operator="lessThan">
      <formula>0</formula>
    </cfRule>
    <cfRule type="cellIs" dxfId="1092" priority="468" operator="greaterThan">
      <formula>0</formula>
    </cfRule>
  </conditionalFormatting>
  <conditionalFormatting sqref="J90">
    <cfRule type="cellIs" dxfId="1091" priority="472" operator="equal">
      <formula>0</formula>
    </cfRule>
    <cfRule type="cellIs" dxfId="1090" priority="473" operator="lessThan">
      <formula>0</formula>
    </cfRule>
    <cfRule type="cellIs" dxfId="1089" priority="474" operator="greaterThan">
      <formula>0</formula>
    </cfRule>
  </conditionalFormatting>
  <conditionalFormatting sqref="N90">
    <cfRule type="cellIs" dxfId="1088" priority="469" operator="equal">
      <formula>0</formula>
    </cfRule>
    <cfRule type="cellIs" dxfId="1087" priority="470" operator="lessThan">
      <formula>0</formula>
    </cfRule>
    <cfRule type="cellIs" dxfId="1086" priority="471" operator="greaterThan">
      <formula>0</formula>
    </cfRule>
  </conditionalFormatting>
  <conditionalFormatting sqref="O91">
    <cfRule type="cellIs" dxfId="1085" priority="457" operator="equal">
      <formula>0</formula>
    </cfRule>
    <cfRule type="cellIs" dxfId="1084" priority="458" operator="lessThan">
      <formula>0</formula>
    </cfRule>
    <cfRule type="cellIs" dxfId="1083" priority="459" operator="greaterThan">
      <formula>0</formula>
    </cfRule>
  </conditionalFormatting>
  <conditionalFormatting sqref="J91">
    <cfRule type="cellIs" dxfId="1082" priority="463" operator="equal">
      <formula>0</formula>
    </cfRule>
    <cfRule type="cellIs" dxfId="1081" priority="464" operator="lessThan">
      <formula>0</formula>
    </cfRule>
    <cfRule type="cellIs" dxfId="1080" priority="465" operator="greaterThan">
      <formula>0</formula>
    </cfRule>
  </conditionalFormatting>
  <conditionalFormatting sqref="N91">
    <cfRule type="cellIs" dxfId="1079" priority="460" operator="equal">
      <formula>0</formula>
    </cfRule>
    <cfRule type="cellIs" dxfId="1078" priority="461" operator="lessThan">
      <formula>0</formula>
    </cfRule>
    <cfRule type="cellIs" dxfId="1077" priority="462" operator="greaterThan">
      <formula>0</formula>
    </cfRule>
  </conditionalFormatting>
  <conditionalFormatting sqref="F98">
    <cfRule type="cellIs" dxfId="1076" priority="454" operator="equal">
      <formula>0</formula>
    </cfRule>
    <cfRule type="cellIs" dxfId="1075" priority="455" operator="lessThan">
      <formula>0</formula>
    </cfRule>
    <cfRule type="cellIs" dxfId="1074" priority="456" operator="greaterThan">
      <formula>0</formula>
    </cfRule>
  </conditionalFormatting>
  <conditionalFormatting sqref="O98">
    <cfRule type="cellIs" dxfId="1073" priority="445" operator="equal">
      <formula>0</formula>
    </cfRule>
    <cfRule type="cellIs" dxfId="1072" priority="446" operator="lessThan">
      <formula>0</formula>
    </cfRule>
    <cfRule type="cellIs" dxfId="1071" priority="447" operator="greaterThan">
      <formula>0</formula>
    </cfRule>
  </conditionalFormatting>
  <conditionalFormatting sqref="J98">
    <cfRule type="cellIs" dxfId="1070" priority="451" operator="equal">
      <formula>0</formula>
    </cfRule>
    <cfRule type="cellIs" dxfId="1069" priority="452" operator="lessThan">
      <formula>0</formula>
    </cfRule>
    <cfRule type="cellIs" dxfId="1068" priority="453" operator="greaterThan">
      <formula>0</formula>
    </cfRule>
  </conditionalFormatting>
  <conditionalFormatting sqref="N98">
    <cfRule type="cellIs" dxfId="1067" priority="448" operator="equal">
      <formula>0</formula>
    </cfRule>
    <cfRule type="cellIs" dxfId="1066" priority="449" operator="lessThan">
      <formula>0</formula>
    </cfRule>
    <cfRule type="cellIs" dxfId="1065" priority="450" operator="greaterThan">
      <formula>0</formula>
    </cfRule>
  </conditionalFormatting>
  <conditionalFormatting sqref="F75">
    <cfRule type="cellIs" dxfId="1064" priority="442" operator="equal">
      <formula>0</formula>
    </cfRule>
    <cfRule type="cellIs" dxfId="1063" priority="443" operator="lessThan">
      <formula>0</formula>
    </cfRule>
    <cfRule type="cellIs" dxfId="1062" priority="444" operator="greaterThan">
      <formula>0</formula>
    </cfRule>
  </conditionalFormatting>
  <conditionalFormatting sqref="F76">
    <cfRule type="cellIs" dxfId="1061" priority="439" operator="equal">
      <formula>0</formula>
    </cfRule>
    <cfRule type="cellIs" dxfId="1060" priority="440" operator="lessThan">
      <formula>0</formula>
    </cfRule>
    <cfRule type="cellIs" dxfId="1059" priority="441" operator="greaterThan">
      <formula>0</formula>
    </cfRule>
  </conditionalFormatting>
  <conditionalFormatting sqref="J75">
    <cfRule type="cellIs" dxfId="1058" priority="436" operator="equal">
      <formula>0</formula>
    </cfRule>
    <cfRule type="cellIs" dxfId="1057" priority="437" operator="lessThan">
      <formula>0</formula>
    </cfRule>
    <cfRule type="cellIs" dxfId="1056" priority="438" operator="greaterThan">
      <formula>0</formula>
    </cfRule>
  </conditionalFormatting>
  <conditionalFormatting sqref="N75">
    <cfRule type="cellIs" dxfId="1055" priority="433" operator="equal">
      <formula>0</formula>
    </cfRule>
    <cfRule type="cellIs" dxfId="1054" priority="434" operator="lessThan">
      <formula>0</formula>
    </cfRule>
    <cfRule type="cellIs" dxfId="1053" priority="435" operator="greaterThan">
      <formula>0</formula>
    </cfRule>
  </conditionalFormatting>
  <conditionalFormatting sqref="O75">
    <cfRule type="cellIs" dxfId="1052" priority="430" operator="equal">
      <formula>0</formula>
    </cfRule>
    <cfRule type="cellIs" dxfId="1051" priority="431" operator="lessThan">
      <formula>0</formula>
    </cfRule>
    <cfRule type="cellIs" dxfId="1050" priority="432" operator="greaterThan">
      <formula>0</formula>
    </cfRule>
  </conditionalFormatting>
  <conditionalFormatting sqref="J76">
    <cfRule type="cellIs" dxfId="1049" priority="427" operator="equal">
      <formula>0</formula>
    </cfRule>
    <cfRule type="cellIs" dxfId="1048" priority="428" operator="lessThan">
      <formula>0</formula>
    </cfRule>
    <cfRule type="cellIs" dxfId="1047" priority="429" operator="greaterThan">
      <formula>0</formula>
    </cfRule>
  </conditionalFormatting>
  <conditionalFormatting sqref="N76">
    <cfRule type="cellIs" dxfId="1046" priority="424" operator="equal">
      <formula>0</formula>
    </cfRule>
    <cfRule type="cellIs" dxfId="1045" priority="425" operator="lessThan">
      <formula>0</formula>
    </cfRule>
    <cfRule type="cellIs" dxfId="1044" priority="426" operator="greaterThan">
      <formula>0</formula>
    </cfRule>
  </conditionalFormatting>
  <conditionalFormatting sqref="O76">
    <cfRule type="cellIs" dxfId="1043" priority="421" operator="equal">
      <formula>0</formula>
    </cfRule>
    <cfRule type="cellIs" dxfId="1042" priority="422" operator="lessThan">
      <formula>0</formula>
    </cfRule>
    <cfRule type="cellIs" dxfId="1041" priority="423" operator="greaterThan">
      <formula>0</formula>
    </cfRule>
  </conditionalFormatting>
  <conditionalFormatting sqref="F51">
    <cfRule type="cellIs" dxfId="1040" priority="418" operator="equal">
      <formula>0</formula>
    </cfRule>
    <cfRule type="cellIs" dxfId="1039" priority="419" operator="lessThan">
      <formula>0</formula>
    </cfRule>
    <cfRule type="cellIs" dxfId="1038" priority="420" operator="greaterThan">
      <formula>0</formula>
    </cfRule>
  </conditionalFormatting>
  <conditionalFormatting sqref="J51">
    <cfRule type="cellIs" dxfId="1037" priority="415" operator="equal">
      <formula>0</formula>
    </cfRule>
    <cfRule type="cellIs" dxfId="1036" priority="416" operator="lessThan">
      <formula>0</formula>
    </cfRule>
    <cfRule type="cellIs" dxfId="1035" priority="417" operator="greaterThan">
      <formula>0</formula>
    </cfRule>
  </conditionalFormatting>
  <conditionalFormatting sqref="N51">
    <cfRule type="cellIs" dxfId="1034" priority="412" operator="equal">
      <formula>0</formula>
    </cfRule>
    <cfRule type="cellIs" dxfId="1033" priority="413" operator="lessThan">
      <formula>0</formula>
    </cfRule>
    <cfRule type="cellIs" dxfId="1032" priority="414" operator="greaterThan">
      <formula>0</formula>
    </cfRule>
  </conditionalFormatting>
  <conditionalFormatting sqref="O51">
    <cfRule type="cellIs" dxfId="1031" priority="409" operator="equal">
      <formula>0</formula>
    </cfRule>
    <cfRule type="cellIs" dxfId="1030" priority="410" operator="lessThan">
      <formula>0</formula>
    </cfRule>
    <cfRule type="cellIs" dxfId="1029" priority="411" operator="greaterThan">
      <formula>0</formula>
    </cfRule>
  </conditionalFormatting>
  <conditionalFormatting sqref="F52">
    <cfRule type="cellIs" dxfId="1028" priority="406" operator="equal">
      <formula>0</formula>
    </cfRule>
    <cfRule type="cellIs" dxfId="1027" priority="407" operator="lessThan">
      <formula>0</formula>
    </cfRule>
    <cfRule type="cellIs" dxfId="1026" priority="408" operator="greaterThan">
      <formula>0</formula>
    </cfRule>
  </conditionalFormatting>
  <conditionalFormatting sqref="J52">
    <cfRule type="cellIs" dxfId="1025" priority="403" operator="equal">
      <formula>0</formula>
    </cfRule>
    <cfRule type="cellIs" dxfId="1024" priority="404" operator="lessThan">
      <formula>0</formula>
    </cfRule>
    <cfRule type="cellIs" dxfId="1023" priority="405" operator="greaterThan">
      <formula>0</formula>
    </cfRule>
  </conditionalFormatting>
  <conditionalFormatting sqref="N52">
    <cfRule type="cellIs" dxfId="1022" priority="400" operator="equal">
      <formula>0</formula>
    </cfRule>
    <cfRule type="cellIs" dxfId="1021" priority="401" operator="lessThan">
      <formula>0</formula>
    </cfRule>
    <cfRule type="cellIs" dxfId="1020" priority="402" operator="greaterThan">
      <formula>0</formula>
    </cfRule>
  </conditionalFormatting>
  <conditionalFormatting sqref="O52">
    <cfRule type="cellIs" dxfId="1019" priority="397" operator="equal">
      <formula>0</formula>
    </cfRule>
    <cfRule type="cellIs" dxfId="1018" priority="398" operator="lessThan">
      <formula>0</formula>
    </cfRule>
    <cfRule type="cellIs" dxfId="1017" priority="399" operator="greaterThan">
      <formula>0</formula>
    </cfRule>
  </conditionalFormatting>
  <conditionalFormatting sqref="F53">
    <cfRule type="cellIs" dxfId="1016" priority="394" operator="equal">
      <formula>0</formula>
    </cfRule>
    <cfRule type="cellIs" dxfId="1015" priority="395" operator="lessThan">
      <formula>0</formula>
    </cfRule>
    <cfRule type="cellIs" dxfId="1014" priority="396" operator="greaterThan">
      <formula>0</formula>
    </cfRule>
  </conditionalFormatting>
  <conditionalFormatting sqref="J53">
    <cfRule type="cellIs" dxfId="1013" priority="391" operator="equal">
      <formula>0</formula>
    </cfRule>
    <cfRule type="cellIs" dxfId="1012" priority="392" operator="lessThan">
      <formula>0</formula>
    </cfRule>
    <cfRule type="cellIs" dxfId="1011" priority="393" operator="greaterThan">
      <formula>0</formula>
    </cfRule>
  </conditionalFormatting>
  <conditionalFormatting sqref="N53">
    <cfRule type="cellIs" dxfId="1010" priority="388" operator="equal">
      <formula>0</formula>
    </cfRule>
    <cfRule type="cellIs" dxfId="1009" priority="389" operator="lessThan">
      <formula>0</formula>
    </cfRule>
    <cfRule type="cellIs" dxfId="1008" priority="390" operator="greaterThan">
      <formula>0</formula>
    </cfRule>
  </conditionalFormatting>
  <conditionalFormatting sqref="O53">
    <cfRule type="cellIs" dxfId="1007" priority="385" operator="equal">
      <formula>0</formula>
    </cfRule>
    <cfRule type="cellIs" dxfId="1006" priority="386" operator="lessThan">
      <formula>0</formula>
    </cfRule>
    <cfRule type="cellIs" dxfId="1005" priority="387" operator="greaterThan">
      <formula>0</formula>
    </cfRule>
  </conditionalFormatting>
  <conditionalFormatting sqref="F56:F62">
    <cfRule type="cellIs" dxfId="1004" priority="382" operator="equal">
      <formula>0</formula>
    </cfRule>
    <cfRule type="cellIs" dxfId="1003" priority="383" operator="lessThan">
      <formula>0</formula>
    </cfRule>
    <cfRule type="cellIs" dxfId="1002" priority="384" operator="greaterThan">
      <formula>0</formula>
    </cfRule>
  </conditionalFormatting>
  <conditionalFormatting sqref="J56:J62">
    <cfRule type="cellIs" dxfId="1001" priority="379" operator="equal">
      <formula>0</formula>
    </cfRule>
    <cfRule type="cellIs" dxfId="1000" priority="380" operator="lessThan">
      <formula>0</formula>
    </cfRule>
    <cfRule type="cellIs" dxfId="999" priority="381" operator="greaterThan">
      <formula>0</formula>
    </cfRule>
  </conditionalFormatting>
  <conditionalFormatting sqref="N56:N62">
    <cfRule type="cellIs" dxfId="998" priority="376" operator="equal">
      <formula>0</formula>
    </cfRule>
    <cfRule type="cellIs" dxfId="997" priority="377" operator="lessThan">
      <formula>0</formula>
    </cfRule>
    <cfRule type="cellIs" dxfId="996" priority="378" operator="greaterThan">
      <formula>0</formula>
    </cfRule>
  </conditionalFormatting>
  <conditionalFormatting sqref="O56:O62">
    <cfRule type="cellIs" dxfId="995" priority="373" operator="equal">
      <formula>0</formula>
    </cfRule>
    <cfRule type="cellIs" dxfId="994" priority="374" operator="lessThan">
      <formula>0</formula>
    </cfRule>
    <cfRule type="cellIs" dxfId="993" priority="375" operator="greaterThan">
      <formula>0</formula>
    </cfRule>
  </conditionalFormatting>
  <conditionalFormatting sqref="F68:F71">
    <cfRule type="cellIs" dxfId="992" priority="370" operator="equal">
      <formula>0</formula>
    </cfRule>
    <cfRule type="cellIs" dxfId="991" priority="371" operator="lessThan">
      <formula>0</formula>
    </cfRule>
    <cfRule type="cellIs" dxfId="990" priority="372" operator="greaterThan">
      <formula>0</formula>
    </cfRule>
  </conditionalFormatting>
  <conditionalFormatting sqref="J69">
    <cfRule type="cellIs" dxfId="989" priority="367" operator="equal">
      <formula>0</formula>
    </cfRule>
    <cfRule type="cellIs" dxfId="988" priority="368" operator="lessThan">
      <formula>0</formula>
    </cfRule>
    <cfRule type="cellIs" dxfId="987" priority="369" operator="greaterThan">
      <formula>0</formula>
    </cfRule>
  </conditionalFormatting>
  <conditionalFormatting sqref="N69">
    <cfRule type="cellIs" dxfId="986" priority="364" operator="equal">
      <formula>0</formula>
    </cfRule>
    <cfRule type="cellIs" dxfId="985" priority="365" operator="lessThan">
      <formula>0</formula>
    </cfRule>
    <cfRule type="cellIs" dxfId="984" priority="366" operator="greaterThan">
      <formula>0</formula>
    </cfRule>
  </conditionalFormatting>
  <conditionalFormatting sqref="O69">
    <cfRule type="cellIs" dxfId="983" priority="361" operator="equal">
      <formula>0</formula>
    </cfRule>
    <cfRule type="cellIs" dxfId="982" priority="362" operator="lessThan">
      <formula>0</formula>
    </cfRule>
    <cfRule type="cellIs" dxfId="981" priority="363" operator="greaterThan">
      <formula>0</formula>
    </cfRule>
  </conditionalFormatting>
  <conditionalFormatting sqref="J70">
    <cfRule type="cellIs" dxfId="980" priority="358" operator="equal">
      <formula>0</formula>
    </cfRule>
    <cfRule type="cellIs" dxfId="979" priority="359" operator="lessThan">
      <formula>0</formula>
    </cfRule>
    <cfRule type="cellIs" dxfId="978" priority="360" operator="greaterThan">
      <formula>0</formula>
    </cfRule>
  </conditionalFormatting>
  <conditionalFormatting sqref="N70">
    <cfRule type="cellIs" dxfId="977" priority="355" operator="equal">
      <formula>0</formula>
    </cfRule>
    <cfRule type="cellIs" dxfId="976" priority="356" operator="lessThan">
      <formula>0</formula>
    </cfRule>
    <cfRule type="cellIs" dxfId="975" priority="357" operator="greaterThan">
      <formula>0</formula>
    </cfRule>
  </conditionalFormatting>
  <conditionalFormatting sqref="O70">
    <cfRule type="cellIs" dxfId="974" priority="352" operator="equal">
      <formula>0</formula>
    </cfRule>
    <cfRule type="cellIs" dxfId="973" priority="353" operator="lessThan">
      <formula>0</formula>
    </cfRule>
    <cfRule type="cellIs" dxfId="972" priority="354" operator="greaterThan">
      <formula>0</formula>
    </cfRule>
  </conditionalFormatting>
  <conditionalFormatting sqref="J71">
    <cfRule type="cellIs" dxfId="971" priority="349" operator="equal">
      <formula>0</formula>
    </cfRule>
    <cfRule type="cellIs" dxfId="970" priority="350" operator="lessThan">
      <formula>0</formula>
    </cfRule>
    <cfRule type="cellIs" dxfId="969" priority="351" operator="greaterThan">
      <formula>0</formula>
    </cfRule>
  </conditionalFormatting>
  <conditionalFormatting sqref="N71">
    <cfRule type="cellIs" dxfId="968" priority="346" operator="equal">
      <formula>0</formula>
    </cfRule>
    <cfRule type="cellIs" dxfId="967" priority="347" operator="lessThan">
      <formula>0</formula>
    </cfRule>
    <cfRule type="cellIs" dxfId="966" priority="348" operator="greaterThan">
      <formula>0</formula>
    </cfRule>
  </conditionalFormatting>
  <conditionalFormatting sqref="O71">
    <cfRule type="cellIs" dxfId="965" priority="343" operator="equal">
      <formula>0</formula>
    </cfRule>
    <cfRule type="cellIs" dxfId="964" priority="344" operator="lessThan">
      <formula>0</formula>
    </cfRule>
    <cfRule type="cellIs" dxfId="963" priority="345" operator="greaterThan">
      <formula>0</formula>
    </cfRule>
  </conditionalFormatting>
  <conditionalFormatting sqref="O97">
    <cfRule type="cellIs" dxfId="962" priority="334" operator="equal">
      <formula>0</formula>
    </cfRule>
    <cfRule type="cellIs" dxfId="961" priority="335" operator="lessThan">
      <formula>0</formula>
    </cfRule>
    <cfRule type="cellIs" dxfId="960" priority="336" operator="greaterThan">
      <formula>0</formula>
    </cfRule>
  </conditionalFormatting>
  <conditionalFormatting sqref="J97">
    <cfRule type="cellIs" dxfId="959" priority="340" operator="equal">
      <formula>0</formula>
    </cfRule>
    <cfRule type="cellIs" dxfId="958" priority="341" operator="lessThan">
      <formula>0</formula>
    </cfRule>
    <cfRule type="cellIs" dxfId="957" priority="342" operator="greaterThan">
      <formula>0</formula>
    </cfRule>
  </conditionalFormatting>
  <conditionalFormatting sqref="N97">
    <cfRule type="cellIs" dxfId="956" priority="337" operator="equal">
      <formula>0</formula>
    </cfRule>
    <cfRule type="cellIs" dxfId="955" priority="338" operator="lessThan">
      <formula>0</formula>
    </cfRule>
    <cfRule type="cellIs" dxfId="954" priority="339" operator="greaterThan">
      <formula>0</formula>
    </cfRule>
  </conditionalFormatting>
  <conditionalFormatting sqref="F107">
    <cfRule type="cellIs" dxfId="953" priority="331" operator="equal">
      <formula>0</formula>
    </cfRule>
    <cfRule type="cellIs" dxfId="952" priority="332" operator="lessThan">
      <formula>0</formula>
    </cfRule>
    <cfRule type="cellIs" dxfId="951" priority="333" operator="greaterThan">
      <formula>0</formula>
    </cfRule>
  </conditionalFormatting>
  <conditionalFormatting sqref="O107">
    <cfRule type="cellIs" dxfId="950" priority="322" operator="equal">
      <formula>0</formula>
    </cfRule>
    <cfRule type="cellIs" dxfId="949" priority="323" operator="lessThan">
      <formula>0</formula>
    </cfRule>
    <cfRule type="cellIs" dxfId="948" priority="324" operator="greaterThan">
      <formula>0</formula>
    </cfRule>
  </conditionalFormatting>
  <conditionalFormatting sqref="J107">
    <cfRule type="cellIs" dxfId="947" priority="328" operator="equal">
      <formula>0</formula>
    </cfRule>
    <cfRule type="cellIs" dxfId="946" priority="329" operator="lessThan">
      <formula>0</formula>
    </cfRule>
    <cfRule type="cellIs" dxfId="945" priority="330" operator="greaterThan">
      <formula>0</formula>
    </cfRule>
  </conditionalFormatting>
  <conditionalFormatting sqref="N107">
    <cfRule type="cellIs" dxfId="944" priority="325" operator="equal">
      <formula>0</formula>
    </cfRule>
    <cfRule type="cellIs" dxfId="943" priority="326" operator="lessThan">
      <formula>0</formula>
    </cfRule>
    <cfRule type="cellIs" dxfId="942" priority="327" operator="greaterThan">
      <formula>0</formula>
    </cfRule>
  </conditionalFormatting>
  <conditionalFormatting sqref="F112">
    <cfRule type="cellIs" dxfId="941" priority="319" operator="equal">
      <formula>0</formula>
    </cfRule>
    <cfRule type="cellIs" dxfId="940" priority="320" operator="lessThan">
      <formula>0</formula>
    </cfRule>
    <cfRule type="cellIs" dxfId="939" priority="321" operator="greaterThan">
      <formula>0</formula>
    </cfRule>
  </conditionalFormatting>
  <conditionalFormatting sqref="O112">
    <cfRule type="cellIs" dxfId="938" priority="310" operator="equal">
      <formula>0</formula>
    </cfRule>
    <cfRule type="cellIs" dxfId="937" priority="311" operator="lessThan">
      <formula>0</formula>
    </cfRule>
    <cfRule type="cellIs" dxfId="936" priority="312" operator="greaterThan">
      <formula>0</formula>
    </cfRule>
  </conditionalFormatting>
  <conditionalFormatting sqref="J112">
    <cfRule type="cellIs" dxfId="935" priority="316" operator="equal">
      <formula>0</formula>
    </cfRule>
    <cfRule type="cellIs" dxfId="934" priority="317" operator="lessThan">
      <formula>0</formula>
    </cfRule>
    <cfRule type="cellIs" dxfId="933" priority="318" operator="greaterThan">
      <formula>0</formula>
    </cfRule>
  </conditionalFormatting>
  <conditionalFormatting sqref="N112">
    <cfRule type="cellIs" dxfId="932" priority="313" operator="equal">
      <formula>0</formula>
    </cfRule>
    <cfRule type="cellIs" dxfId="931" priority="314" operator="lessThan">
      <formula>0</formula>
    </cfRule>
    <cfRule type="cellIs" dxfId="930" priority="315" operator="greaterThan">
      <formula>0</formula>
    </cfRule>
  </conditionalFormatting>
  <conditionalFormatting sqref="F115">
    <cfRule type="cellIs" dxfId="929" priority="307" operator="equal">
      <formula>0</formula>
    </cfRule>
    <cfRule type="cellIs" dxfId="928" priority="308" operator="lessThan">
      <formula>0</formula>
    </cfRule>
    <cfRule type="cellIs" dxfId="927" priority="309" operator="greaterThan">
      <formula>0</formula>
    </cfRule>
  </conditionalFormatting>
  <conditionalFormatting sqref="O115">
    <cfRule type="cellIs" dxfId="926" priority="298" operator="equal">
      <formula>0</formula>
    </cfRule>
    <cfRule type="cellIs" dxfId="925" priority="299" operator="lessThan">
      <formula>0</formula>
    </cfRule>
    <cfRule type="cellIs" dxfId="924" priority="300" operator="greaterThan">
      <formula>0</formula>
    </cfRule>
  </conditionalFormatting>
  <conditionalFormatting sqref="J115">
    <cfRule type="cellIs" dxfId="923" priority="304" operator="equal">
      <formula>0</formula>
    </cfRule>
    <cfRule type="cellIs" dxfId="922" priority="305" operator="lessThan">
      <formula>0</formula>
    </cfRule>
    <cfRule type="cellIs" dxfId="921" priority="306" operator="greaterThan">
      <formula>0</formula>
    </cfRule>
  </conditionalFormatting>
  <conditionalFormatting sqref="N115">
    <cfRule type="cellIs" dxfId="920" priority="301" operator="equal">
      <formula>0</formula>
    </cfRule>
    <cfRule type="cellIs" dxfId="919" priority="302" operator="lessThan">
      <formula>0</formula>
    </cfRule>
    <cfRule type="cellIs" dxfId="918" priority="303" operator="greaterThan">
      <formula>0</formula>
    </cfRule>
  </conditionalFormatting>
  <conditionalFormatting sqref="F103:F106">
    <cfRule type="cellIs" dxfId="917" priority="295" operator="equal">
      <formula>0</formula>
    </cfRule>
    <cfRule type="cellIs" dxfId="916" priority="296" operator="lessThan">
      <formula>0</formula>
    </cfRule>
    <cfRule type="cellIs" dxfId="915" priority="297" operator="greaterThan">
      <formula>0</formula>
    </cfRule>
  </conditionalFormatting>
  <conditionalFormatting sqref="O103:O106">
    <cfRule type="cellIs" dxfId="914" priority="286" operator="equal">
      <formula>0</formula>
    </cfRule>
    <cfRule type="cellIs" dxfId="913" priority="287" operator="lessThan">
      <formula>0</formula>
    </cfRule>
    <cfRule type="cellIs" dxfId="912" priority="288" operator="greaterThan">
      <formula>0</formula>
    </cfRule>
  </conditionalFormatting>
  <conditionalFormatting sqref="J103:J106">
    <cfRule type="cellIs" dxfId="911" priority="292" operator="equal">
      <formula>0</formula>
    </cfRule>
    <cfRule type="cellIs" dxfId="910" priority="293" operator="lessThan">
      <formula>0</formula>
    </cfRule>
    <cfRule type="cellIs" dxfId="909" priority="294" operator="greaterThan">
      <formula>0</formula>
    </cfRule>
  </conditionalFormatting>
  <conditionalFormatting sqref="N103:N106">
    <cfRule type="cellIs" dxfId="908" priority="289" operator="equal">
      <formula>0</formula>
    </cfRule>
    <cfRule type="cellIs" dxfId="907" priority="290" operator="lessThan">
      <formula>0</formula>
    </cfRule>
    <cfRule type="cellIs" dxfId="906" priority="291" operator="greaterThan">
      <formula>0</formula>
    </cfRule>
  </conditionalFormatting>
  <conditionalFormatting sqref="F109">
    <cfRule type="cellIs" dxfId="905" priority="283" operator="equal">
      <formula>0</formula>
    </cfRule>
    <cfRule type="cellIs" dxfId="904" priority="284" operator="lessThan">
      <formula>0</formula>
    </cfRule>
    <cfRule type="cellIs" dxfId="903" priority="285" operator="greaterThan">
      <formula>0</formula>
    </cfRule>
  </conditionalFormatting>
  <conditionalFormatting sqref="O109">
    <cfRule type="cellIs" dxfId="902" priority="274" operator="equal">
      <formula>0</formula>
    </cfRule>
    <cfRule type="cellIs" dxfId="901" priority="275" operator="lessThan">
      <formula>0</formula>
    </cfRule>
    <cfRule type="cellIs" dxfId="900" priority="276" operator="greaterThan">
      <formula>0</formula>
    </cfRule>
  </conditionalFormatting>
  <conditionalFormatting sqref="J109">
    <cfRule type="cellIs" dxfId="899" priority="280" operator="equal">
      <formula>0</formula>
    </cfRule>
    <cfRule type="cellIs" dxfId="898" priority="281" operator="lessThan">
      <formula>0</formula>
    </cfRule>
    <cfRule type="cellIs" dxfId="897" priority="282" operator="greaterThan">
      <formula>0</formula>
    </cfRule>
  </conditionalFormatting>
  <conditionalFormatting sqref="N109">
    <cfRule type="cellIs" dxfId="896" priority="277" operator="equal">
      <formula>0</formula>
    </cfRule>
    <cfRule type="cellIs" dxfId="895" priority="278" operator="lessThan">
      <formula>0</formula>
    </cfRule>
    <cfRule type="cellIs" dxfId="894" priority="279" operator="greaterThan">
      <formula>0</formula>
    </cfRule>
  </conditionalFormatting>
  <conditionalFormatting sqref="F111">
    <cfRule type="cellIs" dxfId="893" priority="271" operator="equal">
      <formula>0</formula>
    </cfRule>
    <cfRule type="cellIs" dxfId="892" priority="272" operator="lessThan">
      <formula>0</formula>
    </cfRule>
    <cfRule type="cellIs" dxfId="891" priority="273" operator="greaterThan">
      <formula>0</formula>
    </cfRule>
  </conditionalFormatting>
  <conditionalFormatting sqref="O111">
    <cfRule type="cellIs" dxfId="890" priority="262" operator="equal">
      <formula>0</formula>
    </cfRule>
    <cfRule type="cellIs" dxfId="889" priority="263" operator="lessThan">
      <formula>0</formula>
    </cfRule>
    <cfRule type="cellIs" dxfId="888" priority="264" operator="greaterThan">
      <formula>0</formula>
    </cfRule>
  </conditionalFormatting>
  <conditionalFormatting sqref="J111">
    <cfRule type="cellIs" dxfId="887" priority="268" operator="equal">
      <formula>0</formula>
    </cfRule>
    <cfRule type="cellIs" dxfId="886" priority="269" operator="lessThan">
      <formula>0</formula>
    </cfRule>
    <cfRule type="cellIs" dxfId="885" priority="270" operator="greaterThan">
      <formula>0</formula>
    </cfRule>
  </conditionalFormatting>
  <conditionalFormatting sqref="N111">
    <cfRule type="cellIs" dxfId="884" priority="265" operator="equal">
      <formula>0</formula>
    </cfRule>
    <cfRule type="cellIs" dxfId="883" priority="266" operator="lessThan">
      <formula>0</formula>
    </cfRule>
    <cfRule type="cellIs" dxfId="882" priority="267" operator="greaterThan">
      <formula>0</formula>
    </cfRule>
  </conditionalFormatting>
  <conditionalFormatting sqref="F113">
    <cfRule type="cellIs" dxfId="881" priority="259" operator="equal">
      <formula>0</formula>
    </cfRule>
    <cfRule type="cellIs" dxfId="880" priority="260" operator="lessThan">
      <formula>0</formula>
    </cfRule>
    <cfRule type="cellIs" dxfId="879" priority="261" operator="greaterThan">
      <formula>0</formula>
    </cfRule>
  </conditionalFormatting>
  <conditionalFormatting sqref="O113">
    <cfRule type="cellIs" dxfId="878" priority="250" operator="equal">
      <formula>0</formula>
    </cfRule>
    <cfRule type="cellIs" dxfId="877" priority="251" operator="lessThan">
      <formula>0</formula>
    </cfRule>
    <cfRule type="cellIs" dxfId="876" priority="252" operator="greaterThan">
      <formula>0</formula>
    </cfRule>
  </conditionalFormatting>
  <conditionalFormatting sqref="J113">
    <cfRule type="cellIs" dxfId="875" priority="256" operator="equal">
      <formula>0</formula>
    </cfRule>
    <cfRule type="cellIs" dxfId="874" priority="257" operator="lessThan">
      <formula>0</formula>
    </cfRule>
    <cfRule type="cellIs" dxfId="873" priority="258" operator="greaterThan">
      <formula>0</formula>
    </cfRule>
  </conditionalFormatting>
  <conditionalFormatting sqref="N113">
    <cfRule type="cellIs" dxfId="872" priority="253" operator="equal">
      <formula>0</formula>
    </cfRule>
    <cfRule type="cellIs" dxfId="871" priority="254" operator="lessThan">
      <formula>0</formula>
    </cfRule>
    <cfRule type="cellIs" dxfId="870" priority="255" operator="greaterThan">
      <formula>0</formula>
    </cfRule>
  </conditionalFormatting>
  <conditionalFormatting sqref="F117">
    <cfRule type="cellIs" dxfId="869" priority="247" operator="equal">
      <formula>0</formula>
    </cfRule>
    <cfRule type="cellIs" dxfId="868" priority="248" operator="lessThan">
      <formula>0</formula>
    </cfRule>
    <cfRule type="cellIs" dxfId="867" priority="249" operator="greaterThan">
      <formula>0</formula>
    </cfRule>
  </conditionalFormatting>
  <conditionalFormatting sqref="F118">
    <cfRule type="cellIs" dxfId="866" priority="244" operator="equal">
      <formula>0</formula>
    </cfRule>
    <cfRule type="cellIs" dxfId="865" priority="245" operator="lessThan">
      <formula>0</formula>
    </cfRule>
    <cfRule type="cellIs" dxfId="864" priority="246" operator="greaterThan">
      <formula>0</formula>
    </cfRule>
  </conditionalFormatting>
  <conditionalFormatting sqref="O117">
    <cfRule type="cellIs" dxfId="863" priority="235" operator="equal">
      <formula>0</formula>
    </cfRule>
    <cfRule type="cellIs" dxfId="862" priority="236" operator="lessThan">
      <formula>0</formula>
    </cfRule>
    <cfRule type="cellIs" dxfId="861" priority="237" operator="greaterThan">
      <formula>0</formula>
    </cfRule>
  </conditionalFormatting>
  <conditionalFormatting sqref="J117">
    <cfRule type="cellIs" dxfId="860" priority="241" operator="equal">
      <formula>0</formula>
    </cfRule>
    <cfRule type="cellIs" dxfId="859" priority="242" operator="lessThan">
      <formula>0</formula>
    </cfRule>
    <cfRule type="cellIs" dxfId="858" priority="243" operator="greaterThan">
      <formula>0</formula>
    </cfRule>
  </conditionalFormatting>
  <conditionalFormatting sqref="N117">
    <cfRule type="cellIs" dxfId="857" priority="238" operator="equal">
      <formula>0</formula>
    </cfRule>
    <cfRule type="cellIs" dxfId="856" priority="239" operator="lessThan">
      <formula>0</formula>
    </cfRule>
    <cfRule type="cellIs" dxfId="855" priority="240" operator="greaterThan">
      <formula>0</formula>
    </cfRule>
  </conditionalFormatting>
  <conditionalFormatting sqref="O118">
    <cfRule type="cellIs" dxfId="854" priority="226" operator="equal">
      <formula>0</formula>
    </cfRule>
    <cfRule type="cellIs" dxfId="853" priority="227" operator="lessThan">
      <formula>0</formula>
    </cfRule>
    <cfRule type="cellIs" dxfId="852" priority="228" operator="greaterThan">
      <formula>0</formula>
    </cfRule>
  </conditionalFormatting>
  <conditionalFormatting sqref="J118">
    <cfRule type="cellIs" dxfId="851" priority="232" operator="equal">
      <formula>0</formula>
    </cfRule>
    <cfRule type="cellIs" dxfId="850" priority="233" operator="lessThan">
      <formula>0</formula>
    </cfRule>
    <cfRule type="cellIs" dxfId="849" priority="234" operator="greaterThan">
      <formula>0</formula>
    </cfRule>
  </conditionalFormatting>
  <conditionalFormatting sqref="N118">
    <cfRule type="cellIs" dxfId="848" priority="229" operator="equal">
      <formula>0</formula>
    </cfRule>
    <cfRule type="cellIs" dxfId="847" priority="230" operator="lessThan">
      <formula>0</formula>
    </cfRule>
    <cfRule type="cellIs" dxfId="846" priority="231" operator="greaterThan">
      <formula>0</formula>
    </cfRule>
  </conditionalFormatting>
  <conditionalFormatting sqref="F120">
    <cfRule type="cellIs" dxfId="845" priority="223" operator="equal">
      <formula>0</formula>
    </cfRule>
    <cfRule type="cellIs" dxfId="844" priority="224" operator="lessThan">
      <formula>0</formula>
    </cfRule>
    <cfRule type="cellIs" dxfId="843" priority="225" operator="greaterThan">
      <formula>0</formula>
    </cfRule>
  </conditionalFormatting>
  <conditionalFormatting sqref="F121">
    <cfRule type="cellIs" dxfId="842" priority="220" operator="equal">
      <formula>0</formula>
    </cfRule>
    <cfRule type="cellIs" dxfId="841" priority="221" operator="lessThan">
      <formula>0</formula>
    </cfRule>
    <cfRule type="cellIs" dxfId="840" priority="222" operator="greaterThan">
      <formula>0</formula>
    </cfRule>
  </conditionalFormatting>
  <conditionalFormatting sqref="O120">
    <cfRule type="cellIs" dxfId="839" priority="211" operator="equal">
      <formula>0</formula>
    </cfRule>
    <cfRule type="cellIs" dxfId="838" priority="212" operator="lessThan">
      <formula>0</formula>
    </cfRule>
    <cfRule type="cellIs" dxfId="837" priority="213" operator="greaterThan">
      <formula>0</formula>
    </cfRule>
  </conditionalFormatting>
  <conditionalFormatting sqref="J120">
    <cfRule type="cellIs" dxfId="836" priority="217" operator="equal">
      <formula>0</formula>
    </cfRule>
    <cfRule type="cellIs" dxfId="835" priority="218" operator="lessThan">
      <formula>0</formula>
    </cfRule>
    <cfRule type="cellIs" dxfId="834" priority="219" operator="greaterThan">
      <formula>0</formula>
    </cfRule>
  </conditionalFormatting>
  <conditionalFormatting sqref="N120">
    <cfRule type="cellIs" dxfId="833" priority="214" operator="equal">
      <formula>0</formula>
    </cfRule>
    <cfRule type="cellIs" dxfId="832" priority="215" operator="lessThan">
      <formula>0</formula>
    </cfRule>
    <cfRule type="cellIs" dxfId="831" priority="216" operator="greaterThan">
      <formula>0</formula>
    </cfRule>
  </conditionalFormatting>
  <conditionalFormatting sqref="O121">
    <cfRule type="cellIs" dxfId="830" priority="202" operator="equal">
      <formula>0</formula>
    </cfRule>
    <cfRule type="cellIs" dxfId="829" priority="203" operator="lessThan">
      <formula>0</formula>
    </cfRule>
    <cfRule type="cellIs" dxfId="828" priority="204" operator="greaterThan">
      <formula>0</formula>
    </cfRule>
  </conditionalFormatting>
  <conditionalFormatting sqref="J121">
    <cfRule type="cellIs" dxfId="827" priority="208" operator="equal">
      <formula>0</formula>
    </cfRule>
    <cfRule type="cellIs" dxfId="826" priority="209" operator="lessThan">
      <formula>0</formula>
    </cfRule>
    <cfRule type="cellIs" dxfId="825" priority="210" operator="greaterThan">
      <formula>0</formula>
    </cfRule>
  </conditionalFormatting>
  <conditionalFormatting sqref="N121">
    <cfRule type="cellIs" dxfId="824" priority="205" operator="equal">
      <formula>0</formula>
    </cfRule>
    <cfRule type="cellIs" dxfId="823" priority="206" operator="lessThan">
      <formula>0</formula>
    </cfRule>
    <cfRule type="cellIs" dxfId="822" priority="207" operator="greaterThan">
      <formula>0</formula>
    </cfRule>
  </conditionalFormatting>
  <conditionalFormatting sqref="F124">
    <cfRule type="cellIs" dxfId="821" priority="199" operator="equal">
      <formula>0</formula>
    </cfRule>
    <cfRule type="cellIs" dxfId="820" priority="200" operator="lessThan">
      <formula>0</formula>
    </cfRule>
    <cfRule type="cellIs" dxfId="819" priority="201" operator="greaterThan">
      <formula>0</formula>
    </cfRule>
  </conditionalFormatting>
  <conditionalFormatting sqref="F125:F128">
    <cfRule type="cellIs" dxfId="818" priority="196" operator="equal">
      <formula>0</formula>
    </cfRule>
    <cfRule type="cellIs" dxfId="817" priority="197" operator="lessThan">
      <formula>0</formula>
    </cfRule>
    <cfRule type="cellIs" dxfId="816" priority="198" operator="greaterThan">
      <formula>0</formula>
    </cfRule>
  </conditionalFormatting>
  <conditionalFormatting sqref="F130">
    <cfRule type="cellIs" dxfId="815" priority="193" operator="equal">
      <formula>0</formula>
    </cfRule>
    <cfRule type="cellIs" dxfId="814" priority="194" operator="lessThan">
      <formula>0</formula>
    </cfRule>
    <cfRule type="cellIs" dxfId="813" priority="195" operator="greaterThan">
      <formula>0</formula>
    </cfRule>
  </conditionalFormatting>
  <conditionalFormatting sqref="F132">
    <cfRule type="cellIs" dxfId="812" priority="190" operator="equal">
      <formula>0</formula>
    </cfRule>
    <cfRule type="cellIs" dxfId="811" priority="191" operator="lessThan">
      <formula>0</formula>
    </cfRule>
    <cfRule type="cellIs" dxfId="810" priority="192" operator="greaterThan">
      <formula>0</formula>
    </cfRule>
  </conditionalFormatting>
  <conditionalFormatting sqref="F133">
    <cfRule type="cellIs" dxfId="809" priority="187" operator="equal">
      <formula>0</formula>
    </cfRule>
    <cfRule type="cellIs" dxfId="808" priority="188" operator="lessThan">
      <formula>0</formula>
    </cfRule>
    <cfRule type="cellIs" dxfId="807" priority="189" operator="greaterThan">
      <formula>0</formula>
    </cfRule>
  </conditionalFormatting>
  <conditionalFormatting sqref="F134">
    <cfRule type="cellIs" dxfId="806" priority="184" operator="equal">
      <formula>0</formula>
    </cfRule>
    <cfRule type="cellIs" dxfId="805" priority="185" operator="lessThan">
      <formula>0</formula>
    </cfRule>
    <cfRule type="cellIs" dxfId="804" priority="186" operator="greaterThan">
      <formula>0</formula>
    </cfRule>
  </conditionalFormatting>
  <conditionalFormatting sqref="F136">
    <cfRule type="cellIs" dxfId="803" priority="181" operator="equal">
      <formula>0</formula>
    </cfRule>
    <cfRule type="cellIs" dxfId="802" priority="182" operator="lessThan">
      <formula>0</formula>
    </cfRule>
    <cfRule type="cellIs" dxfId="801" priority="183" operator="greaterThan">
      <formula>0</formula>
    </cfRule>
  </conditionalFormatting>
  <conditionalFormatting sqref="F138">
    <cfRule type="cellIs" dxfId="800" priority="178" operator="equal">
      <formula>0</formula>
    </cfRule>
    <cfRule type="cellIs" dxfId="799" priority="179" operator="lessThan">
      <formula>0</formula>
    </cfRule>
    <cfRule type="cellIs" dxfId="798" priority="180" operator="greaterThan">
      <formula>0</formula>
    </cfRule>
  </conditionalFormatting>
  <conditionalFormatting sqref="F139">
    <cfRule type="cellIs" dxfId="797" priority="175" operator="equal">
      <formula>0</formula>
    </cfRule>
    <cfRule type="cellIs" dxfId="796" priority="176" operator="lessThan">
      <formula>0</formula>
    </cfRule>
    <cfRule type="cellIs" dxfId="795" priority="177" operator="greaterThan">
      <formula>0</formula>
    </cfRule>
  </conditionalFormatting>
  <conditionalFormatting sqref="F141">
    <cfRule type="cellIs" dxfId="794" priority="172" operator="equal">
      <formula>0</formula>
    </cfRule>
    <cfRule type="cellIs" dxfId="793" priority="173" operator="lessThan">
      <formula>0</formula>
    </cfRule>
    <cfRule type="cellIs" dxfId="792" priority="174" operator="greaterThan">
      <formula>0</formula>
    </cfRule>
  </conditionalFormatting>
  <conditionalFormatting sqref="F142">
    <cfRule type="cellIs" dxfId="791" priority="169" operator="equal">
      <formula>0</formula>
    </cfRule>
    <cfRule type="cellIs" dxfId="790" priority="170" operator="lessThan">
      <formula>0</formula>
    </cfRule>
    <cfRule type="cellIs" dxfId="789" priority="171" operator="greaterThan">
      <formula>0</formula>
    </cfRule>
  </conditionalFormatting>
  <conditionalFormatting sqref="F143">
    <cfRule type="cellIs" dxfId="788" priority="166" operator="equal">
      <formula>0</formula>
    </cfRule>
    <cfRule type="cellIs" dxfId="787" priority="167" operator="lessThan">
      <formula>0</formula>
    </cfRule>
    <cfRule type="cellIs" dxfId="786" priority="168" operator="greaterThan">
      <formula>0</formula>
    </cfRule>
  </conditionalFormatting>
  <conditionalFormatting sqref="F146">
    <cfRule type="cellIs" dxfId="785" priority="163" operator="equal">
      <formula>0</formula>
    </cfRule>
    <cfRule type="cellIs" dxfId="784" priority="164" operator="lessThan">
      <formula>0</formula>
    </cfRule>
    <cfRule type="cellIs" dxfId="783" priority="165" operator="greaterThan">
      <formula>0</formula>
    </cfRule>
  </conditionalFormatting>
  <conditionalFormatting sqref="F147">
    <cfRule type="cellIs" dxfId="782" priority="160" operator="equal">
      <formula>0</formula>
    </cfRule>
    <cfRule type="cellIs" dxfId="781" priority="161" operator="lessThan">
      <formula>0</formula>
    </cfRule>
    <cfRule type="cellIs" dxfId="780" priority="162" operator="greaterThan">
      <formula>0</formula>
    </cfRule>
  </conditionalFormatting>
  <conditionalFormatting sqref="F148">
    <cfRule type="cellIs" dxfId="779" priority="157" operator="equal">
      <formula>0</formula>
    </cfRule>
    <cfRule type="cellIs" dxfId="778" priority="158" operator="lessThan">
      <formula>0</formula>
    </cfRule>
    <cfRule type="cellIs" dxfId="777" priority="159" operator="greaterThan">
      <formula>0</formula>
    </cfRule>
  </conditionalFormatting>
  <conditionalFormatting sqref="F150">
    <cfRule type="cellIs" dxfId="776" priority="154" operator="equal">
      <formula>0</formula>
    </cfRule>
    <cfRule type="cellIs" dxfId="775" priority="155" operator="lessThan">
      <formula>0</formula>
    </cfRule>
    <cfRule type="cellIs" dxfId="774" priority="156" operator="greaterThan">
      <formula>0</formula>
    </cfRule>
  </conditionalFormatting>
  <conditionalFormatting sqref="F151">
    <cfRule type="cellIs" dxfId="773" priority="151" operator="equal">
      <formula>0</formula>
    </cfRule>
    <cfRule type="cellIs" dxfId="772" priority="152" operator="lessThan">
      <formula>0</formula>
    </cfRule>
    <cfRule type="cellIs" dxfId="771" priority="153" operator="greaterThan">
      <formula>0</formula>
    </cfRule>
  </conditionalFormatting>
  <conditionalFormatting sqref="F153">
    <cfRule type="cellIs" dxfId="770" priority="148" operator="equal">
      <formula>0</formula>
    </cfRule>
    <cfRule type="cellIs" dxfId="769" priority="149" operator="lessThan">
      <formula>0</formula>
    </cfRule>
    <cfRule type="cellIs" dxfId="768" priority="150" operator="greaterThan">
      <formula>0</formula>
    </cfRule>
  </conditionalFormatting>
  <conditionalFormatting sqref="F155">
    <cfRule type="cellIs" dxfId="767" priority="145" operator="equal">
      <formula>0</formula>
    </cfRule>
    <cfRule type="cellIs" dxfId="766" priority="146" operator="lessThan">
      <formula>0</formula>
    </cfRule>
    <cfRule type="cellIs" dxfId="765" priority="147" operator="greaterThan">
      <formula>0</formula>
    </cfRule>
  </conditionalFormatting>
  <conditionalFormatting sqref="F156">
    <cfRule type="cellIs" dxfId="764" priority="142" operator="equal">
      <formula>0</formula>
    </cfRule>
    <cfRule type="cellIs" dxfId="763" priority="143" operator="lessThan">
      <formula>0</formula>
    </cfRule>
    <cfRule type="cellIs" dxfId="762" priority="144" operator="greaterThan">
      <formula>0</formula>
    </cfRule>
  </conditionalFormatting>
  <conditionalFormatting sqref="F159">
    <cfRule type="cellIs" dxfId="761" priority="139" operator="equal">
      <formula>0</formula>
    </cfRule>
    <cfRule type="cellIs" dxfId="760" priority="140" operator="lessThan">
      <formula>0</formula>
    </cfRule>
    <cfRule type="cellIs" dxfId="759" priority="141" operator="greaterThan">
      <formula>0</formula>
    </cfRule>
  </conditionalFormatting>
  <conditionalFormatting sqref="F161">
    <cfRule type="cellIs" dxfId="758" priority="136" operator="equal">
      <formula>0</formula>
    </cfRule>
    <cfRule type="cellIs" dxfId="757" priority="137" operator="lessThan">
      <formula>0</formula>
    </cfRule>
    <cfRule type="cellIs" dxfId="756" priority="138" operator="greaterThan">
      <formula>0</formula>
    </cfRule>
  </conditionalFormatting>
  <conditionalFormatting sqref="F164">
    <cfRule type="cellIs" dxfId="755" priority="130" operator="equal">
      <formula>0</formula>
    </cfRule>
    <cfRule type="cellIs" dxfId="754" priority="131" operator="lessThan">
      <formula>0</formula>
    </cfRule>
    <cfRule type="cellIs" dxfId="753" priority="132" operator="greaterThan">
      <formula>0</formula>
    </cfRule>
  </conditionalFormatting>
  <conditionalFormatting sqref="O124:O128">
    <cfRule type="cellIs" dxfId="752" priority="121" operator="equal">
      <formula>0</formula>
    </cfRule>
    <cfRule type="cellIs" dxfId="751" priority="122" operator="lessThan">
      <formula>0</formula>
    </cfRule>
    <cfRule type="cellIs" dxfId="750" priority="123" operator="greaterThan">
      <formula>0</formula>
    </cfRule>
  </conditionalFormatting>
  <conditionalFormatting sqref="J124:J128">
    <cfRule type="cellIs" dxfId="749" priority="127" operator="equal">
      <formula>0</formula>
    </cfRule>
    <cfRule type="cellIs" dxfId="748" priority="128" operator="lessThan">
      <formula>0</formula>
    </cfRule>
    <cfRule type="cellIs" dxfId="747" priority="129" operator="greaterThan">
      <formula>0</formula>
    </cfRule>
  </conditionalFormatting>
  <conditionalFormatting sqref="N124:N128">
    <cfRule type="cellIs" dxfId="746" priority="124" operator="equal">
      <formula>0</formula>
    </cfRule>
    <cfRule type="cellIs" dxfId="745" priority="125" operator="lessThan">
      <formula>0</formula>
    </cfRule>
    <cfRule type="cellIs" dxfId="744" priority="126" operator="greaterThan">
      <formula>0</formula>
    </cfRule>
  </conditionalFormatting>
  <conditionalFormatting sqref="O130">
    <cfRule type="cellIs" dxfId="743" priority="112" operator="equal">
      <formula>0</formula>
    </cfRule>
    <cfRule type="cellIs" dxfId="742" priority="113" operator="lessThan">
      <formula>0</formula>
    </cfRule>
    <cfRule type="cellIs" dxfId="741" priority="114" operator="greaterThan">
      <formula>0</formula>
    </cfRule>
  </conditionalFormatting>
  <conditionalFormatting sqref="J130">
    <cfRule type="cellIs" dxfId="740" priority="118" operator="equal">
      <formula>0</formula>
    </cfRule>
    <cfRule type="cellIs" dxfId="739" priority="119" operator="lessThan">
      <formula>0</formula>
    </cfRule>
    <cfRule type="cellIs" dxfId="738" priority="120" operator="greaterThan">
      <formula>0</formula>
    </cfRule>
  </conditionalFormatting>
  <conditionalFormatting sqref="N130">
    <cfRule type="cellIs" dxfId="737" priority="115" operator="equal">
      <formula>0</formula>
    </cfRule>
    <cfRule type="cellIs" dxfId="736" priority="116" operator="lessThan">
      <formula>0</formula>
    </cfRule>
    <cfRule type="cellIs" dxfId="735" priority="117" operator="greaterThan">
      <formula>0</formula>
    </cfRule>
  </conditionalFormatting>
  <conditionalFormatting sqref="O132:O134">
    <cfRule type="cellIs" dxfId="734" priority="103" operator="equal">
      <formula>0</formula>
    </cfRule>
    <cfRule type="cellIs" dxfId="733" priority="104" operator="lessThan">
      <formula>0</formula>
    </cfRule>
    <cfRule type="cellIs" dxfId="732" priority="105" operator="greaterThan">
      <formula>0</formula>
    </cfRule>
  </conditionalFormatting>
  <conditionalFormatting sqref="J132:J134">
    <cfRule type="cellIs" dxfId="731" priority="109" operator="equal">
      <formula>0</formula>
    </cfRule>
    <cfRule type="cellIs" dxfId="730" priority="110" operator="lessThan">
      <formula>0</formula>
    </cfRule>
    <cfRule type="cellIs" dxfId="729" priority="111" operator="greaterThan">
      <formula>0</formula>
    </cfRule>
  </conditionalFormatting>
  <conditionalFormatting sqref="N132:N134">
    <cfRule type="cellIs" dxfId="728" priority="106" operator="equal">
      <formula>0</formula>
    </cfRule>
    <cfRule type="cellIs" dxfId="727" priority="107" operator="lessThan">
      <formula>0</formula>
    </cfRule>
    <cfRule type="cellIs" dxfId="726" priority="108" operator="greaterThan">
      <formula>0</formula>
    </cfRule>
  </conditionalFormatting>
  <conditionalFormatting sqref="O136">
    <cfRule type="cellIs" dxfId="725" priority="94" operator="equal">
      <formula>0</formula>
    </cfRule>
    <cfRule type="cellIs" dxfId="724" priority="95" operator="lessThan">
      <formula>0</formula>
    </cfRule>
    <cfRule type="cellIs" dxfId="723" priority="96" operator="greaterThan">
      <formula>0</formula>
    </cfRule>
  </conditionalFormatting>
  <conditionalFormatting sqref="J136">
    <cfRule type="cellIs" dxfId="722" priority="100" operator="equal">
      <formula>0</formula>
    </cfRule>
    <cfRule type="cellIs" dxfId="721" priority="101" operator="lessThan">
      <formula>0</formula>
    </cfRule>
    <cfRule type="cellIs" dxfId="720" priority="102" operator="greaterThan">
      <formula>0</formula>
    </cfRule>
  </conditionalFormatting>
  <conditionalFormatting sqref="N136">
    <cfRule type="cellIs" dxfId="719" priority="97" operator="equal">
      <formula>0</formula>
    </cfRule>
    <cfRule type="cellIs" dxfId="718" priority="98" operator="lessThan">
      <formula>0</formula>
    </cfRule>
    <cfRule type="cellIs" dxfId="717" priority="99" operator="greaterThan">
      <formula>0</formula>
    </cfRule>
  </conditionalFormatting>
  <conditionalFormatting sqref="O138:O139">
    <cfRule type="cellIs" dxfId="716" priority="85" operator="equal">
      <formula>0</formula>
    </cfRule>
    <cfRule type="cellIs" dxfId="715" priority="86" operator="lessThan">
      <formula>0</formula>
    </cfRule>
    <cfRule type="cellIs" dxfId="714" priority="87" operator="greaterThan">
      <formula>0</formula>
    </cfRule>
  </conditionalFormatting>
  <conditionalFormatting sqref="J138:J139">
    <cfRule type="cellIs" dxfId="713" priority="91" operator="equal">
      <formula>0</formula>
    </cfRule>
    <cfRule type="cellIs" dxfId="712" priority="92" operator="lessThan">
      <formula>0</formula>
    </cfRule>
    <cfRule type="cellIs" dxfId="711" priority="93" operator="greaterThan">
      <formula>0</formula>
    </cfRule>
  </conditionalFormatting>
  <conditionalFormatting sqref="N138:N139">
    <cfRule type="cellIs" dxfId="710" priority="88" operator="equal">
      <formula>0</formula>
    </cfRule>
    <cfRule type="cellIs" dxfId="709" priority="89" operator="lessThan">
      <formula>0</formula>
    </cfRule>
    <cfRule type="cellIs" dxfId="708" priority="90" operator="greaterThan">
      <formula>0</formula>
    </cfRule>
  </conditionalFormatting>
  <conditionalFormatting sqref="O141:O143">
    <cfRule type="cellIs" dxfId="707" priority="76" operator="equal">
      <formula>0</formula>
    </cfRule>
    <cfRule type="cellIs" dxfId="706" priority="77" operator="lessThan">
      <formula>0</formula>
    </cfRule>
    <cfRule type="cellIs" dxfId="705" priority="78" operator="greaterThan">
      <formula>0</formula>
    </cfRule>
  </conditionalFormatting>
  <conditionalFormatting sqref="J141:J143">
    <cfRule type="cellIs" dxfId="704" priority="82" operator="equal">
      <formula>0</formula>
    </cfRule>
    <cfRule type="cellIs" dxfId="703" priority="83" operator="lessThan">
      <formula>0</formula>
    </cfRule>
    <cfRule type="cellIs" dxfId="702" priority="84" operator="greaterThan">
      <formula>0</formula>
    </cfRule>
  </conditionalFormatting>
  <conditionalFormatting sqref="N141:N143">
    <cfRule type="cellIs" dxfId="701" priority="79" operator="equal">
      <formula>0</formula>
    </cfRule>
    <cfRule type="cellIs" dxfId="700" priority="80" operator="lessThan">
      <formula>0</formula>
    </cfRule>
    <cfRule type="cellIs" dxfId="699" priority="81" operator="greaterThan">
      <formula>0</formula>
    </cfRule>
  </conditionalFormatting>
  <conditionalFormatting sqref="O146:O148">
    <cfRule type="cellIs" dxfId="698" priority="67" operator="equal">
      <formula>0</formula>
    </cfRule>
    <cfRule type="cellIs" dxfId="697" priority="68" operator="lessThan">
      <formula>0</formula>
    </cfRule>
    <cfRule type="cellIs" dxfId="696" priority="69" operator="greaterThan">
      <formula>0</formula>
    </cfRule>
  </conditionalFormatting>
  <conditionalFormatting sqref="J146:J148">
    <cfRule type="cellIs" dxfId="695" priority="73" operator="equal">
      <formula>0</formula>
    </cfRule>
    <cfRule type="cellIs" dxfId="694" priority="74" operator="lessThan">
      <formula>0</formula>
    </cfRule>
    <cfRule type="cellIs" dxfId="693" priority="75" operator="greaterThan">
      <formula>0</formula>
    </cfRule>
  </conditionalFormatting>
  <conditionalFormatting sqref="N146:N148">
    <cfRule type="cellIs" dxfId="692" priority="70" operator="equal">
      <formula>0</formula>
    </cfRule>
    <cfRule type="cellIs" dxfId="691" priority="71" operator="lessThan">
      <formula>0</formula>
    </cfRule>
    <cfRule type="cellIs" dxfId="690" priority="72" operator="greaterThan">
      <formula>0</formula>
    </cfRule>
  </conditionalFormatting>
  <conditionalFormatting sqref="O150:O151">
    <cfRule type="cellIs" dxfId="689" priority="58" operator="equal">
      <formula>0</formula>
    </cfRule>
    <cfRule type="cellIs" dxfId="688" priority="59" operator="lessThan">
      <formula>0</formula>
    </cfRule>
    <cfRule type="cellIs" dxfId="687" priority="60" operator="greaterThan">
      <formula>0</formula>
    </cfRule>
  </conditionalFormatting>
  <conditionalFormatting sqref="J150:J151">
    <cfRule type="cellIs" dxfId="686" priority="64" operator="equal">
      <formula>0</formula>
    </cfRule>
    <cfRule type="cellIs" dxfId="685" priority="65" operator="lessThan">
      <formula>0</formula>
    </cfRule>
    <cfRule type="cellIs" dxfId="684" priority="66" operator="greaterThan">
      <formula>0</formula>
    </cfRule>
  </conditionalFormatting>
  <conditionalFormatting sqref="N150:N151">
    <cfRule type="cellIs" dxfId="683" priority="61" operator="equal">
      <formula>0</formula>
    </cfRule>
    <cfRule type="cellIs" dxfId="682" priority="62" operator="lessThan">
      <formula>0</formula>
    </cfRule>
    <cfRule type="cellIs" dxfId="681" priority="63" operator="greaterThan">
      <formula>0</formula>
    </cfRule>
  </conditionalFormatting>
  <conditionalFormatting sqref="O153">
    <cfRule type="cellIs" dxfId="680" priority="49" operator="equal">
      <formula>0</formula>
    </cfRule>
    <cfRule type="cellIs" dxfId="679" priority="50" operator="lessThan">
      <formula>0</formula>
    </cfRule>
    <cfRule type="cellIs" dxfId="678" priority="51" operator="greaterThan">
      <formula>0</formula>
    </cfRule>
  </conditionalFormatting>
  <conditionalFormatting sqref="J153">
    <cfRule type="cellIs" dxfId="677" priority="55" operator="equal">
      <formula>0</formula>
    </cfRule>
    <cfRule type="cellIs" dxfId="676" priority="56" operator="lessThan">
      <formula>0</formula>
    </cfRule>
    <cfRule type="cellIs" dxfId="675" priority="57" operator="greaterThan">
      <formula>0</formula>
    </cfRule>
  </conditionalFormatting>
  <conditionalFormatting sqref="N153">
    <cfRule type="cellIs" dxfId="674" priority="52" operator="equal">
      <formula>0</formula>
    </cfRule>
    <cfRule type="cellIs" dxfId="673" priority="53" operator="lessThan">
      <formula>0</formula>
    </cfRule>
    <cfRule type="cellIs" dxfId="672" priority="54" operator="greaterThan">
      <formula>0</formula>
    </cfRule>
  </conditionalFormatting>
  <conditionalFormatting sqref="O155:O156">
    <cfRule type="cellIs" dxfId="671" priority="40" operator="equal">
      <formula>0</formula>
    </cfRule>
    <cfRule type="cellIs" dxfId="670" priority="41" operator="lessThan">
      <formula>0</formula>
    </cfRule>
    <cfRule type="cellIs" dxfId="669" priority="42" operator="greaterThan">
      <formula>0</formula>
    </cfRule>
  </conditionalFormatting>
  <conditionalFormatting sqref="J155:J156">
    <cfRule type="cellIs" dxfId="668" priority="46" operator="equal">
      <formula>0</formula>
    </cfRule>
    <cfRule type="cellIs" dxfId="667" priority="47" operator="lessThan">
      <formula>0</formula>
    </cfRule>
    <cfRule type="cellIs" dxfId="666" priority="48" operator="greaterThan">
      <formula>0</formula>
    </cfRule>
  </conditionalFormatting>
  <conditionalFormatting sqref="N155:N156">
    <cfRule type="cellIs" dxfId="665" priority="43" operator="equal">
      <formula>0</formula>
    </cfRule>
    <cfRule type="cellIs" dxfId="664" priority="44" operator="lessThan">
      <formula>0</formula>
    </cfRule>
    <cfRule type="cellIs" dxfId="663" priority="45" operator="greaterThan">
      <formula>0</formula>
    </cfRule>
  </conditionalFormatting>
  <conditionalFormatting sqref="O159">
    <cfRule type="cellIs" dxfId="662" priority="31" operator="equal">
      <formula>0</formula>
    </cfRule>
    <cfRule type="cellIs" dxfId="661" priority="32" operator="lessThan">
      <formula>0</formula>
    </cfRule>
    <cfRule type="cellIs" dxfId="660" priority="33" operator="greaterThan">
      <formula>0</formula>
    </cfRule>
  </conditionalFormatting>
  <conditionalFormatting sqref="J159">
    <cfRule type="cellIs" dxfId="659" priority="37" operator="equal">
      <formula>0</formula>
    </cfRule>
    <cfRule type="cellIs" dxfId="658" priority="38" operator="lessThan">
      <formula>0</formula>
    </cfRule>
    <cfRule type="cellIs" dxfId="657" priority="39" operator="greaterThan">
      <formula>0</formula>
    </cfRule>
  </conditionalFormatting>
  <conditionalFormatting sqref="N159">
    <cfRule type="cellIs" dxfId="656" priority="34" operator="equal">
      <formula>0</formula>
    </cfRule>
    <cfRule type="cellIs" dxfId="655" priority="35" operator="lessThan">
      <formula>0</formula>
    </cfRule>
    <cfRule type="cellIs" dxfId="654" priority="36" operator="greaterThan">
      <formula>0</formula>
    </cfRule>
  </conditionalFormatting>
  <conditionalFormatting sqref="O161">
    <cfRule type="cellIs" dxfId="653" priority="22" operator="equal">
      <formula>0</formula>
    </cfRule>
    <cfRule type="cellIs" dxfId="652" priority="23" operator="lessThan">
      <formula>0</formula>
    </cfRule>
    <cfRule type="cellIs" dxfId="651" priority="24" operator="greaterThan">
      <formula>0</formula>
    </cfRule>
  </conditionalFormatting>
  <conditionalFormatting sqref="J161">
    <cfRule type="cellIs" dxfId="650" priority="28" operator="equal">
      <formula>0</formula>
    </cfRule>
    <cfRule type="cellIs" dxfId="649" priority="29" operator="lessThan">
      <formula>0</formula>
    </cfRule>
    <cfRule type="cellIs" dxfId="648" priority="30" operator="greaterThan">
      <formula>0</formula>
    </cfRule>
  </conditionalFormatting>
  <conditionalFormatting sqref="N161">
    <cfRule type="cellIs" dxfId="647" priority="25" operator="equal">
      <formula>0</formula>
    </cfRule>
    <cfRule type="cellIs" dxfId="646" priority="26" operator="lessThan">
      <formula>0</formula>
    </cfRule>
    <cfRule type="cellIs" dxfId="645" priority="27" operator="greaterThan">
      <formula>0</formula>
    </cfRule>
  </conditionalFormatting>
  <conditionalFormatting sqref="O163:O164">
    <cfRule type="cellIs" dxfId="644" priority="13" operator="equal">
      <formula>0</formula>
    </cfRule>
    <cfRule type="cellIs" dxfId="643" priority="14" operator="lessThan">
      <formula>0</formula>
    </cfRule>
    <cfRule type="cellIs" dxfId="642" priority="15" operator="greaterThan">
      <formula>0</formula>
    </cfRule>
  </conditionalFormatting>
  <conditionalFormatting sqref="J163:J164">
    <cfRule type="cellIs" dxfId="641" priority="19" operator="equal">
      <formula>0</formula>
    </cfRule>
    <cfRule type="cellIs" dxfId="640" priority="20" operator="lessThan">
      <formula>0</formula>
    </cfRule>
    <cfRule type="cellIs" dxfId="639" priority="21" operator="greaterThan">
      <formula>0</formula>
    </cfRule>
  </conditionalFormatting>
  <conditionalFormatting sqref="N163:N164">
    <cfRule type="cellIs" dxfId="638" priority="16" operator="equal">
      <formula>0</formula>
    </cfRule>
    <cfRule type="cellIs" dxfId="637" priority="17" operator="lessThan">
      <formula>0</formula>
    </cfRule>
    <cfRule type="cellIs" dxfId="636" priority="18" operator="greaterThan">
      <formula>0</formula>
    </cfRule>
  </conditionalFormatting>
  <conditionalFormatting sqref="J68">
    <cfRule type="cellIs" dxfId="635" priority="10" operator="equal">
      <formula>0</formula>
    </cfRule>
    <cfRule type="cellIs" dxfId="634" priority="11" operator="lessThan">
      <formula>0</formula>
    </cfRule>
    <cfRule type="cellIs" dxfId="633" priority="12" operator="greaterThan">
      <formula>0</formula>
    </cfRule>
  </conditionalFormatting>
  <conditionalFormatting sqref="N68">
    <cfRule type="cellIs" dxfId="632" priority="7" operator="equal">
      <formula>0</formula>
    </cfRule>
    <cfRule type="cellIs" dxfId="631" priority="8" operator="lessThan">
      <formula>0</formula>
    </cfRule>
    <cfRule type="cellIs" dxfId="630" priority="9" operator="greaterThan">
      <formula>0</formula>
    </cfRule>
  </conditionalFormatting>
  <conditionalFormatting sqref="O68">
    <cfRule type="cellIs" dxfId="629" priority="4" operator="equal">
      <formula>0</formula>
    </cfRule>
    <cfRule type="cellIs" dxfId="628" priority="5" operator="lessThan">
      <formula>0</formula>
    </cfRule>
    <cfRule type="cellIs" dxfId="627" priority="6" operator="greaterThan">
      <formula>0</formula>
    </cfRule>
  </conditionalFormatting>
  <conditionalFormatting sqref="F163">
    <cfRule type="cellIs" dxfId="626" priority="1" operator="equal">
      <formula>0</formula>
    </cfRule>
    <cfRule type="cellIs" dxfId="625" priority="2" operator="lessThan">
      <formula>0</formula>
    </cfRule>
    <cfRule type="cellIs" dxfId="624" priority="3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9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9"/>
  <sheetViews>
    <sheetView showGridLines="0" tabSelected="1" view="pageBreakPreview" topLeftCell="A55" zoomScale="85" zoomScaleNormal="60" zoomScaleSheetLayoutView="85" zoomScalePageLayoutView="55" workbookViewId="0">
      <selection activeCell="E22" sqref="E22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81" style="87" customWidth="1"/>
    <col min="4" max="4" width="15.5703125" style="76" hidden="1" customWidth="1"/>
    <col min="5" max="5" width="15.5703125" style="76" customWidth="1"/>
    <col min="6" max="6" width="15.5703125" style="76" hidden="1" customWidth="1"/>
    <col min="7" max="7" width="13.28515625" style="77" customWidth="1"/>
    <col min="8" max="8" width="22" style="78" bestFit="1" customWidth="1"/>
    <col min="9" max="11" width="22" style="78" hidden="1" customWidth="1"/>
    <col min="12" max="12" width="22.85546875" style="95" customWidth="1"/>
    <col min="13" max="15" width="22.85546875" style="95" hidden="1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95" t="s">
        <v>453</v>
      </c>
      <c r="C1" s="395"/>
      <c r="D1" s="395"/>
      <c r="E1" s="395"/>
      <c r="F1" s="395"/>
      <c r="G1" s="395"/>
      <c r="H1" s="395"/>
      <c r="I1" s="395"/>
      <c r="J1" s="395"/>
      <c r="K1" s="395"/>
      <c r="L1" s="395"/>
      <c r="M1" s="393"/>
      <c r="N1" s="393"/>
      <c r="O1" s="393"/>
    </row>
    <row r="2" spans="1:23" ht="17.25" customHeight="1" x14ac:dyDescent="0.25">
      <c r="A2" s="1"/>
      <c r="B2" s="394" t="s">
        <v>638</v>
      </c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2"/>
      <c r="N2" s="392"/>
      <c r="O2" s="392"/>
    </row>
    <row r="3" spans="1:23" ht="17.25" customHeight="1" x14ac:dyDescent="0.25">
      <c r="A3" s="1"/>
      <c r="B3" s="394" t="s">
        <v>635</v>
      </c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2"/>
      <c r="N3" s="392"/>
      <c r="O3" s="392"/>
    </row>
    <row r="4" spans="1:23" ht="15" customHeight="1" x14ac:dyDescent="0.25">
      <c r="A4" s="1"/>
      <c r="B4" s="394" t="s">
        <v>636</v>
      </c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2"/>
      <c r="N4" s="392"/>
      <c r="O4" s="392"/>
    </row>
    <row r="5" spans="1:23" ht="15" customHeight="1" x14ac:dyDescent="0.25">
      <c r="A5" s="1"/>
      <c r="B5" s="398" t="s">
        <v>637</v>
      </c>
      <c r="C5" s="394"/>
      <c r="D5" s="394"/>
      <c r="E5" s="394"/>
      <c r="F5" s="394"/>
      <c r="G5" s="394"/>
      <c r="H5" s="394"/>
      <c r="I5" s="394"/>
      <c r="J5" s="394"/>
      <c r="K5" s="394"/>
      <c r="L5" s="394"/>
      <c r="M5" s="392"/>
      <c r="N5" s="392"/>
      <c r="O5" s="392"/>
    </row>
    <row r="6" spans="1:23" ht="16.5" thickBot="1" x14ac:dyDescent="0.3"/>
    <row r="7" spans="1:23" s="4" customFormat="1" ht="24" customHeight="1" thickBot="1" x14ac:dyDescent="0.3">
      <c r="B7" s="399" t="s">
        <v>366</v>
      </c>
      <c r="C7" s="400"/>
      <c r="D7" s="400"/>
      <c r="E7" s="400"/>
      <c r="F7" s="400"/>
      <c r="G7" s="400"/>
      <c r="H7" s="400"/>
      <c r="I7" s="400"/>
      <c r="J7" s="400"/>
      <c r="K7" s="400"/>
      <c r="L7" s="400"/>
      <c r="M7" s="400"/>
      <c r="N7" s="400"/>
      <c r="O7" s="401"/>
      <c r="Q7" s="31"/>
      <c r="R7" s="31"/>
      <c r="W7" s="58"/>
    </row>
    <row r="8" spans="1:23" ht="16.5" thickBot="1" x14ac:dyDescent="0.3">
      <c r="R8" s="394"/>
      <c r="S8" s="394"/>
      <c r="T8" s="394"/>
      <c r="U8" s="394"/>
      <c r="V8" s="394"/>
      <c r="W8" s="394"/>
    </row>
    <row r="9" spans="1:23" ht="46.5" customHeight="1" thickBot="1" x14ac:dyDescent="0.3">
      <c r="B9" s="89" t="s">
        <v>44</v>
      </c>
      <c r="C9" s="90" t="s">
        <v>26</v>
      </c>
      <c r="D9" s="293" t="s">
        <v>641</v>
      </c>
      <c r="E9" s="293" t="s">
        <v>2</v>
      </c>
      <c r="F9" s="293" t="s">
        <v>646</v>
      </c>
      <c r="G9" s="90" t="s">
        <v>3</v>
      </c>
      <c r="H9" s="301" t="s">
        <v>730</v>
      </c>
      <c r="I9" s="300" t="s">
        <v>645</v>
      </c>
      <c r="J9" s="300" t="s">
        <v>647</v>
      </c>
      <c r="K9" s="294" t="s">
        <v>643</v>
      </c>
      <c r="L9" s="302" t="s">
        <v>731</v>
      </c>
      <c r="M9" s="302" t="s">
        <v>654</v>
      </c>
      <c r="N9" s="302" t="s">
        <v>656</v>
      </c>
      <c r="O9" s="302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95"/>
      <c r="J10" s="295"/>
      <c r="K10" s="295"/>
      <c r="L10" s="217"/>
      <c r="M10" s="217"/>
      <c r="N10" s="307"/>
      <c r="O10" s="304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96"/>
      <c r="J11" s="296"/>
      <c r="K11" s="296"/>
      <c r="L11" s="218"/>
      <c r="M11" s="218"/>
      <c r="N11" s="308"/>
      <c r="O11" s="305"/>
      <c r="R11" s="68"/>
    </row>
    <row r="12" spans="1:23" x14ac:dyDescent="0.25">
      <c r="B12" s="79">
        <v>101.01</v>
      </c>
      <c r="C12" s="213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UNITARIOS!K54</f>
        <v>28</v>
      </c>
      <c r="I12" s="296">
        <f>'UNITARIOS NUEVOS'!K54</f>
        <v>28</v>
      </c>
      <c r="J12" s="115">
        <f t="shared" ref="J12:J19" si="1">I12-H12</f>
        <v>0</v>
      </c>
      <c r="K12" s="296">
        <f t="shared" ref="K12:K19" si="2">D12*H12</f>
        <v>1323.28</v>
      </c>
      <c r="L12" s="218">
        <f>+E12*H12</f>
        <v>1276.8</v>
      </c>
      <c r="M12" s="218">
        <f t="shared" ref="M12:M19" si="3">+E12*I12</f>
        <v>1276.8</v>
      </c>
      <c r="N12" s="310">
        <f t="shared" ref="N12:N19" si="4">L12-K12</f>
        <v>-46.480000000000018</v>
      </c>
      <c r="O12" s="311">
        <f t="shared" ref="O12:O19" si="5">M12-K12</f>
        <v>-46.480000000000018</v>
      </c>
      <c r="Q12" s="70"/>
      <c r="T12" s="5"/>
    </row>
    <row r="13" spans="1:23" x14ac:dyDescent="0.25">
      <c r="B13" s="79">
        <v>108.03</v>
      </c>
      <c r="C13" s="315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UNITARIOS!K110</f>
        <v>49</v>
      </c>
      <c r="I13" s="296">
        <f>'UNITARIOS NUEVOS'!K110</f>
        <v>159.6</v>
      </c>
      <c r="J13" s="115">
        <f t="shared" si="1"/>
        <v>110.6</v>
      </c>
      <c r="K13" s="296">
        <f t="shared" si="2"/>
        <v>1890.91</v>
      </c>
      <c r="L13" s="218">
        <f t="shared" ref="L13:L19" si="6">+E13*H13</f>
        <v>764.4</v>
      </c>
      <c r="M13" s="218">
        <f t="shared" si="3"/>
        <v>2489.7599999999998</v>
      </c>
      <c r="N13" s="310">
        <f t="shared" si="4"/>
        <v>-1126.5100000000002</v>
      </c>
      <c r="O13" s="311">
        <f t="shared" si="5"/>
        <v>598.84999999999968</v>
      </c>
      <c r="T13" s="5"/>
    </row>
    <row r="14" spans="1:23" x14ac:dyDescent="0.25">
      <c r="B14" s="79">
        <v>111.03</v>
      </c>
      <c r="C14" s="315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UNITARIOS!K161</f>
        <v>126</v>
      </c>
      <c r="I14" s="296">
        <f>'UNITARIOS NUEVOS'!K161</f>
        <v>159.6</v>
      </c>
      <c r="J14" s="115">
        <f t="shared" si="1"/>
        <v>33.599999999999994</v>
      </c>
      <c r="K14" s="296">
        <f t="shared" si="2"/>
        <v>8381.5199999999986</v>
      </c>
      <c r="L14" s="218">
        <f t="shared" si="6"/>
        <v>3490.2</v>
      </c>
      <c r="M14" s="218">
        <f t="shared" si="3"/>
        <v>4420.92</v>
      </c>
      <c r="N14" s="310">
        <f t="shared" si="4"/>
        <v>-4891.3199999999988</v>
      </c>
      <c r="O14" s="311">
        <f t="shared" si="5"/>
        <v>-3960.5999999999985</v>
      </c>
      <c r="T14" s="5"/>
    </row>
    <row r="15" spans="1:23" x14ac:dyDescent="0.25">
      <c r="B15" s="79">
        <v>114.03</v>
      </c>
      <c r="C15" s="315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UNITARIOS!K212</f>
        <v>364</v>
      </c>
      <c r="I15" s="296">
        <f>'UNITARIOS NUEVOS'!K212</f>
        <v>168</v>
      </c>
      <c r="J15" s="115">
        <f t="shared" si="1"/>
        <v>-196</v>
      </c>
      <c r="K15" s="296">
        <f t="shared" si="2"/>
        <v>2184</v>
      </c>
      <c r="L15" s="218">
        <f t="shared" si="6"/>
        <v>14014</v>
      </c>
      <c r="M15" s="218">
        <f t="shared" si="3"/>
        <v>6468</v>
      </c>
      <c r="N15" s="310">
        <f t="shared" si="4"/>
        <v>11830</v>
      </c>
      <c r="O15" s="311">
        <f t="shared" si="5"/>
        <v>4284</v>
      </c>
      <c r="T15" s="5"/>
    </row>
    <row r="16" spans="1:23" x14ac:dyDescent="0.25">
      <c r="B16" s="79">
        <v>117.01</v>
      </c>
      <c r="C16" s="315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UNITARIOS!K264</f>
        <v>364</v>
      </c>
      <c r="I16" s="296">
        <f>'UNITARIOS NUEVOS'!K264</f>
        <v>315</v>
      </c>
      <c r="J16" s="115">
        <f t="shared" si="1"/>
        <v>-49</v>
      </c>
      <c r="K16" s="296">
        <f t="shared" si="2"/>
        <v>1092</v>
      </c>
      <c r="L16" s="218">
        <f t="shared" si="6"/>
        <v>728</v>
      </c>
      <c r="M16" s="218">
        <f t="shared" si="3"/>
        <v>630</v>
      </c>
      <c r="N16" s="310">
        <f t="shared" si="4"/>
        <v>-364</v>
      </c>
      <c r="O16" s="311">
        <f t="shared" si="5"/>
        <v>-462</v>
      </c>
      <c r="T16" s="5"/>
    </row>
    <row r="17" spans="2:23" x14ac:dyDescent="0.25">
      <c r="B17" s="79">
        <v>118.01</v>
      </c>
      <c r="C17" s="315" t="s">
        <v>569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UNITARIOS!K316</f>
        <v>84</v>
      </c>
      <c r="I17" s="296">
        <f>'UNITARIOS NUEVOS'!K316</f>
        <v>84</v>
      </c>
      <c r="J17" s="115">
        <f t="shared" si="1"/>
        <v>0</v>
      </c>
      <c r="K17" s="296">
        <f t="shared" si="2"/>
        <v>588</v>
      </c>
      <c r="L17" s="218">
        <f t="shared" si="6"/>
        <v>336</v>
      </c>
      <c r="M17" s="218">
        <f t="shared" si="3"/>
        <v>336</v>
      </c>
      <c r="N17" s="310">
        <f t="shared" si="4"/>
        <v>-252</v>
      </c>
      <c r="O17" s="311">
        <f t="shared" si="5"/>
        <v>-252</v>
      </c>
      <c r="P17" s="236"/>
      <c r="Q17" s="221"/>
      <c r="T17" s="5"/>
    </row>
    <row r="18" spans="2:23" x14ac:dyDescent="0.25">
      <c r="B18" s="79" t="s">
        <v>663</v>
      </c>
      <c r="C18" s="315" t="s">
        <v>664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f>I18</f>
        <v>63</v>
      </c>
      <c r="I18" s="296">
        <f>'UNITARIOS NUEVOS'!K368</f>
        <v>63</v>
      </c>
      <c r="J18" s="115">
        <f t="shared" si="1"/>
        <v>0</v>
      </c>
      <c r="K18" s="296">
        <f t="shared" si="2"/>
        <v>0</v>
      </c>
      <c r="L18" s="218">
        <f t="shared" si="6"/>
        <v>3339</v>
      </c>
      <c r="M18" s="218">
        <f t="shared" si="3"/>
        <v>3339</v>
      </c>
      <c r="N18" s="310">
        <f t="shared" si="4"/>
        <v>3339</v>
      </c>
      <c r="O18" s="311">
        <f t="shared" si="5"/>
        <v>3339</v>
      </c>
      <c r="P18" s="236"/>
      <c r="Q18" s="221"/>
      <c r="T18" s="5"/>
    </row>
    <row r="19" spans="2:23" x14ac:dyDescent="0.25">
      <c r="B19" s="79" t="s">
        <v>663</v>
      </c>
      <c r="C19" s="315" t="s">
        <v>665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f>I19</f>
        <v>217</v>
      </c>
      <c r="I19" s="296">
        <f>'UNITARIOS NUEVOS'!K420</f>
        <v>217</v>
      </c>
      <c r="J19" s="115">
        <f t="shared" si="1"/>
        <v>0</v>
      </c>
      <c r="K19" s="296">
        <f t="shared" si="2"/>
        <v>0</v>
      </c>
      <c r="L19" s="218">
        <f t="shared" si="6"/>
        <v>3385.2</v>
      </c>
      <c r="M19" s="218">
        <f t="shared" si="3"/>
        <v>3385.2</v>
      </c>
      <c r="N19" s="310">
        <f t="shared" si="4"/>
        <v>3385.2</v>
      </c>
      <c r="O19" s="311">
        <f t="shared" si="5"/>
        <v>3385.2</v>
      </c>
      <c r="P19" s="236"/>
      <c r="Q19" s="221"/>
      <c r="T19" s="5"/>
    </row>
    <row r="20" spans="2:23" x14ac:dyDescent="0.25">
      <c r="B20" s="79"/>
      <c r="C20" s="569" t="s">
        <v>383</v>
      </c>
      <c r="D20" s="72"/>
      <c r="E20" s="72"/>
      <c r="F20" s="72"/>
      <c r="G20" s="72"/>
      <c r="H20" s="84"/>
      <c r="I20" s="296"/>
      <c r="J20" s="296"/>
      <c r="K20" s="296"/>
      <c r="L20" s="218"/>
      <c r="M20" s="218"/>
      <c r="N20" s="308"/>
      <c r="O20" s="305"/>
      <c r="P20" s="236">
        <f>SUM(L12:L19)</f>
        <v>27333.600000000002</v>
      </c>
      <c r="T20" s="5"/>
    </row>
    <row r="21" spans="2:23" x14ac:dyDescent="0.25">
      <c r="B21" s="79">
        <v>201.01</v>
      </c>
      <c r="C21" s="315" t="s">
        <v>456</v>
      </c>
      <c r="D21" s="72">
        <v>17.510000000000002</v>
      </c>
      <c r="E21" s="72">
        <v>11.8</v>
      </c>
      <c r="F21" s="72">
        <f t="shared" ref="F21:F24" si="7">E21-D21</f>
        <v>-5.7100000000000009</v>
      </c>
      <c r="G21" s="72" t="s">
        <v>60</v>
      </c>
      <c r="H21" s="84">
        <f>UNITARIOS!K370</f>
        <v>140</v>
      </c>
      <c r="I21" s="296">
        <f>'UNITARIOS NUEVOS'!K474</f>
        <v>122.5</v>
      </c>
      <c r="J21" s="115">
        <f t="shared" ref="J21:J24" si="8">I21-H21</f>
        <v>-17.5</v>
      </c>
      <c r="K21" s="296">
        <f t="shared" ref="K21:K24" si="9">D21*H21</f>
        <v>2451.4</v>
      </c>
      <c r="L21" s="218">
        <f t="shared" ref="L21:L24" si="10">+E21*H21</f>
        <v>1652</v>
      </c>
      <c r="M21" s="218">
        <f t="shared" ref="M21:M24" si="11">+E21*I21</f>
        <v>1445.5</v>
      </c>
      <c r="N21" s="310">
        <f t="shared" ref="N21:N24" si="12">L21-K21</f>
        <v>-799.40000000000009</v>
      </c>
      <c r="O21" s="311">
        <f t="shared" ref="O21:O24" si="13">M21-K21</f>
        <v>-1005.9000000000001</v>
      </c>
      <c r="T21" s="5"/>
    </row>
    <row r="22" spans="2:23" x14ac:dyDescent="0.25">
      <c r="B22" s="79">
        <v>201.03</v>
      </c>
      <c r="C22" s="315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UNITARIOS!K421</f>
        <v>364</v>
      </c>
      <c r="I22" s="296">
        <f>'UNITARIOS NUEVOS'!K525</f>
        <v>162.4</v>
      </c>
      <c r="J22" s="115">
        <f t="shared" si="8"/>
        <v>-201.6</v>
      </c>
      <c r="K22" s="296">
        <f t="shared" si="9"/>
        <v>2467.92</v>
      </c>
      <c r="L22" s="218">
        <f t="shared" si="10"/>
        <v>1929.2</v>
      </c>
      <c r="M22" s="218">
        <f t="shared" si="11"/>
        <v>860.72</v>
      </c>
      <c r="N22" s="310">
        <f t="shared" si="12"/>
        <v>-538.72</v>
      </c>
      <c r="O22" s="311">
        <f t="shared" si="13"/>
        <v>-1607.2</v>
      </c>
      <c r="T22" s="5"/>
    </row>
    <row r="23" spans="2:23" ht="31.5" x14ac:dyDescent="0.25">
      <c r="B23" s="79">
        <v>206.06</v>
      </c>
      <c r="C23" s="315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UNITARIOS!K477</f>
        <v>392</v>
      </c>
      <c r="I23" s="296">
        <f>'UNITARIOS NUEVOS'!K581</f>
        <v>413</v>
      </c>
      <c r="J23" s="115">
        <f t="shared" si="8"/>
        <v>21</v>
      </c>
      <c r="K23" s="296">
        <f t="shared" si="9"/>
        <v>15127.28</v>
      </c>
      <c r="L23" s="218">
        <f t="shared" si="10"/>
        <v>7683.2000000000007</v>
      </c>
      <c r="M23" s="218">
        <f t="shared" si="11"/>
        <v>8094.8</v>
      </c>
      <c r="N23" s="310">
        <f t="shared" si="12"/>
        <v>-7444.08</v>
      </c>
      <c r="O23" s="311">
        <f t="shared" si="13"/>
        <v>-7032.4800000000005</v>
      </c>
      <c r="T23" s="5"/>
    </row>
    <row r="24" spans="2:23" ht="31.5" x14ac:dyDescent="0.25">
      <c r="B24" s="79">
        <v>210.06</v>
      </c>
      <c r="C24" s="315" t="s">
        <v>732</v>
      </c>
      <c r="D24" s="72">
        <v>0</v>
      </c>
      <c r="E24" s="72">
        <v>8.4</v>
      </c>
      <c r="F24" s="72">
        <f t="shared" si="7"/>
        <v>8.4</v>
      </c>
      <c r="G24" s="72" t="s">
        <v>24</v>
      </c>
      <c r="H24" s="84">
        <f>I24</f>
        <v>334.6</v>
      </c>
      <c r="I24" s="296">
        <f>'UNITARIOS NUEVOS'!K635</f>
        <v>334.6</v>
      </c>
      <c r="J24" s="115">
        <f t="shared" si="8"/>
        <v>0</v>
      </c>
      <c r="K24" s="296">
        <f t="shared" si="9"/>
        <v>0</v>
      </c>
      <c r="L24" s="218">
        <f t="shared" si="10"/>
        <v>2810.6400000000003</v>
      </c>
      <c r="M24" s="218">
        <f t="shared" si="11"/>
        <v>2810.6400000000003</v>
      </c>
      <c r="N24" s="310">
        <f t="shared" si="12"/>
        <v>2810.6400000000003</v>
      </c>
      <c r="O24" s="311">
        <f t="shared" si="13"/>
        <v>2810.6400000000003</v>
      </c>
      <c r="T24" s="5"/>
    </row>
    <row r="25" spans="2:23" x14ac:dyDescent="0.25">
      <c r="B25" s="79"/>
      <c r="C25" s="569" t="s">
        <v>457</v>
      </c>
      <c r="D25" s="72"/>
      <c r="E25" s="72"/>
      <c r="F25" s="72"/>
      <c r="G25" s="72"/>
      <c r="H25" s="84"/>
      <c r="I25" s="296"/>
      <c r="J25" s="296"/>
      <c r="K25" s="296"/>
      <c r="L25" s="218"/>
      <c r="M25" s="218"/>
      <c r="N25" s="308"/>
      <c r="O25" s="305"/>
      <c r="P25" s="236">
        <f>SUM(L21:L24)</f>
        <v>14075.04</v>
      </c>
      <c r="T25" s="5"/>
    </row>
    <row r="26" spans="2:23" x14ac:dyDescent="0.25">
      <c r="B26" s="136">
        <v>303.06</v>
      </c>
      <c r="C26" s="315" t="s">
        <v>733</v>
      </c>
      <c r="D26" s="72">
        <v>0</v>
      </c>
      <c r="E26" s="72">
        <v>28.2</v>
      </c>
      <c r="F26" s="72">
        <f>E26-D26</f>
        <v>28.2</v>
      </c>
      <c r="G26" s="72" t="s">
        <v>24</v>
      </c>
      <c r="H26" s="84">
        <f>I26</f>
        <v>313.60000000000002</v>
      </c>
      <c r="I26" s="296">
        <f>'UNITARIOS NUEVOS'!K689</f>
        <v>313.60000000000002</v>
      </c>
      <c r="J26" s="115">
        <f>I26-H26</f>
        <v>0</v>
      </c>
      <c r="K26" s="296">
        <f>D26*H26</f>
        <v>0</v>
      </c>
      <c r="L26" s="218">
        <f>+E26*H26</f>
        <v>8843.52</v>
      </c>
      <c r="M26" s="218">
        <f>+E26*I26</f>
        <v>8843.52</v>
      </c>
      <c r="N26" s="310">
        <f>L26-K26</f>
        <v>8843.52</v>
      </c>
      <c r="O26" s="311">
        <f>M26-K26</f>
        <v>8843.52</v>
      </c>
      <c r="T26" s="5"/>
    </row>
    <row r="27" spans="2:23" x14ac:dyDescent="0.25">
      <c r="B27" s="136"/>
      <c r="C27" s="569" t="s">
        <v>384</v>
      </c>
      <c r="D27" s="72"/>
      <c r="E27" s="72"/>
      <c r="F27" s="72"/>
      <c r="G27" s="72"/>
      <c r="H27" s="84"/>
      <c r="I27" s="296"/>
      <c r="J27" s="296"/>
      <c r="K27" s="296"/>
      <c r="L27" s="218"/>
      <c r="M27" s="218"/>
      <c r="N27" s="308"/>
      <c r="O27" s="305"/>
      <c r="P27" s="236">
        <f>SUM(L26)</f>
        <v>8843.52</v>
      </c>
      <c r="T27" s="5"/>
    </row>
    <row r="28" spans="2:23" s="4" customFormat="1" x14ac:dyDescent="0.25">
      <c r="B28" s="136">
        <v>401.35</v>
      </c>
      <c r="C28" s="315" t="s">
        <v>723</v>
      </c>
      <c r="D28" s="72">
        <v>0</v>
      </c>
      <c r="E28" s="72">
        <v>32.799999999999997</v>
      </c>
      <c r="F28" s="72">
        <f t="shared" ref="F28:F36" si="14">E28-D28</f>
        <v>32.799999999999997</v>
      </c>
      <c r="G28" s="72" t="s">
        <v>71</v>
      </c>
      <c r="H28" s="84">
        <f>I28</f>
        <v>443.1</v>
      </c>
      <c r="I28" s="296">
        <f>'UNITARIOS NUEVOS'!K745</f>
        <v>443.1</v>
      </c>
      <c r="J28" s="115">
        <f t="shared" ref="J28" si="15">I28-H28</f>
        <v>0</v>
      </c>
      <c r="K28" s="296">
        <f t="shared" ref="K28" si="16">D28*H28</f>
        <v>0</v>
      </c>
      <c r="L28" s="218">
        <f t="shared" ref="L28:L32" si="17">+E28*H28</f>
        <v>14533.68</v>
      </c>
      <c r="M28" s="218">
        <f t="shared" ref="M28" si="18">+E28*I28</f>
        <v>14533.68</v>
      </c>
      <c r="N28" s="310">
        <f t="shared" ref="N28" si="19">L28-K28</f>
        <v>14533.68</v>
      </c>
      <c r="O28" s="311">
        <f t="shared" ref="O28" si="20">M28-K28</f>
        <v>14533.68</v>
      </c>
      <c r="Q28" s="31"/>
      <c r="R28" s="31"/>
      <c r="T28" s="5"/>
      <c r="W28" s="58"/>
    </row>
    <row r="29" spans="2:23" x14ac:dyDescent="0.25">
      <c r="B29" s="136">
        <v>405.23</v>
      </c>
      <c r="C29" s="213" t="s">
        <v>722</v>
      </c>
      <c r="D29" s="72">
        <v>0</v>
      </c>
      <c r="E29" s="72">
        <v>14</v>
      </c>
      <c r="F29" s="72">
        <f t="shared" si="14"/>
        <v>14</v>
      </c>
      <c r="G29" s="72" t="s">
        <v>71</v>
      </c>
      <c r="H29" s="84">
        <f>I29</f>
        <v>302.39999999999998</v>
      </c>
      <c r="I29" s="296">
        <f>'UNITARIOS NUEVOS'!K801</f>
        <v>302.39999999999998</v>
      </c>
      <c r="J29" s="115">
        <f>I29-H29</f>
        <v>0</v>
      </c>
      <c r="K29" s="296">
        <f>D29*H29</f>
        <v>0</v>
      </c>
      <c r="L29" s="218">
        <f t="shared" si="17"/>
        <v>4233.5999999999995</v>
      </c>
      <c r="M29" s="218">
        <f>+E29*I29</f>
        <v>4233.5999999999995</v>
      </c>
      <c r="N29" s="310">
        <f>L29-K29</f>
        <v>4233.5999999999995</v>
      </c>
      <c r="O29" s="311">
        <f>M29-K29</f>
        <v>4233.5999999999995</v>
      </c>
      <c r="T29" s="5"/>
    </row>
    <row r="30" spans="2:23" x14ac:dyDescent="0.25">
      <c r="B30" s="136">
        <v>407.09</v>
      </c>
      <c r="C30" s="213" t="s">
        <v>734</v>
      </c>
      <c r="D30" s="72">
        <v>0</v>
      </c>
      <c r="E30" s="72">
        <f>14+12.8</f>
        <v>26.8</v>
      </c>
      <c r="F30" s="72">
        <f t="shared" si="14"/>
        <v>26.8</v>
      </c>
      <c r="G30" s="72" t="s">
        <v>71</v>
      </c>
      <c r="H30" s="84">
        <f>I30</f>
        <v>302.39999999999998</v>
      </c>
      <c r="I30" s="296">
        <f>'UNITARIOS NUEVOS'!K913</f>
        <v>302.39999999999998</v>
      </c>
      <c r="J30" s="115">
        <f>I30-H30</f>
        <v>0</v>
      </c>
      <c r="K30" s="296">
        <f>D30*H30</f>
        <v>0</v>
      </c>
      <c r="L30" s="218">
        <f t="shared" si="17"/>
        <v>8104.32</v>
      </c>
      <c r="M30" s="218">
        <f>+E30*I30</f>
        <v>8104.32</v>
      </c>
      <c r="N30" s="310">
        <f>L30-K30</f>
        <v>8104.32</v>
      </c>
      <c r="O30" s="311">
        <f>M30-K30</f>
        <v>8104.32</v>
      </c>
      <c r="T30" s="5"/>
    </row>
    <row r="31" spans="2:23" x14ac:dyDescent="0.25">
      <c r="B31" s="136">
        <v>407.28</v>
      </c>
      <c r="C31" s="213" t="s">
        <v>735</v>
      </c>
      <c r="D31" s="72">
        <v>0</v>
      </c>
      <c r="E31" s="72">
        <v>14</v>
      </c>
      <c r="F31" s="72">
        <f t="shared" si="14"/>
        <v>14</v>
      </c>
      <c r="G31" s="72" t="s">
        <v>71</v>
      </c>
      <c r="H31" s="84">
        <f>I31</f>
        <v>324.8</v>
      </c>
      <c r="I31" s="296">
        <f>'UNITARIOS NUEVOS'!K969</f>
        <v>324.8</v>
      </c>
      <c r="J31" s="115">
        <f>I31-H31</f>
        <v>0</v>
      </c>
      <c r="K31" s="296">
        <f>D31*H31</f>
        <v>0</v>
      </c>
      <c r="L31" s="218">
        <f t="shared" si="17"/>
        <v>4547.2</v>
      </c>
      <c r="M31" s="218">
        <f>+E31*I31</f>
        <v>4547.2</v>
      </c>
      <c r="N31" s="310">
        <f>L31-K31</f>
        <v>4547.2</v>
      </c>
      <c r="O31" s="311">
        <f>M31-K31</f>
        <v>4547.2</v>
      </c>
      <c r="T31" s="5"/>
    </row>
    <row r="32" spans="2:23" x14ac:dyDescent="0.25">
      <c r="B32" s="570">
        <v>407.29</v>
      </c>
      <c r="C32" s="213" t="s">
        <v>724</v>
      </c>
      <c r="D32" s="72">
        <v>0</v>
      </c>
      <c r="E32" s="72">
        <v>5.7</v>
      </c>
      <c r="F32" s="72">
        <f t="shared" si="14"/>
        <v>5.7</v>
      </c>
      <c r="G32" s="72" t="s">
        <v>71</v>
      </c>
      <c r="H32" s="84">
        <f>I32</f>
        <v>317.8</v>
      </c>
      <c r="I32" s="296">
        <f>'UNITARIOS NUEVOS'!K1025</f>
        <v>317.8</v>
      </c>
      <c r="J32" s="115">
        <f>I32-H32</f>
        <v>0</v>
      </c>
      <c r="K32" s="296">
        <f>D32*H32</f>
        <v>0</v>
      </c>
      <c r="L32" s="218">
        <f t="shared" si="17"/>
        <v>1811.46</v>
      </c>
      <c r="M32" s="218">
        <f>+E32*I32</f>
        <v>1811.46</v>
      </c>
      <c r="N32" s="310">
        <f>L32-K32</f>
        <v>1811.46</v>
      </c>
      <c r="O32" s="311">
        <f>M32-K32</f>
        <v>1811.46</v>
      </c>
      <c r="T32" s="5"/>
    </row>
    <row r="33" spans="1:22" x14ac:dyDescent="0.25">
      <c r="B33" s="570"/>
      <c r="C33" s="215" t="s">
        <v>49</v>
      </c>
      <c r="D33" s="72"/>
      <c r="E33" s="72"/>
      <c r="F33" s="72"/>
      <c r="G33" s="72"/>
      <c r="H33" s="84"/>
      <c r="I33" s="296"/>
      <c r="J33" s="296"/>
      <c r="K33" s="296"/>
      <c r="L33" s="218"/>
      <c r="M33" s="218"/>
      <c r="N33" s="308"/>
      <c r="O33" s="305"/>
      <c r="P33" s="236">
        <f>SUM(L28:L32)</f>
        <v>33230.26</v>
      </c>
      <c r="T33" s="5"/>
    </row>
    <row r="34" spans="1:22" x14ac:dyDescent="0.25">
      <c r="B34" s="570">
        <v>503.01</v>
      </c>
      <c r="C34" s="213" t="s">
        <v>727</v>
      </c>
      <c r="D34" s="72">
        <v>0</v>
      </c>
      <c r="E34" s="72">
        <v>50</v>
      </c>
      <c r="F34" s="72">
        <f t="shared" si="14"/>
        <v>50</v>
      </c>
      <c r="G34" s="72" t="s">
        <v>24</v>
      </c>
      <c r="H34" s="84">
        <v>450</v>
      </c>
      <c r="I34" s="296">
        <f>H34</f>
        <v>450</v>
      </c>
      <c r="J34" s="115">
        <f>I34-H34</f>
        <v>0</v>
      </c>
      <c r="K34" s="296">
        <f>D34*H34</f>
        <v>0</v>
      </c>
      <c r="L34" s="218">
        <f t="shared" ref="L34:L36" si="21">+E34*H34</f>
        <v>22500</v>
      </c>
      <c r="M34" s="218">
        <f>+E34*I34</f>
        <v>22500</v>
      </c>
      <c r="N34" s="310">
        <f>L34-K34</f>
        <v>22500</v>
      </c>
      <c r="O34" s="311">
        <f>M34-K34</f>
        <v>22500</v>
      </c>
      <c r="T34" s="5"/>
    </row>
    <row r="35" spans="1:22" x14ac:dyDescent="0.25">
      <c r="B35" s="570">
        <v>505.02</v>
      </c>
      <c r="C35" s="213" t="s">
        <v>728</v>
      </c>
      <c r="D35" s="72">
        <v>0</v>
      </c>
      <c r="E35" s="72">
        <v>50</v>
      </c>
      <c r="F35" s="72">
        <f t="shared" si="14"/>
        <v>50</v>
      </c>
      <c r="G35" s="72" t="s">
        <v>24</v>
      </c>
      <c r="H35" s="84">
        <v>435</v>
      </c>
      <c r="I35" s="296">
        <f>H35</f>
        <v>435</v>
      </c>
      <c r="J35" s="115">
        <f>I35-H35</f>
        <v>0</v>
      </c>
      <c r="K35" s="296">
        <f>D35*H35</f>
        <v>0</v>
      </c>
      <c r="L35" s="218">
        <f t="shared" si="21"/>
        <v>21750</v>
      </c>
      <c r="M35" s="218">
        <f>+E35*I35</f>
        <v>21750</v>
      </c>
      <c r="N35" s="310">
        <f>L35-K35</f>
        <v>21750</v>
      </c>
      <c r="O35" s="311">
        <f>M35-K35</f>
        <v>21750</v>
      </c>
      <c r="T35" s="5"/>
    </row>
    <row r="36" spans="1:22" x14ac:dyDescent="0.25">
      <c r="B36" s="570">
        <v>511.01</v>
      </c>
      <c r="C36" s="213" t="s">
        <v>534</v>
      </c>
      <c r="D36" s="72">
        <v>5.6</v>
      </c>
      <c r="E36" s="72">
        <v>5.6</v>
      </c>
      <c r="F36" s="72">
        <f t="shared" si="14"/>
        <v>0</v>
      </c>
      <c r="G36" s="72" t="s">
        <v>71</v>
      </c>
      <c r="H36" s="84">
        <f>UNITARIOS!K1534</f>
        <v>329</v>
      </c>
      <c r="I36" s="296">
        <f>H36</f>
        <v>329</v>
      </c>
      <c r="J36" s="115">
        <f>I36-H36</f>
        <v>0</v>
      </c>
      <c r="K36" s="296">
        <f>D36*H36</f>
        <v>1842.3999999999999</v>
      </c>
      <c r="L36" s="218">
        <f t="shared" si="21"/>
        <v>1842.3999999999999</v>
      </c>
      <c r="M36" s="218">
        <f>+E36*I36</f>
        <v>1842.3999999999999</v>
      </c>
      <c r="N36" s="310">
        <f>L36-K36</f>
        <v>0</v>
      </c>
      <c r="O36" s="311">
        <f>M36-K36</f>
        <v>0</v>
      </c>
      <c r="P36" s="236"/>
      <c r="T36" s="5"/>
    </row>
    <row r="37" spans="1:22" x14ac:dyDescent="0.25">
      <c r="B37" s="571"/>
      <c r="C37" s="215" t="s">
        <v>50</v>
      </c>
      <c r="D37" s="72"/>
      <c r="E37" s="72"/>
      <c r="F37" s="72"/>
      <c r="G37" s="73" t="s">
        <v>59</v>
      </c>
      <c r="H37" s="84"/>
      <c r="I37" s="296"/>
      <c r="J37" s="296"/>
      <c r="K37" s="296"/>
      <c r="L37" s="218"/>
      <c r="M37" s="218"/>
      <c r="N37" s="308"/>
      <c r="O37" s="305"/>
      <c r="P37" s="236">
        <f>SUM(L34:L36)</f>
        <v>46092.4</v>
      </c>
      <c r="T37" s="5"/>
    </row>
    <row r="38" spans="1:22" x14ac:dyDescent="0.25">
      <c r="B38" s="572">
        <v>603.04999999999995</v>
      </c>
      <c r="C38" s="213" t="s">
        <v>729</v>
      </c>
      <c r="D38" s="72">
        <v>51.5</v>
      </c>
      <c r="E38" s="72">
        <v>27.8</v>
      </c>
      <c r="F38" s="72">
        <f t="shared" ref="F38:F40" si="22">E38-D38</f>
        <v>-23.7</v>
      </c>
      <c r="G38" s="72" t="s">
        <v>24</v>
      </c>
      <c r="H38" s="84">
        <v>300</v>
      </c>
      <c r="I38" s="296">
        <f>H38</f>
        <v>300</v>
      </c>
      <c r="J38" s="115">
        <f t="shared" ref="J38:J40" si="23">I38-H38</f>
        <v>0</v>
      </c>
      <c r="K38" s="296">
        <f t="shared" ref="K38:K40" si="24">D38*H38</f>
        <v>15450</v>
      </c>
      <c r="L38" s="218">
        <f t="shared" ref="L38:L40" si="25">+E38*H38</f>
        <v>8340</v>
      </c>
      <c r="M38" s="218">
        <f t="shared" ref="M38:M40" si="26">+E38*I38</f>
        <v>8340</v>
      </c>
      <c r="N38" s="310">
        <f t="shared" ref="N38:N40" si="27">L38-K38</f>
        <v>-7110</v>
      </c>
      <c r="O38" s="311">
        <f t="shared" ref="O38:O40" si="28">M38-K38</f>
        <v>-7110</v>
      </c>
      <c r="T38" s="5"/>
    </row>
    <row r="39" spans="1:22" x14ac:dyDescent="0.25">
      <c r="B39" s="572">
        <v>609.02</v>
      </c>
      <c r="C39" s="213" t="s">
        <v>502</v>
      </c>
      <c r="D39" s="72">
        <v>25</v>
      </c>
      <c r="E39" s="72">
        <v>18</v>
      </c>
      <c r="F39" s="72">
        <f t="shared" si="22"/>
        <v>-7</v>
      </c>
      <c r="G39" s="72" t="s">
        <v>24</v>
      </c>
      <c r="H39" s="84">
        <f>UNITARIOS!K1864</f>
        <v>322</v>
      </c>
      <c r="I39" s="296">
        <f>H39</f>
        <v>322</v>
      </c>
      <c r="J39" s="115">
        <f t="shared" si="23"/>
        <v>0</v>
      </c>
      <c r="K39" s="296">
        <f t="shared" si="24"/>
        <v>8050</v>
      </c>
      <c r="L39" s="218">
        <f t="shared" si="25"/>
        <v>5796</v>
      </c>
      <c r="M39" s="218">
        <f t="shared" si="26"/>
        <v>5796</v>
      </c>
      <c r="N39" s="310">
        <f t="shared" si="27"/>
        <v>-2254</v>
      </c>
      <c r="O39" s="311">
        <f t="shared" si="28"/>
        <v>-2254</v>
      </c>
      <c r="T39" s="5"/>
    </row>
    <row r="40" spans="1:22" x14ac:dyDescent="0.25">
      <c r="B40" s="572">
        <v>611.01</v>
      </c>
      <c r="C40" s="213" t="s">
        <v>52</v>
      </c>
      <c r="D40" s="72">
        <v>117.1</v>
      </c>
      <c r="E40" s="72">
        <v>94</v>
      </c>
      <c r="F40" s="72">
        <f t="shared" si="22"/>
        <v>-23.099999999999994</v>
      </c>
      <c r="G40" s="72" t="s">
        <v>24</v>
      </c>
      <c r="H40" s="84">
        <f>UNITARIOS!K1920</f>
        <v>49</v>
      </c>
      <c r="I40" s="296">
        <f>H40</f>
        <v>49</v>
      </c>
      <c r="J40" s="115">
        <f t="shared" si="23"/>
        <v>0</v>
      </c>
      <c r="K40" s="296">
        <f t="shared" si="24"/>
        <v>5737.9</v>
      </c>
      <c r="L40" s="218">
        <f t="shared" si="25"/>
        <v>4606</v>
      </c>
      <c r="M40" s="218">
        <f t="shared" si="26"/>
        <v>4606</v>
      </c>
      <c r="N40" s="310">
        <f t="shared" si="27"/>
        <v>-1131.8999999999996</v>
      </c>
      <c r="O40" s="311">
        <f t="shared" si="28"/>
        <v>-1131.8999999999996</v>
      </c>
      <c r="T40" s="5"/>
    </row>
    <row r="41" spans="1:22" x14ac:dyDescent="0.25">
      <c r="B41" s="572"/>
      <c r="C41" s="215" t="s">
        <v>53</v>
      </c>
      <c r="D41" s="72"/>
      <c r="E41" s="72"/>
      <c r="F41" s="72"/>
      <c r="G41" s="72" t="s">
        <v>59</v>
      </c>
      <c r="H41" s="84"/>
      <c r="I41" s="296"/>
      <c r="J41" s="296"/>
      <c r="K41" s="296"/>
      <c r="L41" s="218"/>
      <c r="M41" s="218"/>
      <c r="N41" s="308"/>
      <c r="O41" s="305"/>
      <c r="P41" s="236">
        <f>SUM(L38:L40)</f>
        <v>18742</v>
      </c>
      <c r="T41" s="5"/>
    </row>
    <row r="42" spans="1:22" x14ac:dyDescent="0.25">
      <c r="B42" s="572">
        <v>702.01</v>
      </c>
      <c r="C42" s="213" t="s">
        <v>504</v>
      </c>
      <c r="D42" s="72">
        <v>3</v>
      </c>
      <c r="E42" s="72">
        <v>1</v>
      </c>
      <c r="F42" s="72">
        <f>E42-D42</f>
        <v>-2</v>
      </c>
      <c r="G42" s="72" t="s">
        <v>25</v>
      </c>
      <c r="H42" s="84">
        <f>UNITARIOS!K2029</f>
        <v>2716</v>
      </c>
      <c r="I42" s="296">
        <f>H42</f>
        <v>2716</v>
      </c>
      <c r="J42" s="115">
        <f>I42-H42</f>
        <v>0</v>
      </c>
      <c r="K42" s="296">
        <f>D42*H42</f>
        <v>8148</v>
      </c>
      <c r="L42" s="218">
        <f>+E42*H42</f>
        <v>2716</v>
      </c>
      <c r="M42" s="218">
        <f>+E42*I42</f>
        <v>2716</v>
      </c>
      <c r="N42" s="310">
        <f>L42-K42</f>
        <v>-5432</v>
      </c>
      <c r="O42" s="311">
        <f>M42-K42</f>
        <v>-5432</v>
      </c>
      <c r="P42" s="236"/>
      <c r="T42" s="5"/>
    </row>
    <row r="43" spans="1:22" s="60" customFormat="1" x14ac:dyDescent="0.25">
      <c r="A43"/>
      <c r="B43" s="571"/>
      <c r="C43" s="215" t="s">
        <v>54</v>
      </c>
      <c r="D43" s="72"/>
      <c r="E43" s="72"/>
      <c r="F43" s="72"/>
      <c r="G43" s="73" t="s">
        <v>59</v>
      </c>
      <c r="H43" s="84"/>
      <c r="I43" s="296"/>
      <c r="J43" s="296"/>
      <c r="K43" s="296"/>
      <c r="L43" s="218"/>
      <c r="M43" s="218"/>
      <c r="N43" s="308"/>
      <c r="O43" s="305"/>
      <c r="P43" s="236">
        <f>SUM(L42)</f>
        <v>2716</v>
      </c>
      <c r="Q43" s="31"/>
      <c r="R43" s="31"/>
      <c r="S43"/>
      <c r="T43" s="5"/>
      <c r="U43"/>
      <c r="V43"/>
    </row>
    <row r="44" spans="1:22" s="60" customFormat="1" x14ac:dyDescent="0.25">
      <c r="A44"/>
      <c r="B44" s="572">
        <v>803.05</v>
      </c>
      <c r="C44" s="213" t="s">
        <v>537</v>
      </c>
      <c r="D44" s="72">
        <v>10.87</v>
      </c>
      <c r="E44" s="72">
        <v>3.6</v>
      </c>
      <c r="F44" s="72">
        <f>E44-D44</f>
        <v>-7.27</v>
      </c>
      <c r="G44" s="72" t="s">
        <v>24</v>
      </c>
      <c r="H44" s="84">
        <f>UNITARIOS!K2085</f>
        <v>1400</v>
      </c>
      <c r="I44" s="296">
        <f>H44</f>
        <v>1400</v>
      </c>
      <c r="J44" s="115">
        <f>I44-H44</f>
        <v>0</v>
      </c>
      <c r="K44" s="296">
        <f>D44*H44</f>
        <v>15217.999999999998</v>
      </c>
      <c r="L44" s="218">
        <f>+E44*H44</f>
        <v>5040</v>
      </c>
      <c r="M44" s="218">
        <f>+E44*I44</f>
        <v>5040</v>
      </c>
      <c r="N44" s="310">
        <f>L44-K44</f>
        <v>-10177.999999999998</v>
      </c>
      <c r="O44" s="311">
        <f>M44-K44</f>
        <v>-10177.999999999998</v>
      </c>
      <c r="P44" s="236"/>
      <c r="Q44" s="31"/>
      <c r="R44" s="31"/>
      <c r="S44"/>
      <c r="T44" s="5"/>
      <c r="U44"/>
      <c r="V44"/>
    </row>
    <row r="45" spans="1:22" s="60" customFormat="1" x14ac:dyDescent="0.25">
      <c r="A45"/>
      <c r="B45" s="572"/>
      <c r="C45" s="215" t="s">
        <v>548</v>
      </c>
      <c r="D45" s="72"/>
      <c r="E45" s="72"/>
      <c r="F45" s="72"/>
      <c r="G45" s="72"/>
      <c r="H45" s="84"/>
      <c r="I45" s="296"/>
      <c r="J45" s="296"/>
      <c r="K45" s="296"/>
      <c r="L45" s="218"/>
      <c r="M45" s="218"/>
      <c r="N45" s="308"/>
      <c r="O45" s="305"/>
      <c r="P45" s="236">
        <f>SUM(L44)</f>
        <v>5040</v>
      </c>
      <c r="Q45" s="31"/>
      <c r="R45" s="31"/>
      <c r="S45"/>
      <c r="T45" s="5"/>
      <c r="U45"/>
      <c r="V45"/>
    </row>
    <row r="46" spans="1:22" s="60" customFormat="1" x14ac:dyDescent="0.25">
      <c r="A46"/>
      <c r="B46" s="572">
        <v>903.01</v>
      </c>
      <c r="C46" s="213" t="s">
        <v>538</v>
      </c>
      <c r="D46" s="72">
        <v>2</v>
      </c>
      <c r="E46" s="72">
        <v>2</v>
      </c>
      <c r="F46" s="72">
        <f t="shared" ref="F46:F48" si="29">E46-D46</f>
        <v>0</v>
      </c>
      <c r="G46" s="72" t="s">
        <v>71</v>
      </c>
      <c r="H46" s="84">
        <f>UNITARIOS!K2191</f>
        <v>77</v>
      </c>
      <c r="I46" s="296">
        <f>H46</f>
        <v>77</v>
      </c>
      <c r="J46" s="115">
        <f t="shared" ref="J46:J50" si="30">I46-H46</f>
        <v>0</v>
      </c>
      <c r="K46" s="296">
        <f t="shared" ref="K46:K50" si="31">D46*H46</f>
        <v>154</v>
      </c>
      <c r="L46" s="218">
        <f t="shared" ref="L46:L50" si="32">+E46*H46</f>
        <v>154</v>
      </c>
      <c r="M46" s="218">
        <f t="shared" ref="M46:M50" si="33">+E46*I46</f>
        <v>154</v>
      </c>
      <c r="N46" s="310">
        <f t="shared" ref="N46:N50" si="34">L46-K46</f>
        <v>0</v>
      </c>
      <c r="O46" s="311">
        <f t="shared" ref="O46:O50" si="35">M46-K46</f>
        <v>0</v>
      </c>
      <c r="P46"/>
      <c r="Q46" s="31"/>
      <c r="R46" s="31"/>
      <c r="S46"/>
      <c r="T46" s="5"/>
      <c r="U46"/>
      <c r="V46"/>
    </row>
    <row r="47" spans="1:22" s="60" customFormat="1" x14ac:dyDescent="0.25">
      <c r="A47"/>
      <c r="B47" s="572">
        <v>903.02</v>
      </c>
      <c r="C47" s="213" t="s">
        <v>539</v>
      </c>
      <c r="D47" s="72">
        <v>11</v>
      </c>
      <c r="E47" s="72">
        <v>12</v>
      </c>
      <c r="F47" s="72">
        <f t="shared" si="29"/>
        <v>1</v>
      </c>
      <c r="G47" s="72" t="s">
        <v>71</v>
      </c>
      <c r="H47" s="84">
        <f>UNITARIOS!K2247</f>
        <v>84</v>
      </c>
      <c r="I47" s="296">
        <f>H47</f>
        <v>84</v>
      </c>
      <c r="J47" s="115">
        <f t="shared" si="30"/>
        <v>0</v>
      </c>
      <c r="K47" s="296">
        <f t="shared" si="31"/>
        <v>924</v>
      </c>
      <c r="L47" s="218">
        <f t="shared" si="32"/>
        <v>1008</v>
      </c>
      <c r="M47" s="218">
        <f t="shared" si="33"/>
        <v>1008</v>
      </c>
      <c r="N47" s="310">
        <f t="shared" si="34"/>
        <v>84</v>
      </c>
      <c r="O47" s="311">
        <f t="shared" si="35"/>
        <v>84</v>
      </c>
      <c r="P47"/>
      <c r="Q47" s="31"/>
      <c r="R47" s="31"/>
      <c r="S47"/>
      <c r="T47" s="5"/>
      <c r="U47"/>
      <c r="V47"/>
    </row>
    <row r="48" spans="1:22" s="60" customFormat="1" x14ac:dyDescent="0.25">
      <c r="A48"/>
      <c r="B48" s="572">
        <v>904.01</v>
      </c>
      <c r="C48" s="213" t="s">
        <v>540</v>
      </c>
      <c r="D48" s="72">
        <v>1.5</v>
      </c>
      <c r="E48" s="72">
        <v>18</v>
      </c>
      <c r="F48" s="72">
        <f t="shared" si="29"/>
        <v>16.5</v>
      </c>
      <c r="G48" s="72" t="s">
        <v>71</v>
      </c>
      <c r="H48" s="84">
        <f>UNITARIOS!K2303</f>
        <v>182</v>
      </c>
      <c r="I48" s="296">
        <f>H48</f>
        <v>182</v>
      </c>
      <c r="J48" s="115">
        <f t="shared" si="30"/>
        <v>0</v>
      </c>
      <c r="K48" s="296">
        <f t="shared" si="31"/>
        <v>273</v>
      </c>
      <c r="L48" s="218">
        <f t="shared" si="32"/>
        <v>3276</v>
      </c>
      <c r="M48" s="218">
        <f t="shared" si="33"/>
        <v>3276</v>
      </c>
      <c r="N48" s="310">
        <f t="shared" si="34"/>
        <v>3003</v>
      </c>
      <c r="O48" s="311">
        <f t="shared" si="35"/>
        <v>3003</v>
      </c>
      <c r="P48"/>
      <c r="Q48" s="31"/>
      <c r="R48" s="31"/>
      <c r="S48"/>
      <c r="T48" s="5"/>
      <c r="U48"/>
      <c r="V48"/>
    </row>
    <row r="49" spans="1:23" s="60" customFormat="1" x14ac:dyDescent="0.25">
      <c r="A49"/>
      <c r="B49" s="572">
        <v>907.05</v>
      </c>
      <c r="C49" s="213" t="s">
        <v>543</v>
      </c>
      <c r="D49" s="72">
        <v>1</v>
      </c>
      <c r="E49" s="72">
        <v>1</v>
      </c>
      <c r="F49" s="72">
        <f>E49-D49</f>
        <v>0</v>
      </c>
      <c r="G49" s="72" t="s">
        <v>25</v>
      </c>
      <c r="H49" s="84">
        <f>UNITARIOS!K2514</f>
        <v>1176</v>
      </c>
      <c r="I49" s="296">
        <f>H49</f>
        <v>1176</v>
      </c>
      <c r="J49" s="115">
        <f t="shared" si="30"/>
        <v>0</v>
      </c>
      <c r="K49" s="296">
        <f t="shared" si="31"/>
        <v>1176</v>
      </c>
      <c r="L49" s="218">
        <f t="shared" si="32"/>
        <v>1176</v>
      </c>
      <c r="M49" s="218">
        <f t="shared" si="33"/>
        <v>1176</v>
      </c>
      <c r="N49" s="310">
        <f t="shared" si="34"/>
        <v>0</v>
      </c>
      <c r="O49" s="311">
        <f t="shared" si="35"/>
        <v>0</v>
      </c>
      <c r="P49"/>
      <c r="Q49" s="31"/>
      <c r="R49" s="31"/>
      <c r="S49"/>
      <c r="T49" s="5"/>
      <c r="U49"/>
      <c r="V49"/>
    </row>
    <row r="50" spans="1:23" s="60" customFormat="1" x14ac:dyDescent="0.25">
      <c r="A50"/>
      <c r="B50" s="572">
        <v>907.14</v>
      </c>
      <c r="C50" s="213" t="s">
        <v>507</v>
      </c>
      <c r="D50" s="72">
        <v>1</v>
      </c>
      <c r="E50" s="72">
        <v>1</v>
      </c>
      <c r="F50" s="72">
        <f>E50-D50</f>
        <v>0</v>
      </c>
      <c r="G50" s="72" t="s">
        <v>25</v>
      </c>
      <c r="H50" s="84">
        <f>UNITARIOS!K2570</f>
        <v>2492</v>
      </c>
      <c r="I50" s="296">
        <f>H50</f>
        <v>2492</v>
      </c>
      <c r="J50" s="115">
        <f t="shared" si="30"/>
        <v>0</v>
      </c>
      <c r="K50" s="296">
        <f t="shared" si="31"/>
        <v>2492</v>
      </c>
      <c r="L50" s="218">
        <f t="shared" si="32"/>
        <v>2492</v>
      </c>
      <c r="M50" s="218">
        <f t="shared" si="33"/>
        <v>2492</v>
      </c>
      <c r="N50" s="310">
        <f t="shared" si="34"/>
        <v>0</v>
      </c>
      <c r="O50" s="311">
        <f t="shared" si="35"/>
        <v>0</v>
      </c>
      <c r="P50" s="236"/>
      <c r="Q50" s="31"/>
      <c r="R50" s="31"/>
      <c r="S50"/>
      <c r="T50" s="5"/>
      <c r="U50"/>
      <c r="V50"/>
    </row>
    <row r="51" spans="1:23" x14ac:dyDescent="0.25">
      <c r="B51" s="572"/>
      <c r="C51" s="88" t="s">
        <v>55</v>
      </c>
      <c r="D51" s="72"/>
      <c r="E51" s="72"/>
      <c r="F51" s="72"/>
      <c r="G51" s="73" t="s">
        <v>59</v>
      </c>
      <c r="H51" s="84"/>
      <c r="I51" s="296"/>
      <c r="J51" s="296"/>
      <c r="K51" s="296"/>
      <c r="L51" s="218"/>
      <c r="M51" s="218"/>
      <c r="N51" s="308"/>
      <c r="O51" s="305"/>
      <c r="P51" s="236">
        <f>SUM(L46:L50)</f>
        <v>8106</v>
      </c>
      <c r="T51" s="5"/>
    </row>
    <row r="52" spans="1:23" x14ac:dyDescent="0.25">
      <c r="B52" s="572">
        <v>1005.03</v>
      </c>
      <c r="C52" s="213" t="s">
        <v>552</v>
      </c>
      <c r="D52" s="72">
        <v>1</v>
      </c>
      <c r="E52" s="72">
        <v>1</v>
      </c>
      <c r="F52" s="72">
        <f>E52-D52</f>
        <v>0</v>
      </c>
      <c r="G52" s="72" t="s">
        <v>25</v>
      </c>
      <c r="H52" s="84">
        <f>UNITARIOS!K3071</f>
        <v>2149</v>
      </c>
      <c r="I52" s="296">
        <f>H52</f>
        <v>2149</v>
      </c>
      <c r="J52" s="115">
        <f>I52-H52</f>
        <v>0</v>
      </c>
      <c r="K52" s="296">
        <f>D52*H52</f>
        <v>2149</v>
      </c>
      <c r="L52" s="218">
        <f t="shared" ref="L52:L55" si="36">+E52*H52</f>
        <v>2149</v>
      </c>
      <c r="M52" s="218">
        <f>+E52*I52</f>
        <v>2149</v>
      </c>
      <c r="N52" s="310">
        <f>L52-K52</f>
        <v>0</v>
      </c>
      <c r="O52" s="311">
        <f>M52-K52</f>
        <v>0</v>
      </c>
      <c r="T52" s="5"/>
    </row>
    <row r="53" spans="1:23" x14ac:dyDescent="0.25">
      <c r="B53" s="572">
        <v>1009.03</v>
      </c>
      <c r="C53" s="213" t="s">
        <v>553</v>
      </c>
      <c r="D53" s="80">
        <v>7</v>
      </c>
      <c r="E53" s="80">
        <v>2</v>
      </c>
      <c r="F53" s="72">
        <f>E53-D53</f>
        <v>-5</v>
      </c>
      <c r="G53" s="80" t="s">
        <v>25</v>
      </c>
      <c r="H53" s="81">
        <f>UNITARIOS!K3123</f>
        <v>819</v>
      </c>
      <c r="I53" s="297">
        <f>H53</f>
        <v>819</v>
      </c>
      <c r="J53" s="115">
        <f>I53-H53</f>
        <v>0</v>
      </c>
      <c r="K53" s="296">
        <f>D53*H53</f>
        <v>5733</v>
      </c>
      <c r="L53" s="218">
        <f t="shared" si="36"/>
        <v>1638</v>
      </c>
      <c r="M53" s="218">
        <f>+E53*I53</f>
        <v>1638</v>
      </c>
      <c r="N53" s="310">
        <f>L53-K53</f>
        <v>-4095</v>
      </c>
      <c r="O53" s="311">
        <f>M53-K53</f>
        <v>-4095</v>
      </c>
      <c r="T53" s="5"/>
    </row>
    <row r="54" spans="1:23" x14ac:dyDescent="0.25">
      <c r="B54" s="572">
        <v>1011.02</v>
      </c>
      <c r="C54" s="213" t="s">
        <v>511</v>
      </c>
      <c r="D54" s="80">
        <v>1</v>
      </c>
      <c r="E54" s="80">
        <v>1</v>
      </c>
      <c r="F54" s="72">
        <f>E54-D54</f>
        <v>0</v>
      </c>
      <c r="G54" s="80" t="s">
        <v>25</v>
      </c>
      <c r="H54" s="81">
        <f>UNITARIOS!K3221</f>
        <v>350</v>
      </c>
      <c r="I54" s="297">
        <f>H54</f>
        <v>350</v>
      </c>
      <c r="J54" s="115">
        <f>I54-H54</f>
        <v>0</v>
      </c>
      <c r="K54" s="296">
        <f>D54*H54</f>
        <v>350</v>
      </c>
      <c r="L54" s="218">
        <f t="shared" si="36"/>
        <v>350</v>
      </c>
      <c r="M54" s="218">
        <f>+E54*I54</f>
        <v>350</v>
      </c>
      <c r="N54" s="310">
        <f>L54-K54</f>
        <v>0</v>
      </c>
      <c r="O54" s="311">
        <f>M54-K54</f>
        <v>0</v>
      </c>
      <c r="T54" s="5"/>
    </row>
    <row r="55" spans="1:23" x14ac:dyDescent="0.25">
      <c r="B55" s="572">
        <v>1012.02</v>
      </c>
      <c r="C55" s="213" t="s">
        <v>554</v>
      </c>
      <c r="D55" s="80">
        <v>7</v>
      </c>
      <c r="E55" s="80">
        <v>4</v>
      </c>
      <c r="F55" s="72">
        <f>E55-D55</f>
        <v>-3</v>
      </c>
      <c r="G55" s="80" t="s">
        <v>25</v>
      </c>
      <c r="H55" s="81">
        <f>UNITARIOS!K3271</f>
        <v>371</v>
      </c>
      <c r="I55" s="297">
        <f>H55</f>
        <v>371</v>
      </c>
      <c r="J55" s="115">
        <f>I55-H55</f>
        <v>0</v>
      </c>
      <c r="K55" s="296">
        <f>D55*H55</f>
        <v>2597</v>
      </c>
      <c r="L55" s="218">
        <f t="shared" si="36"/>
        <v>1484</v>
      </c>
      <c r="M55" s="218">
        <f>+E55*I55</f>
        <v>1484</v>
      </c>
      <c r="N55" s="310">
        <f>L55-K55</f>
        <v>-1113</v>
      </c>
      <c r="O55" s="311">
        <f>M55-K55</f>
        <v>-1113</v>
      </c>
      <c r="P55" s="236"/>
      <c r="T55" s="5"/>
    </row>
    <row r="56" spans="1:23" x14ac:dyDescent="0.25">
      <c r="B56" s="572"/>
      <c r="C56" s="88" t="s">
        <v>550</v>
      </c>
      <c r="D56" s="80"/>
      <c r="E56" s="80"/>
      <c r="F56" s="80"/>
      <c r="G56" s="80" t="s">
        <v>59</v>
      </c>
      <c r="H56" s="81"/>
      <c r="I56" s="297"/>
      <c r="J56" s="297"/>
      <c r="K56" s="297"/>
      <c r="L56" s="218"/>
      <c r="M56" s="218"/>
      <c r="N56" s="308"/>
      <c r="O56" s="305"/>
      <c r="P56" s="236">
        <f>SUM(L52:L55)</f>
        <v>5621</v>
      </c>
      <c r="Q56" s="68"/>
      <c r="R56" s="68"/>
      <c r="T56" s="5"/>
    </row>
    <row r="57" spans="1:23" x14ac:dyDescent="0.25">
      <c r="B57" s="572">
        <v>1207.01</v>
      </c>
      <c r="C57" s="213" t="s">
        <v>555</v>
      </c>
      <c r="D57" s="80">
        <v>1</v>
      </c>
      <c r="E57" s="80">
        <v>1</v>
      </c>
      <c r="F57" s="72">
        <f>E57-D57</f>
        <v>0</v>
      </c>
      <c r="G57" s="80" t="s">
        <v>25</v>
      </c>
      <c r="H57" s="81">
        <f>UNITARIOS!K3321</f>
        <v>1924.37</v>
      </c>
      <c r="I57" s="297">
        <f>H57</f>
        <v>1924.37</v>
      </c>
      <c r="J57" s="115">
        <f>I57-H57</f>
        <v>0</v>
      </c>
      <c r="K57" s="296">
        <f>D57*H57</f>
        <v>1924.37</v>
      </c>
      <c r="L57" s="218">
        <f t="shared" ref="L57:L58" si="37">+E57*H57</f>
        <v>1924.37</v>
      </c>
      <c r="M57" s="218">
        <f>+E57*I57</f>
        <v>1924.37</v>
      </c>
      <c r="N57" s="310">
        <f>L57-K57</f>
        <v>0</v>
      </c>
      <c r="O57" s="311">
        <f>M57-K57</f>
        <v>0</v>
      </c>
      <c r="Q57" s="68"/>
      <c r="R57" s="68"/>
      <c r="T57" s="5"/>
    </row>
    <row r="58" spans="1:23" x14ac:dyDescent="0.25">
      <c r="B58" s="572">
        <v>1208.02</v>
      </c>
      <c r="C58" s="213" t="s">
        <v>56</v>
      </c>
      <c r="D58" s="80">
        <v>1</v>
      </c>
      <c r="E58" s="80">
        <v>1</v>
      </c>
      <c r="F58" s="72">
        <f>E58-D58</f>
        <v>0</v>
      </c>
      <c r="G58" s="80" t="s">
        <v>25</v>
      </c>
      <c r="H58" s="81">
        <f>UNITARIOS!K3421</f>
        <v>2881.2</v>
      </c>
      <c r="I58" s="297">
        <f>H58</f>
        <v>2881.2</v>
      </c>
      <c r="J58" s="115">
        <f>I58-H58</f>
        <v>0</v>
      </c>
      <c r="K58" s="296">
        <f>D58*H58</f>
        <v>2881.2</v>
      </c>
      <c r="L58" s="218">
        <f t="shared" si="37"/>
        <v>2881.2</v>
      </c>
      <c r="M58" s="218">
        <f>+E58*I58</f>
        <v>2881.2</v>
      </c>
      <c r="N58" s="310">
        <f>L58-K58</f>
        <v>0</v>
      </c>
      <c r="O58" s="311">
        <f>M58-K58</f>
        <v>0</v>
      </c>
      <c r="P58" s="236"/>
      <c r="Q58" s="68"/>
      <c r="R58" s="68"/>
      <c r="T58" s="5"/>
    </row>
    <row r="59" spans="1:23" x14ac:dyDescent="0.25">
      <c r="B59" s="571"/>
      <c r="C59" s="88" t="s">
        <v>551</v>
      </c>
      <c r="D59" s="83"/>
      <c r="E59" s="83"/>
      <c r="F59" s="83"/>
      <c r="G59" s="74" t="s">
        <v>59</v>
      </c>
      <c r="H59" s="84"/>
      <c r="I59" s="296"/>
      <c r="J59" s="296"/>
      <c r="K59" s="296"/>
      <c r="L59" s="218"/>
      <c r="M59" s="218"/>
      <c r="N59" s="308"/>
      <c r="O59" s="305"/>
      <c r="P59" s="236">
        <f>SUM(L57:L58)</f>
        <v>4805.57</v>
      </c>
      <c r="T59" s="5"/>
    </row>
    <row r="60" spans="1:23" x14ac:dyDescent="0.25">
      <c r="B60" s="572">
        <v>1304.02</v>
      </c>
      <c r="C60" s="213" t="s">
        <v>513</v>
      </c>
      <c r="D60" s="72">
        <v>3.39</v>
      </c>
      <c r="E60" s="72">
        <v>3.39</v>
      </c>
      <c r="F60" s="72">
        <f>E60-D60</f>
        <v>0</v>
      </c>
      <c r="G60" s="72" t="s">
        <v>71</v>
      </c>
      <c r="H60" s="84">
        <f>UNITARIOS!K3476</f>
        <v>1400</v>
      </c>
      <c r="I60" s="296">
        <f>'UNITARIOS NUEVOS'!K3023</f>
        <v>635.6</v>
      </c>
      <c r="J60" s="115">
        <f>I60-H60</f>
        <v>-764.4</v>
      </c>
      <c r="K60" s="296">
        <f>D60*H60</f>
        <v>4746</v>
      </c>
      <c r="L60" s="218">
        <f>+E60*H60</f>
        <v>4746</v>
      </c>
      <c r="M60" s="218">
        <f>+E60*I60</f>
        <v>2154.6840000000002</v>
      </c>
      <c r="N60" s="310">
        <f>L60-K60</f>
        <v>0</v>
      </c>
      <c r="O60" s="311">
        <f>M60-K60</f>
        <v>-2591.3159999999998</v>
      </c>
      <c r="T60" s="5"/>
    </row>
    <row r="61" spans="1:23" x14ac:dyDescent="0.25">
      <c r="B61" s="571"/>
      <c r="C61" s="88" t="s">
        <v>57</v>
      </c>
      <c r="D61" s="72"/>
      <c r="E61" s="72"/>
      <c r="F61" s="72"/>
      <c r="G61" s="73" t="s">
        <v>59</v>
      </c>
      <c r="H61" s="84"/>
      <c r="I61" s="296"/>
      <c r="J61" s="296"/>
      <c r="K61" s="296"/>
      <c r="L61" s="218"/>
      <c r="M61" s="218"/>
      <c r="N61" s="308"/>
      <c r="O61" s="305"/>
      <c r="P61" s="236">
        <f>SUM(L60)</f>
        <v>4746</v>
      </c>
      <c r="T61" s="5"/>
    </row>
    <row r="62" spans="1:23" x14ac:dyDescent="0.25">
      <c r="B62" s="572">
        <v>1410.05</v>
      </c>
      <c r="C62" s="213" t="s">
        <v>58</v>
      </c>
      <c r="D62" s="72">
        <v>1</v>
      </c>
      <c r="E62" s="72">
        <v>1</v>
      </c>
      <c r="F62" s="72">
        <f>E62-D62</f>
        <v>0</v>
      </c>
      <c r="G62" s="72" t="s">
        <v>25</v>
      </c>
      <c r="H62" s="84">
        <f>UNITARIOS!K3586</f>
        <v>4508</v>
      </c>
      <c r="I62" s="296">
        <f>H62</f>
        <v>4508</v>
      </c>
      <c r="J62" s="115">
        <f>I62-H62</f>
        <v>0</v>
      </c>
      <c r="K62" s="296">
        <f>D62*H62</f>
        <v>4508</v>
      </c>
      <c r="L62" s="218">
        <f>+E62*H62</f>
        <v>4508</v>
      </c>
      <c r="M62" s="218">
        <f>+E62*I62</f>
        <v>4508</v>
      </c>
      <c r="N62" s="310">
        <f>L62-K62</f>
        <v>0</v>
      </c>
      <c r="O62" s="311">
        <f>M62-K62</f>
        <v>0</v>
      </c>
      <c r="P62" s="236"/>
      <c r="Q62" s="67"/>
      <c r="R62" s="67"/>
      <c r="T62" s="5"/>
    </row>
    <row r="63" spans="1:23" s="192" customFormat="1" x14ac:dyDescent="0.25">
      <c r="B63" s="572"/>
      <c r="C63" s="216" t="s">
        <v>514</v>
      </c>
      <c r="D63" s="196"/>
      <c r="E63" s="196"/>
      <c r="F63" s="196"/>
      <c r="G63" s="196"/>
      <c r="H63" s="198"/>
      <c r="I63" s="298"/>
      <c r="J63" s="298"/>
      <c r="K63" s="389"/>
      <c r="L63" s="389"/>
      <c r="M63" s="389"/>
      <c r="N63" s="389"/>
      <c r="O63" s="389"/>
      <c r="P63" s="236">
        <f>SUM(L62)</f>
        <v>4508</v>
      </c>
      <c r="Q63" s="573">
        <f>SUM(P12:P63)</f>
        <v>183859.39</v>
      </c>
      <c r="R63" s="573">
        <f>SUM(L12:L63)</f>
        <v>183859.39</v>
      </c>
      <c r="T63" s="193"/>
      <c r="W63" s="194"/>
    </row>
    <row r="64" spans="1:23" x14ac:dyDescent="0.25">
      <c r="B64" s="571"/>
      <c r="C64" s="88" t="s">
        <v>45</v>
      </c>
      <c r="D64" s="72"/>
      <c r="E64" s="72"/>
      <c r="F64" s="72"/>
      <c r="G64" s="73" t="s">
        <v>59</v>
      </c>
      <c r="H64" s="84"/>
      <c r="I64" s="296"/>
      <c r="J64" s="296"/>
      <c r="K64" s="296"/>
      <c r="L64" s="218"/>
      <c r="M64" s="218"/>
      <c r="N64" s="308"/>
      <c r="O64" s="305"/>
      <c r="T64" s="5"/>
    </row>
    <row r="65" spans="2:20" x14ac:dyDescent="0.25">
      <c r="B65" s="572">
        <v>101.07</v>
      </c>
      <c r="C65" s="214" t="s">
        <v>460</v>
      </c>
      <c r="D65" s="72">
        <v>29</v>
      </c>
      <c r="E65" s="72">
        <v>28</v>
      </c>
      <c r="F65" s="72">
        <f t="shared" ref="F65:F67" si="38">E65-D65</f>
        <v>-1</v>
      </c>
      <c r="G65" s="72" t="s">
        <v>24</v>
      </c>
      <c r="H65" s="84">
        <f>UNITARIOS!K3642</f>
        <v>14</v>
      </c>
      <c r="I65" s="296">
        <f t="shared" ref="I65:I67" si="39">H65</f>
        <v>14</v>
      </c>
      <c r="J65" s="115">
        <f t="shared" ref="J65:J67" si="40">I65-H65</f>
        <v>0</v>
      </c>
      <c r="K65" s="296">
        <f t="shared" ref="K65:K67" si="41">D65*H65</f>
        <v>406</v>
      </c>
      <c r="L65" s="218">
        <f t="shared" ref="L65:L68" si="42">+E65*H65</f>
        <v>392</v>
      </c>
      <c r="M65" s="218">
        <f t="shared" ref="M65:M67" si="43">+E65*I65</f>
        <v>392</v>
      </c>
      <c r="N65" s="310">
        <f t="shared" ref="N65:N67" si="44">L65-K65</f>
        <v>-14</v>
      </c>
      <c r="O65" s="311">
        <f t="shared" ref="O65:O67" si="45">M65-K65</f>
        <v>-14</v>
      </c>
      <c r="T65" s="5"/>
    </row>
    <row r="66" spans="2:20" x14ac:dyDescent="0.25">
      <c r="B66" s="572">
        <v>111.03</v>
      </c>
      <c r="C66" s="213" t="s">
        <v>492</v>
      </c>
      <c r="D66" s="72">
        <v>37</v>
      </c>
      <c r="E66" s="72">
        <v>28</v>
      </c>
      <c r="F66" s="72">
        <f t="shared" si="38"/>
        <v>-9</v>
      </c>
      <c r="G66" s="72" t="s">
        <v>24</v>
      </c>
      <c r="H66" s="84">
        <f>UNITARIOS!K4238</f>
        <v>126</v>
      </c>
      <c r="I66" s="296">
        <f t="shared" si="39"/>
        <v>126</v>
      </c>
      <c r="J66" s="115">
        <f t="shared" si="40"/>
        <v>0</v>
      </c>
      <c r="K66" s="296">
        <f t="shared" si="41"/>
        <v>4662</v>
      </c>
      <c r="L66" s="218">
        <f t="shared" si="42"/>
        <v>3528</v>
      </c>
      <c r="M66" s="218">
        <f t="shared" si="43"/>
        <v>3528</v>
      </c>
      <c r="N66" s="310">
        <f t="shared" si="44"/>
        <v>-1134</v>
      </c>
      <c r="O66" s="311">
        <f t="shared" si="45"/>
        <v>-1134</v>
      </c>
      <c r="T66" s="5"/>
    </row>
    <row r="67" spans="2:20" x14ac:dyDescent="0.25">
      <c r="B67" s="572">
        <v>114.03</v>
      </c>
      <c r="C67" s="213" t="s">
        <v>276</v>
      </c>
      <c r="D67" s="72">
        <v>21</v>
      </c>
      <c r="E67" s="72">
        <v>32</v>
      </c>
      <c r="F67" s="72">
        <f t="shared" si="38"/>
        <v>11</v>
      </c>
      <c r="G67" s="72" t="s">
        <v>24</v>
      </c>
      <c r="H67" s="84">
        <f>UNITARIOS!K4289</f>
        <v>84</v>
      </c>
      <c r="I67" s="296">
        <f t="shared" si="39"/>
        <v>84</v>
      </c>
      <c r="J67" s="115">
        <f t="shared" si="40"/>
        <v>0</v>
      </c>
      <c r="K67" s="296">
        <f t="shared" si="41"/>
        <v>1764</v>
      </c>
      <c r="L67" s="218">
        <f t="shared" si="42"/>
        <v>2688</v>
      </c>
      <c r="M67" s="218">
        <f t="shared" si="43"/>
        <v>2688</v>
      </c>
      <c r="N67" s="310">
        <f t="shared" si="44"/>
        <v>924</v>
      </c>
      <c r="O67" s="311">
        <f t="shared" si="45"/>
        <v>924</v>
      </c>
      <c r="T67" s="5"/>
    </row>
    <row r="68" spans="2:20" x14ac:dyDescent="0.25">
      <c r="B68" s="572">
        <v>115.02</v>
      </c>
      <c r="C68" s="213" t="s">
        <v>380</v>
      </c>
      <c r="D68" s="72">
        <v>3</v>
      </c>
      <c r="E68" s="72">
        <v>1</v>
      </c>
      <c r="F68" s="72">
        <f>E68-D68</f>
        <v>-2</v>
      </c>
      <c r="G68" s="72" t="s">
        <v>25</v>
      </c>
      <c r="H68" s="84">
        <f>UNITARIOS!K3698</f>
        <v>308</v>
      </c>
      <c r="I68" s="296">
        <f>H68</f>
        <v>308</v>
      </c>
      <c r="J68" s="115">
        <f>I68-H68</f>
        <v>0</v>
      </c>
      <c r="K68" s="296">
        <f>D68*H68</f>
        <v>924</v>
      </c>
      <c r="L68" s="218">
        <f t="shared" si="42"/>
        <v>308</v>
      </c>
      <c r="M68" s="218">
        <f>+E68*I68</f>
        <v>308</v>
      </c>
      <c r="N68" s="310">
        <f>L68-K68</f>
        <v>-616</v>
      </c>
      <c r="O68" s="311">
        <f>M68-K68</f>
        <v>-616</v>
      </c>
      <c r="P68" s="236"/>
      <c r="T68" s="5"/>
    </row>
    <row r="69" spans="2:20" x14ac:dyDescent="0.25">
      <c r="B69" s="571"/>
      <c r="C69" s="88" t="s">
        <v>49</v>
      </c>
      <c r="D69" s="72"/>
      <c r="E69" s="72"/>
      <c r="F69" s="72"/>
      <c r="G69" s="73" t="s">
        <v>59</v>
      </c>
      <c r="H69" s="84"/>
      <c r="I69" s="296"/>
      <c r="J69" s="296"/>
      <c r="K69" s="296"/>
      <c r="L69" s="218"/>
      <c r="M69" s="218"/>
      <c r="N69" s="308"/>
      <c r="O69" s="305"/>
      <c r="P69" s="236">
        <f>SUM(L65:L68)</f>
        <v>6916</v>
      </c>
      <c r="Q69" s="574"/>
      <c r="T69" s="5"/>
    </row>
    <row r="70" spans="2:20" x14ac:dyDescent="0.25">
      <c r="B70" s="570">
        <v>503.01</v>
      </c>
      <c r="C70" s="213" t="s">
        <v>727</v>
      </c>
      <c r="D70" s="72">
        <v>0</v>
      </c>
      <c r="E70" s="72">
        <v>32</v>
      </c>
      <c r="F70" s="72">
        <f t="shared" ref="F70:F71" si="46">E70-D70</f>
        <v>32</v>
      </c>
      <c r="G70" s="72" t="s">
        <v>24</v>
      </c>
      <c r="H70" s="84">
        <v>450</v>
      </c>
      <c r="I70" s="296">
        <f>H70</f>
        <v>450</v>
      </c>
      <c r="J70" s="115">
        <f>I70-H70</f>
        <v>0</v>
      </c>
      <c r="K70" s="296">
        <f>D70*H70</f>
        <v>0</v>
      </c>
      <c r="L70" s="218">
        <f t="shared" ref="L70:L71" si="47">+E70*H70</f>
        <v>14400</v>
      </c>
      <c r="M70" s="218">
        <f>+E70*I70</f>
        <v>14400</v>
      </c>
      <c r="N70" s="310">
        <f>L70-K70</f>
        <v>14400</v>
      </c>
      <c r="O70" s="311">
        <f>M70-K70</f>
        <v>14400</v>
      </c>
      <c r="T70" s="5"/>
    </row>
    <row r="71" spans="2:20" x14ac:dyDescent="0.25">
      <c r="B71" s="570">
        <v>505.02</v>
      </c>
      <c r="C71" s="213" t="s">
        <v>728</v>
      </c>
      <c r="D71" s="72">
        <v>0</v>
      </c>
      <c r="E71" s="72">
        <v>32</v>
      </c>
      <c r="F71" s="72">
        <f t="shared" si="46"/>
        <v>32</v>
      </c>
      <c r="G71" s="72" t="s">
        <v>24</v>
      </c>
      <c r="H71" s="84">
        <v>435</v>
      </c>
      <c r="I71" s="296">
        <f>H71</f>
        <v>435</v>
      </c>
      <c r="J71" s="115">
        <f>I71-H71</f>
        <v>0</v>
      </c>
      <c r="K71" s="296">
        <f>D71*H71</f>
        <v>0</v>
      </c>
      <c r="L71" s="218">
        <f t="shared" si="47"/>
        <v>13920</v>
      </c>
      <c r="M71" s="218">
        <f>+E71*I71</f>
        <v>13920</v>
      </c>
      <c r="N71" s="310">
        <f>L71-K71</f>
        <v>13920</v>
      </c>
      <c r="O71" s="311">
        <f>M71-K71</f>
        <v>13920</v>
      </c>
      <c r="T71" s="5"/>
    </row>
    <row r="72" spans="2:20" x14ac:dyDescent="0.25">
      <c r="B72" s="571"/>
      <c r="C72" s="88" t="s">
        <v>50</v>
      </c>
      <c r="D72" s="72"/>
      <c r="E72" s="72"/>
      <c r="F72" s="72"/>
      <c r="G72" s="73" t="s">
        <v>59</v>
      </c>
      <c r="H72" s="84"/>
      <c r="I72" s="296"/>
      <c r="J72" s="296"/>
      <c r="K72" s="296"/>
      <c r="L72" s="218"/>
      <c r="M72" s="218"/>
      <c r="N72" s="308"/>
      <c r="O72" s="305"/>
      <c r="P72" s="236">
        <f>SUM(L70:L71)</f>
        <v>28320</v>
      </c>
      <c r="Q72" s="574"/>
      <c r="T72" s="5"/>
    </row>
    <row r="73" spans="2:20" x14ac:dyDescent="0.25">
      <c r="B73" s="572">
        <v>605.01</v>
      </c>
      <c r="C73" s="214" t="s">
        <v>729</v>
      </c>
      <c r="D73" s="72">
        <v>29</v>
      </c>
      <c r="E73" s="72">
        <v>28</v>
      </c>
      <c r="F73" s="72">
        <f>E73-D73</f>
        <v>-1</v>
      </c>
      <c r="G73" s="72" t="s">
        <v>24</v>
      </c>
      <c r="H73" s="84">
        <v>300</v>
      </c>
      <c r="I73" s="296">
        <f>H73</f>
        <v>300</v>
      </c>
      <c r="J73" s="115">
        <f>I73-H73</f>
        <v>0</v>
      </c>
      <c r="K73" s="296">
        <f>D73*H73</f>
        <v>8700</v>
      </c>
      <c r="L73" s="218">
        <f t="shared" ref="L73:L74" si="48">+E73*H73</f>
        <v>8400</v>
      </c>
      <c r="M73" s="218">
        <f>+E73*I73</f>
        <v>8400</v>
      </c>
      <c r="N73" s="310">
        <f>L73-K73</f>
        <v>-300</v>
      </c>
      <c r="O73" s="311">
        <f>M73-K73</f>
        <v>-300</v>
      </c>
      <c r="T73" s="5"/>
    </row>
    <row r="74" spans="2:20" x14ac:dyDescent="0.25">
      <c r="B74" s="572">
        <v>611.01</v>
      </c>
      <c r="C74" s="214" t="s">
        <v>52</v>
      </c>
      <c r="D74" s="72">
        <v>130</v>
      </c>
      <c r="E74" s="72">
        <v>80</v>
      </c>
      <c r="F74" s="72">
        <f>E74-D74</f>
        <v>-50</v>
      </c>
      <c r="G74" s="72" t="s">
        <v>24</v>
      </c>
      <c r="H74" s="84">
        <f>UNITARIOS!K3912</f>
        <v>49</v>
      </c>
      <c r="I74" s="296">
        <f>H74</f>
        <v>49</v>
      </c>
      <c r="J74" s="115">
        <f>I74-H74</f>
        <v>0</v>
      </c>
      <c r="K74" s="296">
        <f>D74*H74</f>
        <v>6370</v>
      </c>
      <c r="L74" s="218">
        <f t="shared" si="48"/>
        <v>3920</v>
      </c>
      <c r="M74" s="218">
        <f>+E74*I74</f>
        <v>3920</v>
      </c>
      <c r="N74" s="310">
        <f>L74-K74</f>
        <v>-2450</v>
      </c>
      <c r="O74" s="311">
        <f>M74-K74</f>
        <v>-2450</v>
      </c>
      <c r="P74" s="236"/>
      <c r="T74" s="5"/>
    </row>
    <row r="75" spans="2:20" x14ac:dyDescent="0.25">
      <c r="B75" s="571"/>
      <c r="C75" s="88" t="s">
        <v>53</v>
      </c>
      <c r="D75" s="72"/>
      <c r="E75" s="72"/>
      <c r="F75" s="72"/>
      <c r="G75" s="73" t="s">
        <v>59</v>
      </c>
      <c r="H75" s="84"/>
      <c r="I75" s="296"/>
      <c r="J75" s="296"/>
      <c r="K75" s="296"/>
      <c r="L75" s="218"/>
      <c r="M75" s="218"/>
      <c r="N75" s="308"/>
      <c r="O75" s="305"/>
      <c r="P75" s="236">
        <f>SUM(L73:L74)</f>
        <v>12320</v>
      </c>
      <c r="Q75" s="574"/>
      <c r="T75" s="5"/>
    </row>
    <row r="76" spans="2:20" x14ac:dyDescent="0.25">
      <c r="B76" s="572">
        <v>701.02</v>
      </c>
      <c r="C76" s="214" t="s">
        <v>559</v>
      </c>
      <c r="D76" s="72">
        <v>3</v>
      </c>
      <c r="E76" s="72">
        <v>1</v>
      </c>
      <c r="F76" s="72">
        <f>E76-D76</f>
        <v>-2</v>
      </c>
      <c r="G76" s="72" t="s">
        <v>25</v>
      </c>
      <c r="H76" s="84">
        <f>UNITARIOS!K3968</f>
        <v>2583</v>
      </c>
      <c r="I76" s="296">
        <f>H76</f>
        <v>2583</v>
      </c>
      <c r="J76" s="115">
        <f>I76-H76</f>
        <v>0</v>
      </c>
      <c r="K76" s="296">
        <f>D76*H76</f>
        <v>7749</v>
      </c>
      <c r="L76" s="218">
        <f>+E76*H76</f>
        <v>2583</v>
      </c>
      <c r="M76" s="218">
        <f>+E76*I76</f>
        <v>2583</v>
      </c>
      <c r="N76" s="310">
        <f>L76-K76</f>
        <v>-5166</v>
      </c>
      <c r="O76" s="311">
        <f>M76-K76</f>
        <v>-5166</v>
      </c>
      <c r="P76" s="236"/>
      <c r="T76" s="5"/>
    </row>
    <row r="77" spans="2:20" x14ac:dyDescent="0.25">
      <c r="B77" s="572"/>
      <c r="C77" s="216" t="s">
        <v>518</v>
      </c>
      <c r="D77" s="196"/>
      <c r="E77" s="196"/>
      <c r="F77" s="196"/>
      <c r="G77" s="196"/>
      <c r="H77" s="198"/>
      <c r="I77" s="298"/>
      <c r="J77" s="298"/>
      <c r="K77" s="298"/>
      <c r="L77" s="219"/>
      <c r="M77" s="219"/>
      <c r="N77" s="309"/>
      <c r="O77" s="306"/>
      <c r="P77" s="236">
        <f>SUM(L76)</f>
        <v>2583</v>
      </c>
      <c r="Q77" s="573">
        <f>SUM(P68:P77)</f>
        <v>50139</v>
      </c>
      <c r="R77" s="573">
        <f>SUM(L65:L77)</f>
        <v>50139</v>
      </c>
      <c r="T77" s="5"/>
    </row>
    <row r="78" spans="2:20" x14ac:dyDescent="0.25">
      <c r="B78" s="572"/>
      <c r="C78" s="88" t="s">
        <v>45</v>
      </c>
      <c r="D78" s="72"/>
      <c r="E78" s="72"/>
      <c r="F78" s="72"/>
      <c r="G78" s="72"/>
      <c r="H78" s="84"/>
      <c r="I78" s="296"/>
      <c r="J78" s="296"/>
      <c r="K78" s="296"/>
      <c r="L78" s="218"/>
      <c r="M78" s="218"/>
      <c r="N78" s="308"/>
      <c r="O78" s="305"/>
      <c r="T78" s="5"/>
    </row>
    <row r="79" spans="2:20" x14ac:dyDescent="0.25">
      <c r="B79" s="572">
        <v>101.07</v>
      </c>
      <c r="C79" s="214" t="s">
        <v>460</v>
      </c>
      <c r="D79" s="72">
        <v>108</v>
      </c>
      <c r="E79" s="72">
        <v>132</v>
      </c>
      <c r="F79" s="72">
        <f>E79-D79</f>
        <v>24</v>
      </c>
      <c r="G79" s="72" t="s">
        <v>24</v>
      </c>
      <c r="H79" s="84">
        <f>UNITARIOS!K4390</f>
        <v>14</v>
      </c>
      <c r="I79" s="296">
        <f t="shared" ref="I79:I82" si="49">H79</f>
        <v>14</v>
      </c>
      <c r="J79" s="115">
        <f t="shared" ref="J79:J82" si="50">I79-H79</f>
        <v>0</v>
      </c>
      <c r="K79" s="296">
        <f t="shared" ref="K79:K82" si="51">D79*H79</f>
        <v>1512</v>
      </c>
      <c r="L79" s="218">
        <f t="shared" ref="L79:L82" si="52">+E79*H79</f>
        <v>1848</v>
      </c>
      <c r="M79" s="218">
        <f t="shared" ref="M79:M82" si="53">+E79*I79</f>
        <v>1848</v>
      </c>
      <c r="N79" s="310">
        <f t="shared" ref="N79:N82" si="54">L79-K79</f>
        <v>336</v>
      </c>
      <c r="O79" s="311">
        <f t="shared" ref="O79:O82" si="55">M79-K79</f>
        <v>336</v>
      </c>
      <c r="T79" s="5"/>
    </row>
    <row r="80" spans="2:20" x14ac:dyDescent="0.25">
      <c r="B80" s="572">
        <v>111.03</v>
      </c>
      <c r="C80" s="213" t="s">
        <v>492</v>
      </c>
      <c r="D80" s="72">
        <v>136</v>
      </c>
      <c r="E80" s="72">
        <v>118</v>
      </c>
      <c r="F80" s="72">
        <f t="shared" ref="F80:F82" si="56">E80-D80</f>
        <v>-18</v>
      </c>
      <c r="G80" s="72" t="s">
        <v>24</v>
      </c>
      <c r="H80" s="84">
        <f>UNITARIOS!K5032</f>
        <v>126</v>
      </c>
      <c r="I80" s="296">
        <f t="shared" si="49"/>
        <v>126</v>
      </c>
      <c r="J80" s="115">
        <f t="shared" si="50"/>
        <v>0</v>
      </c>
      <c r="K80" s="296">
        <f t="shared" si="51"/>
        <v>17136</v>
      </c>
      <c r="L80" s="218">
        <f t="shared" si="52"/>
        <v>14868</v>
      </c>
      <c r="M80" s="218">
        <f t="shared" si="53"/>
        <v>14868</v>
      </c>
      <c r="N80" s="310">
        <f t="shared" si="54"/>
        <v>-2268</v>
      </c>
      <c r="O80" s="311">
        <f t="shared" si="55"/>
        <v>-2268</v>
      </c>
      <c r="T80" s="5"/>
    </row>
    <row r="81" spans="2:23" x14ac:dyDescent="0.25">
      <c r="B81" s="572">
        <v>114.03</v>
      </c>
      <c r="C81" s="213" t="s">
        <v>276</v>
      </c>
      <c r="D81" s="72">
        <v>156</v>
      </c>
      <c r="E81" s="72">
        <v>139</v>
      </c>
      <c r="F81" s="72">
        <f t="shared" si="56"/>
        <v>-17</v>
      </c>
      <c r="G81" s="72" t="s">
        <v>24</v>
      </c>
      <c r="H81" s="84">
        <f>UNITARIOS!K5088</f>
        <v>84</v>
      </c>
      <c r="I81" s="296">
        <f t="shared" si="49"/>
        <v>84</v>
      </c>
      <c r="J81" s="115">
        <f t="shared" si="50"/>
        <v>0</v>
      </c>
      <c r="K81" s="296">
        <f t="shared" si="51"/>
        <v>13104</v>
      </c>
      <c r="L81" s="218">
        <f t="shared" si="52"/>
        <v>11676</v>
      </c>
      <c r="M81" s="218">
        <f t="shared" si="53"/>
        <v>11676</v>
      </c>
      <c r="N81" s="310">
        <f t="shared" si="54"/>
        <v>-1428</v>
      </c>
      <c r="O81" s="311">
        <f t="shared" si="55"/>
        <v>-1428</v>
      </c>
      <c r="T81" s="5"/>
    </row>
    <row r="82" spans="2:23" x14ac:dyDescent="0.25">
      <c r="B82" s="572">
        <v>115.02</v>
      </c>
      <c r="C82" s="213" t="s">
        <v>380</v>
      </c>
      <c r="D82" s="72">
        <v>2</v>
      </c>
      <c r="E82" s="72">
        <v>2</v>
      </c>
      <c r="F82" s="72">
        <f t="shared" si="56"/>
        <v>0</v>
      </c>
      <c r="G82" s="72" t="s">
        <v>25</v>
      </c>
      <c r="H82" s="84">
        <f>UNITARIOS!K4442</f>
        <v>308</v>
      </c>
      <c r="I82" s="296">
        <f t="shared" si="49"/>
        <v>308</v>
      </c>
      <c r="J82" s="115">
        <f t="shared" si="50"/>
        <v>0</v>
      </c>
      <c r="K82" s="296">
        <f t="shared" si="51"/>
        <v>616</v>
      </c>
      <c r="L82" s="218">
        <f t="shared" si="52"/>
        <v>616</v>
      </c>
      <c r="M82" s="218">
        <f t="shared" si="53"/>
        <v>616</v>
      </c>
      <c r="N82" s="310">
        <f t="shared" si="54"/>
        <v>0</v>
      </c>
      <c r="O82" s="311">
        <f t="shared" si="55"/>
        <v>0</v>
      </c>
      <c r="P82" s="236"/>
      <c r="T82" s="5"/>
    </row>
    <row r="83" spans="2:23" x14ac:dyDescent="0.25">
      <c r="B83" s="571"/>
      <c r="C83" s="88" t="s">
        <v>49</v>
      </c>
      <c r="D83" s="72"/>
      <c r="E83" s="72"/>
      <c r="F83" s="72"/>
      <c r="G83" s="73" t="s">
        <v>59</v>
      </c>
      <c r="H83" s="84"/>
      <c r="I83" s="296"/>
      <c r="J83" s="296"/>
      <c r="K83" s="296"/>
      <c r="L83" s="218"/>
      <c r="M83" s="218"/>
      <c r="N83" s="308"/>
      <c r="O83" s="305"/>
      <c r="P83" s="236">
        <f>SUM(L79:L82)</f>
        <v>29008</v>
      </c>
      <c r="T83" s="5"/>
    </row>
    <row r="84" spans="2:23" x14ac:dyDescent="0.25">
      <c r="B84" s="570">
        <v>503.01</v>
      </c>
      <c r="C84" s="213" t="s">
        <v>727</v>
      </c>
      <c r="D84" s="72">
        <v>0</v>
      </c>
      <c r="E84" s="72">
        <v>139</v>
      </c>
      <c r="F84" s="72">
        <f t="shared" ref="F84:F85" si="57">E84-D84</f>
        <v>139</v>
      </c>
      <c r="G84" s="72" t="s">
        <v>24</v>
      </c>
      <c r="H84" s="84">
        <v>450</v>
      </c>
      <c r="I84" s="296">
        <f>H84</f>
        <v>450</v>
      </c>
      <c r="J84" s="115">
        <f>I84-H84</f>
        <v>0</v>
      </c>
      <c r="K84" s="296">
        <f>D84*H84</f>
        <v>0</v>
      </c>
      <c r="L84" s="218">
        <f>+E84*H84</f>
        <v>62550</v>
      </c>
      <c r="M84" s="218">
        <f>+E84*I84</f>
        <v>62550</v>
      </c>
      <c r="N84" s="310">
        <f>L84-K84</f>
        <v>62550</v>
      </c>
      <c r="O84" s="311">
        <f>M84-K84</f>
        <v>62550</v>
      </c>
      <c r="T84" s="5"/>
    </row>
    <row r="85" spans="2:23" x14ac:dyDescent="0.25">
      <c r="B85" s="570">
        <v>505.02</v>
      </c>
      <c r="C85" s="213" t="s">
        <v>728</v>
      </c>
      <c r="D85" s="72">
        <v>0</v>
      </c>
      <c r="E85" s="72">
        <v>139</v>
      </c>
      <c r="F85" s="72">
        <f t="shared" si="57"/>
        <v>139</v>
      </c>
      <c r="G85" s="72" t="s">
        <v>24</v>
      </c>
      <c r="H85" s="84">
        <v>435</v>
      </c>
      <c r="I85" s="296">
        <f>H85</f>
        <v>435</v>
      </c>
      <c r="J85" s="115">
        <f>I85-H85</f>
        <v>0</v>
      </c>
      <c r="K85" s="296">
        <f>D85*H85</f>
        <v>0</v>
      </c>
      <c r="L85" s="218">
        <f>+E85*H85</f>
        <v>60465</v>
      </c>
      <c r="M85" s="218">
        <f>+E85*I85</f>
        <v>60465</v>
      </c>
      <c r="N85" s="310">
        <f>L85-K85</f>
        <v>60465</v>
      </c>
      <c r="O85" s="311">
        <f>M85-K85</f>
        <v>60465</v>
      </c>
      <c r="T85" s="5"/>
    </row>
    <row r="86" spans="2:23" x14ac:dyDescent="0.25">
      <c r="B86" s="571"/>
      <c r="C86" s="88" t="s">
        <v>50</v>
      </c>
      <c r="D86" s="72"/>
      <c r="E86" s="72"/>
      <c r="F86" s="72"/>
      <c r="G86" s="73" t="s">
        <v>59</v>
      </c>
      <c r="H86" s="84"/>
      <c r="I86" s="296"/>
      <c r="J86" s="296"/>
      <c r="K86" s="296"/>
      <c r="L86" s="218"/>
      <c r="M86" s="218"/>
      <c r="N86" s="308"/>
      <c r="O86" s="305"/>
      <c r="P86" s="236">
        <f>SUM(L84:L85)</f>
        <v>123015</v>
      </c>
      <c r="T86" s="5"/>
    </row>
    <row r="87" spans="2:23" x14ac:dyDescent="0.25">
      <c r="B87" s="572">
        <v>603.04999999999995</v>
      </c>
      <c r="C87" s="214" t="s">
        <v>729</v>
      </c>
      <c r="D87" s="72">
        <v>108</v>
      </c>
      <c r="E87" s="72">
        <v>118</v>
      </c>
      <c r="F87" s="72">
        <f>E87-D87</f>
        <v>10</v>
      </c>
      <c r="G87" s="72" t="s">
        <v>24</v>
      </c>
      <c r="H87" s="84">
        <v>300</v>
      </c>
      <c r="I87" s="296">
        <f t="shared" ref="I87:I88" si="58">H87</f>
        <v>300</v>
      </c>
      <c r="J87" s="115">
        <f t="shared" ref="J87:J88" si="59">I87-H87</f>
        <v>0</v>
      </c>
      <c r="K87" s="296">
        <f t="shared" ref="K87:K88" si="60">D87*H87</f>
        <v>32400</v>
      </c>
      <c r="L87" s="218">
        <f t="shared" ref="L87:L88" si="61">+E87*H87</f>
        <v>35400</v>
      </c>
      <c r="M87" s="218">
        <f t="shared" ref="M87:M88" si="62">+E87*I87</f>
        <v>35400</v>
      </c>
      <c r="N87" s="310">
        <f t="shared" ref="N87:N88" si="63">L87-K87</f>
        <v>3000</v>
      </c>
      <c r="O87" s="311">
        <f t="shared" ref="O87:O88" si="64">M87-K87</f>
        <v>3000</v>
      </c>
      <c r="T87" s="5"/>
    </row>
    <row r="88" spans="2:23" x14ac:dyDescent="0.25">
      <c r="B88" s="572">
        <v>611.01</v>
      </c>
      <c r="C88" s="214" t="s">
        <v>52</v>
      </c>
      <c r="D88" s="72">
        <v>280</v>
      </c>
      <c r="E88" s="72">
        <v>240</v>
      </c>
      <c r="F88" s="72">
        <f>E88-D88</f>
        <v>-40</v>
      </c>
      <c r="G88" s="72" t="s">
        <v>24</v>
      </c>
      <c r="H88" s="84">
        <f>UNITARIOS!K4653</f>
        <v>49</v>
      </c>
      <c r="I88" s="296">
        <f t="shared" si="58"/>
        <v>49</v>
      </c>
      <c r="J88" s="115">
        <f t="shared" si="59"/>
        <v>0</v>
      </c>
      <c r="K88" s="296">
        <f t="shared" si="60"/>
        <v>13720</v>
      </c>
      <c r="L88" s="218">
        <f t="shared" si="61"/>
        <v>11760</v>
      </c>
      <c r="M88" s="218">
        <f t="shared" si="62"/>
        <v>11760</v>
      </c>
      <c r="N88" s="310">
        <f t="shared" si="63"/>
        <v>-1960</v>
      </c>
      <c r="O88" s="311">
        <f t="shared" si="64"/>
        <v>-1960</v>
      </c>
      <c r="P88" s="236"/>
      <c r="T88" s="5"/>
    </row>
    <row r="89" spans="2:23" x14ac:dyDescent="0.25">
      <c r="B89" s="571"/>
      <c r="C89" s="88" t="s">
        <v>53</v>
      </c>
      <c r="D89" s="72"/>
      <c r="E89" s="72"/>
      <c r="F89" s="72"/>
      <c r="G89" s="73" t="s">
        <v>59</v>
      </c>
      <c r="H89" s="84"/>
      <c r="I89" s="296"/>
      <c r="J89" s="296"/>
      <c r="K89" s="296"/>
      <c r="L89" s="218"/>
      <c r="M89" s="218"/>
      <c r="N89" s="308"/>
      <c r="O89" s="305"/>
      <c r="P89" s="236">
        <f>SUM(L87:L88)</f>
        <v>47160</v>
      </c>
      <c r="T89" s="5"/>
    </row>
    <row r="90" spans="2:23" x14ac:dyDescent="0.25">
      <c r="B90" s="572">
        <v>701.02</v>
      </c>
      <c r="C90" s="214" t="s">
        <v>559</v>
      </c>
      <c r="D90" s="72">
        <v>2</v>
      </c>
      <c r="E90" s="72">
        <v>2</v>
      </c>
      <c r="F90" s="72">
        <f>E90-D90</f>
        <v>0</v>
      </c>
      <c r="G90" s="72" t="s">
        <v>25</v>
      </c>
      <c r="H90" s="84">
        <f>UNITARIOS!K4709</f>
        <v>2583</v>
      </c>
      <c r="I90" s="296">
        <f>H90</f>
        <v>2583</v>
      </c>
      <c r="J90" s="115">
        <f>I90-H90</f>
        <v>0</v>
      </c>
      <c r="K90" s="296">
        <f>D90*H90</f>
        <v>5166</v>
      </c>
      <c r="L90" s="218">
        <f>+E90*H90</f>
        <v>5166</v>
      </c>
      <c r="M90" s="218">
        <f>+E90*I90</f>
        <v>5166</v>
      </c>
      <c r="N90" s="310">
        <f>L90-K90</f>
        <v>0</v>
      </c>
      <c r="O90" s="311">
        <f>M90-K90</f>
        <v>0</v>
      </c>
      <c r="P90" s="236"/>
      <c r="T90" s="5"/>
    </row>
    <row r="91" spans="2:23" s="192" customFormat="1" x14ac:dyDescent="0.25">
      <c r="B91" s="571"/>
      <c r="C91" s="216" t="s">
        <v>520</v>
      </c>
      <c r="D91" s="196"/>
      <c r="E91" s="196"/>
      <c r="F91" s="196"/>
      <c r="G91" s="197" t="s">
        <v>59</v>
      </c>
      <c r="H91" s="198"/>
      <c r="I91" s="298"/>
      <c r="J91" s="298"/>
      <c r="K91" s="298"/>
      <c r="L91" s="219"/>
      <c r="M91" s="219"/>
      <c r="N91" s="309"/>
      <c r="O91" s="306"/>
      <c r="P91" s="236">
        <f>SUM(L90)</f>
        <v>5166</v>
      </c>
      <c r="Q91" s="573">
        <f>SUM(P82:P91)</f>
        <v>204349</v>
      </c>
      <c r="R91" s="573">
        <f>SUM(L79:L91)</f>
        <v>204349</v>
      </c>
      <c r="T91" s="193"/>
      <c r="W91" s="194"/>
    </row>
    <row r="92" spans="2:23" x14ac:dyDescent="0.25">
      <c r="B92" s="572"/>
      <c r="C92" s="88" t="s">
        <v>45</v>
      </c>
      <c r="D92" s="72"/>
      <c r="E92" s="72"/>
      <c r="F92" s="72"/>
      <c r="G92" s="72"/>
      <c r="H92" s="84"/>
      <c r="I92" s="296"/>
      <c r="J92" s="296"/>
      <c r="K92" s="296"/>
      <c r="L92" s="218"/>
      <c r="M92" s="218"/>
      <c r="N92" s="308"/>
      <c r="O92" s="305"/>
      <c r="T92" s="5"/>
    </row>
    <row r="93" spans="2:23" x14ac:dyDescent="0.25">
      <c r="B93" s="572">
        <v>105.02</v>
      </c>
      <c r="C93" s="213" t="s">
        <v>380</v>
      </c>
      <c r="D93" s="72">
        <v>3</v>
      </c>
      <c r="E93" s="72">
        <v>2</v>
      </c>
      <c r="F93" s="72">
        <f>E93-D93</f>
        <v>-1</v>
      </c>
      <c r="G93" s="72" t="s">
        <v>25</v>
      </c>
      <c r="H93" s="84">
        <f>UNITARIOS!K5200</f>
        <v>308</v>
      </c>
      <c r="I93" s="296">
        <f t="shared" ref="I93:I95" si="65">H93</f>
        <v>308</v>
      </c>
      <c r="J93" s="115">
        <f t="shared" ref="J93:J95" si="66">I93-H93</f>
        <v>0</v>
      </c>
      <c r="K93" s="296">
        <f t="shared" ref="K93:K95" si="67">D93*H93</f>
        <v>924</v>
      </c>
      <c r="L93" s="218">
        <f t="shared" ref="L93:L95" si="68">+E93*H93</f>
        <v>616</v>
      </c>
      <c r="M93" s="218">
        <f t="shared" ref="M93:M95" si="69">+E93*I93</f>
        <v>616</v>
      </c>
      <c r="N93" s="310">
        <f t="shared" ref="N93:N95" si="70">L93-K93</f>
        <v>-308</v>
      </c>
      <c r="O93" s="311">
        <f t="shared" ref="O93:O95" si="71">M93-K93</f>
        <v>-308</v>
      </c>
      <c r="P93" s="236"/>
      <c r="T93" s="5"/>
    </row>
    <row r="94" spans="2:23" x14ac:dyDescent="0.25">
      <c r="B94" s="572">
        <v>111.03</v>
      </c>
      <c r="C94" s="213" t="s">
        <v>492</v>
      </c>
      <c r="D94" s="72">
        <v>6</v>
      </c>
      <c r="E94" s="72">
        <v>4</v>
      </c>
      <c r="F94" s="72">
        <f>E94-D94</f>
        <v>-2</v>
      </c>
      <c r="G94" s="72" t="s">
        <v>24</v>
      </c>
      <c r="H94" s="84">
        <f>UNITARIOS!K5528</f>
        <v>126</v>
      </c>
      <c r="I94" s="296">
        <f t="shared" si="65"/>
        <v>126</v>
      </c>
      <c r="J94" s="115">
        <f t="shared" si="66"/>
        <v>0</v>
      </c>
      <c r="K94" s="296">
        <f t="shared" si="67"/>
        <v>756</v>
      </c>
      <c r="L94" s="218">
        <f t="shared" si="68"/>
        <v>504</v>
      </c>
      <c r="M94" s="218">
        <f t="shared" si="69"/>
        <v>504</v>
      </c>
      <c r="N94" s="310">
        <f t="shared" si="70"/>
        <v>-252</v>
      </c>
      <c r="O94" s="311">
        <f t="shared" si="71"/>
        <v>-252</v>
      </c>
      <c r="T94" s="5"/>
    </row>
    <row r="95" spans="2:23" x14ac:dyDescent="0.25">
      <c r="B95" s="572">
        <v>117.01</v>
      </c>
      <c r="C95" s="214" t="s">
        <v>328</v>
      </c>
      <c r="D95" s="72">
        <v>6</v>
      </c>
      <c r="E95" s="72">
        <v>2</v>
      </c>
      <c r="F95" s="72">
        <f>E95-D95</f>
        <v>-4</v>
      </c>
      <c r="G95" s="72" t="s">
        <v>25</v>
      </c>
      <c r="H95" s="84">
        <f>UNITARIOS!K5584</f>
        <v>364</v>
      </c>
      <c r="I95" s="296">
        <f t="shared" si="65"/>
        <v>364</v>
      </c>
      <c r="J95" s="115">
        <f t="shared" si="66"/>
        <v>0</v>
      </c>
      <c r="K95" s="296">
        <f t="shared" si="67"/>
        <v>2184</v>
      </c>
      <c r="L95" s="218">
        <f t="shared" si="68"/>
        <v>728</v>
      </c>
      <c r="M95" s="218">
        <f t="shared" si="69"/>
        <v>728</v>
      </c>
      <c r="N95" s="310">
        <f t="shared" si="70"/>
        <v>-1456</v>
      </c>
      <c r="O95" s="311">
        <f t="shared" si="71"/>
        <v>-1456</v>
      </c>
      <c r="P95" s="236"/>
      <c r="T95" s="5"/>
    </row>
    <row r="96" spans="2:23" x14ac:dyDescent="0.25">
      <c r="B96" s="572"/>
      <c r="C96" s="88" t="s">
        <v>562</v>
      </c>
      <c r="D96" s="72"/>
      <c r="E96" s="72"/>
      <c r="F96" s="72"/>
      <c r="G96" s="72"/>
      <c r="H96" s="84"/>
      <c r="I96" s="296"/>
      <c r="J96" s="296"/>
      <c r="K96" s="296"/>
      <c r="L96" s="218"/>
      <c r="M96" s="218"/>
      <c r="N96" s="308"/>
      <c r="O96" s="305"/>
      <c r="P96" s="236">
        <f>SUM(L93:L95)</f>
        <v>1848</v>
      </c>
      <c r="T96" s="5"/>
    </row>
    <row r="97" spans="2:23" x14ac:dyDescent="0.25">
      <c r="B97" s="572">
        <v>605.08000000000004</v>
      </c>
      <c r="C97" s="214" t="s">
        <v>558</v>
      </c>
      <c r="D97" s="72">
        <v>6</v>
      </c>
      <c r="E97" s="72">
        <v>4</v>
      </c>
      <c r="F97" s="72">
        <f>E97-D97</f>
        <v>-2</v>
      </c>
      <c r="G97" s="72" t="s">
        <v>24</v>
      </c>
      <c r="H97" s="84">
        <f>UNITARIOS!K5251</f>
        <v>350</v>
      </c>
      <c r="I97" s="296">
        <f t="shared" ref="I97:I98" si="72">H97</f>
        <v>350</v>
      </c>
      <c r="J97" s="115">
        <f t="shared" ref="J97:J98" si="73">I97-H97</f>
        <v>0</v>
      </c>
      <c r="K97" s="296">
        <f t="shared" ref="K97:K98" si="74">D97*H97</f>
        <v>2100</v>
      </c>
      <c r="L97" s="218">
        <f t="shared" ref="L97:L98" si="75">+E97*H97</f>
        <v>1400</v>
      </c>
      <c r="M97" s="218">
        <f t="shared" ref="M97:M98" si="76">+E97*I97</f>
        <v>1400</v>
      </c>
      <c r="N97" s="310">
        <f t="shared" ref="N97:N98" si="77">L97-K97</f>
        <v>-700</v>
      </c>
      <c r="O97" s="311">
        <f t="shared" ref="O97:O98" si="78">M97-K97</f>
        <v>-700</v>
      </c>
      <c r="T97" s="5"/>
    </row>
    <row r="98" spans="2:23" x14ac:dyDescent="0.25">
      <c r="B98" s="572">
        <v>609.01</v>
      </c>
      <c r="C98" s="214" t="s">
        <v>521</v>
      </c>
      <c r="D98" s="72">
        <v>17</v>
      </c>
      <c r="E98" s="72">
        <v>10</v>
      </c>
      <c r="F98" s="72">
        <f>E98-D98</f>
        <v>-7</v>
      </c>
      <c r="G98" s="72" t="s">
        <v>24</v>
      </c>
      <c r="H98" s="84">
        <f>UNITARIOS!K5304</f>
        <v>238</v>
      </c>
      <c r="I98" s="296">
        <f t="shared" si="72"/>
        <v>238</v>
      </c>
      <c r="J98" s="115">
        <f t="shared" si="73"/>
        <v>0</v>
      </c>
      <c r="K98" s="296">
        <f t="shared" si="74"/>
        <v>4046</v>
      </c>
      <c r="L98" s="218">
        <f t="shared" si="75"/>
        <v>2380</v>
      </c>
      <c r="M98" s="218">
        <f t="shared" si="76"/>
        <v>2380</v>
      </c>
      <c r="N98" s="310">
        <f t="shared" si="77"/>
        <v>-1666</v>
      </c>
      <c r="O98" s="311">
        <f t="shared" si="78"/>
        <v>-1666</v>
      </c>
      <c r="P98" s="236"/>
      <c r="T98" s="5"/>
    </row>
    <row r="99" spans="2:23" x14ac:dyDescent="0.25">
      <c r="B99" s="571"/>
      <c r="C99" s="88" t="s">
        <v>53</v>
      </c>
      <c r="D99" s="72"/>
      <c r="E99" s="72"/>
      <c r="F99" s="72"/>
      <c r="G99" s="73" t="s">
        <v>59</v>
      </c>
      <c r="H99" s="84"/>
      <c r="I99" s="296"/>
      <c r="J99" s="296"/>
      <c r="K99" s="296"/>
      <c r="L99" s="218"/>
      <c r="M99" s="218"/>
      <c r="N99" s="308"/>
      <c r="O99" s="305"/>
      <c r="P99" s="236">
        <f>SUM(L97:L98)</f>
        <v>3780</v>
      </c>
      <c r="T99" s="5"/>
    </row>
    <row r="100" spans="2:23" x14ac:dyDescent="0.25">
      <c r="B100" s="572">
        <v>701.02</v>
      </c>
      <c r="C100" s="214" t="s">
        <v>559</v>
      </c>
      <c r="D100" s="72">
        <v>3</v>
      </c>
      <c r="E100" s="72">
        <v>2</v>
      </c>
      <c r="F100" s="72">
        <f>E100-D100</f>
        <v>-1</v>
      </c>
      <c r="G100" s="72" t="s">
        <v>25</v>
      </c>
      <c r="H100" s="84">
        <f>UNITARIOS!K5360</f>
        <v>2583</v>
      </c>
      <c r="I100" s="296">
        <f>H100</f>
        <v>2583</v>
      </c>
      <c r="J100" s="115">
        <f>I100-H100</f>
        <v>0</v>
      </c>
      <c r="K100" s="296">
        <f>D100*H100</f>
        <v>7749</v>
      </c>
      <c r="L100" s="218">
        <f>+E100*H100</f>
        <v>5166</v>
      </c>
      <c r="M100" s="218">
        <f>+E100*I100</f>
        <v>5166</v>
      </c>
      <c r="N100" s="310">
        <f>L100-K100</f>
        <v>-2583</v>
      </c>
      <c r="O100" s="311">
        <f>M100-K100</f>
        <v>-2583</v>
      </c>
      <c r="P100" s="236"/>
      <c r="T100" s="5"/>
    </row>
    <row r="101" spans="2:23" x14ac:dyDescent="0.25">
      <c r="B101" s="572"/>
      <c r="C101" s="88" t="s">
        <v>549</v>
      </c>
      <c r="D101" s="72"/>
      <c r="E101" s="72"/>
      <c r="F101" s="72"/>
      <c r="G101" s="72"/>
      <c r="H101" s="84"/>
      <c r="I101" s="296"/>
      <c r="J101" s="296"/>
      <c r="K101" s="296"/>
      <c r="L101" s="218"/>
      <c r="M101" s="218"/>
      <c r="N101" s="308"/>
      <c r="O101" s="305"/>
      <c r="P101" s="236">
        <f>SUM(L100)</f>
        <v>5166</v>
      </c>
      <c r="T101" s="5"/>
    </row>
    <row r="102" spans="2:23" x14ac:dyDescent="0.25">
      <c r="B102" s="572">
        <v>1001.01</v>
      </c>
      <c r="C102" s="214" t="s">
        <v>282</v>
      </c>
      <c r="D102" s="72">
        <v>3</v>
      </c>
      <c r="E102" s="72">
        <v>2</v>
      </c>
      <c r="F102" s="72">
        <f>E102-D102</f>
        <v>-1</v>
      </c>
      <c r="G102" s="72" t="s">
        <v>25</v>
      </c>
      <c r="H102" s="84">
        <f>UNITARIOS!K5416</f>
        <v>2051</v>
      </c>
      <c r="I102" s="296">
        <f t="shared" ref="I102:I103" si="79">H102</f>
        <v>2051</v>
      </c>
      <c r="J102" s="115">
        <f t="shared" ref="J102:J103" si="80">I102-H102</f>
        <v>0</v>
      </c>
      <c r="K102" s="296">
        <f t="shared" ref="K102:K103" si="81">D102*H102</f>
        <v>6153</v>
      </c>
      <c r="L102" s="218">
        <f>+E102*H102</f>
        <v>4102</v>
      </c>
      <c r="M102" s="218">
        <f t="shared" ref="M102:M103" si="82">+E102*I102</f>
        <v>4102</v>
      </c>
      <c r="N102" s="310">
        <f t="shared" ref="N102:N103" si="83">L102-K102</f>
        <v>-2051</v>
      </c>
      <c r="O102" s="311">
        <f t="shared" ref="O102:O103" si="84">M102-K102</f>
        <v>-2051</v>
      </c>
      <c r="T102" s="5"/>
    </row>
    <row r="103" spans="2:23" x14ac:dyDescent="0.25">
      <c r="B103" s="572">
        <v>1002.02</v>
      </c>
      <c r="C103" s="214" t="s">
        <v>508</v>
      </c>
      <c r="D103" s="72">
        <v>3</v>
      </c>
      <c r="E103" s="72">
        <v>2</v>
      </c>
      <c r="F103" s="72">
        <f>E103-D103</f>
        <v>-1</v>
      </c>
      <c r="G103" s="72" t="s">
        <v>25</v>
      </c>
      <c r="H103" s="84">
        <f>UNITARIOS!K5472</f>
        <v>1428</v>
      </c>
      <c r="I103" s="296">
        <f t="shared" si="79"/>
        <v>1428</v>
      </c>
      <c r="J103" s="115">
        <f t="shared" si="80"/>
        <v>0</v>
      </c>
      <c r="K103" s="296">
        <f t="shared" si="81"/>
        <v>4284</v>
      </c>
      <c r="L103" s="218">
        <f>+E103*H103</f>
        <v>2856</v>
      </c>
      <c r="M103" s="218">
        <f t="shared" si="82"/>
        <v>2856</v>
      </c>
      <c r="N103" s="310">
        <f t="shared" si="83"/>
        <v>-1428</v>
      </c>
      <c r="O103" s="311">
        <f t="shared" si="84"/>
        <v>-1428</v>
      </c>
      <c r="P103" s="236"/>
      <c r="T103" s="5"/>
    </row>
    <row r="104" spans="2:23" s="192" customFormat="1" x14ac:dyDescent="0.25">
      <c r="B104" s="200"/>
      <c r="C104" s="216" t="s">
        <v>564</v>
      </c>
      <c r="D104" s="196"/>
      <c r="E104" s="196"/>
      <c r="F104" s="196"/>
      <c r="G104" s="201" t="s">
        <v>59</v>
      </c>
      <c r="H104" s="198"/>
      <c r="I104" s="298"/>
      <c r="J104" s="298"/>
      <c r="K104" s="298"/>
      <c r="L104" s="219"/>
      <c r="M104" s="219"/>
      <c r="N104" s="309"/>
      <c r="O104" s="306"/>
      <c r="P104" s="236">
        <f>SUM(L102:L103)</f>
        <v>6958</v>
      </c>
      <c r="Q104" s="573">
        <f>SUM(P95:P104)</f>
        <v>17752</v>
      </c>
      <c r="R104" s="573">
        <f>SUM(L92:L104)</f>
        <v>17752</v>
      </c>
      <c r="T104" s="193"/>
      <c r="W104" s="194"/>
    </row>
    <row r="105" spans="2:23" x14ac:dyDescent="0.25">
      <c r="B105" s="85"/>
      <c r="C105" s="88" t="s">
        <v>548</v>
      </c>
      <c r="D105" s="72"/>
      <c r="E105" s="72"/>
      <c r="F105" s="72"/>
      <c r="G105" s="86"/>
      <c r="H105" s="84"/>
      <c r="I105" s="296"/>
      <c r="J105" s="296"/>
      <c r="K105" s="296"/>
      <c r="L105" s="218"/>
      <c r="M105" s="218"/>
      <c r="N105" s="308"/>
      <c r="O105" s="305"/>
      <c r="T105" s="5"/>
    </row>
    <row r="106" spans="2:23" ht="16.5" thickBot="1" x14ac:dyDescent="0.3">
      <c r="B106" s="85">
        <v>909.04</v>
      </c>
      <c r="C106" s="214" t="s">
        <v>567</v>
      </c>
      <c r="D106" s="72">
        <v>1</v>
      </c>
      <c r="E106" s="72">
        <v>1</v>
      </c>
      <c r="F106" s="72">
        <f>E106-D106</f>
        <v>0</v>
      </c>
      <c r="G106" s="86" t="s">
        <v>25</v>
      </c>
      <c r="H106" s="84">
        <f>UNITARIOS!K5696</f>
        <v>8757</v>
      </c>
      <c r="I106" s="296">
        <f>H106</f>
        <v>8757</v>
      </c>
      <c r="J106" s="115">
        <f>I106-H106</f>
        <v>0</v>
      </c>
      <c r="K106" s="296">
        <f>D106*H106</f>
        <v>8757</v>
      </c>
      <c r="L106" s="218">
        <f>+E106*H106</f>
        <v>8757</v>
      </c>
      <c r="M106" s="218">
        <f>+E106*I106</f>
        <v>8757</v>
      </c>
      <c r="N106" s="310">
        <f>L106-K106</f>
        <v>0</v>
      </c>
      <c r="O106" s="311">
        <f>M106-K106</f>
        <v>0</v>
      </c>
      <c r="P106" s="236"/>
      <c r="Q106" s="68">
        <f>L106</f>
        <v>8757</v>
      </c>
      <c r="R106" s="68">
        <f>L106</f>
        <v>8757</v>
      </c>
      <c r="T106" s="5"/>
    </row>
    <row r="107" spans="2:23" ht="16.5" thickBot="1" x14ac:dyDescent="0.3">
      <c r="B107" s="396" t="s">
        <v>8</v>
      </c>
      <c r="C107" s="397"/>
      <c r="D107" s="397"/>
      <c r="E107" s="397"/>
      <c r="F107" s="397"/>
      <c r="G107" s="397"/>
      <c r="H107" s="397"/>
      <c r="I107" s="299"/>
      <c r="J107" s="299"/>
      <c r="K107" s="299"/>
      <c r="L107" s="220">
        <f>SUM(L10:L106)</f>
        <v>464856.39</v>
      </c>
      <c r="M107" s="220">
        <f>SUM(M10:M106)</f>
        <v>456413.77399999998</v>
      </c>
      <c r="N107" s="220">
        <f>SUM(N10:N106)</f>
        <v>193814.21000000002</v>
      </c>
      <c r="O107" s="220">
        <f>SUM(O10:O106)</f>
        <v>185371.59400000001</v>
      </c>
      <c r="Q107" s="69">
        <f>Q106+Q104+Q91+Q77+Q63</f>
        <v>464856.39</v>
      </c>
      <c r="T107" s="5"/>
    </row>
    <row r="108" spans="2:23" x14ac:dyDescent="0.25">
      <c r="Q108" s="69"/>
    </row>
    <row r="109" spans="2:23" x14ac:dyDescent="0.25">
      <c r="Q109" s="70"/>
    </row>
  </sheetData>
  <mergeCells count="8">
    <mergeCell ref="R8:W8"/>
    <mergeCell ref="B107:H107"/>
    <mergeCell ref="B1:L1"/>
    <mergeCell ref="B2:L2"/>
    <mergeCell ref="B3:L3"/>
    <mergeCell ref="B4:L4"/>
    <mergeCell ref="B5:L5"/>
    <mergeCell ref="B7:O7"/>
  </mergeCells>
  <conditionalFormatting sqref="F15 F28 F46:F48 N87:O88 J87:J88 F38:F40 J38:J40 N38:O40 F80:F82 J79:J82 N79:O82">
    <cfRule type="cellIs" dxfId="623" priority="1204" operator="equal">
      <formula>0</formula>
    </cfRule>
    <cfRule type="cellIs" dxfId="622" priority="1205" operator="lessThan">
      <formula>0</formula>
    </cfRule>
    <cfRule type="cellIs" dxfId="621" priority="1206" operator="greaterThan">
      <formula>0</formula>
    </cfRule>
  </conditionalFormatting>
  <conditionalFormatting sqref="J15">
    <cfRule type="cellIs" dxfId="620" priority="1201" operator="equal">
      <formula>0</formula>
    </cfRule>
    <cfRule type="cellIs" dxfId="619" priority="1202" operator="lessThan">
      <formula>0</formula>
    </cfRule>
    <cfRule type="cellIs" dxfId="618" priority="1203" operator="greaterThan">
      <formula>0</formula>
    </cfRule>
  </conditionalFormatting>
  <conditionalFormatting sqref="N14">
    <cfRule type="cellIs" dxfId="617" priority="1192" operator="equal">
      <formula>0</formula>
    </cfRule>
    <cfRule type="cellIs" dxfId="616" priority="1193" operator="lessThan">
      <formula>0</formula>
    </cfRule>
    <cfRule type="cellIs" dxfId="615" priority="1194" operator="greaterThan">
      <formula>0</formula>
    </cfRule>
  </conditionalFormatting>
  <conditionalFormatting sqref="F14">
    <cfRule type="cellIs" dxfId="614" priority="1198" operator="equal">
      <formula>0</formula>
    </cfRule>
    <cfRule type="cellIs" dxfId="613" priority="1199" operator="lessThan">
      <formula>0</formula>
    </cfRule>
    <cfRule type="cellIs" dxfId="612" priority="1200" operator="greaterThan">
      <formula>0</formula>
    </cfRule>
  </conditionalFormatting>
  <conditionalFormatting sqref="J14">
    <cfRule type="cellIs" dxfId="611" priority="1195" operator="equal">
      <formula>0</formula>
    </cfRule>
    <cfRule type="cellIs" dxfId="610" priority="1196" operator="lessThan">
      <formula>0</formula>
    </cfRule>
    <cfRule type="cellIs" dxfId="609" priority="1197" operator="greaterThan">
      <formula>0</formula>
    </cfRule>
  </conditionalFormatting>
  <conditionalFormatting sqref="O14">
    <cfRule type="cellIs" dxfId="608" priority="1189" operator="equal">
      <formula>0</formula>
    </cfRule>
    <cfRule type="cellIs" dxfId="607" priority="1190" operator="lessThan">
      <formula>0</formula>
    </cfRule>
    <cfRule type="cellIs" dxfId="606" priority="1191" operator="greaterThan">
      <formula>0</formula>
    </cfRule>
  </conditionalFormatting>
  <conditionalFormatting sqref="O15">
    <cfRule type="cellIs" dxfId="605" priority="1186" operator="equal">
      <formula>0</formula>
    </cfRule>
    <cfRule type="cellIs" dxfId="604" priority="1187" operator="lessThan">
      <formula>0</formula>
    </cfRule>
    <cfRule type="cellIs" dxfId="603" priority="1188" operator="greaterThan">
      <formula>0</formula>
    </cfRule>
  </conditionalFormatting>
  <conditionalFormatting sqref="N15">
    <cfRule type="cellIs" dxfId="602" priority="1183" operator="equal">
      <formula>0</formula>
    </cfRule>
    <cfRule type="cellIs" dxfId="601" priority="1184" operator="lessThan">
      <formula>0</formula>
    </cfRule>
    <cfRule type="cellIs" dxfId="600" priority="1185" operator="greaterThan">
      <formula>0</formula>
    </cfRule>
  </conditionalFormatting>
  <conditionalFormatting sqref="F13">
    <cfRule type="cellIs" dxfId="599" priority="1180" operator="equal">
      <formula>0</formula>
    </cfRule>
    <cfRule type="cellIs" dxfId="598" priority="1181" operator="lessThan">
      <formula>0</formula>
    </cfRule>
    <cfRule type="cellIs" dxfId="597" priority="1182" operator="greaterThan">
      <formula>0</formula>
    </cfRule>
  </conditionalFormatting>
  <conditionalFormatting sqref="J13">
    <cfRule type="cellIs" dxfId="596" priority="1177" operator="equal">
      <formula>0</formula>
    </cfRule>
    <cfRule type="cellIs" dxfId="595" priority="1178" operator="lessThan">
      <formula>0</formula>
    </cfRule>
    <cfRule type="cellIs" dxfId="594" priority="1179" operator="greaterThan">
      <formula>0</formula>
    </cfRule>
  </conditionalFormatting>
  <conditionalFormatting sqref="N13">
    <cfRule type="cellIs" dxfId="593" priority="1174" operator="equal">
      <formula>0</formula>
    </cfRule>
    <cfRule type="cellIs" dxfId="592" priority="1175" operator="lessThan">
      <formula>0</formula>
    </cfRule>
    <cfRule type="cellIs" dxfId="591" priority="1176" operator="greaterThan">
      <formula>0</formula>
    </cfRule>
  </conditionalFormatting>
  <conditionalFormatting sqref="O13">
    <cfRule type="cellIs" dxfId="590" priority="1171" operator="equal">
      <formula>0</formula>
    </cfRule>
    <cfRule type="cellIs" dxfId="589" priority="1172" operator="lessThan">
      <formula>0</formula>
    </cfRule>
    <cfRule type="cellIs" dxfId="588" priority="1173" operator="greaterThan">
      <formula>0</formula>
    </cfRule>
  </conditionalFormatting>
  <conditionalFormatting sqref="F16">
    <cfRule type="cellIs" dxfId="587" priority="1168" operator="equal">
      <formula>0</formula>
    </cfRule>
    <cfRule type="cellIs" dxfId="586" priority="1169" operator="lessThan">
      <formula>0</formula>
    </cfRule>
    <cfRule type="cellIs" dxfId="585" priority="1170" operator="greaterThan">
      <formula>0</formula>
    </cfRule>
  </conditionalFormatting>
  <conditionalFormatting sqref="J16">
    <cfRule type="cellIs" dxfId="584" priority="1165" operator="equal">
      <formula>0</formula>
    </cfRule>
    <cfRule type="cellIs" dxfId="583" priority="1166" operator="lessThan">
      <formula>0</formula>
    </cfRule>
    <cfRule type="cellIs" dxfId="582" priority="1167" operator="greaterThan">
      <formula>0</formula>
    </cfRule>
  </conditionalFormatting>
  <conditionalFormatting sqref="N16">
    <cfRule type="cellIs" dxfId="581" priority="1162" operator="equal">
      <formula>0</formula>
    </cfRule>
    <cfRule type="cellIs" dxfId="580" priority="1163" operator="lessThan">
      <formula>0</formula>
    </cfRule>
    <cfRule type="cellIs" dxfId="579" priority="1164" operator="greaterThan">
      <formula>0</formula>
    </cfRule>
  </conditionalFormatting>
  <conditionalFormatting sqref="O16">
    <cfRule type="cellIs" dxfId="578" priority="1159" operator="equal">
      <formula>0</formula>
    </cfRule>
    <cfRule type="cellIs" dxfId="577" priority="1160" operator="lessThan">
      <formula>0</formula>
    </cfRule>
    <cfRule type="cellIs" dxfId="576" priority="1161" operator="greaterThan">
      <formula>0</formula>
    </cfRule>
  </conditionalFormatting>
  <conditionalFormatting sqref="F17:F18">
    <cfRule type="cellIs" dxfId="575" priority="1156" operator="equal">
      <formula>0</formula>
    </cfRule>
    <cfRule type="cellIs" dxfId="574" priority="1157" operator="lessThan">
      <formula>0</formula>
    </cfRule>
    <cfRule type="cellIs" dxfId="573" priority="1158" operator="greaterThan">
      <formula>0</formula>
    </cfRule>
  </conditionalFormatting>
  <conditionalFormatting sqref="J17:J18">
    <cfRule type="cellIs" dxfId="572" priority="1153" operator="equal">
      <formula>0</formula>
    </cfRule>
    <cfRule type="cellIs" dxfId="571" priority="1154" operator="lessThan">
      <formula>0</formula>
    </cfRule>
    <cfRule type="cellIs" dxfId="570" priority="1155" operator="greaterThan">
      <formula>0</formula>
    </cfRule>
  </conditionalFormatting>
  <conditionalFormatting sqref="N17:N18">
    <cfRule type="cellIs" dxfId="569" priority="1150" operator="equal">
      <formula>0</formula>
    </cfRule>
    <cfRule type="cellIs" dxfId="568" priority="1151" operator="lessThan">
      <formula>0</formula>
    </cfRule>
    <cfRule type="cellIs" dxfId="567" priority="1152" operator="greaterThan">
      <formula>0</formula>
    </cfRule>
  </conditionalFormatting>
  <conditionalFormatting sqref="O17:O18">
    <cfRule type="cellIs" dxfId="566" priority="1147" operator="equal">
      <formula>0</formula>
    </cfRule>
    <cfRule type="cellIs" dxfId="565" priority="1148" operator="lessThan">
      <formula>0</formula>
    </cfRule>
    <cfRule type="cellIs" dxfId="564" priority="1149" operator="greaterThan">
      <formula>0</formula>
    </cfRule>
  </conditionalFormatting>
  <conditionalFormatting sqref="F12">
    <cfRule type="cellIs" dxfId="563" priority="1135" operator="equal">
      <formula>0</formula>
    </cfRule>
    <cfRule type="cellIs" dxfId="562" priority="1136" operator="lessThan">
      <formula>0</formula>
    </cfRule>
    <cfRule type="cellIs" dxfId="561" priority="1137" operator="greaterThan">
      <formula>0</formula>
    </cfRule>
  </conditionalFormatting>
  <conditionalFormatting sqref="J12">
    <cfRule type="cellIs" dxfId="560" priority="1132" operator="equal">
      <formula>0</formula>
    </cfRule>
    <cfRule type="cellIs" dxfId="559" priority="1133" operator="lessThan">
      <formula>0</formula>
    </cfRule>
    <cfRule type="cellIs" dxfId="558" priority="1134" operator="greaterThan">
      <formula>0</formula>
    </cfRule>
  </conditionalFormatting>
  <conditionalFormatting sqref="F19">
    <cfRule type="cellIs" dxfId="557" priority="1144" operator="equal">
      <formula>0</formula>
    </cfRule>
    <cfRule type="cellIs" dxfId="556" priority="1145" operator="lessThan">
      <formula>0</formula>
    </cfRule>
    <cfRule type="cellIs" dxfId="555" priority="1146" operator="greaterThan">
      <formula>0</formula>
    </cfRule>
  </conditionalFormatting>
  <conditionalFormatting sqref="N19">
    <cfRule type="cellIs" dxfId="554" priority="1141" operator="equal">
      <formula>0</formula>
    </cfRule>
    <cfRule type="cellIs" dxfId="553" priority="1142" operator="lessThan">
      <formula>0</formula>
    </cfRule>
    <cfRule type="cellIs" dxfId="552" priority="1143" operator="greaterThan">
      <formula>0</formula>
    </cfRule>
  </conditionalFormatting>
  <conditionalFormatting sqref="O19">
    <cfRule type="cellIs" dxfId="551" priority="1138" operator="equal">
      <formula>0</formula>
    </cfRule>
    <cfRule type="cellIs" dxfId="550" priority="1139" operator="lessThan">
      <formula>0</formula>
    </cfRule>
    <cfRule type="cellIs" dxfId="549" priority="1140" operator="greaterThan">
      <formula>0</formula>
    </cfRule>
  </conditionalFormatting>
  <conditionalFormatting sqref="N12">
    <cfRule type="cellIs" dxfId="548" priority="1129" operator="equal">
      <formula>0</formula>
    </cfRule>
    <cfRule type="cellIs" dxfId="547" priority="1130" operator="lessThan">
      <formula>0</formula>
    </cfRule>
    <cfRule type="cellIs" dxfId="546" priority="1131" operator="greaterThan">
      <formula>0</formula>
    </cfRule>
  </conditionalFormatting>
  <conditionalFormatting sqref="O12">
    <cfRule type="cellIs" dxfId="545" priority="1126" operator="equal">
      <formula>0</formula>
    </cfRule>
    <cfRule type="cellIs" dxfId="544" priority="1127" operator="lessThan">
      <formula>0</formula>
    </cfRule>
    <cfRule type="cellIs" dxfId="543" priority="1128" operator="greaterThan">
      <formula>0</formula>
    </cfRule>
  </conditionalFormatting>
  <conditionalFormatting sqref="F23">
    <cfRule type="cellIs" dxfId="542" priority="1123" operator="equal">
      <formula>0</formula>
    </cfRule>
    <cfRule type="cellIs" dxfId="541" priority="1124" operator="lessThan">
      <formula>0</formula>
    </cfRule>
    <cfRule type="cellIs" dxfId="540" priority="1125" operator="greaterThan">
      <formula>0</formula>
    </cfRule>
  </conditionalFormatting>
  <conditionalFormatting sqref="J19">
    <cfRule type="cellIs" dxfId="539" priority="1120" operator="equal">
      <formula>0</formula>
    </cfRule>
    <cfRule type="cellIs" dxfId="538" priority="1121" operator="lessThan">
      <formula>0</formula>
    </cfRule>
    <cfRule type="cellIs" dxfId="537" priority="1122" operator="greaterThan">
      <formula>0</formula>
    </cfRule>
  </conditionalFormatting>
  <conditionalFormatting sqref="J23">
    <cfRule type="cellIs" dxfId="536" priority="1117" operator="equal">
      <formula>0</formula>
    </cfRule>
    <cfRule type="cellIs" dxfId="535" priority="1118" operator="lessThan">
      <formula>0</formula>
    </cfRule>
    <cfRule type="cellIs" dxfId="534" priority="1119" operator="greaterThan">
      <formula>0</formula>
    </cfRule>
  </conditionalFormatting>
  <conditionalFormatting sqref="N23">
    <cfRule type="cellIs" dxfId="533" priority="1114" operator="equal">
      <formula>0</formula>
    </cfRule>
    <cfRule type="cellIs" dxfId="532" priority="1115" operator="lessThan">
      <formula>0</formula>
    </cfRule>
    <cfRule type="cellIs" dxfId="531" priority="1116" operator="greaterThan">
      <formula>0</formula>
    </cfRule>
  </conditionalFormatting>
  <conditionalFormatting sqref="O23">
    <cfRule type="cellIs" dxfId="530" priority="1111" operator="equal">
      <formula>0</formula>
    </cfRule>
    <cfRule type="cellIs" dxfId="529" priority="1112" operator="lessThan">
      <formula>0</formula>
    </cfRule>
    <cfRule type="cellIs" dxfId="528" priority="1113" operator="greaterThan">
      <formula>0</formula>
    </cfRule>
  </conditionalFormatting>
  <conditionalFormatting sqref="F21">
    <cfRule type="cellIs" dxfId="527" priority="1108" operator="equal">
      <formula>0</formula>
    </cfRule>
    <cfRule type="cellIs" dxfId="526" priority="1109" operator="lessThan">
      <formula>0</formula>
    </cfRule>
    <cfRule type="cellIs" dxfId="525" priority="1110" operator="greaterThan">
      <formula>0</formula>
    </cfRule>
  </conditionalFormatting>
  <conditionalFormatting sqref="J21">
    <cfRule type="cellIs" dxfId="524" priority="1105" operator="equal">
      <formula>0</formula>
    </cfRule>
    <cfRule type="cellIs" dxfId="523" priority="1106" operator="lessThan">
      <formula>0</formula>
    </cfRule>
    <cfRule type="cellIs" dxfId="522" priority="1107" operator="greaterThan">
      <formula>0</formula>
    </cfRule>
  </conditionalFormatting>
  <conditionalFormatting sqref="N21">
    <cfRule type="cellIs" dxfId="521" priority="1102" operator="equal">
      <formula>0</formula>
    </cfRule>
    <cfRule type="cellIs" dxfId="520" priority="1103" operator="lessThan">
      <formula>0</formula>
    </cfRule>
    <cfRule type="cellIs" dxfId="519" priority="1104" operator="greaterThan">
      <formula>0</formula>
    </cfRule>
  </conditionalFormatting>
  <conditionalFormatting sqref="O21">
    <cfRule type="cellIs" dxfId="518" priority="1099" operator="equal">
      <formula>0</formula>
    </cfRule>
    <cfRule type="cellIs" dxfId="517" priority="1100" operator="lessThan">
      <formula>0</formula>
    </cfRule>
    <cfRule type="cellIs" dxfId="516" priority="1101" operator="greaterThan">
      <formula>0</formula>
    </cfRule>
  </conditionalFormatting>
  <conditionalFormatting sqref="F22">
    <cfRule type="cellIs" dxfId="515" priority="1096" operator="equal">
      <formula>0</formula>
    </cfRule>
    <cfRule type="cellIs" dxfId="514" priority="1097" operator="lessThan">
      <formula>0</formula>
    </cfRule>
    <cfRule type="cellIs" dxfId="513" priority="1098" operator="greaterThan">
      <formula>0</formula>
    </cfRule>
  </conditionalFormatting>
  <conditionalFormatting sqref="J22">
    <cfRule type="cellIs" dxfId="512" priority="1093" operator="equal">
      <formula>0</formula>
    </cfRule>
    <cfRule type="cellIs" dxfId="511" priority="1094" operator="lessThan">
      <formula>0</formula>
    </cfRule>
    <cfRule type="cellIs" dxfId="510" priority="1095" operator="greaterThan">
      <formula>0</formula>
    </cfRule>
  </conditionalFormatting>
  <conditionalFormatting sqref="N22">
    <cfRule type="cellIs" dxfId="509" priority="1090" operator="equal">
      <formula>0</formula>
    </cfRule>
    <cfRule type="cellIs" dxfId="508" priority="1091" operator="lessThan">
      <formula>0</formula>
    </cfRule>
    <cfRule type="cellIs" dxfId="507" priority="1092" operator="greaterThan">
      <formula>0</formula>
    </cfRule>
  </conditionalFormatting>
  <conditionalFormatting sqref="O22">
    <cfRule type="cellIs" dxfId="506" priority="1087" operator="equal">
      <formula>0</formula>
    </cfRule>
    <cfRule type="cellIs" dxfId="505" priority="1088" operator="lessThan">
      <formula>0</formula>
    </cfRule>
    <cfRule type="cellIs" dxfId="504" priority="1089" operator="greaterThan">
      <formula>0</formula>
    </cfRule>
  </conditionalFormatting>
  <conditionalFormatting sqref="F24">
    <cfRule type="cellIs" dxfId="503" priority="1060" operator="equal">
      <formula>0</formula>
    </cfRule>
    <cfRule type="cellIs" dxfId="502" priority="1061" operator="lessThan">
      <formula>0</formula>
    </cfRule>
    <cfRule type="cellIs" dxfId="501" priority="1062" operator="greaterThan">
      <formula>0</formula>
    </cfRule>
  </conditionalFormatting>
  <conditionalFormatting sqref="J24">
    <cfRule type="cellIs" dxfId="500" priority="1057" operator="equal">
      <formula>0</formula>
    </cfRule>
    <cfRule type="cellIs" dxfId="499" priority="1058" operator="lessThan">
      <formula>0</formula>
    </cfRule>
    <cfRule type="cellIs" dxfId="498" priority="1059" operator="greaterThan">
      <formula>0</formula>
    </cfRule>
  </conditionalFormatting>
  <conditionalFormatting sqref="N24">
    <cfRule type="cellIs" dxfId="497" priority="1054" operator="equal">
      <formula>0</formula>
    </cfRule>
    <cfRule type="cellIs" dxfId="496" priority="1055" operator="lessThan">
      <formula>0</formula>
    </cfRule>
    <cfRule type="cellIs" dxfId="495" priority="1056" operator="greaterThan">
      <formula>0</formula>
    </cfRule>
  </conditionalFormatting>
  <conditionalFormatting sqref="O24">
    <cfRule type="cellIs" dxfId="494" priority="1051" operator="equal">
      <formula>0</formula>
    </cfRule>
    <cfRule type="cellIs" dxfId="493" priority="1052" operator="lessThan">
      <formula>0</formula>
    </cfRule>
    <cfRule type="cellIs" dxfId="492" priority="1053" operator="greaterThan">
      <formula>0</formula>
    </cfRule>
  </conditionalFormatting>
  <conditionalFormatting sqref="F26">
    <cfRule type="cellIs" dxfId="491" priority="1012" operator="equal">
      <formula>0</formula>
    </cfRule>
    <cfRule type="cellIs" dxfId="490" priority="1013" operator="lessThan">
      <formula>0</formula>
    </cfRule>
    <cfRule type="cellIs" dxfId="489" priority="1014" operator="greaterThan">
      <formula>0</formula>
    </cfRule>
  </conditionalFormatting>
  <conditionalFormatting sqref="J26">
    <cfRule type="cellIs" dxfId="488" priority="1009" operator="equal">
      <formula>0</formula>
    </cfRule>
    <cfRule type="cellIs" dxfId="487" priority="1010" operator="lessThan">
      <formula>0</formula>
    </cfRule>
    <cfRule type="cellIs" dxfId="486" priority="1011" operator="greaterThan">
      <formula>0</formula>
    </cfRule>
  </conditionalFormatting>
  <conditionalFormatting sqref="N26">
    <cfRule type="cellIs" dxfId="485" priority="1006" operator="equal">
      <formula>0</formula>
    </cfRule>
    <cfRule type="cellIs" dxfId="484" priority="1007" operator="lessThan">
      <formula>0</formula>
    </cfRule>
    <cfRule type="cellIs" dxfId="483" priority="1008" operator="greaterThan">
      <formula>0</formula>
    </cfRule>
  </conditionalFormatting>
  <conditionalFormatting sqref="O26">
    <cfRule type="cellIs" dxfId="482" priority="1003" operator="equal">
      <formula>0</formula>
    </cfRule>
    <cfRule type="cellIs" dxfId="481" priority="1004" operator="lessThan">
      <formula>0</formula>
    </cfRule>
    <cfRule type="cellIs" dxfId="480" priority="1005" operator="greaterThan">
      <formula>0</formula>
    </cfRule>
  </conditionalFormatting>
  <conditionalFormatting sqref="F52">
    <cfRule type="cellIs" dxfId="479" priority="859" operator="equal">
      <formula>0</formula>
    </cfRule>
    <cfRule type="cellIs" dxfId="478" priority="860" operator="lessThan">
      <formula>0</formula>
    </cfRule>
    <cfRule type="cellIs" dxfId="477" priority="861" operator="greaterThan">
      <formula>0</formula>
    </cfRule>
  </conditionalFormatting>
  <conditionalFormatting sqref="F53">
    <cfRule type="cellIs" dxfId="476" priority="856" operator="equal">
      <formula>0</formula>
    </cfRule>
    <cfRule type="cellIs" dxfId="475" priority="857" operator="lessThan">
      <formula>0</formula>
    </cfRule>
    <cfRule type="cellIs" dxfId="474" priority="858" operator="greaterThan">
      <formula>0</formula>
    </cfRule>
  </conditionalFormatting>
  <conditionalFormatting sqref="F54">
    <cfRule type="cellIs" dxfId="473" priority="850" operator="equal">
      <formula>0</formula>
    </cfRule>
    <cfRule type="cellIs" dxfId="472" priority="851" operator="lessThan">
      <formula>0</formula>
    </cfRule>
    <cfRule type="cellIs" dxfId="471" priority="852" operator="greaterThan">
      <formula>0</formula>
    </cfRule>
  </conditionalFormatting>
  <conditionalFormatting sqref="F55">
    <cfRule type="cellIs" dxfId="470" priority="847" operator="equal">
      <formula>0</formula>
    </cfRule>
    <cfRule type="cellIs" dxfId="469" priority="848" operator="lessThan">
      <formula>0</formula>
    </cfRule>
    <cfRule type="cellIs" dxfId="468" priority="849" operator="greaterThan">
      <formula>0</formula>
    </cfRule>
  </conditionalFormatting>
  <conditionalFormatting sqref="F57">
    <cfRule type="cellIs" dxfId="467" priority="844" operator="equal">
      <formula>0</formula>
    </cfRule>
    <cfRule type="cellIs" dxfId="466" priority="845" operator="lessThan">
      <formula>0</formula>
    </cfRule>
    <cfRule type="cellIs" dxfId="465" priority="846" operator="greaterThan">
      <formula>0</formula>
    </cfRule>
  </conditionalFormatting>
  <conditionalFormatting sqref="F58">
    <cfRule type="cellIs" dxfId="464" priority="838" operator="equal">
      <formula>0</formula>
    </cfRule>
    <cfRule type="cellIs" dxfId="463" priority="839" operator="lessThan">
      <formula>0</formula>
    </cfRule>
    <cfRule type="cellIs" dxfId="462" priority="840" operator="greaterThan">
      <formula>0</formula>
    </cfRule>
  </conditionalFormatting>
  <conditionalFormatting sqref="F62">
    <cfRule type="cellIs" dxfId="461" priority="835" operator="equal">
      <formula>0</formula>
    </cfRule>
    <cfRule type="cellIs" dxfId="460" priority="836" operator="lessThan">
      <formula>0</formula>
    </cfRule>
    <cfRule type="cellIs" dxfId="459" priority="837" operator="greaterThan">
      <formula>0</formula>
    </cfRule>
  </conditionalFormatting>
  <conditionalFormatting sqref="F42">
    <cfRule type="cellIs" dxfId="458" priority="796" operator="equal">
      <formula>0</formula>
    </cfRule>
    <cfRule type="cellIs" dxfId="457" priority="797" operator="lessThan">
      <formula>0</formula>
    </cfRule>
    <cfRule type="cellIs" dxfId="456" priority="798" operator="greaterThan">
      <formula>0</formula>
    </cfRule>
  </conditionalFormatting>
  <conditionalFormatting sqref="F60">
    <cfRule type="cellIs" dxfId="455" priority="709" operator="equal">
      <formula>0</formula>
    </cfRule>
    <cfRule type="cellIs" dxfId="454" priority="710" operator="lessThan">
      <formula>0</formula>
    </cfRule>
    <cfRule type="cellIs" dxfId="453" priority="711" operator="greaterThan">
      <formula>0</formula>
    </cfRule>
  </conditionalFormatting>
  <conditionalFormatting sqref="J42">
    <cfRule type="cellIs" dxfId="452" priority="793" operator="equal">
      <formula>0</formula>
    </cfRule>
    <cfRule type="cellIs" dxfId="451" priority="794" operator="lessThan">
      <formula>0</formula>
    </cfRule>
    <cfRule type="cellIs" dxfId="450" priority="795" operator="greaterThan">
      <formula>0</formula>
    </cfRule>
  </conditionalFormatting>
  <conditionalFormatting sqref="N42">
    <cfRule type="cellIs" dxfId="449" priority="790" operator="equal">
      <formula>0</formula>
    </cfRule>
    <cfRule type="cellIs" dxfId="448" priority="791" operator="lessThan">
      <formula>0</formula>
    </cfRule>
    <cfRule type="cellIs" dxfId="447" priority="792" operator="greaterThan">
      <formula>0</formula>
    </cfRule>
  </conditionalFormatting>
  <conditionalFormatting sqref="O42">
    <cfRule type="cellIs" dxfId="446" priority="787" operator="equal">
      <formula>0</formula>
    </cfRule>
    <cfRule type="cellIs" dxfId="445" priority="788" operator="lessThan">
      <formula>0</formula>
    </cfRule>
    <cfRule type="cellIs" dxfId="444" priority="789" operator="greaterThan">
      <formula>0</formula>
    </cfRule>
  </conditionalFormatting>
  <conditionalFormatting sqref="F44">
    <cfRule type="cellIs" dxfId="443" priority="784" operator="equal">
      <formula>0</formula>
    </cfRule>
    <cfRule type="cellIs" dxfId="442" priority="785" operator="lessThan">
      <formula>0</formula>
    </cfRule>
    <cfRule type="cellIs" dxfId="441" priority="786" operator="greaterThan">
      <formula>0</formula>
    </cfRule>
  </conditionalFormatting>
  <conditionalFormatting sqref="J44">
    <cfRule type="cellIs" dxfId="440" priority="781" operator="equal">
      <formula>0</formula>
    </cfRule>
    <cfRule type="cellIs" dxfId="439" priority="782" operator="lessThan">
      <formula>0</formula>
    </cfRule>
    <cfRule type="cellIs" dxfId="438" priority="783" operator="greaterThan">
      <formula>0</formula>
    </cfRule>
  </conditionalFormatting>
  <conditionalFormatting sqref="N44">
    <cfRule type="cellIs" dxfId="437" priority="778" operator="equal">
      <formula>0</formula>
    </cfRule>
    <cfRule type="cellIs" dxfId="436" priority="779" operator="lessThan">
      <formula>0</formula>
    </cfRule>
    <cfRule type="cellIs" dxfId="435" priority="780" operator="greaterThan">
      <formula>0</formula>
    </cfRule>
  </conditionalFormatting>
  <conditionalFormatting sqref="O44">
    <cfRule type="cellIs" dxfId="434" priority="775" operator="equal">
      <formula>0</formula>
    </cfRule>
    <cfRule type="cellIs" dxfId="433" priority="776" operator="lessThan">
      <formula>0</formula>
    </cfRule>
    <cfRule type="cellIs" dxfId="432" priority="777" operator="greaterThan">
      <formula>0</formula>
    </cfRule>
  </conditionalFormatting>
  <conditionalFormatting sqref="O57">
    <cfRule type="cellIs" dxfId="431" priority="739" operator="equal">
      <formula>0</formula>
    </cfRule>
    <cfRule type="cellIs" dxfId="430" priority="740" operator="lessThan">
      <formula>0</formula>
    </cfRule>
    <cfRule type="cellIs" dxfId="429" priority="741" operator="greaterThan">
      <formula>0</formula>
    </cfRule>
  </conditionalFormatting>
  <conditionalFormatting sqref="J57">
    <cfRule type="cellIs" dxfId="428" priority="745" operator="equal">
      <formula>0</formula>
    </cfRule>
    <cfRule type="cellIs" dxfId="427" priority="746" operator="lessThan">
      <formula>0</formula>
    </cfRule>
    <cfRule type="cellIs" dxfId="426" priority="747" operator="greaterThan">
      <formula>0</formula>
    </cfRule>
  </conditionalFormatting>
  <conditionalFormatting sqref="N57">
    <cfRule type="cellIs" dxfId="425" priority="742" operator="equal">
      <formula>0</formula>
    </cfRule>
    <cfRule type="cellIs" dxfId="424" priority="743" operator="lessThan">
      <formula>0</formula>
    </cfRule>
    <cfRule type="cellIs" dxfId="423" priority="744" operator="greaterThan">
      <formula>0</formula>
    </cfRule>
  </conditionalFormatting>
  <conditionalFormatting sqref="O58">
    <cfRule type="cellIs" dxfId="422" priority="721" operator="equal">
      <formula>0</formula>
    </cfRule>
    <cfRule type="cellIs" dxfId="421" priority="722" operator="lessThan">
      <formula>0</formula>
    </cfRule>
    <cfRule type="cellIs" dxfId="420" priority="723" operator="greaterThan">
      <formula>0</formula>
    </cfRule>
  </conditionalFormatting>
  <conditionalFormatting sqref="J58">
    <cfRule type="cellIs" dxfId="419" priority="727" operator="equal">
      <formula>0</formula>
    </cfRule>
    <cfRule type="cellIs" dxfId="418" priority="728" operator="lessThan">
      <formula>0</formula>
    </cfRule>
    <cfRule type="cellIs" dxfId="417" priority="729" operator="greaterThan">
      <formula>0</formula>
    </cfRule>
  </conditionalFormatting>
  <conditionalFormatting sqref="N58">
    <cfRule type="cellIs" dxfId="416" priority="724" operator="equal">
      <formula>0</formula>
    </cfRule>
    <cfRule type="cellIs" dxfId="415" priority="725" operator="lessThan">
      <formula>0</formula>
    </cfRule>
    <cfRule type="cellIs" dxfId="414" priority="726" operator="greaterThan">
      <formula>0</formula>
    </cfRule>
  </conditionalFormatting>
  <conditionalFormatting sqref="O62">
    <cfRule type="cellIs" dxfId="413" priority="712" operator="equal">
      <formula>0</formula>
    </cfRule>
    <cfRule type="cellIs" dxfId="412" priority="713" operator="lessThan">
      <formula>0</formula>
    </cfRule>
    <cfRule type="cellIs" dxfId="411" priority="714" operator="greaterThan">
      <formula>0</formula>
    </cfRule>
  </conditionalFormatting>
  <conditionalFormatting sqref="J62">
    <cfRule type="cellIs" dxfId="410" priority="718" operator="equal">
      <formula>0</formula>
    </cfRule>
    <cfRule type="cellIs" dxfId="409" priority="719" operator="lessThan">
      <formula>0</formula>
    </cfRule>
    <cfRule type="cellIs" dxfId="408" priority="720" operator="greaterThan">
      <formula>0</formula>
    </cfRule>
  </conditionalFormatting>
  <conditionalFormatting sqref="N62">
    <cfRule type="cellIs" dxfId="407" priority="715" operator="equal">
      <formula>0</formula>
    </cfRule>
    <cfRule type="cellIs" dxfId="406" priority="716" operator="lessThan">
      <formula>0</formula>
    </cfRule>
    <cfRule type="cellIs" dxfId="405" priority="717" operator="greaterThan">
      <formula>0</formula>
    </cfRule>
  </conditionalFormatting>
  <conditionalFormatting sqref="J28">
    <cfRule type="cellIs" dxfId="404" priority="682" operator="equal">
      <formula>0</formula>
    </cfRule>
    <cfRule type="cellIs" dxfId="403" priority="683" operator="lessThan">
      <formula>0</formula>
    </cfRule>
    <cfRule type="cellIs" dxfId="402" priority="684" operator="greaterThan">
      <formula>0</formula>
    </cfRule>
  </conditionalFormatting>
  <conditionalFormatting sqref="N28">
    <cfRule type="cellIs" dxfId="401" priority="679" operator="equal">
      <formula>0</formula>
    </cfRule>
    <cfRule type="cellIs" dxfId="400" priority="680" operator="lessThan">
      <formula>0</formula>
    </cfRule>
    <cfRule type="cellIs" dxfId="399" priority="681" operator="greaterThan">
      <formula>0</formula>
    </cfRule>
  </conditionalFormatting>
  <conditionalFormatting sqref="O28">
    <cfRule type="cellIs" dxfId="398" priority="676" operator="equal">
      <formula>0</formula>
    </cfRule>
    <cfRule type="cellIs" dxfId="397" priority="677" operator="lessThan">
      <formula>0</formula>
    </cfRule>
    <cfRule type="cellIs" dxfId="396" priority="678" operator="greaterThan">
      <formula>0</formula>
    </cfRule>
  </conditionalFormatting>
  <conditionalFormatting sqref="F29">
    <cfRule type="cellIs" dxfId="395" priority="661" operator="equal">
      <formula>0</formula>
    </cfRule>
    <cfRule type="cellIs" dxfId="394" priority="662" operator="lessThan">
      <formula>0</formula>
    </cfRule>
    <cfRule type="cellIs" dxfId="393" priority="663" operator="greaterThan">
      <formula>0</formula>
    </cfRule>
  </conditionalFormatting>
  <conditionalFormatting sqref="F30">
    <cfRule type="cellIs" dxfId="389" priority="655" operator="equal">
      <formula>0</formula>
    </cfRule>
    <cfRule type="cellIs" dxfId="388" priority="656" operator="lessThan">
      <formula>0</formula>
    </cfRule>
    <cfRule type="cellIs" dxfId="387" priority="657" operator="greaterThan">
      <formula>0</formula>
    </cfRule>
  </conditionalFormatting>
  <conditionalFormatting sqref="F31">
    <cfRule type="cellIs" dxfId="386" priority="652" operator="equal">
      <formula>0</formula>
    </cfRule>
    <cfRule type="cellIs" dxfId="385" priority="653" operator="lessThan">
      <formula>0</formula>
    </cfRule>
    <cfRule type="cellIs" dxfId="384" priority="654" operator="greaterThan">
      <formula>0</formula>
    </cfRule>
  </conditionalFormatting>
  <conditionalFormatting sqref="F32">
    <cfRule type="cellIs" dxfId="383" priority="649" operator="equal">
      <formula>0</formula>
    </cfRule>
    <cfRule type="cellIs" dxfId="382" priority="650" operator="lessThan">
      <formula>0</formula>
    </cfRule>
    <cfRule type="cellIs" dxfId="381" priority="651" operator="greaterThan">
      <formula>0</formula>
    </cfRule>
  </conditionalFormatting>
  <conditionalFormatting sqref="J29">
    <cfRule type="cellIs" dxfId="380" priority="646" operator="equal">
      <formula>0</formula>
    </cfRule>
    <cfRule type="cellIs" dxfId="379" priority="647" operator="lessThan">
      <formula>0</formula>
    </cfRule>
    <cfRule type="cellIs" dxfId="378" priority="648" operator="greaterThan">
      <formula>0</formula>
    </cfRule>
  </conditionalFormatting>
  <conditionalFormatting sqref="N29">
    <cfRule type="cellIs" dxfId="377" priority="643" operator="equal">
      <formula>0</formula>
    </cfRule>
    <cfRule type="cellIs" dxfId="376" priority="644" operator="lessThan">
      <formula>0</formula>
    </cfRule>
    <cfRule type="cellIs" dxfId="375" priority="645" operator="greaterThan">
      <formula>0</formula>
    </cfRule>
  </conditionalFormatting>
  <conditionalFormatting sqref="O29">
    <cfRule type="cellIs" dxfId="374" priority="640" operator="equal">
      <formula>0</formula>
    </cfRule>
    <cfRule type="cellIs" dxfId="373" priority="641" operator="lessThan">
      <formula>0</formula>
    </cfRule>
    <cfRule type="cellIs" dxfId="372" priority="642" operator="greaterThan">
      <formula>0</formula>
    </cfRule>
  </conditionalFormatting>
  <conditionalFormatting sqref="J30">
    <cfRule type="cellIs" dxfId="362" priority="628" operator="equal">
      <formula>0</formula>
    </cfRule>
    <cfRule type="cellIs" dxfId="361" priority="629" operator="lessThan">
      <formula>0</formula>
    </cfRule>
    <cfRule type="cellIs" dxfId="360" priority="630" operator="greaterThan">
      <formula>0</formula>
    </cfRule>
  </conditionalFormatting>
  <conditionalFormatting sqref="N30">
    <cfRule type="cellIs" dxfId="359" priority="625" operator="equal">
      <formula>0</formula>
    </cfRule>
    <cfRule type="cellIs" dxfId="358" priority="626" operator="lessThan">
      <formula>0</formula>
    </cfRule>
    <cfRule type="cellIs" dxfId="357" priority="627" operator="greaterThan">
      <formula>0</formula>
    </cfRule>
  </conditionalFormatting>
  <conditionalFormatting sqref="O30">
    <cfRule type="cellIs" dxfId="356" priority="622" operator="equal">
      <formula>0</formula>
    </cfRule>
    <cfRule type="cellIs" dxfId="355" priority="623" operator="lessThan">
      <formula>0</formula>
    </cfRule>
    <cfRule type="cellIs" dxfId="354" priority="624" operator="greaterThan">
      <formula>0</formula>
    </cfRule>
  </conditionalFormatting>
  <conditionalFormatting sqref="J31">
    <cfRule type="cellIs" dxfId="353" priority="619" operator="equal">
      <formula>0</formula>
    </cfRule>
    <cfRule type="cellIs" dxfId="352" priority="620" operator="lessThan">
      <formula>0</formula>
    </cfRule>
    <cfRule type="cellIs" dxfId="351" priority="621" operator="greaterThan">
      <formula>0</formula>
    </cfRule>
  </conditionalFormatting>
  <conditionalFormatting sqref="N31">
    <cfRule type="cellIs" dxfId="350" priority="616" operator="equal">
      <formula>0</formula>
    </cfRule>
    <cfRule type="cellIs" dxfId="349" priority="617" operator="lessThan">
      <formula>0</formula>
    </cfRule>
    <cfRule type="cellIs" dxfId="348" priority="618" operator="greaterThan">
      <formula>0</formula>
    </cfRule>
  </conditionalFormatting>
  <conditionalFormatting sqref="O31">
    <cfRule type="cellIs" dxfId="347" priority="613" operator="equal">
      <formula>0</formula>
    </cfRule>
    <cfRule type="cellIs" dxfId="346" priority="614" operator="lessThan">
      <formula>0</formula>
    </cfRule>
    <cfRule type="cellIs" dxfId="345" priority="615" operator="greaterThan">
      <formula>0</formula>
    </cfRule>
  </conditionalFormatting>
  <conditionalFormatting sqref="J32">
    <cfRule type="cellIs" dxfId="344" priority="610" operator="equal">
      <formula>0</formula>
    </cfRule>
    <cfRule type="cellIs" dxfId="343" priority="611" operator="lessThan">
      <formula>0</formula>
    </cfRule>
    <cfRule type="cellIs" dxfId="342" priority="612" operator="greaterThan">
      <formula>0</formula>
    </cfRule>
  </conditionalFormatting>
  <conditionalFormatting sqref="N32">
    <cfRule type="cellIs" dxfId="341" priority="607" operator="equal">
      <formula>0</formula>
    </cfRule>
    <cfRule type="cellIs" dxfId="340" priority="608" operator="lessThan">
      <formula>0</formula>
    </cfRule>
    <cfRule type="cellIs" dxfId="339" priority="609" operator="greaterThan">
      <formula>0</formula>
    </cfRule>
  </conditionalFormatting>
  <conditionalFormatting sqref="O32">
    <cfRule type="cellIs" dxfId="338" priority="604" operator="equal">
      <formula>0</formula>
    </cfRule>
    <cfRule type="cellIs" dxfId="337" priority="605" operator="lessThan">
      <formula>0</formula>
    </cfRule>
    <cfRule type="cellIs" dxfId="336" priority="606" operator="greaterThan">
      <formula>0</formula>
    </cfRule>
  </conditionalFormatting>
  <conditionalFormatting sqref="O52">
    <cfRule type="cellIs" dxfId="335" priority="559" operator="equal">
      <formula>0</formula>
    </cfRule>
    <cfRule type="cellIs" dxfId="334" priority="560" operator="lessThan">
      <formula>0</formula>
    </cfRule>
    <cfRule type="cellIs" dxfId="333" priority="561" operator="greaterThan">
      <formula>0</formula>
    </cfRule>
  </conditionalFormatting>
  <conditionalFormatting sqref="J52">
    <cfRule type="cellIs" dxfId="332" priority="565" operator="equal">
      <formula>0</formula>
    </cfRule>
    <cfRule type="cellIs" dxfId="331" priority="566" operator="lessThan">
      <formula>0</formula>
    </cfRule>
    <cfRule type="cellIs" dxfId="330" priority="567" operator="greaterThan">
      <formula>0</formula>
    </cfRule>
  </conditionalFormatting>
  <conditionalFormatting sqref="N52">
    <cfRule type="cellIs" dxfId="329" priority="562" operator="equal">
      <formula>0</formula>
    </cfRule>
    <cfRule type="cellIs" dxfId="328" priority="563" operator="lessThan">
      <formula>0</formula>
    </cfRule>
    <cfRule type="cellIs" dxfId="327" priority="564" operator="greaterThan">
      <formula>0</formula>
    </cfRule>
  </conditionalFormatting>
  <conditionalFormatting sqref="O53">
    <cfRule type="cellIs" dxfId="326" priority="550" operator="equal">
      <formula>0</formula>
    </cfRule>
    <cfRule type="cellIs" dxfId="325" priority="551" operator="lessThan">
      <formula>0</formula>
    </cfRule>
    <cfRule type="cellIs" dxfId="324" priority="552" operator="greaterThan">
      <formula>0</formula>
    </cfRule>
  </conditionalFormatting>
  <conditionalFormatting sqref="J53">
    <cfRule type="cellIs" dxfId="323" priority="556" operator="equal">
      <formula>0</formula>
    </cfRule>
    <cfRule type="cellIs" dxfId="322" priority="557" operator="lessThan">
      <formula>0</formula>
    </cfRule>
    <cfRule type="cellIs" dxfId="321" priority="558" operator="greaterThan">
      <formula>0</formula>
    </cfRule>
  </conditionalFormatting>
  <conditionalFormatting sqref="N53">
    <cfRule type="cellIs" dxfId="320" priority="553" operator="equal">
      <formula>0</formula>
    </cfRule>
    <cfRule type="cellIs" dxfId="319" priority="554" operator="lessThan">
      <formula>0</formula>
    </cfRule>
    <cfRule type="cellIs" dxfId="318" priority="555" operator="greaterThan">
      <formula>0</formula>
    </cfRule>
  </conditionalFormatting>
  <conditionalFormatting sqref="O54">
    <cfRule type="cellIs" dxfId="317" priority="532" operator="equal">
      <formula>0</formula>
    </cfRule>
    <cfRule type="cellIs" dxfId="316" priority="533" operator="lessThan">
      <formula>0</formula>
    </cfRule>
    <cfRule type="cellIs" dxfId="315" priority="534" operator="greaterThan">
      <formula>0</formula>
    </cfRule>
  </conditionalFormatting>
  <conditionalFormatting sqref="J54">
    <cfRule type="cellIs" dxfId="314" priority="538" operator="equal">
      <formula>0</formula>
    </cfRule>
    <cfRule type="cellIs" dxfId="313" priority="539" operator="lessThan">
      <formula>0</formula>
    </cfRule>
    <cfRule type="cellIs" dxfId="312" priority="540" operator="greaterThan">
      <formula>0</formula>
    </cfRule>
  </conditionalFormatting>
  <conditionalFormatting sqref="N54">
    <cfRule type="cellIs" dxfId="311" priority="535" operator="equal">
      <formula>0</formula>
    </cfRule>
    <cfRule type="cellIs" dxfId="310" priority="536" operator="lessThan">
      <formula>0</formula>
    </cfRule>
    <cfRule type="cellIs" dxfId="309" priority="537" operator="greaterThan">
      <formula>0</formula>
    </cfRule>
  </conditionalFormatting>
  <conditionalFormatting sqref="O55">
    <cfRule type="cellIs" dxfId="308" priority="523" operator="equal">
      <formula>0</formula>
    </cfRule>
    <cfRule type="cellIs" dxfId="307" priority="524" operator="lessThan">
      <formula>0</formula>
    </cfRule>
    <cfRule type="cellIs" dxfId="306" priority="525" operator="greaterThan">
      <formula>0</formula>
    </cfRule>
  </conditionalFormatting>
  <conditionalFormatting sqref="J55">
    <cfRule type="cellIs" dxfId="305" priority="529" operator="equal">
      <formula>0</formula>
    </cfRule>
    <cfRule type="cellIs" dxfId="304" priority="530" operator="lessThan">
      <formula>0</formula>
    </cfRule>
    <cfRule type="cellIs" dxfId="303" priority="531" operator="greaterThan">
      <formula>0</formula>
    </cfRule>
  </conditionalFormatting>
  <conditionalFormatting sqref="N55">
    <cfRule type="cellIs" dxfId="302" priority="526" operator="equal">
      <formula>0</formula>
    </cfRule>
    <cfRule type="cellIs" dxfId="301" priority="527" operator="lessThan">
      <formula>0</formula>
    </cfRule>
    <cfRule type="cellIs" dxfId="300" priority="528" operator="greaterThan">
      <formula>0</formula>
    </cfRule>
  </conditionalFormatting>
  <conditionalFormatting sqref="F49">
    <cfRule type="cellIs" dxfId="299" priority="508" operator="equal">
      <formula>0</formula>
    </cfRule>
    <cfRule type="cellIs" dxfId="298" priority="509" operator="lessThan">
      <formula>0</formula>
    </cfRule>
    <cfRule type="cellIs" dxfId="297" priority="510" operator="greaterThan">
      <formula>0</formula>
    </cfRule>
  </conditionalFormatting>
  <conditionalFormatting sqref="F50">
    <cfRule type="cellIs" dxfId="296" priority="505" operator="equal">
      <formula>0</formula>
    </cfRule>
    <cfRule type="cellIs" dxfId="295" priority="506" operator="lessThan">
      <formula>0</formula>
    </cfRule>
    <cfRule type="cellIs" dxfId="294" priority="507" operator="greaterThan">
      <formula>0</formula>
    </cfRule>
  </conditionalFormatting>
  <conditionalFormatting sqref="J49">
    <cfRule type="cellIs" dxfId="293" priority="502" operator="equal">
      <formula>0</formula>
    </cfRule>
    <cfRule type="cellIs" dxfId="292" priority="503" operator="lessThan">
      <formula>0</formula>
    </cfRule>
    <cfRule type="cellIs" dxfId="291" priority="504" operator="greaterThan">
      <formula>0</formula>
    </cfRule>
  </conditionalFormatting>
  <conditionalFormatting sqref="N49">
    <cfRule type="cellIs" dxfId="290" priority="499" operator="equal">
      <formula>0</formula>
    </cfRule>
    <cfRule type="cellIs" dxfId="289" priority="500" operator="lessThan">
      <formula>0</formula>
    </cfRule>
    <cfRule type="cellIs" dxfId="288" priority="501" operator="greaterThan">
      <formula>0</formula>
    </cfRule>
  </conditionalFormatting>
  <conditionalFormatting sqref="O49">
    <cfRule type="cellIs" dxfId="287" priority="496" operator="equal">
      <formula>0</formula>
    </cfRule>
    <cfRule type="cellIs" dxfId="286" priority="497" operator="lessThan">
      <formula>0</formula>
    </cfRule>
    <cfRule type="cellIs" dxfId="285" priority="498" operator="greaterThan">
      <formula>0</formula>
    </cfRule>
  </conditionalFormatting>
  <conditionalFormatting sqref="J50">
    <cfRule type="cellIs" dxfId="284" priority="493" operator="equal">
      <formula>0</formula>
    </cfRule>
    <cfRule type="cellIs" dxfId="283" priority="494" operator="lessThan">
      <formula>0</formula>
    </cfRule>
    <cfRule type="cellIs" dxfId="282" priority="495" operator="greaterThan">
      <formula>0</formula>
    </cfRule>
  </conditionalFormatting>
  <conditionalFormatting sqref="N50">
    <cfRule type="cellIs" dxfId="281" priority="490" operator="equal">
      <formula>0</formula>
    </cfRule>
    <cfRule type="cellIs" dxfId="280" priority="491" operator="lessThan">
      <formula>0</formula>
    </cfRule>
    <cfRule type="cellIs" dxfId="279" priority="492" operator="greaterThan">
      <formula>0</formula>
    </cfRule>
  </conditionalFormatting>
  <conditionalFormatting sqref="O50">
    <cfRule type="cellIs" dxfId="278" priority="487" operator="equal">
      <formula>0</formula>
    </cfRule>
    <cfRule type="cellIs" dxfId="277" priority="488" operator="lessThan">
      <formula>0</formula>
    </cfRule>
    <cfRule type="cellIs" dxfId="276" priority="489" operator="greaterThan">
      <formula>0</formula>
    </cfRule>
  </conditionalFormatting>
  <conditionalFormatting sqref="F34:F35">
    <cfRule type="cellIs" dxfId="275" priority="472" operator="equal">
      <formula>0</formula>
    </cfRule>
    <cfRule type="cellIs" dxfId="274" priority="473" operator="lessThan">
      <formula>0</formula>
    </cfRule>
    <cfRule type="cellIs" dxfId="273" priority="474" operator="greaterThan">
      <formula>0</formula>
    </cfRule>
  </conditionalFormatting>
  <conditionalFormatting sqref="J46">
    <cfRule type="cellIs" dxfId="272" priority="433" operator="equal">
      <formula>0</formula>
    </cfRule>
    <cfRule type="cellIs" dxfId="271" priority="434" operator="lessThan">
      <formula>0</formula>
    </cfRule>
    <cfRule type="cellIs" dxfId="270" priority="435" operator="greaterThan">
      <formula>0</formula>
    </cfRule>
  </conditionalFormatting>
  <conditionalFormatting sqref="F36">
    <cfRule type="cellIs" dxfId="269" priority="460" operator="equal">
      <formula>0</formula>
    </cfRule>
    <cfRule type="cellIs" dxfId="268" priority="461" operator="lessThan">
      <formula>0</formula>
    </cfRule>
    <cfRule type="cellIs" dxfId="267" priority="462" operator="greaterThan">
      <formula>0</formula>
    </cfRule>
  </conditionalFormatting>
  <conditionalFormatting sqref="J36">
    <cfRule type="cellIs" dxfId="266" priority="457" operator="equal">
      <formula>0</formula>
    </cfRule>
    <cfRule type="cellIs" dxfId="265" priority="458" operator="lessThan">
      <formula>0</formula>
    </cfRule>
    <cfRule type="cellIs" dxfId="264" priority="459" operator="greaterThan">
      <formula>0</formula>
    </cfRule>
  </conditionalFormatting>
  <conditionalFormatting sqref="N36">
    <cfRule type="cellIs" dxfId="263" priority="454" operator="equal">
      <formula>0</formula>
    </cfRule>
    <cfRule type="cellIs" dxfId="262" priority="455" operator="lessThan">
      <formula>0</formula>
    </cfRule>
    <cfRule type="cellIs" dxfId="261" priority="456" operator="greaterThan">
      <formula>0</formula>
    </cfRule>
  </conditionalFormatting>
  <conditionalFormatting sqref="O36">
    <cfRule type="cellIs" dxfId="260" priority="451" operator="equal">
      <formula>0</formula>
    </cfRule>
    <cfRule type="cellIs" dxfId="259" priority="452" operator="lessThan">
      <formula>0</formula>
    </cfRule>
    <cfRule type="cellIs" dxfId="258" priority="453" operator="greaterThan">
      <formula>0</formula>
    </cfRule>
  </conditionalFormatting>
  <conditionalFormatting sqref="N46">
    <cfRule type="cellIs" dxfId="257" priority="430" operator="equal">
      <formula>0</formula>
    </cfRule>
    <cfRule type="cellIs" dxfId="256" priority="431" operator="lessThan">
      <formula>0</formula>
    </cfRule>
    <cfRule type="cellIs" dxfId="255" priority="432" operator="greaterThan">
      <formula>0</formula>
    </cfRule>
  </conditionalFormatting>
  <conditionalFormatting sqref="O46">
    <cfRule type="cellIs" dxfId="254" priority="427" operator="equal">
      <formula>0</formula>
    </cfRule>
    <cfRule type="cellIs" dxfId="253" priority="428" operator="lessThan">
      <formula>0</formula>
    </cfRule>
    <cfRule type="cellIs" dxfId="252" priority="429" operator="greaterThan">
      <formula>0</formula>
    </cfRule>
  </conditionalFormatting>
  <conditionalFormatting sqref="J47">
    <cfRule type="cellIs" dxfId="251" priority="424" operator="equal">
      <formula>0</formula>
    </cfRule>
    <cfRule type="cellIs" dxfId="250" priority="425" operator="lessThan">
      <formula>0</formula>
    </cfRule>
    <cfRule type="cellIs" dxfId="249" priority="426" operator="greaterThan">
      <formula>0</formula>
    </cfRule>
  </conditionalFormatting>
  <conditionalFormatting sqref="N47">
    <cfRule type="cellIs" dxfId="248" priority="421" operator="equal">
      <formula>0</formula>
    </cfRule>
    <cfRule type="cellIs" dxfId="247" priority="422" operator="lessThan">
      <formula>0</formula>
    </cfRule>
    <cfRule type="cellIs" dxfId="246" priority="423" operator="greaterThan">
      <formula>0</formula>
    </cfRule>
  </conditionalFormatting>
  <conditionalFormatting sqref="O47">
    <cfRule type="cellIs" dxfId="245" priority="418" operator="equal">
      <formula>0</formula>
    </cfRule>
    <cfRule type="cellIs" dxfId="244" priority="419" operator="lessThan">
      <formula>0</formula>
    </cfRule>
    <cfRule type="cellIs" dxfId="243" priority="420" operator="greaterThan">
      <formula>0</formula>
    </cfRule>
  </conditionalFormatting>
  <conditionalFormatting sqref="J48">
    <cfRule type="cellIs" dxfId="242" priority="415" operator="equal">
      <formula>0</formula>
    </cfRule>
    <cfRule type="cellIs" dxfId="241" priority="416" operator="lessThan">
      <formula>0</formula>
    </cfRule>
    <cfRule type="cellIs" dxfId="240" priority="417" operator="greaterThan">
      <formula>0</formula>
    </cfRule>
  </conditionalFormatting>
  <conditionalFormatting sqref="N48">
    <cfRule type="cellIs" dxfId="239" priority="412" operator="equal">
      <formula>0</formula>
    </cfRule>
    <cfRule type="cellIs" dxfId="238" priority="413" operator="lessThan">
      <formula>0</formula>
    </cfRule>
    <cfRule type="cellIs" dxfId="237" priority="414" operator="greaterThan">
      <formula>0</formula>
    </cfRule>
  </conditionalFormatting>
  <conditionalFormatting sqref="O48">
    <cfRule type="cellIs" dxfId="236" priority="409" operator="equal">
      <formula>0</formula>
    </cfRule>
    <cfRule type="cellIs" dxfId="235" priority="410" operator="lessThan">
      <formula>0</formula>
    </cfRule>
    <cfRule type="cellIs" dxfId="234" priority="411" operator="greaterThan">
      <formula>0</formula>
    </cfRule>
  </conditionalFormatting>
  <conditionalFormatting sqref="O60">
    <cfRule type="cellIs" dxfId="233" priority="400" operator="equal">
      <formula>0</formula>
    </cfRule>
    <cfRule type="cellIs" dxfId="232" priority="401" operator="lessThan">
      <formula>0</formula>
    </cfRule>
    <cfRule type="cellIs" dxfId="231" priority="402" operator="greaterThan">
      <formula>0</formula>
    </cfRule>
  </conditionalFormatting>
  <conditionalFormatting sqref="J60">
    <cfRule type="cellIs" dxfId="230" priority="406" operator="equal">
      <formula>0</formula>
    </cfRule>
    <cfRule type="cellIs" dxfId="229" priority="407" operator="lessThan">
      <formula>0</formula>
    </cfRule>
    <cfRule type="cellIs" dxfId="228" priority="408" operator="greaterThan">
      <formula>0</formula>
    </cfRule>
  </conditionalFormatting>
  <conditionalFormatting sqref="N60">
    <cfRule type="cellIs" dxfId="227" priority="403" operator="equal">
      <formula>0</formula>
    </cfRule>
    <cfRule type="cellIs" dxfId="226" priority="404" operator="lessThan">
      <formula>0</formula>
    </cfRule>
    <cfRule type="cellIs" dxfId="225" priority="405" operator="greaterThan">
      <formula>0</formula>
    </cfRule>
  </conditionalFormatting>
  <conditionalFormatting sqref="F68">
    <cfRule type="cellIs" dxfId="224" priority="397" operator="equal">
      <formula>0</formula>
    </cfRule>
    <cfRule type="cellIs" dxfId="223" priority="398" operator="lessThan">
      <formula>0</formula>
    </cfRule>
    <cfRule type="cellIs" dxfId="222" priority="399" operator="greaterThan">
      <formula>0</formula>
    </cfRule>
  </conditionalFormatting>
  <conditionalFormatting sqref="O68">
    <cfRule type="cellIs" dxfId="221" priority="388" operator="equal">
      <formula>0</formula>
    </cfRule>
    <cfRule type="cellIs" dxfId="220" priority="389" operator="lessThan">
      <formula>0</formula>
    </cfRule>
    <cfRule type="cellIs" dxfId="219" priority="390" operator="greaterThan">
      <formula>0</formula>
    </cfRule>
  </conditionalFormatting>
  <conditionalFormatting sqref="J68">
    <cfRule type="cellIs" dxfId="218" priority="394" operator="equal">
      <formula>0</formula>
    </cfRule>
    <cfRule type="cellIs" dxfId="217" priority="395" operator="lessThan">
      <formula>0</formula>
    </cfRule>
    <cfRule type="cellIs" dxfId="216" priority="396" operator="greaterThan">
      <formula>0</formula>
    </cfRule>
  </conditionalFormatting>
  <conditionalFormatting sqref="N68">
    <cfRule type="cellIs" dxfId="215" priority="391" operator="equal">
      <formula>0</formula>
    </cfRule>
    <cfRule type="cellIs" dxfId="214" priority="392" operator="lessThan">
      <formula>0</formula>
    </cfRule>
    <cfRule type="cellIs" dxfId="213" priority="393" operator="greaterThan">
      <formula>0</formula>
    </cfRule>
  </conditionalFormatting>
  <conditionalFormatting sqref="F76">
    <cfRule type="cellIs" dxfId="212" priority="373" operator="equal">
      <formula>0</formula>
    </cfRule>
    <cfRule type="cellIs" dxfId="211" priority="374" operator="lessThan">
      <formula>0</formula>
    </cfRule>
    <cfRule type="cellIs" dxfId="210" priority="375" operator="greaterThan">
      <formula>0</formula>
    </cfRule>
  </conditionalFormatting>
  <conditionalFormatting sqref="O76">
    <cfRule type="cellIs" dxfId="209" priority="364" operator="equal">
      <formula>0</formula>
    </cfRule>
    <cfRule type="cellIs" dxfId="208" priority="365" operator="lessThan">
      <formula>0</formula>
    </cfRule>
    <cfRule type="cellIs" dxfId="207" priority="366" operator="greaterThan">
      <formula>0</formula>
    </cfRule>
  </conditionalFormatting>
  <conditionalFormatting sqref="J76">
    <cfRule type="cellIs" dxfId="206" priority="370" operator="equal">
      <formula>0</formula>
    </cfRule>
    <cfRule type="cellIs" dxfId="205" priority="371" operator="lessThan">
      <formula>0</formula>
    </cfRule>
    <cfRule type="cellIs" dxfId="204" priority="372" operator="greaterThan">
      <formula>0</formula>
    </cfRule>
  </conditionalFormatting>
  <conditionalFormatting sqref="N76">
    <cfRule type="cellIs" dxfId="203" priority="367" operator="equal">
      <formula>0</formula>
    </cfRule>
    <cfRule type="cellIs" dxfId="202" priority="368" operator="lessThan">
      <formula>0</formula>
    </cfRule>
    <cfRule type="cellIs" dxfId="201" priority="369" operator="greaterThan">
      <formula>0</formula>
    </cfRule>
  </conditionalFormatting>
  <conditionalFormatting sqref="F65:F67">
    <cfRule type="cellIs" dxfId="200" priority="361" operator="equal">
      <formula>0</formula>
    </cfRule>
    <cfRule type="cellIs" dxfId="199" priority="362" operator="lessThan">
      <formula>0</formula>
    </cfRule>
    <cfRule type="cellIs" dxfId="198" priority="363" operator="greaterThan">
      <formula>0</formula>
    </cfRule>
  </conditionalFormatting>
  <conditionalFormatting sqref="O65:O67">
    <cfRule type="cellIs" dxfId="197" priority="352" operator="equal">
      <formula>0</formula>
    </cfRule>
    <cfRule type="cellIs" dxfId="196" priority="353" operator="lessThan">
      <formula>0</formula>
    </cfRule>
    <cfRule type="cellIs" dxfId="195" priority="354" operator="greaterThan">
      <formula>0</formula>
    </cfRule>
  </conditionalFormatting>
  <conditionalFormatting sqref="J65:J67">
    <cfRule type="cellIs" dxfId="194" priority="358" operator="equal">
      <formula>0</formula>
    </cfRule>
    <cfRule type="cellIs" dxfId="193" priority="359" operator="lessThan">
      <formula>0</formula>
    </cfRule>
    <cfRule type="cellIs" dxfId="192" priority="360" operator="greaterThan">
      <formula>0</formula>
    </cfRule>
  </conditionalFormatting>
  <conditionalFormatting sqref="N65:N67">
    <cfRule type="cellIs" dxfId="191" priority="355" operator="equal">
      <formula>0</formula>
    </cfRule>
    <cfRule type="cellIs" dxfId="190" priority="356" operator="lessThan">
      <formula>0</formula>
    </cfRule>
    <cfRule type="cellIs" dxfId="189" priority="357" operator="greaterThan">
      <formula>0</formula>
    </cfRule>
  </conditionalFormatting>
  <conditionalFormatting sqref="F73">
    <cfRule type="cellIs" dxfId="176" priority="337" operator="equal">
      <formula>0</formula>
    </cfRule>
    <cfRule type="cellIs" dxfId="175" priority="338" operator="lessThan">
      <formula>0</formula>
    </cfRule>
    <cfRule type="cellIs" dxfId="174" priority="339" operator="greaterThan">
      <formula>0</formula>
    </cfRule>
  </conditionalFormatting>
  <conditionalFormatting sqref="O73">
    <cfRule type="cellIs" dxfId="173" priority="328" operator="equal">
      <formula>0</formula>
    </cfRule>
    <cfRule type="cellIs" dxfId="172" priority="329" operator="lessThan">
      <formula>0</formula>
    </cfRule>
    <cfRule type="cellIs" dxfId="171" priority="330" operator="greaterThan">
      <formula>0</formula>
    </cfRule>
  </conditionalFormatting>
  <conditionalFormatting sqref="J73">
    <cfRule type="cellIs" dxfId="170" priority="334" operator="equal">
      <formula>0</formula>
    </cfRule>
    <cfRule type="cellIs" dxfId="169" priority="335" operator="lessThan">
      <formula>0</formula>
    </cfRule>
    <cfRule type="cellIs" dxfId="168" priority="336" operator="greaterThan">
      <formula>0</formula>
    </cfRule>
  </conditionalFormatting>
  <conditionalFormatting sqref="N73">
    <cfRule type="cellIs" dxfId="167" priority="331" operator="equal">
      <formula>0</formula>
    </cfRule>
    <cfRule type="cellIs" dxfId="166" priority="332" operator="lessThan">
      <formula>0</formula>
    </cfRule>
    <cfRule type="cellIs" dxfId="165" priority="333" operator="greaterThan">
      <formula>0</formula>
    </cfRule>
  </conditionalFormatting>
  <conditionalFormatting sqref="F74">
    <cfRule type="cellIs" dxfId="164" priority="325" operator="equal">
      <formula>0</formula>
    </cfRule>
    <cfRule type="cellIs" dxfId="163" priority="326" operator="lessThan">
      <formula>0</formula>
    </cfRule>
    <cfRule type="cellIs" dxfId="162" priority="327" operator="greaterThan">
      <formula>0</formula>
    </cfRule>
  </conditionalFormatting>
  <conditionalFormatting sqref="O74">
    <cfRule type="cellIs" dxfId="161" priority="316" operator="equal">
      <formula>0</formula>
    </cfRule>
    <cfRule type="cellIs" dxfId="160" priority="317" operator="lessThan">
      <formula>0</formula>
    </cfRule>
    <cfRule type="cellIs" dxfId="159" priority="318" operator="greaterThan">
      <formula>0</formula>
    </cfRule>
  </conditionalFormatting>
  <conditionalFormatting sqref="J74">
    <cfRule type="cellIs" dxfId="158" priority="322" operator="equal">
      <formula>0</formula>
    </cfRule>
    <cfRule type="cellIs" dxfId="157" priority="323" operator="lessThan">
      <formula>0</formula>
    </cfRule>
    <cfRule type="cellIs" dxfId="156" priority="324" operator="greaterThan">
      <formula>0</formula>
    </cfRule>
  </conditionalFormatting>
  <conditionalFormatting sqref="N74">
    <cfRule type="cellIs" dxfId="155" priority="319" operator="equal">
      <formula>0</formula>
    </cfRule>
    <cfRule type="cellIs" dxfId="154" priority="320" operator="lessThan">
      <formula>0</formula>
    </cfRule>
    <cfRule type="cellIs" dxfId="153" priority="321" operator="greaterThan">
      <formula>0</formula>
    </cfRule>
  </conditionalFormatting>
  <conditionalFormatting sqref="F79">
    <cfRule type="cellIs" dxfId="152" priority="265" operator="equal">
      <formula>0</formula>
    </cfRule>
    <cfRule type="cellIs" dxfId="151" priority="266" operator="lessThan">
      <formula>0</formula>
    </cfRule>
    <cfRule type="cellIs" dxfId="150" priority="267" operator="greaterThan">
      <formula>0</formula>
    </cfRule>
  </conditionalFormatting>
  <conditionalFormatting sqref="F87">
    <cfRule type="cellIs" dxfId="149" priority="256" operator="equal">
      <formula>0</formula>
    </cfRule>
    <cfRule type="cellIs" dxfId="148" priority="257" operator="lessThan">
      <formula>0</formula>
    </cfRule>
    <cfRule type="cellIs" dxfId="147" priority="258" operator="greaterThan">
      <formula>0</formula>
    </cfRule>
  </conditionalFormatting>
  <conditionalFormatting sqref="F88">
    <cfRule type="cellIs" dxfId="146" priority="250" operator="equal">
      <formula>0</formula>
    </cfRule>
    <cfRule type="cellIs" dxfId="145" priority="251" operator="lessThan">
      <formula>0</formula>
    </cfRule>
    <cfRule type="cellIs" dxfId="144" priority="252" operator="greaterThan">
      <formula>0</formula>
    </cfRule>
  </conditionalFormatting>
  <conditionalFormatting sqref="F90">
    <cfRule type="cellIs" dxfId="143" priority="247" operator="equal">
      <formula>0</formula>
    </cfRule>
    <cfRule type="cellIs" dxfId="142" priority="248" operator="lessThan">
      <formula>0</formula>
    </cfRule>
    <cfRule type="cellIs" dxfId="141" priority="249" operator="greaterThan">
      <formula>0</formula>
    </cfRule>
  </conditionalFormatting>
  <conditionalFormatting sqref="F93">
    <cfRule type="cellIs" dxfId="140" priority="229" operator="equal">
      <formula>0</formula>
    </cfRule>
    <cfRule type="cellIs" dxfId="139" priority="230" operator="lessThan">
      <formula>0</formula>
    </cfRule>
    <cfRule type="cellIs" dxfId="138" priority="231" operator="greaterThan">
      <formula>0</formula>
    </cfRule>
  </conditionalFormatting>
  <conditionalFormatting sqref="F94">
    <cfRule type="cellIs" dxfId="137" priority="226" operator="equal">
      <formula>0</formula>
    </cfRule>
    <cfRule type="cellIs" dxfId="136" priority="227" operator="lessThan">
      <formula>0</formula>
    </cfRule>
    <cfRule type="cellIs" dxfId="135" priority="228" operator="greaterThan">
      <formula>0</formula>
    </cfRule>
  </conditionalFormatting>
  <conditionalFormatting sqref="F95">
    <cfRule type="cellIs" dxfId="134" priority="223" operator="equal">
      <formula>0</formula>
    </cfRule>
    <cfRule type="cellIs" dxfId="133" priority="224" operator="lessThan">
      <formula>0</formula>
    </cfRule>
    <cfRule type="cellIs" dxfId="132" priority="225" operator="greaterThan">
      <formula>0</formula>
    </cfRule>
  </conditionalFormatting>
  <conditionalFormatting sqref="F97">
    <cfRule type="cellIs" dxfId="131" priority="220" operator="equal">
      <formula>0</formula>
    </cfRule>
    <cfRule type="cellIs" dxfId="130" priority="221" operator="lessThan">
      <formula>0</formula>
    </cfRule>
    <cfRule type="cellIs" dxfId="129" priority="222" operator="greaterThan">
      <formula>0</formula>
    </cfRule>
  </conditionalFormatting>
  <conditionalFormatting sqref="F98">
    <cfRule type="cellIs" dxfId="128" priority="217" operator="equal">
      <formula>0</formula>
    </cfRule>
    <cfRule type="cellIs" dxfId="127" priority="218" operator="lessThan">
      <formula>0</formula>
    </cfRule>
    <cfRule type="cellIs" dxfId="126" priority="219" operator="greaterThan">
      <formula>0</formula>
    </cfRule>
  </conditionalFormatting>
  <conditionalFormatting sqref="F100">
    <cfRule type="cellIs" dxfId="125" priority="214" operator="equal">
      <formula>0</formula>
    </cfRule>
    <cfRule type="cellIs" dxfId="124" priority="215" operator="lessThan">
      <formula>0</formula>
    </cfRule>
    <cfRule type="cellIs" dxfId="123" priority="216" operator="greaterThan">
      <formula>0</formula>
    </cfRule>
  </conditionalFormatting>
  <conditionalFormatting sqref="F102">
    <cfRule type="cellIs" dxfId="122" priority="211" operator="equal">
      <formula>0</formula>
    </cfRule>
    <cfRule type="cellIs" dxfId="121" priority="212" operator="lessThan">
      <formula>0</formula>
    </cfRule>
    <cfRule type="cellIs" dxfId="120" priority="213" operator="greaterThan">
      <formula>0</formula>
    </cfRule>
  </conditionalFormatting>
  <conditionalFormatting sqref="F103">
    <cfRule type="cellIs" dxfId="119" priority="208" operator="equal">
      <formula>0</formula>
    </cfRule>
    <cfRule type="cellIs" dxfId="118" priority="209" operator="lessThan">
      <formula>0</formula>
    </cfRule>
    <cfRule type="cellIs" dxfId="117" priority="210" operator="greaterThan">
      <formula>0</formula>
    </cfRule>
  </conditionalFormatting>
  <conditionalFormatting sqref="F106">
    <cfRule type="cellIs" dxfId="116" priority="202" operator="equal">
      <formula>0</formula>
    </cfRule>
    <cfRule type="cellIs" dxfId="115" priority="203" operator="lessThan">
      <formula>0</formula>
    </cfRule>
    <cfRule type="cellIs" dxfId="114" priority="204" operator="greaterThan">
      <formula>0</formula>
    </cfRule>
  </conditionalFormatting>
  <conditionalFormatting sqref="O90">
    <cfRule type="cellIs" dxfId="113" priority="163" operator="equal">
      <formula>0</formula>
    </cfRule>
    <cfRule type="cellIs" dxfId="112" priority="164" operator="lessThan">
      <formula>0</formula>
    </cfRule>
    <cfRule type="cellIs" dxfId="111" priority="165" operator="greaterThan">
      <formula>0</formula>
    </cfRule>
  </conditionalFormatting>
  <conditionalFormatting sqref="J90">
    <cfRule type="cellIs" dxfId="110" priority="169" operator="equal">
      <formula>0</formula>
    </cfRule>
    <cfRule type="cellIs" dxfId="109" priority="170" operator="lessThan">
      <formula>0</formula>
    </cfRule>
    <cfRule type="cellIs" dxfId="108" priority="171" operator="greaterThan">
      <formula>0</formula>
    </cfRule>
  </conditionalFormatting>
  <conditionalFormatting sqref="N90">
    <cfRule type="cellIs" dxfId="107" priority="166" operator="equal">
      <formula>0</formula>
    </cfRule>
    <cfRule type="cellIs" dxfId="106" priority="167" operator="lessThan">
      <formula>0</formula>
    </cfRule>
    <cfRule type="cellIs" dxfId="105" priority="168" operator="greaterThan">
      <formula>0</formula>
    </cfRule>
  </conditionalFormatting>
  <conditionalFormatting sqref="N102:N103">
    <cfRule type="cellIs" dxfId="104" priority="112" operator="equal">
      <formula>0</formula>
    </cfRule>
    <cfRule type="cellIs" dxfId="103" priority="113" operator="lessThan">
      <formula>0</formula>
    </cfRule>
    <cfRule type="cellIs" dxfId="102" priority="114" operator="greaterThan">
      <formula>0</formula>
    </cfRule>
  </conditionalFormatting>
  <conditionalFormatting sqref="O102:O103">
    <cfRule type="cellIs" dxfId="101" priority="109" operator="equal">
      <formula>0</formula>
    </cfRule>
    <cfRule type="cellIs" dxfId="100" priority="110" operator="lessThan">
      <formula>0</formula>
    </cfRule>
    <cfRule type="cellIs" dxfId="99" priority="111" operator="greaterThan">
      <formula>0</formula>
    </cfRule>
  </conditionalFormatting>
  <conditionalFormatting sqref="O93:O95">
    <cfRule type="cellIs" dxfId="98" priority="136" operator="equal">
      <formula>0</formula>
    </cfRule>
    <cfRule type="cellIs" dxfId="97" priority="137" operator="lessThan">
      <formula>0</formula>
    </cfRule>
    <cfRule type="cellIs" dxfId="96" priority="138" operator="greaterThan">
      <formula>0</formula>
    </cfRule>
  </conditionalFormatting>
  <conditionalFormatting sqref="J93:J95">
    <cfRule type="cellIs" dxfId="95" priority="142" operator="equal">
      <formula>0</formula>
    </cfRule>
    <cfRule type="cellIs" dxfId="94" priority="143" operator="lessThan">
      <formula>0</formula>
    </cfRule>
    <cfRule type="cellIs" dxfId="93" priority="144" operator="greaterThan">
      <formula>0</formula>
    </cfRule>
  </conditionalFormatting>
  <conditionalFormatting sqref="N93:N95">
    <cfRule type="cellIs" dxfId="92" priority="139" operator="equal">
      <formula>0</formula>
    </cfRule>
    <cfRule type="cellIs" dxfId="91" priority="140" operator="lessThan">
      <formula>0</formula>
    </cfRule>
    <cfRule type="cellIs" dxfId="90" priority="141" operator="greaterThan">
      <formula>0</formula>
    </cfRule>
  </conditionalFormatting>
  <conditionalFormatting sqref="J106">
    <cfRule type="cellIs" dxfId="89" priority="97" operator="equal">
      <formula>0</formula>
    </cfRule>
    <cfRule type="cellIs" dxfId="88" priority="98" operator="lessThan">
      <formula>0</formula>
    </cfRule>
    <cfRule type="cellIs" dxfId="87" priority="99" operator="greaterThan">
      <formula>0</formula>
    </cfRule>
  </conditionalFormatting>
  <conditionalFormatting sqref="O97:O98">
    <cfRule type="cellIs" dxfId="86" priority="127" operator="equal">
      <formula>0</formula>
    </cfRule>
    <cfRule type="cellIs" dxfId="85" priority="128" operator="lessThan">
      <formula>0</formula>
    </cfRule>
    <cfRule type="cellIs" dxfId="84" priority="129" operator="greaterThan">
      <formula>0</formula>
    </cfRule>
  </conditionalFormatting>
  <conditionalFormatting sqref="J97:J98">
    <cfRule type="cellIs" dxfId="83" priority="133" operator="equal">
      <formula>0</formula>
    </cfRule>
    <cfRule type="cellIs" dxfId="82" priority="134" operator="lessThan">
      <formula>0</formula>
    </cfRule>
    <cfRule type="cellIs" dxfId="81" priority="135" operator="greaterThan">
      <formula>0</formula>
    </cfRule>
  </conditionalFormatting>
  <conditionalFormatting sqref="N97:N98">
    <cfRule type="cellIs" dxfId="80" priority="130" operator="equal">
      <formula>0</formula>
    </cfRule>
    <cfRule type="cellIs" dxfId="79" priority="131" operator="lessThan">
      <formula>0</formula>
    </cfRule>
    <cfRule type="cellIs" dxfId="78" priority="132" operator="greaterThan">
      <formula>0</formula>
    </cfRule>
  </conditionalFormatting>
  <conditionalFormatting sqref="O100">
    <cfRule type="cellIs" dxfId="77" priority="118" operator="equal">
      <formula>0</formula>
    </cfRule>
    <cfRule type="cellIs" dxfId="76" priority="119" operator="lessThan">
      <formula>0</formula>
    </cfRule>
    <cfRule type="cellIs" dxfId="75" priority="120" operator="greaterThan">
      <formula>0</formula>
    </cfRule>
  </conditionalFormatting>
  <conditionalFormatting sqref="J100">
    <cfRule type="cellIs" dxfId="74" priority="124" operator="equal">
      <formula>0</formula>
    </cfRule>
    <cfRule type="cellIs" dxfId="73" priority="125" operator="lessThan">
      <formula>0</formula>
    </cfRule>
    <cfRule type="cellIs" dxfId="72" priority="126" operator="greaterThan">
      <formula>0</formula>
    </cfRule>
  </conditionalFormatting>
  <conditionalFormatting sqref="N100">
    <cfRule type="cellIs" dxfId="71" priority="121" operator="equal">
      <formula>0</formula>
    </cfRule>
    <cfRule type="cellIs" dxfId="70" priority="122" operator="lessThan">
      <formula>0</formula>
    </cfRule>
    <cfRule type="cellIs" dxfId="69" priority="123" operator="greaterThan">
      <formula>0</formula>
    </cfRule>
  </conditionalFormatting>
  <conditionalFormatting sqref="J102:J103">
    <cfRule type="cellIs" dxfId="68" priority="115" operator="equal">
      <formula>0</formula>
    </cfRule>
    <cfRule type="cellIs" dxfId="67" priority="116" operator="lessThan">
      <formula>0</formula>
    </cfRule>
    <cfRule type="cellIs" dxfId="66" priority="117" operator="greaterThan">
      <formula>0</formula>
    </cfRule>
  </conditionalFormatting>
  <conditionalFormatting sqref="O106">
    <cfRule type="cellIs" dxfId="65" priority="91" operator="equal">
      <formula>0</formula>
    </cfRule>
    <cfRule type="cellIs" dxfId="64" priority="92" operator="lessThan">
      <formula>0</formula>
    </cfRule>
    <cfRule type="cellIs" dxfId="63" priority="93" operator="greaterThan">
      <formula>0</formula>
    </cfRule>
  </conditionalFormatting>
  <conditionalFormatting sqref="N106">
    <cfRule type="cellIs" dxfId="62" priority="94" operator="equal">
      <formula>0</formula>
    </cfRule>
    <cfRule type="cellIs" dxfId="61" priority="95" operator="lessThan">
      <formula>0</formula>
    </cfRule>
    <cfRule type="cellIs" dxfId="60" priority="96" operator="greaterThan">
      <formula>0</formula>
    </cfRule>
  </conditionalFormatting>
  <conditionalFormatting sqref="J84">
    <cfRule type="cellIs" dxfId="59" priority="28" operator="equal">
      <formula>0</formula>
    </cfRule>
    <cfRule type="cellIs" dxfId="58" priority="29" operator="lessThan">
      <formula>0</formula>
    </cfRule>
    <cfRule type="cellIs" dxfId="57" priority="30" operator="greaterThan">
      <formula>0</formula>
    </cfRule>
  </conditionalFormatting>
  <conditionalFormatting sqref="N84">
    <cfRule type="cellIs" dxfId="56" priority="25" operator="equal">
      <formula>0</formula>
    </cfRule>
    <cfRule type="cellIs" dxfId="55" priority="26" operator="lessThan">
      <formula>0</formula>
    </cfRule>
    <cfRule type="cellIs" dxfId="54" priority="27" operator="greaterThan">
      <formula>0</formula>
    </cfRule>
  </conditionalFormatting>
  <conditionalFormatting sqref="O84">
    <cfRule type="cellIs" dxfId="53" priority="22" operator="equal">
      <formula>0</formula>
    </cfRule>
    <cfRule type="cellIs" dxfId="52" priority="23" operator="lessThan">
      <formula>0</formula>
    </cfRule>
    <cfRule type="cellIs" dxfId="51" priority="24" operator="greaterThan">
      <formula>0</formula>
    </cfRule>
  </conditionalFormatting>
  <conditionalFormatting sqref="J35">
    <cfRule type="cellIs" dxfId="50" priority="58" operator="equal">
      <formula>0</formula>
    </cfRule>
    <cfRule type="cellIs" dxfId="49" priority="59" operator="lessThan">
      <formula>0</formula>
    </cfRule>
    <cfRule type="cellIs" dxfId="48" priority="60" operator="greaterThan">
      <formula>0</formula>
    </cfRule>
  </conditionalFormatting>
  <conditionalFormatting sqref="N35">
    <cfRule type="cellIs" dxfId="47" priority="55" operator="equal">
      <formula>0</formula>
    </cfRule>
    <cfRule type="cellIs" dxfId="46" priority="56" operator="lessThan">
      <formula>0</formula>
    </cfRule>
    <cfRule type="cellIs" dxfId="45" priority="57" operator="greaterThan">
      <formula>0</formula>
    </cfRule>
  </conditionalFormatting>
  <conditionalFormatting sqref="O35">
    <cfRule type="cellIs" dxfId="44" priority="52" operator="equal">
      <formula>0</formula>
    </cfRule>
    <cfRule type="cellIs" dxfId="43" priority="53" operator="lessThan">
      <formula>0</formula>
    </cfRule>
    <cfRule type="cellIs" dxfId="42" priority="54" operator="greaterThan">
      <formula>0</formula>
    </cfRule>
  </conditionalFormatting>
  <conditionalFormatting sqref="J34">
    <cfRule type="cellIs" dxfId="41" priority="49" operator="equal">
      <formula>0</formula>
    </cfRule>
    <cfRule type="cellIs" dxfId="40" priority="50" operator="lessThan">
      <formula>0</formula>
    </cfRule>
    <cfRule type="cellIs" dxfId="39" priority="51" operator="greaterThan">
      <formula>0</formula>
    </cfRule>
  </conditionalFormatting>
  <conditionalFormatting sqref="N34">
    <cfRule type="cellIs" dxfId="38" priority="46" operator="equal">
      <formula>0</formula>
    </cfRule>
    <cfRule type="cellIs" dxfId="37" priority="47" operator="lessThan">
      <formula>0</formula>
    </cfRule>
    <cfRule type="cellIs" dxfId="36" priority="48" operator="greaterThan">
      <formula>0</formula>
    </cfRule>
  </conditionalFormatting>
  <conditionalFormatting sqref="O34">
    <cfRule type="cellIs" dxfId="35" priority="43" operator="equal">
      <formula>0</formula>
    </cfRule>
    <cfRule type="cellIs" dxfId="34" priority="44" operator="lessThan">
      <formula>0</formula>
    </cfRule>
    <cfRule type="cellIs" dxfId="33" priority="45" operator="greaterThan">
      <formula>0</formula>
    </cfRule>
  </conditionalFormatting>
  <conditionalFormatting sqref="F84:F85">
    <cfRule type="cellIs" dxfId="32" priority="40" operator="equal">
      <formula>0</formula>
    </cfRule>
    <cfRule type="cellIs" dxfId="31" priority="41" operator="lessThan">
      <formula>0</formula>
    </cfRule>
    <cfRule type="cellIs" dxfId="30" priority="42" operator="greaterThan">
      <formula>0</formula>
    </cfRule>
  </conditionalFormatting>
  <conditionalFormatting sqref="J85">
    <cfRule type="cellIs" dxfId="29" priority="37" operator="equal">
      <formula>0</formula>
    </cfRule>
    <cfRule type="cellIs" dxfId="28" priority="38" operator="lessThan">
      <formula>0</formula>
    </cfRule>
    <cfRule type="cellIs" dxfId="27" priority="39" operator="greaterThan">
      <formula>0</formula>
    </cfRule>
  </conditionalFormatting>
  <conditionalFormatting sqref="N85">
    <cfRule type="cellIs" dxfId="26" priority="34" operator="equal">
      <formula>0</formula>
    </cfRule>
    <cfRule type="cellIs" dxfId="25" priority="35" operator="lessThan">
      <formula>0</formula>
    </cfRule>
    <cfRule type="cellIs" dxfId="24" priority="36" operator="greaterThan">
      <formula>0</formula>
    </cfRule>
  </conditionalFormatting>
  <conditionalFormatting sqref="O85">
    <cfRule type="cellIs" dxfId="23" priority="31" operator="equal">
      <formula>0</formula>
    </cfRule>
    <cfRule type="cellIs" dxfId="22" priority="32" operator="lessThan">
      <formula>0</formula>
    </cfRule>
    <cfRule type="cellIs" dxfId="21" priority="33" operator="greaterThan">
      <formula>0</formula>
    </cfRule>
  </conditionalFormatting>
  <conditionalFormatting sqref="J70">
    <cfRule type="cellIs" dxfId="20" priority="7" operator="equal">
      <formula>0</formula>
    </cfRule>
    <cfRule type="cellIs" dxfId="19" priority="8" operator="lessThan">
      <formula>0</formula>
    </cfRule>
    <cfRule type="cellIs" dxfId="18" priority="9" operator="greaterThan">
      <formula>0</formula>
    </cfRule>
  </conditionalFormatting>
  <conditionalFormatting sqref="N70">
    <cfRule type="cellIs" dxfId="17" priority="4" operator="equal">
      <formula>0</formula>
    </cfRule>
    <cfRule type="cellIs" dxfId="16" priority="5" operator="lessThan">
      <formula>0</formula>
    </cfRule>
    <cfRule type="cellIs" dxfId="15" priority="6" operator="greaterThan">
      <formula>0</formula>
    </cfRule>
  </conditionalFormatting>
  <conditionalFormatting sqref="O70">
    <cfRule type="cellIs" dxfId="14" priority="1" operator="equal">
      <formula>0</formula>
    </cfRule>
    <cfRule type="cellIs" dxfId="13" priority="2" operator="lessThan">
      <formula>0</formula>
    </cfRule>
    <cfRule type="cellIs" dxfId="12" priority="3" operator="greaterThan">
      <formula>0</formula>
    </cfRule>
  </conditionalFormatting>
  <conditionalFormatting sqref="F70:F71">
    <cfRule type="cellIs" dxfId="11" priority="19" operator="equal">
      <formula>0</formula>
    </cfRule>
    <cfRule type="cellIs" dxfId="10" priority="20" operator="lessThan">
      <formula>0</formula>
    </cfRule>
    <cfRule type="cellIs" dxfId="9" priority="21" operator="greaterThan">
      <formula>0</formula>
    </cfRule>
  </conditionalFormatting>
  <conditionalFormatting sqref="J71">
    <cfRule type="cellIs" dxfId="8" priority="16" operator="equal">
      <formula>0</formula>
    </cfRule>
    <cfRule type="cellIs" dxfId="7" priority="17" operator="lessThan">
      <formula>0</formula>
    </cfRule>
    <cfRule type="cellIs" dxfId="6" priority="18" operator="greaterThan">
      <formula>0</formula>
    </cfRule>
  </conditionalFormatting>
  <conditionalFormatting sqref="N71">
    <cfRule type="cellIs" dxfId="5" priority="13" operator="equal">
      <formula>0</formula>
    </cfRule>
    <cfRule type="cellIs" dxfId="4" priority="14" operator="lessThan">
      <formula>0</formula>
    </cfRule>
    <cfRule type="cellIs" dxfId="3" priority="15" operator="greaterThan">
      <formula>0</formula>
    </cfRule>
  </conditionalFormatting>
  <conditionalFormatting sqref="O71">
    <cfRule type="cellIs" dxfId="2" priority="10" operator="equal">
      <formula>0</formula>
    </cfRule>
    <cfRule type="cellIs" dxfId="1" priority="11" operator="lessThan">
      <formula>0</formula>
    </cfRule>
    <cfRule type="cellIs" dxfId="0" priority="12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3" orientation="portrait" r:id="rId1"/>
  <headerFooter>
    <oddHeader xml:space="preserve">&amp;L
</oddHeader>
  </headerFooter>
  <rowBreaks count="1" manualBreakCount="1">
    <brk id="55" min="1" max="13" man="1"/>
  </rowBreaks>
  <colBreaks count="1" manualBreakCount="1">
    <brk id="12" max="120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373" zoomScale="85" zoomScaleNormal="60" zoomScaleSheetLayoutView="85" workbookViewId="0">
      <selection activeCell="C1102" sqref="C1102:D1102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439"/>
      <c r="D2" s="442" t="s">
        <v>454</v>
      </c>
      <c r="E2" s="443"/>
      <c r="F2" s="443"/>
      <c r="G2" s="443"/>
      <c r="H2" s="443"/>
      <c r="I2" s="443"/>
      <c r="J2" s="443"/>
      <c r="K2" s="444"/>
      <c r="M2" s="97" t="s">
        <v>188</v>
      </c>
      <c r="N2" s="98">
        <v>0.4</v>
      </c>
    </row>
    <row r="3" spans="1:16" ht="8.25" customHeight="1" thickBot="1" x14ac:dyDescent="0.35">
      <c r="B3" s="440"/>
    </row>
    <row r="4" spans="1:16" ht="18" thickTop="1" thickBot="1" x14ac:dyDescent="0.35">
      <c r="A4" s="54"/>
      <c r="B4" s="440"/>
      <c r="C4" s="99"/>
      <c r="D4" s="445" t="str">
        <f>CATALOGO!B2</f>
        <v>EVENTO No. UCEE-14-2022</v>
      </c>
      <c r="E4" s="446"/>
      <c r="F4" s="446"/>
      <c r="G4" s="446"/>
      <c r="H4" s="446"/>
      <c r="I4" s="447"/>
      <c r="J4" s="100"/>
      <c r="K4" s="235" t="s">
        <v>0</v>
      </c>
      <c r="M4" s="97" t="s">
        <v>191</v>
      </c>
      <c r="N4" s="101">
        <f>1+N2</f>
        <v>1.4</v>
      </c>
    </row>
    <row r="5" spans="1:16" x14ac:dyDescent="0.3">
      <c r="A5" s="54"/>
      <c r="B5" s="440"/>
      <c r="C5" s="99"/>
      <c r="D5" s="448" t="str">
        <f>CATALOGO!B3</f>
        <v>GRUPO 14 QUE COMPRENDE:</v>
      </c>
      <c r="E5" s="394"/>
      <c r="F5" s="394"/>
      <c r="G5" s="394"/>
      <c r="H5" s="394"/>
      <c r="I5" s="449"/>
      <c r="J5" s="100"/>
      <c r="K5" s="450">
        <v>44761</v>
      </c>
    </row>
    <row r="6" spans="1:16" ht="34.5" customHeight="1" x14ac:dyDescent="0.3">
      <c r="A6" s="54"/>
      <c r="B6" s="440"/>
      <c r="C6" s="99"/>
      <c r="D6" s="448" t="str">
        <f>CATALOGO!B4</f>
        <v>REMOZAMIENTO DE EDIFICACIONES ESCOLARES AFECTADAS POR EL CICLÓN TROPICAL BLAS Y CELIA DEL DEPARTAMENTO DE PETEN</v>
      </c>
      <c r="E6" s="394"/>
      <c r="F6" s="394"/>
      <c r="G6" s="394"/>
      <c r="H6" s="394"/>
      <c r="I6" s="449"/>
      <c r="J6" s="100"/>
      <c r="K6" s="451"/>
    </row>
    <row r="7" spans="1:16" ht="17.25" thickBot="1" x14ac:dyDescent="0.35">
      <c r="A7" s="54"/>
      <c r="B7" s="441"/>
      <c r="C7" s="99"/>
      <c r="D7" s="453" t="str">
        <f>CATALOGO!B5</f>
        <v>- EODP ANEXA A ESCUELA RURAL MIXTA, EL CRUZADERO, MELCHOR DE MENCOS, PETEN -</v>
      </c>
      <c r="E7" s="454"/>
      <c r="F7" s="454"/>
      <c r="G7" s="454"/>
      <c r="H7" s="454"/>
      <c r="I7" s="455"/>
      <c r="J7" s="100"/>
      <c r="K7" s="452"/>
    </row>
    <row r="8" spans="1:16" ht="17.25" thickBot="1" x14ac:dyDescent="0.35"/>
    <row r="9" spans="1:16" s="4" customFormat="1" ht="24" customHeight="1" thickBot="1" x14ac:dyDescent="0.3">
      <c r="A9" s="31"/>
      <c r="B9" s="456" t="s">
        <v>422</v>
      </c>
      <c r="C9" s="457"/>
      <c r="D9" s="457"/>
      <c r="E9" s="457"/>
      <c r="F9" s="457"/>
      <c r="G9" s="457"/>
      <c r="H9" s="457"/>
      <c r="I9" s="457"/>
      <c r="J9" s="457"/>
      <c r="K9" s="458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422" t="s">
        <v>1</v>
      </c>
      <c r="E11" s="422"/>
      <c r="F11" s="422"/>
      <c r="G11" s="422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09">
        <f>CATALOGO!B12</f>
        <v>101.01</v>
      </c>
      <c r="C12" s="71"/>
      <c r="D12" s="423" t="str">
        <f>CATALOGO!C12</f>
        <v>LIMPIEZA GENERAL</v>
      </c>
      <c r="E12" s="423"/>
      <c r="F12" s="423"/>
      <c r="G12" s="423"/>
      <c r="H12" s="71"/>
      <c r="I12" s="209">
        <f>CATALOGO!D12</f>
        <v>47.26</v>
      </c>
      <c r="J12" s="107"/>
      <c r="K12" s="222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413" t="s">
        <v>5</v>
      </c>
      <c r="D14" s="413"/>
      <c r="E14" s="413"/>
      <c r="F14" s="413"/>
      <c r="G14" s="414"/>
    </row>
    <row r="15" spans="1:16" x14ac:dyDescent="0.3">
      <c r="B15" s="109" t="s">
        <v>6</v>
      </c>
      <c r="C15" s="424" t="s">
        <v>1</v>
      </c>
      <c r="D15" s="42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3" t="s">
        <v>8</v>
      </c>
      <c r="L15" s="113" t="s">
        <v>193</v>
      </c>
    </row>
    <row r="16" spans="1:16" x14ac:dyDescent="0.3">
      <c r="B16" s="74"/>
      <c r="C16" s="409"/>
      <c r="D16" s="40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409"/>
      <c r="D17" s="40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410"/>
      <c r="D18" s="410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410"/>
      <c r="D19" s="410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402" t="s">
        <v>9</v>
      </c>
      <c r="G21" s="403"/>
      <c r="H21" s="403"/>
      <c r="I21" s="404"/>
      <c r="K21" s="224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413" t="s">
        <v>11</v>
      </c>
      <c r="D23" s="413"/>
      <c r="E23" s="413"/>
      <c r="F23" s="413"/>
      <c r="G23" s="414"/>
    </row>
    <row r="24" spans="2:12" x14ac:dyDescent="0.3">
      <c r="B24" s="112" t="s">
        <v>6</v>
      </c>
      <c r="C24" s="415" t="s">
        <v>1</v>
      </c>
      <c r="D24" s="41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411"/>
      <c r="D25" s="412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2"/>
      <c r="D26" s="203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02"/>
      <c r="D27" s="203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411"/>
      <c r="D28" s="412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402" t="s">
        <v>12</v>
      </c>
      <c r="G30" s="403"/>
      <c r="H30" s="403"/>
      <c r="I30" s="404"/>
      <c r="K30" s="224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413" t="s">
        <v>14</v>
      </c>
      <c r="D32" s="413"/>
      <c r="E32" s="413"/>
      <c r="F32" s="413"/>
      <c r="G32" s="414"/>
    </row>
    <row r="33" spans="2:12" x14ac:dyDescent="0.3">
      <c r="B33" s="112" t="s">
        <v>6</v>
      </c>
      <c r="C33" s="415" t="s">
        <v>1</v>
      </c>
      <c r="D33" s="41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409" t="s">
        <v>187</v>
      </c>
      <c r="D34" s="409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409"/>
      <c r="D35" s="40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417"/>
      <c r="D36" s="418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419" t="s">
        <v>15</v>
      </c>
      <c r="C37" s="420"/>
      <c r="D37" s="420"/>
      <c r="E37" s="420"/>
      <c r="F37" s="420"/>
      <c r="G37" s="421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402" t="s">
        <v>16</v>
      </c>
      <c r="G39" s="403"/>
      <c r="H39" s="403"/>
      <c r="I39" s="404"/>
      <c r="K39" s="224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413" t="s">
        <v>18</v>
      </c>
      <c r="D41" s="413"/>
      <c r="E41" s="413"/>
      <c r="F41" s="413"/>
      <c r="G41" s="414"/>
    </row>
    <row r="42" spans="2:12" x14ac:dyDescent="0.3">
      <c r="B42" s="112" t="s">
        <v>6</v>
      </c>
      <c r="C42" s="415" t="s">
        <v>1</v>
      </c>
      <c r="D42" s="41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411"/>
      <c r="D43" s="412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411"/>
      <c r="D44" s="412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411"/>
      <c r="D45" s="412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402" t="s">
        <v>19</v>
      </c>
      <c r="G47" s="403"/>
      <c r="H47" s="403"/>
      <c r="I47" s="404"/>
      <c r="K47" s="224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5"/>
    </row>
    <row r="49" spans="1:16" ht="15" customHeight="1" thickBot="1" x14ac:dyDescent="0.35"/>
    <row r="50" spans="1:16" ht="17.25" thickBot="1" x14ac:dyDescent="0.35">
      <c r="F50" s="402" t="s">
        <v>20</v>
      </c>
      <c r="G50" s="403"/>
      <c r="H50" s="403"/>
      <c r="I50" s="404"/>
      <c r="K50" s="224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402" t="s">
        <v>21</v>
      </c>
      <c r="G52" s="403"/>
      <c r="H52" s="403"/>
      <c r="I52" s="404"/>
      <c r="K52" s="224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402" t="s">
        <v>22</v>
      </c>
      <c r="G54" s="403"/>
      <c r="H54" s="403"/>
      <c r="I54" s="404"/>
      <c r="K54" s="224">
        <f>+K50+K52</f>
        <v>28</v>
      </c>
      <c r="L54" s="117">
        <f>+L50+L52</f>
        <v>1323.28</v>
      </c>
    </row>
    <row r="55" spans="1:16" ht="17.25" thickBot="1" x14ac:dyDescent="0.35">
      <c r="F55" s="126"/>
      <c r="G55" s="127"/>
      <c r="H55" s="128"/>
      <c r="I55" s="106"/>
      <c r="K55" s="226"/>
      <c r="L55" s="130">
        <f>L54/I12</f>
        <v>28</v>
      </c>
      <c r="M55" s="131">
        <f>(K54-L55)*I12</f>
        <v>0</v>
      </c>
    </row>
    <row r="56" spans="1:16" x14ac:dyDescent="0.3">
      <c r="F56" s="126"/>
      <c r="G56" s="127"/>
      <c r="H56" s="128"/>
      <c r="I56" s="106"/>
      <c r="K56" s="227"/>
      <c r="L56" s="129"/>
      <c r="M56" s="132"/>
      <c r="N56" s="133"/>
    </row>
    <row r="57" spans="1:16" ht="17.25" thickBot="1" x14ac:dyDescent="0.35">
      <c r="B57" s="405"/>
      <c r="C57" s="405"/>
      <c r="D57" s="405"/>
    </row>
    <row r="58" spans="1:16" x14ac:dyDescent="0.3">
      <c r="B58" s="406" t="s">
        <v>23</v>
      </c>
      <c r="C58" s="406"/>
      <c r="D58" s="406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422" t="s">
        <v>1</v>
      </c>
      <c r="E61" s="422"/>
      <c r="F61" s="422"/>
      <c r="G61" s="422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09">
        <f>CATALOGO!B13</f>
        <v>108.03</v>
      </c>
      <c r="C62" s="71"/>
      <c r="D62" s="423" t="str">
        <f>CATALOGO!C13</f>
        <v>TRAZO Y ESTAQUEADO</v>
      </c>
      <c r="E62" s="423"/>
      <c r="F62" s="423"/>
      <c r="G62" s="423"/>
      <c r="H62" s="71"/>
      <c r="I62" s="209">
        <f>CATALOGO!D13</f>
        <v>38.590000000000003</v>
      </c>
      <c r="J62" s="107"/>
      <c r="K62" s="222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413" t="s">
        <v>5</v>
      </c>
      <c r="D64" s="413"/>
      <c r="E64" s="413"/>
      <c r="F64" s="413"/>
      <c r="G64" s="414"/>
    </row>
    <row r="65" spans="2:12" x14ac:dyDescent="0.3">
      <c r="B65" s="109" t="s">
        <v>6</v>
      </c>
      <c r="C65" s="424" t="s">
        <v>1</v>
      </c>
      <c r="D65" s="42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3" t="s">
        <v>8</v>
      </c>
      <c r="L65" s="113" t="s">
        <v>193</v>
      </c>
    </row>
    <row r="66" spans="2:12" x14ac:dyDescent="0.3">
      <c r="B66" s="120">
        <v>1</v>
      </c>
      <c r="C66" s="407" t="s">
        <v>174</v>
      </c>
      <c r="D66" s="408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407" t="s">
        <v>568</v>
      </c>
      <c r="D67" s="408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0">+F67*I67</f>
        <v>6.1</v>
      </c>
      <c r="L67" s="116">
        <f t="shared" ref="L67:L75" si="1">E67*I67</f>
        <v>235.39900000000003</v>
      </c>
    </row>
    <row r="68" spans="2:12" x14ac:dyDescent="0.3">
      <c r="B68" s="120">
        <v>3</v>
      </c>
      <c r="C68" s="407" t="s">
        <v>214</v>
      </c>
      <c r="D68" s="408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0"/>
        <v>2.5</v>
      </c>
      <c r="L68" s="116">
        <f t="shared" si="1"/>
        <v>96.475000000000009</v>
      </c>
    </row>
    <row r="69" spans="2:12" x14ac:dyDescent="0.3">
      <c r="B69" s="74"/>
      <c r="C69" s="409"/>
      <c r="D69" s="409"/>
      <c r="E69" s="114"/>
      <c r="F69" s="83"/>
      <c r="G69" s="74"/>
      <c r="I69" s="115">
        <f>IF(C69=0,0,VLOOKUP(C69,Tabla1[],3,FALSE))</f>
        <v>0</v>
      </c>
      <c r="K69" s="84">
        <f t="shared" si="0"/>
        <v>0</v>
      </c>
      <c r="L69" s="116">
        <f t="shared" si="1"/>
        <v>0</v>
      </c>
    </row>
    <row r="70" spans="2:12" x14ac:dyDescent="0.3">
      <c r="B70" s="74"/>
      <c r="C70" s="410"/>
      <c r="D70" s="410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410"/>
      <c r="D71" s="410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410"/>
      <c r="D72" s="410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410"/>
      <c r="D73" s="410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410"/>
      <c r="D74" s="410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410"/>
      <c r="D75" s="410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402" t="s">
        <v>9</v>
      </c>
      <c r="G77" s="403"/>
      <c r="H77" s="403"/>
      <c r="I77" s="404"/>
      <c r="K77" s="224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413" t="s">
        <v>11</v>
      </c>
      <c r="D79" s="413"/>
      <c r="E79" s="413"/>
      <c r="F79" s="413"/>
      <c r="G79" s="414"/>
    </row>
    <row r="80" spans="2:12" x14ac:dyDescent="0.3">
      <c r="B80" s="112" t="s">
        <v>6</v>
      </c>
      <c r="C80" s="415" t="s">
        <v>1</v>
      </c>
      <c r="D80" s="41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411"/>
      <c r="D81" s="412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2"/>
      <c r="D82" s="203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02"/>
      <c r="D83" s="203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411"/>
      <c r="D84" s="412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402" t="s">
        <v>12</v>
      </c>
      <c r="G86" s="403"/>
      <c r="H86" s="403"/>
      <c r="I86" s="404"/>
      <c r="K86" s="224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413" t="s">
        <v>14</v>
      </c>
      <c r="D88" s="413"/>
      <c r="E88" s="413"/>
      <c r="F88" s="413"/>
      <c r="G88" s="414"/>
    </row>
    <row r="89" spans="2:12" x14ac:dyDescent="0.3">
      <c r="B89" s="112" t="s">
        <v>6</v>
      </c>
      <c r="C89" s="415" t="s">
        <v>1</v>
      </c>
      <c r="D89" s="41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409" t="s">
        <v>491</v>
      </c>
      <c r="D90" s="409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409"/>
      <c r="D91" s="40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417"/>
      <c r="D92" s="418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419" t="s">
        <v>15</v>
      </c>
      <c r="C93" s="420"/>
      <c r="D93" s="420"/>
      <c r="E93" s="420"/>
      <c r="F93" s="420"/>
      <c r="G93" s="421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402" t="s">
        <v>16</v>
      </c>
      <c r="G95" s="403"/>
      <c r="H95" s="403"/>
      <c r="I95" s="404"/>
      <c r="K95" s="224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413" t="s">
        <v>18</v>
      </c>
      <c r="D97" s="413"/>
      <c r="E97" s="413"/>
      <c r="F97" s="413"/>
      <c r="G97" s="414"/>
    </row>
    <row r="98" spans="2:16" x14ac:dyDescent="0.3">
      <c r="B98" s="112" t="s">
        <v>6</v>
      </c>
      <c r="C98" s="415" t="s">
        <v>1</v>
      </c>
      <c r="D98" s="41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411"/>
      <c r="D99" s="412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411"/>
      <c r="D100" s="412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411"/>
      <c r="D101" s="412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402" t="s">
        <v>19</v>
      </c>
      <c r="G103" s="403"/>
      <c r="H103" s="403"/>
      <c r="I103" s="404"/>
      <c r="K103" s="224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5"/>
    </row>
    <row r="105" spans="2:16" ht="15" customHeight="1" thickBot="1" x14ac:dyDescent="0.35"/>
    <row r="106" spans="2:16" ht="17.25" thickBot="1" x14ac:dyDescent="0.35">
      <c r="F106" s="402" t="s">
        <v>20</v>
      </c>
      <c r="G106" s="403"/>
      <c r="H106" s="403"/>
      <c r="I106" s="404"/>
      <c r="K106" s="224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402" t="s">
        <v>21</v>
      </c>
      <c r="G108" s="403"/>
      <c r="H108" s="403"/>
      <c r="I108" s="404"/>
      <c r="K108" s="224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402" t="s">
        <v>22</v>
      </c>
      <c r="G110" s="403"/>
      <c r="H110" s="403"/>
      <c r="I110" s="404"/>
      <c r="K110" s="224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127"/>
      <c r="H111" s="128"/>
      <c r="I111" s="106"/>
      <c r="K111" s="226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127"/>
      <c r="H112" s="128"/>
      <c r="I112" s="106"/>
      <c r="K112" s="227"/>
      <c r="L112" s="129"/>
      <c r="M112" s="132"/>
      <c r="N112" s="133"/>
    </row>
    <row r="113" spans="1:16" ht="17.25" thickBot="1" x14ac:dyDescent="0.35">
      <c r="B113" s="405"/>
      <c r="C113" s="405"/>
      <c r="D113" s="405"/>
    </row>
    <row r="114" spans="1:16" x14ac:dyDescent="0.3">
      <c r="B114" s="406" t="s">
        <v>23</v>
      </c>
      <c r="C114" s="406"/>
      <c r="D114" s="406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422" t="s">
        <v>1</v>
      </c>
      <c r="E117" s="422"/>
      <c r="F117" s="422"/>
      <c r="G117" s="422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09">
        <f>CATALOGO!B14</f>
        <v>111.03</v>
      </c>
      <c r="C118" s="135"/>
      <c r="D118" s="435" t="str">
        <f>CATALOGO!C14</f>
        <v>DEMOLICIÓN DE PISO CERÁMICO/PORCELANATO</v>
      </c>
      <c r="E118" s="435"/>
      <c r="F118" s="435"/>
      <c r="G118" s="435"/>
      <c r="H118" s="135"/>
      <c r="I118" s="209">
        <f>CATALOGO!D14</f>
        <v>66.52</v>
      </c>
      <c r="J118" s="107"/>
      <c r="K118" s="222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413" t="s">
        <v>5</v>
      </c>
      <c r="D120" s="413"/>
      <c r="E120" s="413"/>
      <c r="F120" s="413"/>
      <c r="G120" s="414"/>
    </row>
    <row r="121" spans="1:16" x14ac:dyDescent="0.3">
      <c r="B121" s="109" t="s">
        <v>6</v>
      </c>
      <c r="C121" s="424" t="s">
        <v>1</v>
      </c>
      <c r="D121" s="42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3" t="s">
        <v>8</v>
      </c>
      <c r="L121" s="113" t="s">
        <v>193</v>
      </c>
    </row>
    <row r="122" spans="1:16" x14ac:dyDescent="0.3">
      <c r="B122" s="74"/>
      <c r="C122" s="409"/>
      <c r="D122" s="40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409"/>
      <c r="D123" s="40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409"/>
      <c r="D124" s="40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409"/>
      <c r="D125" s="40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410"/>
      <c r="D126" s="410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402" t="s">
        <v>9</v>
      </c>
      <c r="G128" s="403"/>
      <c r="H128" s="403"/>
      <c r="I128" s="404"/>
      <c r="K128" s="224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413" t="s">
        <v>11</v>
      </c>
      <c r="D130" s="413"/>
      <c r="E130" s="413"/>
      <c r="F130" s="413"/>
      <c r="G130" s="414"/>
    </row>
    <row r="131" spans="2:12" x14ac:dyDescent="0.3">
      <c r="B131" s="112" t="s">
        <v>6</v>
      </c>
      <c r="C131" s="415" t="s">
        <v>1</v>
      </c>
      <c r="D131" s="41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/>
      <c r="C132" s="409"/>
      <c r="D132" s="409"/>
      <c r="E132" s="114"/>
      <c r="F132" s="83"/>
      <c r="G132" s="74"/>
      <c r="I132" s="115"/>
      <c r="K132" s="84"/>
      <c r="L132" s="116">
        <f>E132*I132</f>
        <v>0</v>
      </c>
    </row>
    <row r="133" spans="2:12" x14ac:dyDescent="0.3">
      <c r="B133" s="74"/>
      <c r="C133" s="202"/>
      <c r="D133" s="203"/>
      <c r="E133" s="119"/>
      <c r="F133" s="72"/>
      <c r="G133" s="74"/>
      <c r="I133" s="115">
        <f>IF(C133=0,0,VLOOKUP(C133,Tabla3[],3,FALSE))</f>
        <v>0</v>
      </c>
      <c r="K133" s="84">
        <f>+F133*I133</f>
        <v>0</v>
      </c>
      <c r="L133" s="116">
        <f>E133*I133</f>
        <v>0</v>
      </c>
    </row>
    <row r="134" spans="2:12" x14ac:dyDescent="0.3">
      <c r="B134" s="74"/>
      <c r="C134" s="202"/>
      <c r="D134" s="203"/>
      <c r="E134" s="119"/>
      <c r="F134" s="72"/>
      <c r="G134" s="74"/>
      <c r="I134" s="115">
        <f>IF(C134=0,0,VLOOKUP(C134,Tabla3[],3,FALSE))</f>
        <v>0</v>
      </c>
      <c r="K134" s="84">
        <f>+F134*I134</f>
        <v>0</v>
      </c>
      <c r="L134" s="116">
        <f>E134*I134</f>
        <v>0</v>
      </c>
    </row>
    <row r="135" spans="2:12" x14ac:dyDescent="0.3">
      <c r="B135" s="74"/>
      <c r="C135" s="411"/>
      <c r="D135" s="412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402" t="s">
        <v>12</v>
      </c>
      <c r="G137" s="403"/>
      <c r="H137" s="403"/>
      <c r="I137" s="404"/>
      <c r="K137" s="224">
        <f>+SUM(K132:K135)</f>
        <v>0</v>
      </c>
      <c r="L137" s="117">
        <f>+SUM(L132:L135)</f>
        <v>0</v>
      </c>
    </row>
    <row r="138" spans="2:12" ht="17.25" thickBot="1" x14ac:dyDescent="0.35"/>
    <row r="139" spans="2:12" ht="17.25" thickBot="1" x14ac:dyDescent="0.35">
      <c r="B139" s="108" t="s">
        <v>13</v>
      </c>
      <c r="C139" s="413" t="s">
        <v>14</v>
      </c>
      <c r="D139" s="413"/>
      <c r="E139" s="413"/>
      <c r="F139" s="413"/>
      <c r="G139" s="414"/>
    </row>
    <row r="140" spans="2:12" x14ac:dyDescent="0.3">
      <c r="B140" s="112" t="s">
        <v>6</v>
      </c>
      <c r="C140" s="415" t="s">
        <v>1</v>
      </c>
      <c r="D140" s="41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409" t="s">
        <v>194</v>
      </c>
      <c r="D141" s="409"/>
      <c r="E141" s="114">
        <f>I118</f>
        <v>66.52</v>
      </c>
      <c r="F141" s="83">
        <f>ROUND(E141/I118,2)</f>
        <v>1</v>
      </c>
      <c r="G141" s="74" t="str">
        <f>IF(C141=0,0,VLOOKUP(C141,Tabla2[],2,FALSE))</f>
        <v>m²</v>
      </c>
      <c r="I141" s="115">
        <f>IF(C141=0,0,VLOOKUP(C141,Tabla2[],3,FALSE))</f>
        <v>90</v>
      </c>
      <c r="K141" s="84">
        <f>+F141*I141</f>
        <v>90</v>
      </c>
      <c r="L141" s="116">
        <f>E141*I141</f>
        <v>5986.7999999999993</v>
      </c>
    </row>
    <row r="142" spans="2:12" x14ac:dyDescent="0.3">
      <c r="B142" s="120"/>
      <c r="C142" s="409"/>
      <c r="D142" s="40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417"/>
      <c r="D143" s="418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419" t="s">
        <v>15</v>
      </c>
      <c r="C144" s="420"/>
      <c r="D144" s="420"/>
      <c r="E144" s="420"/>
      <c r="F144" s="420"/>
      <c r="G144" s="421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402" t="s">
        <v>16</v>
      </c>
      <c r="G146" s="403"/>
      <c r="H146" s="403"/>
      <c r="I146" s="404"/>
      <c r="K146" s="224">
        <f>+SUM(K141:K144)</f>
        <v>90</v>
      </c>
      <c r="L146" s="117">
        <f>+SUM(L141:L144)</f>
        <v>5986.7999999999993</v>
      </c>
    </row>
    <row r="147" spans="2:16" ht="17.25" thickBot="1" x14ac:dyDescent="0.35"/>
    <row r="148" spans="2:16" ht="17.25" thickBot="1" x14ac:dyDescent="0.35">
      <c r="B148" s="108" t="s">
        <v>17</v>
      </c>
      <c r="C148" s="413" t="s">
        <v>18</v>
      </c>
      <c r="D148" s="413"/>
      <c r="E148" s="413"/>
      <c r="F148" s="413"/>
      <c r="G148" s="414"/>
    </row>
    <row r="149" spans="2:16" x14ac:dyDescent="0.3">
      <c r="B149" s="112" t="s">
        <v>6</v>
      </c>
      <c r="C149" s="415" t="s">
        <v>1</v>
      </c>
      <c r="D149" s="41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411"/>
      <c r="D150" s="412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411"/>
      <c r="D151" s="412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411"/>
      <c r="D152" s="412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402" t="s">
        <v>19</v>
      </c>
      <c r="G154" s="403"/>
      <c r="H154" s="403"/>
      <c r="I154" s="404"/>
      <c r="K154" s="224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5"/>
    </row>
    <row r="156" spans="2:16" ht="15" customHeight="1" thickBot="1" x14ac:dyDescent="0.35"/>
    <row r="157" spans="2:16" ht="17.25" thickBot="1" x14ac:dyDescent="0.35">
      <c r="F157" s="402" t="s">
        <v>20</v>
      </c>
      <c r="G157" s="403"/>
      <c r="H157" s="403"/>
      <c r="I157" s="404"/>
      <c r="K157" s="224">
        <f>(+K128+K137+K146+K154)</f>
        <v>90</v>
      </c>
      <c r="L157" s="117">
        <f>(+L128+L137+L146+L154)</f>
        <v>5986.7999999999993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402" t="s">
        <v>21</v>
      </c>
      <c r="G159" s="403"/>
      <c r="H159" s="403"/>
      <c r="I159" s="404"/>
      <c r="K159" s="224">
        <f>K157*$N$2</f>
        <v>36</v>
      </c>
      <c r="L159" s="117">
        <f>L157*$N$2</f>
        <v>2394.7199999999998</v>
      </c>
    </row>
    <row r="160" spans="2:16" ht="7.5" customHeight="1" thickBot="1" x14ac:dyDescent="0.35"/>
    <row r="161" spans="1:16" ht="17.25" thickBot="1" x14ac:dyDescent="0.35">
      <c r="F161" s="402" t="s">
        <v>22</v>
      </c>
      <c r="G161" s="403"/>
      <c r="H161" s="403"/>
      <c r="I161" s="404"/>
      <c r="K161" s="224">
        <f>+K157+K159</f>
        <v>126</v>
      </c>
      <c r="L161" s="117">
        <f>+L157+L159</f>
        <v>8381.5199999999986</v>
      </c>
    </row>
    <row r="162" spans="1:16" ht="17.25" thickBot="1" x14ac:dyDescent="0.35">
      <c r="F162" s="126"/>
      <c r="G162" s="127"/>
      <c r="H162" s="128"/>
      <c r="I162" s="106"/>
      <c r="K162" s="226"/>
      <c r="L162" s="130">
        <f>L161/I118</f>
        <v>125.99999999999999</v>
      </c>
      <c r="M162" s="131">
        <f>(K161-L162)*I118</f>
        <v>9.4530605565523723E-13</v>
      </c>
    </row>
    <row r="163" spans="1:16" x14ac:dyDescent="0.3">
      <c r="F163" s="126"/>
      <c r="G163" s="127"/>
      <c r="H163" s="128"/>
      <c r="I163" s="106"/>
      <c r="K163" s="227"/>
      <c r="L163" s="129"/>
      <c r="M163" s="132"/>
      <c r="N163" s="133"/>
    </row>
    <row r="164" spans="1:16" ht="17.25" thickBot="1" x14ac:dyDescent="0.35">
      <c r="B164" s="405"/>
      <c r="C164" s="405"/>
      <c r="D164" s="405"/>
    </row>
    <row r="165" spans="1:16" x14ac:dyDescent="0.3">
      <c r="B165" s="406" t="s">
        <v>23</v>
      </c>
      <c r="C165" s="406"/>
      <c r="D165" s="406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422" t="s">
        <v>1</v>
      </c>
      <c r="E168" s="422"/>
      <c r="F168" s="422"/>
      <c r="G168" s="422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09">
        <f>CATALOGO!B15</f>
        <v>114.03</v>
      </c>
      <c r="C169" s="135"/>
      <c r="D169" s="435" t="str">
        <f>CATALOGO!C15</f>
        <v>DESMONTAJE DE CUBIERTA DE TECHO</v>
      </c>
      <c r="E169" s="435"/>
      <c r="F169" s="435"/>
      <c r="G169" s="435"/>
      <c r="H169" s="135"/>
      <c r="I169" s="209">
        <f>CATALOGO!D15</f>
        <v>6</v>
      </c>
      <c r="J169" s="107"/>
      <c r="K169" s="222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413" t="s">
        <v>5</v>
      </c>
      <c r="D171" s="413"/>
      <c r="E171" s="413"/>
      <c r="F171" s="413"/>
      <c r="G171" s="414"/>
    </row>
    <row r="172" spans="1:16" x14ac:dyDescent="0.3">
      <c r="B172" s="109" t="s">
        <v>6</v>
      </c>
      <c r="C172" s="424" t="s">
        <v>1</v>
      </c>
      <c r="D172" s="42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3" t="s">
        <v>8</v>
      </c>
      <c r="L172" s="113" t="s">
        <v>193</v>
      </c>
    </row>
    <row r="173" spans="1:16" x14ac:dyDescent="0.3">
      <c r="B173" s="74"/>
      <c r="C173" s="409"/>
      <c r="D173" s="40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409"/>
      <c r="D174" s="40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409"/>
      <c r="D175" s="40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409"/>
      <c r="D176" s="40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410"/>
      <c r="D177" s="410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402" t="s">
        <v>9</v>
      </c>
      <c r="G179" s="403"/>
      <c r="H179" s="403"/>
      <c r="I179" s="404"/>
      <c r="K179" s="224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413" t="s">
        <v>11</v>
      </c>
      <c r="D181" s="413"/>
      <c r="E181" s="413"/>
      <c r="F181" s="413"/>
      <c r="G181" s="414"/>
    </row>
    <row r="182" spans="2:12" x14ac:dyDescent="0.3">
      <c r="B182" s="112" t="s">
        <v>6</v>
      </c>
      <c r="C182" s="415" t="s">
        <v>1</v>
      </c>
      <c r="D182" s="41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/>
      <c r="C183" s="409" t="s">
        <v>208</v>
      </c>
      <c r="D183" s="409"/>
      <c r="E183" s="114">
        <f>I169</f>
        <v>6</v>
      </c>
      <c r="F183" s="83">
        <f>ROUND(E183/I169,2)</f>
        <v>1</v>
      </c>
      <c r="G183" s="74" t="str">
        <f>IF(C183=0,0,VLOOKUP(C183,Tabla3[],2,FALSE))</f>
        <v>mes</v>
      </c>
      <c r="I183" s="115">
        <f>IF(C183=0,0,VLOOKUP(C183,Tabla3[],3,FALSE))</f>
        <v>200</v>
      </c>
      <c r="K183" s="84">
        <f>+F183*I183</f>
        <v>200</v>
      </c>
      <c r="L183" s="116">
        <f>E183*I183</f>
        <v>1200</v>
      </c>
    </row>
    <row r="184" spans="2:12" x14ac:dyDescent="0.3">
      <c r="B184" s="74"/>
      <c r="C184" s="202"/>
      <c r="D184" s="203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2"/>
      <c r="D185" s="203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411"/>
      <c r="D186" s="412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402" t="s">
        <v>12</v>
      </c>
      <c r="G188" s="403"/>
      <c r="H188" s="403"/>
      <c r="I188" s="404"/>
      <c r="K188" s="224">
        <f>+SUM(K183:K186)</f>
        <v>200</v>
      </c>
      <c r="L188" s="117">
        <f>+SUM(L183:L186)</f>
        <v>1200</v>
      </c>
    </row>
    <row r="189" spans="2:12" ht="17.25" thickBot="1" x14ac:dyDescent="0.35"/>
    <row r="190" spans="2:12" ht="17.25" thickBot="1" x14ac:dyDescent="0.35">
      <c r="B190" s="108" t="s">
        <v>13</v>
      </c>
      <c r="C190" s="413" t="s">
        <v>14</v>
      </c>
      <c r="D190" s="413"/>
      <c r="E190" s="413"/>
      <c r="F190" s="413"/>
      <c r="G190" s="414"/>
    </row>
    <row r="191" spans="2:12" x14ac:dyDescent="0.3">
      <c r="B191" s="112" t="s">
        <v>6</v>
      </c>
      <c r="C191" s="415" t="s">
        <v>1</v>
      </c>
      <c r="D191" s="41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409" t="s">
        <v>276</v>
      </c>
      <c r="D192" s="409"/>
      <c r="E192" s="114">
        <f>I169</f>
        <v>6</v>
      </c>
      <c r="F192" s="83">
        <f>ROUND(E192/I169,2)</f>
        <v>1</v>
      </c>
      <c r="G192" s="74" t="str">
        <f>IF(C192=0,0,VLOOKUP(C192,Tabla2[],2,FALSE))</f>
        <v>m²</v>
      </c>
      <c r="I192" s="115">
        <f>IF(C192=0,0,VLOOKUP(C192,Tabla2[],3,FALSE))</f>
        <v>60</v>
      </c>
      <c r="K192" s="84">
        <f>+F192*I192</f>
        <v>60</v>
      </c>
      <c r="L192" s="116">
        <f>E192*I192</f>
        <v>360</v>
      </c>
    </row>
    <row r="193" spans="2:16" x14ac:dyDescent="0.3">
      <c r="B193" s="120"/>
      <c r="C193" s="409"/>
      <c r="D193" s="409"/>
      <c r="E193" s="114"/>
      <c r="F193" s="83"/>
      <c r="G193" s="74"/>
      <c r="I193" s="115">
        <f>IF(C193=0,0,VLOOKUP(C193,Tabla2[],3,FALSE))</f>
        <v>0</v>
      </c>
      <c r="K193" s="84">
        <f>+F193*I193</f>
        <v>0</v>
      </c>
      <c r="L193" s="116">
        <f>E193*I193</f>
        <v>0</v>
      </c>
    </row>
    <row r="194" spans="2:16" ht="17.25" thickBot="1" x14ac:dyDescent="0.35">
      <c r="B194" s="121"/>
      <c r="C194" s="417"/>
      <c r="D194" s="418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419" t="s">
        <v>15</v>
      </c>
      <c r="C195" s="420"/>
      <c r="D195" s="420"/>
      <c r="E195" s="420"/>
      <c r="F195" s="420"/>
      <c r="G195" s="421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402" t="s">
        <v>16</v>
      </c>
      <c r="G197" s="403"/>
      <c r="H197" s="403"/>
      <c r="I197" s="404"/>
      <c r="K197" s="224">
        <f>+SUM(K192:K195)</f>
        <v>60</v>
      </c>
      <c r="L197" s="117">
        <f>+SUM(L192:L195)</f>
        <v>360</v>
      </c>
    </row>
    <row r="198" spans="2:16" ht="17.25" thickBot="1" x14ac:dyDescent="0.35"/>
    <row r="199" spans="2:16" ht="17.25" thickBot="1" x14ac:dyDescent="0.35">
      <c r="B199" s="108" t="s">
        <v>17</v>
      </c>
      <c r="C199" s="413" t="s">
        <v>18</v>
      </c>
      <c r="D199" s="413"/>
      <c r="E199" s="413"/>
      <c r="F199" s="413"/>
      <c r="G199" s="414"/>
    </row>
    <row r="200" spans="2:16" x14ac:dyDescent="0.3">
      <c r="B200" s="112" t="s">
        <v>6</v>
      </c>
      <c r="C200" s="415" t="s">
        <v>1</v>
      </c>
      <c r="D200" s="41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411"/>
      <c r="D201" s="412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411"/>
      <c r="D202" s="412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411"/>
      <c r="D203" s="412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402" t="s">
        <v>19</v>
      </c>
      <c r="G205" s="403"/>
      <c r="H205" s="403"/>
      <c r="I205" s="404"/>
      <c r="K205" s="224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5"/>
    </row>
    <row r="207" spans="2:16" ht="15" customHeight="1" thickBot="1" x14ac:dyDescent="0.35"/>
    <row r="208" spans="2:16" ht="17.25" thickBot="1" x14ac:dyDescent="0.35">
      <c r="F208" s="402" t="s">
        <v>20</v>
      </c>
      <c r="G208" s="403"/>
      <c r="H208" s="403"/>
      <c r="I208" s="404"/>
      <c r="K208" s="224">
        <f>(+K179+K188+K197+K205)</f>
        <v>260</v>
      </c>
      <c r="L208" s="117">
        <f>(+L179+L188+L197+L205)</f>
        <v>1560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402" t="s">
        <v>21</v>
      </c>
      <c r="G210" s="403"/>
      <c r="H210" s="403"/>
      <c r="I210" s="404"/>
      <c r="K210" s="224">
        <f>K208*$N$2</f>
        <v>104</v>
      </c>
      <c r="L210" s="117">
        <f>L208*$N$2</f>
        <v>624</v>
      </c>
    </row>
    <row r="211" spans="1:16" ht="7.5" customHeight="1" thickBot="1" x14ac:dyDescent="0.35"/>
    <row r="212" spans="1:16" ht="17.25" thickBot="1" x14ac:dyDescent="0.35">
      <c r="F212" s="402" t="s">
        <v>22</v>
      </c>
      <c r="G212" s="403"/>
      <c r="H212" s="403"/>
      <c r="I212" s="404"/>
      <c r="K212" s="224">
        <f>+K208+K210</f>
        <v>364</v>
      </c>
      <c r="L212" s="117">
        <f>+L208+L210</f>
        <v>2184</v>
      </c>
    </row>
    <row r="213" spans="1:16" ht="17.25" thickBot="1" x14ac:dyDescent="0.35">
      <c r="F213" s="126"/>
      <c r="G213" s="127"/>
      <c r="H213" s="128"/>
      <c r="I213" s="106"/>
      <c r="K213" s="226"/>
      <c r="L213" s="130">
        <f>L212/I169</f>
        <v>364</v>
      </c>
      <c r="M213" s="131">
        <f>(K212-L213)*I169</f>
        <v>0</v>
      </c>
    </row>
    <row r="214" spans="1:16" x14ac:dyDescent="0.3">
      <c r="F214" s="126"/>
      <c r="G214" s="127"/>
      <c r="H214" s="128"/>
      <c r="I214" s="106"/>
      <c r="K214" s="227"/>
      <c r="L214" s="129"/>
      <c r="M214" s="132"/>
      <c r="N214" s="133"/>
    </row>
    <row r="215" spans="1:16" ht="17.25" thickBot="1" x14ac:dyDescent="0.35">
      <c r="B215" s="405"/>
      <c r="C215" s="405"/>
      <c r="D215" s="405"/>
    </row>
    <row r="216" spans="1:16" x14ac:dyDescent="0.3">
      <c r="B216" s="406" t="s">
        <v>23</v>
      </c>
      <c r="C216" s="406"/>
      <c r="D216" s="406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422" t="s">
        <v>1</v>
      </c>
      <c r="E219" s="422"/>
      <c r="F219" s="422"/>
      <c r="G219" s="422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09">
        <f>CATALOGO!B16</f>
        <v>117.01</v>
      </c>
      <c r="C220" s="135"/>
      <c r="D220" s="435" t="str">
        <f>CATALOGO!C16</f>
        <v>DESMONTAJE DE ARTEFACTOS SANITARIOS</v>
      </c>
      <c r="E220" s="435"/>
      <c r="F220" s="435"/>
      <c r="G220" s="435"/>
      <c r="H220" s="135"/>
      <c r="I220" s="209">
        <f>CATALOGO!D16</f>
        <v>3</v>
      </c>
      <c r="J220" s="107"/>
      <c r="K220" s="222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413" t="s">
        <v>5</v>
      </c>
      <c r="D222" s="413"/>
      <c r="E222" s="413"/>
      <c r="F222" s="413"/>
      <c r="G222" s="414"/>
    </row>
    <row r="223" spans="1:16" x14ac:dyDescent="0.3">
      <c r="B223" s="109" t="s">
        <v>6</v>
      </c>
      <c r="C223" s="424" t="s">
        <v>1</v>
      </c>
      <c r="D223" s="42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3" t="s">
        <v>8</v>
      </c>
      <c r="L223" s="113" t="s">
        <v>193</v>
      </c>
    </row>
    <row r="224" spans="1:16" x14ac:dyDescent="0.3">
      <c r="B224" s="74"/>
      <c r="C224" s="409"/>
      <c r="D224" s="40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409"/>
      <c r="D225" s="40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409"/>
      <c r="D226" s="40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409"/>
      <c r="D227" s="40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410"/>
      <c r="D228" s="410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410"/>
      <c r="D229" s="410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402" t="s">
        <v>9</v>
      </c>
      <c r="G231" s="403"/>
      <c r="H231" s="403"/>
      <c r="I231" s="404"/>
      <c r="K231" s="224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413" t="s">
        <v>11</v>
      </c>
      <c r="D233" s="413"/>
      <c r="E233" s="413"/>
      <c r="F233" s="413"/>
      <c r="G233" s="414"/>
    </row>
    <row r="234" spans="2:12" x14ac:dyDescent="0.3">
      <c r="B234" s="112" t="s">
        <v>6</v>
      </c>
      <c r="C234" s="415" t="s">
        <v>1</v>
      </c>
      <c r="D234" s="41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409" t="s">
        <v>189</v>
      </c>
      <c r="D235" s="409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>+F235*I235</f>
        <v>120</v>
      </c>
      <c r="L235" s="116">
        <f>E235*I235</f>
        <v>359.99999999999994</v>
      </c>
    </row>
    <row r="236" spans="2:12" x14ac:dyDescent="0.3">
      <c r="B236" s="74"/>
      <c r="C236" s="202"/>
      <c r="D236" s="203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02"/>
      <c r="D237" s="203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411"/>
      <c r="D238" s="412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402" t="s">
        <v>12</v>
      </c>
      <c r="G240" s="403"/>
      <c r="H240" s="403"/>
      <c r="I240" s="404"/>
      <c r="K240" s="224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413" t="s">
        <v>14</v>
      </c>
      <c r="D242" s="413"/>
      <c r="E242" s="413"/>
      <c r="F242" s="413"/>
      <c r="G242" s="414"/>
    </row>
    <row r="243" spans="2:12" x14ac:dyDescent="0.3">
      <c r="B243" s="112" t="s">
        <v>6</v>
      </c>
      <c r="C243" s="415" t="s">
        <v>1</v>
      </c>
      <c r="D243" s="41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409" t="s">
        <v>328</v>
      </c>
      <c r="D244" s="409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409"/>
      <c r="D245" s="409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417"/>
      <c r="D246" s="418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419" t="s">
        <v>15</v>
      </c>
      <c r="C247" s="420"/>
      <c r="D247" s="420"/>
      <c r="E247" s="420"/>
      <c r="F247" s="420"/>
      <c r="G247" s="421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402" t="s">
        <v>16</v>
      </c>
      <c r="G249" s="403"/>
      <c r="H249" s="403"/>
      <c r="I249" s="404"/>
      <c r="K249" s="224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413" t="s">
        <v>18</v>
      </c>
      <c r="D251" s="413"/>
      <c r="E251" s="413"/>
      <c r="F251" s="413"/>
      <c r="G251" s="414"/>
    </row>
    <row r="252" spans="2:12" x14ac:dyDescent="0.3">
      <c r="B252" s="112" t="s">
        <v>6</v>
      </c>
      <c r="C252" s="415" t="s">
        <v>1</v>
      </c>
      <c r="D252" s="41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411"/>
      <c r="D253" s="412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411"/>
      <c r="D254" s="412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411"/>
      <c r="D255" s="412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402" t="s">
        <v>19</v>
      </c>
      <c r="G257" s="403"/>
      <c r="H257" s="403"/>
      <c r="I257" s="404"/>
      <c r="K257" s="224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5"/>
    </row>
    <row r="259" spans="1:16" ht="15" customHeight="1" thickBot="1" x14ac:dyDescent="0.35"/>
    <row r="260" spans="1:16" ht="17.25" thickBot="1" x14ac:dyDescent="0.35">
      <c r="F260" s="402" t="s">
        <v>20</v>
      </c>
      <c r="G260" s="403"/>
      <c r="H260" s="403"/>
      <c r="I260" s="404"/>
      <c r="K260" s="224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402" t="s">
        <v>21</v>
      </c>
      <c r="G262" s="403"/>
      <c r="H262" s="403"/>
      <c r="I262" s="404"/>
      <c r="K262" s="224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402" t="s">
        <v>22</v>
      </c>
      <c r="G264" s="403"/>
      <c r="H264" s="403"/>
      <c r="I264" s="404"/>
      <c r="K264" s="224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127"/>
      <c r="H265" s="128"/>
      <c r="I265" s="106"/>
      <c r="K265" s="226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7"/>
      <c r="L266" s="129"/>
      <c r="M266" s="132"/>
      <c r="N266" s="133"/>
    </row>
    <row r="267" spans="1:16" ht="17.25" thickBot="1" x14ac:dyDescent="0.35">
      <c r="B267" s="405"/>
      <c r="C267" s="405"/>
      <c r="D267" s="405"/>
    </row>
    <row r="268" spans="1:16" x14ac:dyDescent="0.3">
      <c r="B268" s="406" t="s">
        <v>23</v>
      </c>
      <c r="C268" s="406"/>
      <c r="D268" s="406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422" t="s">
        <v>1</v>
      </c>
      <c r="E271" s="422"/>
      <c r="F271" s="422"/>
      <c r="G271" s="422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09">
        <f>CATALOGO!B17</f>
        <v>118.01</v>
      </c>
      <c r="C272" s="135"/>
      <c r="D272" s="435" t="str">
        <f>CATALOGO!C17</f>
        <v>DESMONTAJE DE ACCESORIOS ELECTRICOS</v>
      </c>
      <c r="E272" s="435"/>
      <c r="F272" s="435"/>
      <c r="G272" s="435"/>
      <c r="H272" s="135"/>
      <c r="I272" s="209">
        <f>CATALOGO!D17</f>
        <v>7</v>
      </c>
      <c r="J272" s="107"/>
      <c r="K272" s="222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413" t="s">
        <v>5</v>
      </c>
      <c r="D274" s="413"/>
      <c r="E274" s="413"/>
      <c r="F274" s="413"/>
      <c r="G274" s="414"/>
    </row>
    <row r="275" spans="2:12" x14ac:dyDescent="0.3">
      <c r="B275" s="109" t="s">
        <v>6</v>
      </c>
      <c r="C275" s="424" t="s">
        <v>1</v>
      </c>
      <c r="D275" s="42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3" t="s">
        <v>8</v>
      </c>
      <c r="L275" s="113" t="s">
        <v>193</v>
      </c>
    </row>
    <row r="276" spans="2:12" x14ac:dyDescent="0.3">
      <c r="B276" s="74"/>
      <c r="C276" s="409"/>
      <c r="D276" s="40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409"/>
      <c r="D277" s="40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409"/>
      <c r="D278" s="40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409"/>
      <c r="D279" s="40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410"/>
      <c r="D280" s="410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410"/>
      <c r="D281" s="410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402" t="s">
        <v>9</v>
      </c>
      <c r="G283" s="403"/>
      <c r="H283" s="403"/>
      <c r="I283" s="404"/>
      <c r="K283" s="224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413" t="s">
        <v>11</v>
      </c>
      <c r="D285" s="413"/>
      <c r="E285" s="413"/>
      <c r="F285" s="413"/>
      <c r="G285" s="414"/>
    </row>
    <row r="286" spans="2:12" x14ac:dyDescent="0.3">
      <c r="B286" s="112" t="s">
        <v>6</v>
      </c>
      <c r="C286" s="415" t="s">
        <v>1</v>
      </c>
      <c r="D286" s="41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409"/>
      <c r="D287" s="40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02"/>
      <c r="D288" s="203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02"/>
      <c r="D289" s="203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411"/>
      <c r="D290" s="412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402" t="s">
        <v>12</v>
      </c>
      <c r="G292" s="403"/>
      <c r="H292" s="403"/>
      <c r="I292" s="404"/>
      <c r="K292" s="224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413" t="s">
        <v>14</v>
      </c>
      <c r="D294" s="413"/>
      <c r="E294" s="413"/>
      <c r="F294" s="413"/>
      <c r="G294" s="414"/>
    </row>
    <row r="295" spans="2:12" x14ac:dyDescent="0.3">
      <c r="B295" s="112" t="s">
        <v>6</v>
      </c>
      <c r="C295" s="415" t="s">
        <v>1</v>
      </c>
      <c r="D295" s="41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409" t="s">
        <v>463</v>
      </c>
      <c r="D296" s="409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409"/>
      <c r="D297" s="40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417"/>
      <c r="D298" s="418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419" t="s">
        <v>15</v>
      </c>
      <c r="C299" s="420"/>
      <c r="D299" s="420"/>
      <c r="E299" s="420"/>
      <c r="F299" s="420"/>
      <c r="G299" s="421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402" t="s">
        <v>16</v>
      </c>
      <c r="G301" s="403"/>
      <c r="H301" s="403"/>
      <c r="I301" s="404"/>
      <c r="K301" s="224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413" t="s">
        <v>18</v>
      </c>
      <c r="D303" s="413"/>
      <c r="E303" s="413"/>
      <c r="F303" s="413"/>
      <c r="G303" s="414"/>
    </row>
    <row r="304" spans="2:12" x14ac:dyDescent="0.3">
      <c r="B304" s="112" t="s">
        <v>6</v>
      </c>
      <c r="C304" s="415" t="s">
        <v>1</v>
      </c>
      <c r="D304" s="41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411"/>
      <c r="D305" s="412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411"/>
      <c r="D306" s="412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411"/>
      <c r="D307" s="412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402" t="s">
        <v>19</v>
      </c>
      <c r="G309" s="403"/>
      <c r="H309" s="403"/>
      <c r="I309" s="404"/>
      <c r="K309" s="224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5"/>
    </row>
    <row r="311" spans="2:16" ht="15" customHeight="1" thickBot="1" x14ac:dyDescent="0.35"/>
    <row r="312" spans="2:16" ht="17.25" thickBot="1" x14ac:dyDescent="0.35">
      <c r="F312" s="402" t="s">
        <v>20</v>
      </c>
      <c r="G312" s="403"/>
      <c r="H312" s="403"/>
      <c r="I312" s="404"/>
      <c r="K312" s="224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402" t="s">
        <v>21</v>
      </c>
      <c r="G314" s="403"/>
      <c r="H314" s="403"/>
      <c r="I314" s="404"/>
      <c r="K314" s="224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402" t="s">
        <v>22</v>
      </c>
      <c r="G316" s="403"/>
      <c r="H316" s="403"/>
      <c r="I316" s="404"/>
      <c r="K316" s="224">
        <f>+K312+K314</f>
        <v>84</v>
      </c>
      <c r="L316" s="117">
        <f>+L312+L314</f>
        <v>588</v>
      </c>
    </row>
    <row r="317" spans="2:16" ht="17.25" thickBot="1" x14ac:dyDescent="0.35">
      <c r="F317" s="126"/>
      <c r="G317" s="127"/>
      <c r="H317" s="128"/>
      <c r="I317" s="106"/>
      <c r="K317" s="226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7"/>
      <c r="L318" s="129"/>
      <c r="M318" s="132"/>
      <c r="N318" s="133"/>
    </row>
    <row r="319" spans="2:16" ht="17.25" thickBot="1" x14ac:dyDescent="0.35">
      <c r="B319" s="405"/>
      <c r="C319" s="405"/>
      <c r="D319" s="405"/>
    </row>
    <row r="320" spans="2:16" x14ac:dyDescent="0.3">
      <c r="B320" s="406" t="s">
        <v>23</v>
      </c>
      <c r="C320" s="406"/>
      <c r="D320" s="406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422" t="s">
        <v>1</v>
      </c>
      <c r="E323" s="422"/>
      <c r="F323" s="422"/>
      <c r="G323" s="422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09">
        <f>CATALOGO!B21</f>
        <v>201.01</v>
      </c>
      <c r="C324" s="71"/>
      <c r="D324" s="423" t="str">
        <f>CATALOGO!C21</f>
        <v>EXCAVACIÓN ESTRUCTURAL A MANO</v>
      </c>
      <c r="E324" s="423"/>
      <c r="F324" s="423"/>
      <c r="G324" s="423"/>
      <c r="H324" s="71"/>
      <c r="I324" s="209">
        <f>CATALOGO!D21</f>
        <v>17.510000000000002</v>
      </c>
      <c r="J324" s="107"/>
      <c r="K324" s="222" t="str">
        <f>CATALOGO!G21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413" t="s">
        <v>5</v>
      </c>
      <c r="D326" s="413"/>
      <c r="E326" s="413"/>
      <c r="F326" s="413"/>
      <c r="G326" s="414"/>
    </row>
    <row r="327" spans="1:16" x14ac:dyDescent="0.3">
      <c r="B327" s="109" t="s">
        <v>6</v>
      </c>
      <c r="C327" s="424" t="s">
        <v>1</v>
      </c>
      <c r="D327" s="42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3" t="s">
        <v>8</v>
      </c>
      <c r="L327" s="113" t="s">
        <v>193</v>
      </c>
    </row>
    <row r="328" spans="1:16" x14ac:dyDescent="0.3">
      <c r="B328" s="120">
        <v>1</v>
      </c>
      <c r="C328" s="409" t="s">
        <v>214</v>
      </c>
      <c r="D328" s="409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409" t="s">
        <v>179</v>
      </c>
      <c r="D329" s="409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6">+F329*I329</f>
        <v>18</v>
      </c>
      <c r="L329" s="116">
        <f t="shared" ref="L329:L335" si="7">E329*I329</f>
        <v>315.18</v>
      </c>
    </row>
    <row r="330" spans="1:16" x14ac:dyDescent="0.3">
      <c r="B330" s="120">
        <v>3</v>
      </c>
      <c r="C330" s="409" t="s">
        <v>464</v>
      </c>
      <c r="D330" s="409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6"/>
        <v>12</v>
      </c>
      <c r="L330" s="116">
        <f t="shared" si="7"/>
        <v>210.12000000000003</v>
      </c>
    </row>
    <row r="331" spans="1:16" x14ac:dyDescent="0.3">
      <c r="B331" s="120"/>
      <c r="C331" s="409"/>
      <c r="D331" s="40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120"/>
      <c r="C332" s="410"/>
      <c r="D332" s="410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120"/>
      <c r="C333" s="410"/>
      <c r="D333" s="410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x14ac:dyDescent="0.3">
      <c r="B334" s="120"/>
      <c r="C334" s="410"/>
      <c r="D334" s="410"/>
      <c r="E334" s="114"/>
      <c r="F334" s="72"/>
      <c r="G334" s="74"/>
      <c r="I334" s="115">
        <f>IF(C334=0,0,VLOOKUP(C334,Tabla1[],3,FALSE))</f>
        <v>0</v>
      </c>
      <c r="K334" s="84">
        <f t="shared" si="6"/>
        <v>0</v>
      </c>
      <c r="L334" s="116">
        <f t="shared" si="7"/>
        <v>0</v>
      </c>
    </row>
    <row r="335" spans="1:16" x14ac:dyDescent="0.3">
      <c r="B335" s="120"/>
      <c r="C335" s="410"/>
      <c r="D335" s="410"/>
      <c r="E335" s="114"/>
      <c r="F335" s="72"/>
      <c r="G335" s="74"/>
      <c r="I335" s="115">
        <f>IF(C335=0,0,VLOOKUP(C335,Tabla1[],3,FALSE))</f>
        <v>0</v>
      </c>
      <c r="K335" s="84">
        <f t="shared" si="6"/>
        <v>0</v>
      </c>
      <c r="L335" s="116">
        <f t="shared" si="7"/>
        <v>0</v>
      </c>
    </row>
    <row r="336" spans="1:16" ht="17.25" thickBot="1" x14ac:dyDescent="0.35"/>
    <row r="337" spans="2:12" ht="17.25" thickBot="1" x14ac:dyDescent="0.35">
      <c r="F337" s="402" t="s">
        <v>9</v>
      </c>
      <c r="G337" s="403"/>
      <c r="H337" s="403"/>
      <c r="I337" s="404"/>
      <c r="K337" s="224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413" t="s">
        <v>11</v>
      </c>
      <c r="D339" s="413"/>
      <c r="E339" s="413"/>
      <c r="F339" s="413"/>
      <c r="G339" s="414"/>
    </row>
    <row r="340" spans="2:12" x14ac:dyDescent="0.3">
      <c r="B340" s="112" t="s">
        <v>6</v>
      </c>
      <c r="C340" s="415" t="s">
        <v>1</v>
      </c>
      <c r="D340" s="416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409"/>
      <c r="D341" s="409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02"/>
      <c r="D342" s="203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x14ac:dyDescent="0.3">
      <c r="B343" s="74"/>
      <c r="C343" s="202"/>
      <c r="D343" s="203"/>
      <c r="E343" s="119"/>
      <c r="F343" s="72"/>
      <c r="G343" s="74"/>
      <c r="I343" s="115">
        <f>IF(C343=0,0,VLOOKUP(C343,Tabla3[],3,FALSE))</f>
        <v>0</v>
      </c>
      <c r="K343" s="84">
        <f>+F343*I343</f>
        <v>0</v>
      </c>
      <c r="L343" s="116">
        <f>E343*I343</f>
        <v>0</v>
      </c>
    </row>
    <row r="344" spans="2:12" x14ac:dyDescent="0.3">
      <c r="B344" s="74"/>
      <c r="C344" s="411"/>
      <c r="D344" s="412"/>
      <c r="E344" s="119"/>
      <c r="F344" s="72"/>
      <c r="G344" s="74"/>
      <c r="I344" s="115">
        <f>IF(C344=0,0,VLOOKUP(C344,Tabla3[],3,FALSE))</f>
        <v>0</v>
      </c>
      <c r="K344" s="84">
        <f>+F344*I344</f>
        <v>0</v>
      </c>
      <c r="L344" s="116">
        <f>E344*I344</f>
        <v>0</v>
      </c>
    </row>
    <row r="345" spans="2:12" ht="17.25" thickBot="1" x14ac:dyDescent="0.35"/>
    <row r="346" spans="2:12" ht="17.25" thickBot="1" x14ac:dyDescent="0.35">
      <c r="F346" s="402" t="s">
        <v>12</v>
      </c>
      <c r="G346" s="403"/>
      <c r="H346" s="403"/>
      <c r="I346" s="404"/>
      <c r="K346" s="224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413" t="s">
        <v>14</v>
      </c>
      <c r="D348" s="413"/>
      <c r="E348" s="413"/>
      <c r="F348" s="413"/>
      <c r="G348" s="414"/>
    </row>
    <row r="349" spans="2:12" x14ac:dyDescent="0.3">
      <c r="B349" s="112" t="s">
        <v>6</v>
      </c>
      <c r="C349" s="415" t="s">
        <v>1</v>
      </c>
      <c r="D349" s="416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409" t="s">
        <v>398</v>
      </c>
      <c r="D350" s="409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409"/>
      <c r="D351" s="409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417"/>
      <c r="D352" s="418"/>
      <c r="E352" s="122"/>
      <c r="F352" s="123"/>
      <c r="G352" s="74"/>
      <c r="I352" s="115">
        <f>IF(C352=0,0,VLOOKUP(C352,Tabla2[],3,FALSE))</f>
        <v>0</v>
      </c>
      <c r="K352" s="84">
        <f>+F352*I352</f>
        <v>0</v>
      </c>
      <c r="L352" s="116">
        <f>E352*I352</f>
        <v>0</v>
      </c>
    </row>
    <row r="353" spans="2:16" ht="17.25" thickBot="1" x14ac:dyDescent="0.35">
      <c r="B353" s="419" t="s">
        <v>15</v>
      </c>
      <c r="C353" s="420"/>
      <c r="D353" s="420"/>
      <c r="E353" s="420"/>
      <c r="F353" s="420"/>
      <c r="G353" s="421"/>
      <c r="I353" s="84">
        <v>0</v>
      </c>
      <c r="K353" s="84">
        <v>0</v>
      </c>
      <c r="L353" s="116">
        <f>E353*I353</f>
        <v>0</v>
      </c>
    </row>
    <row r="354" spans="2:16" ht="17.25" thickBot="1" x14ac:dyDescent="0.35"/>
    <row r="355" spans="2:16" ht="17.25" thickBot="1" x14ac:dyDescent="0.35">
      <c r="F355" s="402" t="s">
        <v>16</v>
      </c>
      <c r="G355" s="403"/>
      <c r="H355" s="403"/>
      <c r="I355" s="404"/>
      <c r="K355" s="224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413" t="s">
        <v>18</v>
      </c>
      <c r="D357" s="413"/>
      <c r="E357" s="413"/>
      <c r="F357" s="413"/>
      <c r="G357" s="414"/>
    </row>
    <row r="358" spans="2:16" x14ac:dyDescent="0.3">
      <c r="B358" s="112" t="s">
        <v>6</v>
      </c>
      <c r="C358" s="415" t="s">
        <v>1</v>
      </c>
      <c r="D358" s="416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411"/>
      <c r="D359" s="412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411"/>
      <c r="D360" s="412"/>
      <c r="E360" s="125"/>
      <c r="F360" s="72"/>
      <c r="G360" s="74"/>
      <c r="I360" s="84">
        <v>0</v>
      </c>
      <c r="K360" s="84">
        <f>+F360*I360</f>
        <v>0</v>
      </c>
      <c r="L360" s="116">
        <f>E360*I360</f>
        <v>0</v>
      </c>
    </row>
    <row r="361" spans="2:16" x14ac:dyDescent="0.3">
      <c r="B361" s="74"/>
      <c r="C361" s="411"/>
      <c r="D361" s="412"/>
      <c r="E361" s="125"/>
      <c r="F361" s="72"/>
      <c r="G361" s="74"/>
      <c r="I361" s="84">
        <v>0</v>
      </c>
      <c r="K361" s="84">
        <f>+F361*I361</f>
        <v>0</v>
      </c>
      <c r="L361" s="116">
        <f>E361*I361</f>
        <v>0</v>
      </c>
    </row>
    <row r="362" spans="2:16" ht="17.25" thickBot="1" x14ac:dyDescent="0.35">
      <c r="L362" s="116"/>
    </row>
    <row r="363" spans="2:16" ht="17.25" thickBot="1" x14ac:dyDescent="0.35">
      <c r="F363" s="402" t="s">
        <v>19</v>
      </c>
      <c r="G363" s="403"/>
      <c r="H363" s="403"/>
      <c r="I363" s="404"/>
      <c r="K363" s="224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127"/>
      <c r="H364" s="128"/>
      <c r="I364" s="106"/>
      <c r="K364" s="225"/>
    </row>
    <row r="365" spans="2:16" ht="15" customHeight="1" thickBot="1" x14ac:dyDescent="0.35"/>
    <row r="366" spans="2:16" ht="17.25" thickBot="1" x14ac:dyDescent="0.35">
      <c r="F366" s="402" t="s">
        <v>20</v>
      </c>
      <c r="G366" s="403"/>
      <c r="H366" s="403"/>
      <c r="I366" s="404"/>
      <c r="K366" s="224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402" t="s">
        <v>21</v>
      </c>
      <c r="G368" s="403"/>
      <c r="H368" s="403"/>
      <c r="I368" s="404"/>
      <c r="K368" s="224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402" t="s">
        <v>22</v>
      </c>
      <c r="G370" s="403"/>
      <c r="H370" s="403"/>
      <c r="I370" s="404"/>
      <c r="K370" s="224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127"/>
      <c r="H371" s="128"/>
      <c r="I371" s="106"/>
      <c r="K371" s="226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127"/>
      <c r="H372" s="128"/>
      <c r="I372" s="106"/>
      <c r="K372" s="227"/>
      <c r="L372" s="129"/>
      <c r="M372" s="132"/>
      <c r="N372" s="133"/>
    </row>
    <row r="373" spans="1:16" ht="17.25" thickBot="1" x14ac:dyDescent="0.35">
      <c r="B373" s="405"/>
      <c r="C373" s="405"/>
      <c r="D373" s="405"/>
    </row>
    <row r="374" spans="1:16" x14ac:dyDescent="0.3">
      <c r="B374" s="406" t="s">
        <v>23</v>
      </c>
      <c r="C374" s="406"/>
      <c r="D374" s="406"/>
    </row>
    <row r="375" spans="1:16" x14ac:dyDescent="0.3">
      <c r="B375" s="155"/>
      <c r="C375" s="155"/>
      <c r="D375" s="155"/>
    </row>
    <row r="376" spans="1:16" x14ac:dyDescent="0.3">
      <c r="B376" s="155"/>
      <c r="C376" s="155"/>
      <c r="D376" s="155"/>
    </row>
    <row r="377" spans="1:16" x14ac:dyDescent="0.3">
      <c r="B377" s="103" t="s">
        <v>43</v>
      </c>
      <c r="C377" s="104"/>
      <c r="D377" s="422" t="s">
        <v>1</v>
      </c>
      <c r="E377" s="422"/>
      <c r="F377" s="422"/>
      <c r="G377" s="422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09">
        <f>CATALOGO!B22</f>
        <v>201.03</v>
      </c>
      <c r="C378" s="71"/>
      <c r="D378" s="423" t="str">
        <f>CATALOGO!C22</f>
        <v>RELLENO Y COMPACTACIÓN DE CIMIENTO CON MATERIAL DE EXCAVACIÓN</v>
      </c>
      <c r="E378" s="423"/>
      <c r="F378" s="423"/>
      <c r="G378" s="423"/>
      <c r="H378" s="71"/>
      <c r="I378" s="209">
        <f>CATALOGO!D22</f>
        <v>6.78</v>
      </c>
      <c r="J378" s="107"/>
      <c r="K378" s="222" t="str">
        <f>CATALOGO!G22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413" t="s">
        <v>5</v>
      </c>
      <c r="D380" s="413"/>
      <c r="E380" s="413"/>
      <c r="F380" s="413"/>
      <c r="G380" s="414"/>
    </row>
    <row r="381" spans="1:16" x14ac:dyDescent="0.3">
      <c r="B381" s="109" t="s">
        <v>6</v>
      </c>
      <c r="C381" s="424" t="s">
        <v>1</v>
      </c>
      <c r="D381" s="425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3" t="s">
        <v>8</v>
      </c>
      <c r="L381" s="113" t="s">
        <v>193</v>
      </c>
    </row>
    <row r="382" spans="1:16" x14ac:dyDescent="0.3">
      <c r="B382" s="120"/>
      <c r="C382" s="409"/>
      <c r="D382" s="409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409"/>
      <c r="D383" s="409"/>
      <c r="E383" s="114"/>
      <c r="F383" s="83"/>
      <c r="G383" s="74"/>
      <c r="I383" s="115">
        <f>IF(C383=0,0,VLOOKUP(C383,Tabla1[],3,FALSE))</f>
        <v>0</v>
      </c>
      <c r="K383" s="84">
        <f>+F383*I383</f>
        <v>0</v>
      </c>
      <c r="L383" s="116">
        <f>E383*I383</f>
        <v>0</v>
      </c>
    </row>
    <row r="384" spans="1:16" x14ac:dyDescent="0.3">
      <c r="B384" s="120"/>
      <c r="C384" s="409"/>
      <c r="D384" s="409"/>
      <c r="E384" s="114"/>
      <c r="F384" s="83"/>
      <c r="G384" s="74"/>
      <c r="I384" s="115">
        <f>IF(C384=0,0,VLOOKUP(C384,Tabla1[],3,FALSE))</f>
        <v>0</v>
      </c>
      <c r="K384" s="84">
        <f>+F384*I384</f>
        <v>0</v>
      </c>
      <c r="L384" s="116">
        <f>E384*I384</f>
        <v>0</v>
      </c>
    </row>
    <row r="385" spans="2:12" x14ac:dyDescent="0.3">
      <c r="B385" s="120"/>
      <c r="C385" s="409"/>
      <c r="D385" s="409"/>
      <c r="E385" s="114"/>
      <c r="F385" s="83"/>
      <c r="G385" s="74"/>
      <c r="I385" s="115">
        <f>IF(C385=0,0,VLOOKUP(C385,Tabla1[],3,FALSE))</f>
        <v>0</v>
      </c>
      <c r="K385" s="84">
        <f>+F385*I385</f>
        <v>0</v>
      </c>
      <c r="L385" s="116">
        <f>E385*I385</f>
        <v>0</v>
      </c>
    </row>
    <row r="386" spans="2:12" x14ac:dyDescent="0.3">
      <c r="B386" s="120"/>
      <c r="C386" s="410"/>
      <c r="D386" s="410"/>
      <c r="E386" s="114"/>
      <c r="F386" s="72"/>
      <c r="G386" s="74"/>
      <c r="I386" s="115">
        <f>IF(C386=0,0,VLOOKUP(C386,Tabla1[],3,FALSE))</f>
        <v>0</v>
      </c>
      <c r="K386" s="84">
        <f>+F386*I386</f>
        <v>0</v>
      </c>
      <c r="L386" s="116">
        <f>E386*I386</f>
        <v>0</v>
      </c>
    </row>
    <row r="387" spans="2:12" ht="17.25" thickBot="1" x14ac:dyDescent="0.35"/>
    <row r="388" spans="2:12" ht="17.25" thickBot="1" x14ac:dyDescent="0.35">
      <c r="F388" s="402" t="s">
        <v>9</v>
      </c>
      <c r="G388" s="403"/>
      <c r="H388" s="403"/>
      <c r="I388" s="404"/>
      <c r="K388" s="224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413" t="s">
        <v>11</v>
      </c>
      <c r="D390" s="413"/>
      <c r="E390" s="413"/>
      <c r="F390" s="413"/>
      <c r="G390" s="414"/>
    </row>
    <row r="391" spans="2:12" x14ac:dyDescent="0.3">
      <c r="B391" s="112" t="s">
        <v>6</v>
      </c>
      <c r="C391" s="415" t="s">
        <v>1</v>
      </c>
      <c r="D391" s="416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409" t="s">
        <v>189</v>
      </c>
      <c r="D392" s="409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>+F392*I392</f>
        <v>200</v>
      </c>
      <c r="L392" s="116">
        <f>E392*I392</f>
        <v>1356</v>
      </c>
    </row>
    <row r="393" spans="2:12" x14ac:dyDescent="0.3">
      <c r="B393" s="120"/>
      <c r="C393" s="431"/>
      <c r="D393" s="432"/>
      <c r="E393" s="114"/>
      <c r="F393" s="83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202"/>
      <c r="D394" s="203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x14ac:dyDescent="0.3">
      <c r="B395" s="74"/>
      <c r="C395" s="411"/>
      <c r="D395" s="412"/>
      <c r="E395" s="119"/>
      <c r="F395" s="72"/>
      <c r="G395" s="74"/>
      <c r="I395" s="115">
        <f>IF(C395=0,0,VLOOKUP(C395,Tabla3[],3,FALSE))</f>
        <v>0</v>
      </c>
      <c r="K395" s="84">
        <f>+F395*I395</f>
        <v>0</v>
      </c>
      <c r="L395" s="116">
        <f>E395*I395</f>
        <v>0</v>
      </c>
    </row>
    <row r="396" spans="2:12" ht="17.25" thickBot="1" x14ac:dyDescent="0.35"/>
    <row r="397" spans="2:12" ht="17.25" thickBot="1" x14ac:dyDescent="0.35">
      <c r="F397" s="402" t="s">
        <v>12</v>
      </c>
      <c r="G397" s="403"/>
      <c r="H397" s="403"/>
      <c r="I397" s="404"/>
      <c r="K397" s="224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413" t="s">
        <v>14</v>
      </c>
      <c r="D399" s="413"/>
      <c r="E399" s="413"/>
      <c r="F399" s="413"/>
      <c r="G399" s="414"/>
    </row>
    <row r="400" spans="2:12" x14ac:dyDescent="0.3">
      <c r="B400" s="112" t="s">
        <v>6</v>
      </c>
      <c r="C400" s="415" t="s">
        <v>1</v>
      </c>
      <c r="D400" s="416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409" t="s">
        <v>571</v>
      </c>
      <c r="D401" s="409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409" t="s">
        <v>572</v>
      </c>
      <c r="D402" s="409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417"/>
      <c r="D403" s="418"/>
      <c r="E403" s="122"/>
      <c r="F403" s="123"/>
      <c r="G403" s="74"/>
      <c r="I403" s="115">
        <f>IF(C403=0,0,VLOOKUP(C403,Tabla2[],3,FALSE))</f>
        <v>0</v>
      </c>
      <c r="K403" s="84">
        <f>+F403*I403</f>
        <v>0</v>
      </c>
      <c r="L403" s="116">
        <f>E403*I403</f>
        <v>0</v>
      </c>
    </row>
    <row r="404" spans="2:12" ht="17.25" thickBot="1" x14ac:dyDescent="0.35">
      <c r="B404" s="419" t="s">
        <v>15</v>
      </c>
      <c r="C404" s="420"/>
      <c r="D404" s="420"/>
      <c r="E404" s="420"/>
      <c r="F404" s="420"/>
      <c r="G404" s="421"/>
      <c r="I404" s="84">
        <v>0</v>
      </c>
      <c r="K404" s="84">
        <v>0</v>
      </c>
      <c r="L404" s="116">
        <f>E404*I404</f>
        <v>0</v>
      </c>
    </row>
    <row r="405" spans="2:12" ht="17.25" thickBot="1" x14ac:dyDescent="0.35"/>
    <row r="406" spans="2:12" ht="17.25" thickBot="1" x14ac:dyDescent="0.35">
      <c r="F406" s="402" t="s">
        <v>16</v>
      </c>
      <c r="G406" s="403"/>
      <c r="H406" s="403"/>
      <c r="I406" s="404"/>
      <c r="K406" s="224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413" t="s">
        <v>18</v>
      </c>
      <c r="D408" s="413"/>
      <c r="E408" s="413"/>
      <c r="F408" s="413"/>
      <c r="G408" s="414"/>
    </row>
    <row r="409" spans="2:12" x14ac:dyDescent="0.3">
      <c r="B409" s="112" t="s">
        <v>6</v>
      </c>
      <c r="C409" s="415" t="s">
        <v>1</v>
      </c>
      <c r="D409" s="416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411"/>
      <c r="D410" s="412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411"/>
      <c r="D411" s="412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2" x14ac:dyDescent="0.3">
      <c r="B412" s="74"/>
      <c r="C412" s="411"/>
      <c r="D412" s="412"/>
      <c r="E412" s="125"/>
      <c r="F412" s="72"/>
      <c r="G412" s="74"/>
      <c r="I412" s="84">
        <v>0</v>
      </c>
      <c r="K412" s="84">
        <f>+F412*I412</f>
        <v>0</v>
      </c>
      <c r="L412" s="116">
        <f>E412*I412</f>
        <v>0</v>
      </c>
    </row>
    <row r="413" spans="2:12" ht="17.25" thickBot="1" x14ac:dyDescent="0.35">
      <c r="L413" s="116"/>
    </row>
    <row r="414" spans="2:12" ht="17.25" thickBot="1" x14ac:dyDescent="0.35">
      <c r="F414" s="402" t="s">
        <v>19</v>
      </c>
      <c r="G414" s="403"/>
      <c r="H414" s="403"/>
      <c r="I414" s="404"/>
      <c r="K414" s="224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127"/>
      <c r="H415" s="128"/>
      <c r="I415" s="106"/>
      <c r="K415" s="225"/>
    </row>
    <row r="416" spans="2:12" ht="15" customHeight="1" thickBot="1" x14ac:dyDescent="0.35"/>
    <row r="417" spans="1:16" ht="17.25" thickBot="1" x14ac:dyDescent="0.35">
      <c r="F417" s="402" t="s">
        <v>20</v>
      </c>
      <c r="G417" s="403"/>
      <c r="H417" s="403"/>
      <c r="I417" s="404"/>
      <c r="K417" s="224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402" t="s">
        <v>21</v>
      </c>
      <c r="G419" s="403"/>
      <c r="H419" s="403"/>
      <c r="I419" s="404"/>
      <c r="K419" s="224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402" t="s">
        <v>22</v>
      </c>
      <c r="G421" s="403"/>
      <c r="H421" s="403"/>
      <c r="I421" s="404"/>
      <c r="K421" s="224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127"/>
      <c r="H422" s="128"/>
      <c r="I422" s="106"/>
      <c r="K422" s="226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127"/>
      <c r="H423" s="128"/>
      <c r="I423" s="106"/>
      <c r="K423" s="227"/>
      <c r="L423" s="129"/>
      <c r="M423" s="132"/>
      <c r="N423" s="133"/>
    </row>
    <row r="424" spans="1:16" ht="17.25" thickBot="1" x14ac:dyDescent="0.35">
      <c r="B424" s="405"/>
      <c r="C424" s="405"/>
      <c r="D424" s="405"/>
    </row>
    <row r="425" spans="1:16" x14ac:dyDescent="0.3">
      <c r="B425" s="406" t="s">
        <v>23</v>
      </c>
      <c r="C425" s="406"/>
      <c r="D425" s="406"/>
    </row>
    <row r="426" spans="1:16" x14ac:dyDescent="0.3">
      <c r="B426" s="155"/>
      <c r="C426" s="155"/>
      <c r="D426" s="155"/>
    </row>
    <row r="427" spans="1:16" x14ac:dyDescent="0.3">
      <c r="B427" s="155"/>
      <c r="C427" s="155"/>
      <c r="D427" s="155"/>
    </row>
    <row r="428" spans="1:16" x14ac:dyDescent="0.3">
      <c r="B428" s="103" t="s">
        <v>43</v>
      </c>
      <c r="C428" s="104"/>
      <c r="D428" s="422" t="s">
        <v>1</v>
      </c>
      <c r="E428" s="422"/>
      <c r="F428" s="422"/>
      <c r="G428" s="422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09">
        <f>CATALOGO!B23</f>
        <v>206.06</v>
      </c>
      <c r="C429" s="71"/>
      <c r="D429" s="423" t="str">
        <f>CATALOGO!C23</f>
        <v>CIMIENTO CORRIDO DE 0.20m X 0.60m, CONCRETO 3000 PSI, REFUERZO 3NO3 + ESL NO3 @ 0.20m</v>
      </c>
      <c r="E429" s="423"/>
      <c r="F429" s="423"/>
      <c r="G429" s="423"/>
      <c r="H429" s="71"/>
      <c r="I429" s="209">
        <f>CATALOGO!D23</f>
        <v>38.590000000000003</v>
      </c>
      <c r="J429" s="107"/>
      <c r="K429" s="222" t="str">
        <f>CATALOGO!G23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413" t="s">
        <v>5</v>
      </c>
      <c r="D431" s="413"/>
      <c r="E431" s="413"/>
      <c r="F431" s="413"/>
      <c r="G431" s="414"/>
    </row>
    <row r="432" spans="1:16" x14ac:dyDescent="0.3">
      <c r="B432" s="109" t="s">
        <v>6</v>
      </c>
      <c r="C432" s="424" t="s">
        <v>1</v>
      </c>
      <c r="D432" s="425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3" t="s">
        <v>8</v>
      </c>
      <c r="L432" s="113" t="s">
        <v>193</v>
      </c>
    </row>
    <row r="433" spans="2:12" x14ac:dyDescent="0.3">
      <c r="B433" s="120">
        <v>1</v>
      </c>
      <c r="C433" s="407" t="s">
        <v>168</v>
      </c>
      <c r="D433" s="408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407" t="s">
        <v>312</v>
      </c>
      <c r="D434" s="408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428" t="s">
        <v>213</v>
      </c>
      <c r="D435" s="429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8">+F435*I435</f>
        <v>120</v>
      </c>
      <c r="L435" s="116">
        <f t="shared" ref="L435:L442" si="9">E435*I435</f>
        <v>4630.8</v>
      </c>
    </row>
    <row r="436" spans="2:12" x14ac:dyDescent="0.3">
      <c r="B436" s="120">
        <v>4</v>
      </c>
      <c r="C436" s="430" t="s">
        <v>72</v>
      </c>
      <c r="D436" s="429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8"/>
        <v>12.5</v>
      </c>
      <c r="L436" s="116">
        <f t="shared" si="9"/>
        <v>482.37500000000006</v>
      </c>
    </row>
    <row r="437" spans="2:12" x14ac:dyDescent="0.3">
      <c r="B437" s="120">
        <v>5</v>
      </c>
      <c r="C437" s="430" t="s">
        <v>229</v>
      </c>
      <c r="D437" s="429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8"/>
        <v>12.5</v>
      </c>
      <c r="L437" s="116">
        <f t="shared" si="9"/>
        <v>482.37500000000006</v>
      </c>
    </row>
    <row r="438" spans="2:12" x14ac:dyDescent="0.3">
      <c r="B438" s="120"/>
      <c r="C438" s="410"/>
      <c r="D438" s="410"/>
      <c r="E438" s="114"/>
      <c r="F438" s="83"/>
      <c r="G438" s="74"/>
      <c r="I438" s="115">
        <f>IF(C438=0,0,VLOOKUP(C438,Tabla1[],3,FALSE))</f>
        <v>0</v>
      </c>
      <c r="K438" s="84">
        <f t="shared" si="8"/>
        <v>0</v>
      </c>
      <c r="L438" s="116">
        <f t="shared" si="9"/>
        <v>0</v>
      </c>
    </row>
    <row r="439" spans="2:12" x14ac:dyDescent="0.3">
      <c r="B439" s="120"/>
      <c r="C439" s="410"/>
      <c r="D439" s="410"/>
      <c r="E439" s="114"/>
      <c r="F439" s="72"/>
      <c r="G439" s="74"/>
      <c r="I439" s="115">
        <f>IF(C439=0,0,VLOOKUP(C439,Tabla1[],3,FALSE))</f>
        <v>0</v>
      </c>
      <c r="K439" s="84">
        <f t="shared" si="8"/>
        <v>0</v>
      </c>
      <c r="L439" s="116">
        <f t="shared" si="9"/>
        <v>0</v>
      </c>
    </row>
    <row r="440" spans="2:12" x14ac:dyDescent="0.3">
      <c r="B440" s="120"/>
      <c r="C440" s="410"/>
      <c r="D440" s="410"/>
      <c r="E440" s="114"/>
      <c r="F440" s="72"/>
      <c r="G440" s="74"/>
      <c r="I440" s="115">
        <f>IF(C440=0,0,VLOOKUP(C440,Tabla1[],3,FALSE))</f>
        <v>0</v>
      </c>
      <c r="K440" s="84">
        <f t="shared" si="8"/>
        <v>0</v>
      </c>
      <c r="L440" s="116">
        <f t="shared" si="9"/>
        <v>0</v>
      </c>
    </row>
    <row r="441" spans="2:12" x14ac:dyDescent="0.3">
      <c r="B441" s="120"/>
      <c r="C441" s="410"/>
      <c r="D441" s="410"/>
      <c r="E441" s="114"/>
      <c r="F441" s="72"/>
      <c r="G441" s="74"/>
      <c r="I441" s="115">
        <f>IF(C441=0,0,VLOOKUP(C441,Tabla1[],3,FALSE))</f>
        <v>0</v>
      </c>
      <c r="K441" s="84">
        <f t="shared" si="8"/>
        <v>0</v>
      </c>
      <c r="L441" s="116">
        <f t="shared" si="9"/>
        <v>0</v>
      </c>
    </row>
    <row r="442" spans="2:12" x14ac:dyDescent="0.3">
      <c r="B442" s="120"/>
      <c r="C442" s="410"/>
      <c r="D442" s="410"/>
      <c r="E442" s="114"/>
      <c r="F442" s="72"/>
      <c r="G442" s="74"/>
      <c r="I442" s="115">
        <f>IF(C442=0,0,VLOOKUP(C442,Tabla1[],3,FALSE))</f>
        <v>0</v>
      </c>
      <c r="K442" s="84">
        <f t="shared" si="8"/>
        <v>0</v>
      </c>
      <c r="L442" s="116">
        <f t="shared" si="9"/>
        <v>0</v>
      </c>
    </row>
    <row r="443" spans="2:12" ht="17.25" thickBot="1" x14ac:dyDescent="0.35"/>
    <row r="444" spans="2:12" ht="17.25" thickBot="1" x14ac:dyDescent="0.35">
      <c r="F444" s="402" t="s">
        <v>9</v>
      </c>
      <c r="G444" s="403"/>
      <c r="H444" s="403"/>
      <c r="I444" s="404"/>
      <c r="K444" s="224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413" t="s">
        <v>11</v>
      </c>
      <c r="D446" s="413"/>
      <c r="E446" s="413"/>
      <c r="F446" s="413"/>
      <c r="G446" s="414"/>
    </row>
    <row r="447" spans="2:12" x14ac:dyDescent="0.3">
      <c r="B447" s="112" t="s">
        <v>6</v>
      </c>
      <c r="C447" s="415" t="s">
        <v>1</v>
      </c>
      <c r="D447" s="416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409"/>
      <c r="D448" s="409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02"/>
      <c r="D449" s="203"/>
      <c r="E449" s="119"/>
      <c r="F449" s="72"/>
      <c r="G449" s="74"/>
      <c r="I449" s="115">
        <f>IF(C449=0,0,VLOOKUP(C449,Tabla3[],3,FALSE))</f>
        <v>0</v>
      </c>
      <c r="K449" s="84">
        <f>+F449*I449</f>
        <v>0</v>
      </c>
      <c r="L449" s="116">
        <f>E449*I449</f>
        <v>0</v>
      </c>
    </row>
    <row r="450" spans="2:12" x14ac:dyDescent="0.3">
      <c r="B450" s="74"/>
      <c r="C450" s="202"/>
      <c r="D450" s="203"/>
      <c r="E450" s="119"/>
      <c r="F450" s="72"/>
      <c r="G450" s="74"/>
      <c r="I450" s="115">
        <f>IF(C450=0,0,VLOOKUP(C450,Tabla3[],3,FALSE))</f>
        <v>0</v>
      </c>
      <c r="K450" s="84">
        <f>+F450*I450</f>
        <v>0</v>
      </c>
      <c r="L450" s="116">
        <f>E450*I450</f>
        <v>0</v>
      </c>
    </row>
    <row r="451" spans="2:12" x14ac:dyDescent="0.3">
      <c r="B451" s="74"/>
      <c r="C451" s="411"/>
      <c r="D451" s="412"/>
      <c r="E451" s="119"/>
      <c r="F451" s="72"/>
      <c r="G451" s="74"/>
      <c r="I451" s="115">
        <f>IF(C451=0,0,VLOOKUP(C451,Tabla3[],3,FALSE))</f>
        <v>0</v>
      </c>
      <c r="K451" s="84">
        <f>+F451*I451</f>
        <v>0</v>
      </c>
      <c r="L451" s="116">
        <f>E451*I451</f>
        <v>0</v>
      </c>
    </row>
    <row r="452" spans="2:12" ht="17.25" thickBot="1" x14ac:dyDescent="0.35"/>
    <row r="453" spans="2:12" ht="17.25" thickBot="1" x14ac:dyDescent="0.35">
      <c r="F453" s="402" t="s">
        <v>12</v>
      </c>
      <c r="G453" s="403"/>
      <c r="H453" s="403"/>
      <c r="I453" s="404"/>
      <c r="K453" s="224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413" t="s">
        <v>14</v>
      </c>
      <c r="D455" s="413"/>
      <c r="E455" s="413"/>
      <c r="F455" s="413"/>
      <c r="G455" s="414"/>
    </row>
    <row r="456" spans="2:12" x14ac:dyDescent="0.3">
      <c r="B456" s="112" t="s">
        <v>6</v>
      </c>
      <c r="C456" s="415" t="s">
        <v>1</v>
      </c>
      <c r="D456" s="416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409" t="s">
        <v>450</v>
      </c>
      <c r="D457" s="409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409"/>
      <c r="D458" s="409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417"/>
      <c r="D459" s="418"/>
      <c r="E459" s="122"/>
      <c r="F459" s="123"/>
      <c r="G459" s="74"/>
      <c r="I459" s="115">
        <f>IF(C459=0,0,VLOOKUP(C459,Tabla2[],3,FALSE))</f>
        <v>0</v>
      </c>
      <c r="K459" s="84">
        <f>+F459*I459</f>
        <v>0</v>
      </c>
      <c r="L459" s="116">
        <f>E459*I459</f>
        <v>0</v>
      </c>
    </row>
    <row r="460" spans="2:12" ht="17.25" thickBot="1" x14ac:dyDescent="0.35">
      <c r="B460" s="419" t="s">
        <v>15</v>
      </c>
      <c r="C460" s="420"/>
      <c r="D460" s="420"/>
      <c r="E460" s="420"/>
      <c r="F460" s="420"/>
      <c r="G460" s="421"/>
      <c r="I460" s="84">
        <v>0</v>
      </c>
      <c r="K460" s="84">
        <v>0</v>
      </c>
      <c r="L460" s="116">
        <f>E460*I460</f>
        <v>0</v>
      </c>
    </row>
    <row r="461" spans="2:12" ht="17.25" thickBot="1" x14ac:dyDescent="0.35"/>
    <row r="462" spans="2:12" ht="17.25" thickBot="1" x14ac:dyDescent="0.35">
      <c r="F462" s="402" t="s">
        <v>16</v>
      </c>
      <c r="G462" s="403"/>
      <c r="H462" s="403"/>
      <c r="I462" s="404"/>
      <c r="K462" s="224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413" t="s">
        <v>18</v>
      </c>
      <c r="D464" s="413"/>
      <c r="E464" s="413"/>
      <c r="F464" s="413"/>
      <c r="G464" s="414"/>
    </row>
    <row r="465" spans="2:16" x14ac:dyDescent="0.3">
      <c r="B465" s="112" t="s">
        <v>6</v>
      </c>
      <c r="C465" s="415" t="s">
        <v>1</v>
      </c>
      <c r="D465" s="416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411"/>
      <c r="D466" s="412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411"/>
      <c r="D467" s="412"/>
      <c r="E467" s="125"/>
      <c r="F467" s="72"/>
      <c r="G467" s="74"/>
      <c r="I467" s="84">
        <v>0</v>
      </c>
      <c r="K467" s="84">
        <f>+F467*I467</f>
        <v>0</v>
      </c>
      <c r="L467" s="116">
        <f>E467*I467</f>
        <v>0</v>
      </c>
    </row>
    <row r="468" spans="2:16" x14ac:dyDescent="0.3">
      <c r="B468" s="74"/>
      <c r="C468" s="411"/>
      <c r="D468" s="412"/>
      <c r="E468" s="125"/>
      <c r="F468" s="72"/>
      <c r="G468" s="74"/>
      <c r="I468" s="84">
        <v>0</v>
      </c>
      <c r="K468" s="84">
        <f>+F468*I468</f>
        <v>0</v>
      </c>
      <c r="L468" s="116">
        <f>E468*I468</f>
        <v>0</v>
      </c>
    </row>
    <row r="469" spans="2:16" ht="17.25" thickBot="1" x14ac:dyDescent="0.35">
      <c r="L469" s="116"/>
    </row>
    <row r="470" spans="2:16" ht="17.25" thickBot="1" x14ac:dyDescent="0.35">
      <c r="F470" s="402" t="s">
        <v>19</v>
      </c>
      <c r="G470" s="403"/>
      <c r="H470" s="403"/>
      <c r="I470" s="404"/>
      <c r="K470" s="224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127"/>
      <c r="H471" s="128"/>
      <c r="I471" s="106"/>
      <c r="K471" s="225"/>
    </row>
    <row r="472" spans="2:16" ht="15" customHeight="1" thickBot="1" x14ac:dyDescent="0.35"/>
    <row r="473" spans="2:16" ht="17.25" thickBot="1" x14ac:dyDescent="0.35">
      <c r="F473" s="402" t="s">
        <v>20</v>
      </c>
      <c r="G473" s="403"/>
      <c r="H473" s="403"/>
      <c r="I473" s="404"/>
      <c r="K473" s="224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402" t="s">
        <v>21</v>
      </c>
      <c r="G475" s="403"/>
      <c r="H475" s="403"/>
      <c r="I475" s="404"/>
      <c r="K475" s="224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402" t="s">
        <v>22</v>
      </c>
      <c r="G477" s="403"/>
      <c r="H477" s="403"/>
      <c r="I477" s="404"/>
      <c r="K477" s="224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127"/>
      <c r="H478" s="128"/>
      <c r="I478" s="106"/>
      <c r="K478" s="226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127"/>
      <c r="H479" s="128"/>
      <c r="I479" s="106"/>
      <c r="K479" s="227"/>
      <c r="L479" s="129"/>
      <c r="M479" s="132"/>
      <c r="N479" s="133"/>
    </row>
    <row r="480" spans="2:16" ht="17.25" thickBot="1" x14ac:dyDescent="0.35">
      <c r="B480" s="405"/>
      <c r="C480" s="405"/>
      <c r="D480" s="405"/>
    </row>
    <row r="481" spans="1:16" x14ac:dyDescent="0.3">
      <c r="B481" s="406" t="s">
        <v>23</v>
      </c>
      <c r="C481" s="406"/>
      <c r="D481" s="406"/>
    </row>
    <row r="482" spans="1:16" x14ac:dyDescent="0.3">
      <c r="B482" s="155"/>
      <c r="C482" s="155"/>
      <c r="D482" s="155"/>
    </row>
    <row r="483" spans="1:16" x14ac:dyDescent="0.3">
      <c r="B483" s="155"/>
      <c r="C483" s="155"/>
      <c r="D483" s="155"/>
    </row>
    <row r="484" spans="1:16" x14ac:dyDescent="0.3">
      <c r="B484" s="103" t="s">
        <v>43</v>
      </c>
      <c r="C484" s="104"/>
      <c r="D484" s="422" t="s">
        <v>1</v>
      </c>
      <c r="E484" s="422"/>
      <c r="F484" s="422"/>
      <c r="G484" s="422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09">
        <f>CATALOGO!B28</f>
        <v>303.06</v>
      </c>
      <c r="C485" s="71"/>
      <c r="D485" s="423" t="str">
        <f>CATALOGO!C28</f>
        <v>LEVANTADO DE MURO 0.19m, BLOCK TIPO A (70 Kg/Cm²)</v>
      </c>
      <c r="E485" s="423"/>
      <c r="F485" s="423"/>
      <c r="G485" s="423"/>
      <c r="H485" s="71"/>
      <c r="I485" s="209">
        <f>CATALOGO!D28</f>
        <v>20.55</v>
      </c>
      <c r="J485" s="107"/>
      <c r="K485" s="222" t="str">
        <f>CATALOGO!G28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413" t="s">
        <v>5</v>
      </c>
      <c r="D487" s="413"/>
      <c r="E487" s="413"/>
      <c r="F487" s="413"/>
      <c r="G487" s="414"/>
    </row>
    <row r="488" spans="1:16" x14ac:dyDescent="0.3">
      <c r="B488" s="109" t="s">
        <v>6</v>
      </c>
      <c r="C488" s="424" t="s">
        <v>1</v>
      </c>
      <c r="D488" s="425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3" t="s">
        <v>8</v>
      </c>
      <c r="L488" s="113" t="s">
        <v>193</v>
      </c>
    </row>
    <row r="489" spans="1:16" x14ac:dyDescent="0.3">
      <c r="B489" s="120">
        <v>1</v>
      </c>
      <c r="C489" s="407" t="s">
        <v>573</v>
      </c>
      <c r="D489" s="408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428" t="s">
        <v>213</v>
      </c>
      <c r="D490" s="429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10">+F490*I490</f>
        <v>24</v>
      </c>
      <c r="L490" s="116">
        <f t="shared" ref="L490:L496" si="11">E490*I490</f>
        <v>493.2</v>
      </c>
    </row>
    <row r="491" spans="1:16" x14ac:dyDescent="0.3">
      <c r="B491" s="120">
        <v>3</v>
      </c>
      <c r="C491" s="430" t="s">
        <v>72</v>
      </c>
      <c r="D491" s="429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10"/>
        <v>10</v>
      </c>
      <c r="L491" s="116">
        <f t="shared" si="11"/>
        <v>205.50000000000003</v>
      </c>
    </row>
    <row r="492" spans="1:16" x14ac:dyDescent="0.3">
      <c r="B492" s="120"/>
      <c r="C492" s="410"/>
      <c r="D492" s="410"/>
      <c r="E492" s="114"/>
      <c r="F492" s="83"/>
      <c r="G492" s="74"/>
      <c r="I492" s="115">
        <f>IF(C492=0,0,VLOOKUP(C492,Tabla1[],3,FALSE))</f>
        <v>0</v>
      </c>
      <c r="K492" s="84">
        <f t="shared" si="10"/>
        <v>0</v>
      </c>
      <c r="L492" s="116">
        <f t="shared" si="11"/>
        <v>0</v>
      </c>
    </row>
    <row r="493" spans="1:16" x14ac:dyDescent="0.3">
      <c r="B493" s="120"/>
      <c r="C493" s="410"/>
      <c r="D493" s="410"/>
      <c r="E493" s="114"/>
      <c r="F493" s="72"/>
      <c r="G493" s="74"/>
      <c r="I493" s="115">
        <f>IF(C493=0,0,VLOOKUP(C493,Tabla1[],3,FALSE))</f>
        <v>0</v>
      </c>
      <c r="K493" s="84">
        <f t="shared" si="10"/>
        <v>0</v>
      </c>
      <c r="L493" s="116">
        <f t="shared" si="11"/>
        <v>0</v>
      </c>
    </row>
    <row r="494" spans="1:16" x14ac:dyDescent="0.3">
      <c r="B494" s="120"/>
      <c r="C494" s="410"/>
      <c r="D494" s="410"/>
      <c r="E494" s="114"/>
      <c r="F494" s="72"/>
      <c r="G494" s="74"/>
      <c r="I494" s="115">
        <f>IF(C494=0,0,VLOOKUP(C494,Tabla1[],3,FALSE))</f>
        <v>0</v>
      </c>
      <c r="K494" s="84">
        <f t="shared" si="10"/>
        <v>0</v>
      </c>
      <c r="L494" s="116">
        <f t="shared" si="11"/>
        <v>0</v>
      </c>
    </row>
    <row r="495" spans="1:16" x14ac:dyDescent="0.3">
      <c r="B495" s="120"/>
      <c r="C495" s="410"/>
      <c r="D495" s="410"/>
      <c r="E495" s="114"/>
      <c r="F495" s="72"/>
      <c r="G495" s="74"/>
      <c r="I495" s="115">
        <f>IF(C495=0,0,VLOOKUP(C495,Tabla1[],3,FALSE))</f>
        <v>0</v>
      </c>
      <c r="K495" s="84">
        <f t="shared" si="10"/>
        <v>0</v>
      </c>
      <c r="L495" s="116">
        <f t="shared" si="11"/>
        <v>0</v>
      </c>
    </row>
    <row r="496" spans="1:16" x14ac:dyDescent="0.3">
      <c r="B496" s="120"/>
      <c r="C496" s="410"/>
      <c r="D496" s="410"/>
      <c r="E496" s="114"/>
      <c r="F496" s="72"/>
      <c r="G496" s="74"/>
      <c r="I496" s="115">
        <f>IF(C496=0,0,VLOOKUP(C496,Tabla1[],3,FALSE))</f>
        <v>0</v>
      </c>
      <c r="K496" s="84">
        <f t="shared" si="10"/>
        <v>0</v>
      </c>
      <c r="L496" s="116">
        <f t="shared" si="11"/>
        <v>0</v>
      </c>
    </row>
    <row r="497" spans="2:12" ht="17.25" thickBot="1" x14ac:dyDescent="0.35"/>
    <row r="498" spans="2:12" ht="17.25" thickBot="1" x14ac:dyDescent="0.35">
      <c r="F498" s="402" t="s">
        <v>9</v>
      </c>
      <c r="G498" s="403"/>
      <c r="H498" s="403"/>
      <c r="I498" s="404"/>
      <c r="K498" s="224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413" t="s">
        <v>11</v>
      </c>
      <c r="D500" s="413"/>
      <c r="E500" s="413"/>
      <c r="F500" s="413"/>
      <c r="G500" s="414"/>
    </row>
    <row r="501" spans="2:12" x14ac:dyDescent="0.3">
      <c r="B501" s="112" t="s">
        <v>6</v>
      </c>
      <c r="C501" s="415" t="s">
        <v>1</v>
      </c>
      <c r="D501" s="416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409"/>
      <c r="D502" s="409"/>
      <c r="E502" s="114"/>
      <c r="F502" s="83"/>
      <c r="G502" s="74"/>
      <c r="I502" s="115">
        <f>IF(C502=0,0,VLOOKUP(C502,Tabla3[],3,FALSE))</f>
        <v>0</v>
      </c>
      <c r="K502" s="84">
        <f>+F502*I502</f>
        <v>0</v>
      </c>
      <c r="L502" s="116">
        <f>E502*I502</f>
        <v>0</v>
      </c>
    </row>
    <row r="503" spans="2:12" x14ac:dyDescent="0.3">
      <c r="B503" s="74"/>
      <c r="C503" s="202"/>
      <c r="D503" s="203"/>
      <c r="E503" s="119"/>
      <c r="F503" s="72"/>
      <c r="G503" s="74"/>
      <c r="I503" s="115">
        <f>IF(C503=0,0,VLOOKUP(C503,Tabla3[],3,FALSE))</f>
        <v>0</v>
      </c>
      <c r="K503" s="84">
        <f>+F503*I503</f>
        <v>0</v>
      </c>
      <c r="L503" s="116">
        <f>E503*I503</f>
        <v>0</v>
      </c>
    </row>
    <row r="504" spans="2:12" x14ac:dyDescent="0.3">
      <c r="B504" s="74"/>
      <c r="C504" s="202"/>
      <c r="D504" s="203"/>
      <c r="E504" s="119"/>
      <c r="F504" s="72"/>
      <c r="G504" s="74"/>
      <c r="I504" s="115">
        <f>IF(C504=0,0,VLOOKUP(C504,Tabla3[],3,FALSE))</f>
        <v>0</v>
      </c>
      <c r="K504" s="84">
        <f>+F504*I504</f>
        <v>0</v>
      </c>
      <c r="L504" s="116">
        <f>E504*I504</f>
        <v>0</v>
      </c>
    </row>
    <row r="505" spans="2:12" x14ac:dyDescent="0.3">
      <c r="B505" s="74"/>
      <c r="C505" s="411"/>
      <c r="D505" s="412"/>
      <c r="E505" s="119"/>
      <c r="F505" s="72"/>
      <c r="G505" s="74"/>
      <c r="I505" s="115">
        <f>IF(C505=0,0,VLOOKUP(C505,Tabla3[],3,FALSE))</f>
        <v>0</v>
      </c>
      <c r="K505" s="84">
        <f>+F505*I505</f>
        <v>0</v>
      </c>
      <c r="L505" s="116">
        <f>E505*I505</f>
        <v>0</v>
      </c>
    </row>
    <row r="506" spans="2:12" ht="17.25" thickBot="1" x14ac:dyDescent="0.35"/>
    <row r="507" spans="2:12" ht="17.25" thickBot="1" x14ac:dyDescent="0.35">
      <c r="F507" s="402" t="s">
        <v>12</v>
      </c>
      <c r="G507" s="403"/>
      <c r="H507" s="403"/>
      <c r="I507" s="404"/>
      <c r="K507" s="224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413" t="s">
        <v>14</v>
      </c>
      <c r="D509" s="413"/>
      <c r="E509" s="413"/>
      <c r="F509" s="413"/>
      <c r="G509" s="414"/>
    </row>
    <row r="510" spans="2:12" x14ac:dyDescent="0.3">
      <c r="B510" s="112" t="s">
        <v>6</v>
      </c>
      <c r="C510" s="415" t="s">
        <v>1</v>
      </c>
      <c r="D510" s="416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409" t="s">
        <v>465</v>
      </c>
      <c r="D511" s="409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409"/>
      <c r="D512" s="409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417"/>
      <c r="D513" s="418"/>
      <c r="E513" s="122"/>
      <c r="F513" s="123"/>
      <c r="G513" s="74"/>
      <c r="I513" s="115">
        <f>IF(C513=0,0,VLOOKUP(C513,Tabla2[],3,FALSE))</f>
        <v>0</v>
      </c>
      <c r="K513" s="84">
        <f>+F513*I513</f>
        <v>0</v>
      </c>
      <c r="L513" s="116">
        <f>E513*I513</f>
        <v>0</v>
      </c>
    </row>
    <row r="514" spans="2:16" ht="17.25" thickBot="1" x14ac:dyDescent="0.35">
      <c r="B514" s="419" t="s">
        <v>15</v>
      </c>
      <c r="C514" s="420"/>
      <c r="D514" s="420"/>
      <c r="E514" s="420"/>
      <c r="F514" s="420"/>
      <c r="G514" s="421"/>
      <c r="I514" s="84">
        <v>0</v>
      </c>
      <c r="K514" s="84">
        <v>0</v>
      </c>
      <c r="L514" s="116">
        <f>E514*I514</f>
        <v>0</v>
      </c>
    </row>
    <row r="515" spans="2:16" ht="17.25" thickBot="1" x14ac:dyDescent="0.35"/>
    <row r="516" spans="2:16" ht="17.25" thickBot="1" x14ac:dyDescent="0.35">
      <c r="F516" s="402" t="s">
        <v>16</v>
      </c>
      <c r="G516" s="403"/>
      <c r="H516" s="403"/>
      <c r="I516" s="404"/>
      <c r="K516" s="224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413" t="s">
        <v>18</v>
      </c>
      <c r="D518" s="413"/>
      <c r="E518" s="413"/>
      <c r="F518" s="413"/>
      <c r="G518" s="414"/>
    </row>
    <row r="519" spans="2:16" x14ac:dyDescent="0.3">
      <c r="B519" s="112" t="s">
        <v>6</v>
      </c>
      <c r="C519" s="415" t="s">
        <v>1</v>
      </c>
      <c r="D519" s="416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411"/>
      <c r="D520" s="412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411"/>
      <c r="D521" s="412"/>
      <c r="E521" s="125"/>
      <c r="F521" s="72"/>
      <c r="G521" s="74"/>
      <c r="I521" s="84">
        <v>0</v>
      </c>
      <c r="K521" s="84">
        <f>+F521*I521</f>
        <v>0</v>
      </c>
      <c r="L521" s="116">
        <f>E521*I521</f>
        <v>0</v>
      </c>
    </row>
    <row r="522" spans="2:16" x14ac:dyDescent="0.3">
      <c r="B522" s="74"/>
      <c r="C522" s="411"/>
      <c r="D522" s="412"/>
      <c r="E522" s="125"/>
      <c r="F522" s="72"/>
      <c r="G522" s="74"/>
      <c r="I522" s="84">
        <v>0</v>
      </c>
      <c r="K522" s="84">
        <f>+F522*I522</f>
        <v>0</v>
      </c>
      <c r="L522" s="116">
        <f>E522*I522</f>
        <v>0</v>
      </c>
    </row>
    <row r="523" spans="2:16" ht="17.25" thickBot="1" x14ac:dyDescent="0.35">
      <c r="L523" s="116"/>
    </row>
    <row r="524" spans="2:16" ht="17.25" thickBot="1" x14ac:dyDescent="0.35">
      <c r="F524" s="402" t="s">
        <v>19</v>
      </c>
      <c r="G524" s="403"/>
      <c r="H524" s="403"/>
      <c r="I524" s="404"/>
      <c r="K524" s="224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127"/>
      <c r="H525" s="128"/>
      <c r="I525" s="106"/>
      <c r="K525" s="225"/>
    </row>
    <row r="526" spans="2:16" ht="15" customHeight="1" thickBot="1" x14ac:dyDescent="0.35"/>
    <row r="527" spans="2:16" ht="17.25" thickBot="1" x14ac:dyDescent="0.35">
      <c r="F527" s="402" t="s">
        <v>20</v>
      </c>
      <c r="G527" s="403"/>
      <c r="H527" s="403"/>
      <c r="I527" s="404"/>
      <c r="K527" s="224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402" t="s">
        <v>21</v>
      </c>
      <c r="G529" s="403"/>
      <c r="H529" s="403"/>
      <c r="I529" s="404"/>
      <c r="K529" s="224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402" t="s">
        <v>22</v>
      </c>
      <c r="G531" s="403"/>
      <c r="H531" s="403"/>
      <c r="I531" s="404"/>
      <c r="K531" s="224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127"/>
      <c r="H532" s="128"/>
      <c r="I532" s="106"/>
      <c r="K532" s="226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127"/>
      <c r="H533" s="128"/>
      <c r="I533" s="106"/>
      <c r="K533" s="227"/>
      <c r="L533" s="129"/>
      <c r="M533" s="132"/>
      <c r="N533" s="133"/>
    </row>
    <row r="534" spans="1:16" ht="17.25" thickBot="1" x14ac:dyDescent="0.35">
      <c r="B534" s="405"/>
      <c r="C534" s="405"/>
      <c r="D534" s="405"/>
    </row>
    <row r="535" spans="1:16" x14ac:dyDescent="0.3">
      <c r="B535" s="406" t="s">
        <v>23</v>
      </c>
      <c r="C535" s="406"/>
      <c r="D535" s="406"/>
    </row>
    <row r="536" spans="1:16" x14ac:dyDescent="0.3">
      <c r="B536" s="155"/>
      <c r="C536" s="155"/>
      <c r="D536" s="155"/>
    </row>
    <row r="537" spans="1:16" x14ac:dyDescent="0.3">
      <c r="B537" s="155"/>
      <c r="C537" s="155"/>
      <c r="D537" s="155"/>
    </row>
    <row r="538" spans="1:16" x14ac:dyDescent="0.3">
      <c r="B538" s="103" t="s">
        <v>43</v>
      </c>
      <c r="C538" s="104"/>
      <c r="D538" s="422" t="s">
        <v>1</v>
      </c>
      <c r="E538" s="422"/>
      <c r="F538" s="422"/>
      <c r="G538" s="422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09">
        <f>CATALOGO!B26</f>
        <v>210.09</v>
      </c>
      <c r="C539" s="71"/>
      <c r="D539" s="423" t="str">
        <f>CATALOGO!C26</f>
        <v>LEVANTADO DE MURO DOBLE 0.19m, BLOCK TIPO A (70 Kg/Cm²) HASTA SOLERA DE HUMEDAD</v>
      </c>
      <c r="E539" s="423"/>
      <c r="F539" s="423"/>
      <c r="G539" s="423"/>
      <c r="H539" s="71"/>
      <c r="I539" s="209">
        <f>CATALOGO!D26</f>
        <v>8.2799999999999994</v>
      </c>
      <c r="J539" s="107"/>
      <c r="K539" s="222" t="str">
        <f>CATALOGO!G26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413" t="s">
        <v>5</v>
      </c>
      <c r="D541" s="413"/>
      <c r="E541" s="413"/>
      <c r="F541" s="413"/>
      <c r="G541" s="414"/>
    </row>
    <row r="542" spans="1:16" x14ac:dyDescent="0.3">
      <c r="B542" s="109" t="s">
        <v>6</v>
      </c>
      <c r="C542" s="424" t="s">
        <v>1</v>
      </c>
      <c r="D542" s="425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3" t="s">
        <v>8</v>
      </c>
      <c r="L542" s="113" t="s">
        <v>193</v>
      </c>
    </row>
    <row r="543" spans="1:16" x14ac:dyDescent="0.3">
      <c r="B543" s="120">
        <v>1</v>
      </c>
      <c r="C543" s="407" t="s">
        <v>573</v>
      </c>
      <c r="D543" s="408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428" t="s">
        <v>213</v>
      </c>
      <c r="D544" s="429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12">+F544*I544</f>
        <v>48</v>
      </c>
      <c r="L544" s="116">
        <f t="shared" ref="L544:L550" si="13">E544*I544</f>
        <v>397.43999999999994</v>
      </c>
    </row>
    <row r="545" spans="2:12" x14ac:dyDescent="0.3">
      <c r="B545" s="120">
        <v>3</v>
      </c>
      <c r="C545" s="430" t="s">
        <v>72</v>
      </c>
      <c r="D545" s="429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12"/>
        <v>20</v>
      </c>
      <c r="L545" s="116">
        <f t="shared" si="13"/>
        <v>165.6</v>
      </c>
    </row>
    <row r="546" spans="2:12" x14ac:dyDescent="0.3">
      <c r="B546" s="120"/>
      <c r="C546" s="410"/>
      <c r="D546" s="410"/>
      <c r="E546" s="114"/>
      <c r="F546" s="83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</row>
    <row r="547" spans="2:12" x14ac:dyDescent="0.3">
      <c r="B547" s="120"/>
      <c r="C547" s="410"/>
      <c r="D547" s="410"/>
      <c r="E547" s="114"/>
      <c r="F547" s="72"/>
      <c r="G547" s="74"/>
      <c r="I547" s="115">
        <f>IF(C547=0,0,VLOOKUP(C547,Tabla1[],3,FALSE))</f>
        <v>0</v>
      </c>
      <c r="K547" s="84">
        <f t="shared" si="12"/>
        <v>0</v>
      </c>
      <c r="L547" s="116">
        <f t="shared" si="13"/>
        <v>0</v>
      </c>
    </row>
    <row r="548" spans="2:12" x14ac:dyDescent="0.3">
      <c r="B548" s="120"/>
      <c r="C548" s="410"/>
      <c r="D548" s="410"/>
      <c r="E548" s="114"/>
      <c r="F548" s="72"/>
      <c r="G548" s="74"/>
      <c r="I548" s="115">
        <f>IF(C548=0,0,VLOOKUP(C548,Tabla1[],3,FALSE))</f>
        <v>0</v>
      </c>
      <c r="K548" s="84">
        <f t="shared" si="12"/>
        <v>0</v>
      </c>
      <c r="L548" s="116">
        <f t="shared" si="13"/>
        <v>0</v>
      </c>
    </row>
    <row r="549" spans="2:12" x14ac:dyDescent="0.3">
      <c r="B549" s="120"/>
      <c r="C549" s="410"/>
      <c r="D549" s="410"/>
      <c r="E549" s="114"/>
      <c r="F549" s="72"/>
      <c r="G549" s="74"/>
      <c r="I549" s="115">
        <f>IF(C549=0,0,VLOOKUP(C549,Tabla1[],3,FALSE))</f>
        <v>0</v>
      </c>
      <c r="K549" s="84">
        <f t="shared" si="12"/>
        <v>0</v>
      </c>
      <c r="L549" s="116">
        <f t="shared" si="13"/>
        <v>0</v>
      </c>
    </row>
    <row r="550" spans="2:12" x14ac:dyDescent="0.3">
      <c r="B550" s="120"/>
      <c r="C550" s="410"/>
      <c r="D550" s="410"/>
      <c r="E550" s="114"/>
      <c r="F550" s="72"/>
      <c r="G550" s="74"/>
      <c r="I550" s="115">
        <f>IF(C550=0,0,VLOOKUP(C550,Tabla1[],3,FALSE))</f>
        <v>0</v>
      </c>
      <c r="K550" s="84">
        <f t="shared" si="12"/>
        <v>0</v>
      </c>
      <c r="L550" s="116">
        <f t="shared" si="13"/>
        <v>0</v>
      </c>
    </row>
    <row r="551" spans="2:12" ht="17.25" thickBot="1" x14ac:dyDescent="0.35"/>
    <row r="552" spans="2:12" ht="17.25" thickBot="1" x14ac:dyDescent="0.35">
      <c r="F552" s="402" t="s">
        <v>9</v>
      </c>
      <c r="G552" s="403"/>
      <c r="H552" s="403"/>
      <c r="I552" s="404"/>
      <c r="K552" s="224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413" t="s">
        <v>11</v>
      </c>
      <c r="D554" s="413"/>
      <c r="E554" s="413"/>
      <c r="F554" s="413"/>
      <c r="G554" s="414"/>
    </row>
    <row r="555" spans="2:12" x14ac:dyDescent="0.3">
      <c r="B555" s="112" t="s">
        <v>6</v>
      </c>
      <c r="C555" s="415" t="s">
        <v>1</v>
      </c>
      <c r="D555" s="416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409"/>
      <c r="D556" s="409"/>
      <c r="E556" s="114"/>
      <c r="F556" s="83"/>
      <c r="G556" s="74"/>
      <c r="I556" s="115">
        <f>IF(C556=0,0,VLOOKUP(C556,Tabla3[],3,FALSE))</f>
        <v>0</v>
      </c>
      <c r="K556" s="84">
        <f>+F556*I556</f>
        <v>0</v>
      </c>
      <c r="L556" s="116">
        <f>E556*I556</f>
        <v>0</v>
      </c>
    </row>
    <row r="557" spans="2:12" x14ac:dyDescent="0.3">
      <c r="B557" s="74"/>
      <c r="C557" s="202"/>
      <c r="D557" s="203"/>
      <c r="E557" s="119"/>
      <c r="F557" s="72"/>
      <c r="G557" s="74"/>
      <c r="I557" s="115">
        <f>IF(C557=0,0,VLOOKUP(C557,Tabla3[],3,FALSE))</f>
        <v>0</v>
      </c>
      <c r="K557" s="84">
        <f>+F557*I557</f>
        <v>0</v>
      </c>
      <c r="L557" s="116">
        <f>E557*I557</f>
        <v>0</v>
      </c>
    </row>
    <row r="558" spans="2:12" x14ac:dyDescent="0.3">
      <c r="B558" s="74"/>
      <c r="C558" s="202"/>
      <c r="D558" s="203"/>
      <c r="E558" s="119"/>
      <c r="F558" s="72"/>
      <c r="G558" s="74"/>
      <c r="I558" s="115">
        <f>IF(C558=0,0,VLOOKUP(C558,Tabla3[],3,FALSE))</f>
        <v>0</v>
      </c>
      <c r="K558" s="84">
        <f>+F558*I558</f>
        <v>0</v>
      </c>
      <c r="L558" s="116">
        <f>E558*I558</f>
        <v>0</v>
      </c>
    </row>
    <row r="559" spans="2:12" x14ac:dyDescent="0.3">
      <c r="B559" s="74"/>
      <c r="C559" s="411"/>
      <c r="D559" s="412"/>
      <c r="E559" s="119"/>
      <c r="F559" s="72"/>
      <c r="G559" s="74"/>
      <c r="I559" s="115">
        <f>IF(C559=0,0,VLOOKUP(C559,Tabla3[],3,FALSE))</f>
        <v>0</v>
      </c>
      <c r="K559" s="84">
        <f>+F559*I559</f>
        <v>0</v>
      </c>
      <c r="L559" s="116">
        <f>E559*I559</f>
        <v>0</v>
      </c>
    </row>
    <row r="560" spans="2:12" ht="17.25" thickBot="1" x14ac:dyDescent="0.35"/>
    <row r="561" spans="2:12" ht="17.25" thickBot="1" x14ac:dyDescent="0.35">
      <c r="F561" s="402" t="s">
        <v>12</v>
      </c>
      <c r="G561" s="403"/>
      <c r="H561" s="403"/>
      <c r="I561" s="404"/>
      <c r="K561" s="224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413" t="s">
        <v>14</v>
      </c>
      <c r="D563" s="413"/>
      <c r="E563" s="413"/>
      <c r="F563" s="413"/>
      <c r="G563" s="414"/>
    </row>
    <row r="564" spans="2:12" x14ac:dyDescent="0.3">
      <c r="B564" s="112" t="s">
        <v>6</v>
      </c>
      <c r="C564" s="415" t="s">
        <v>1</v>
      </c>
      <c r="D564" s="416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409" t="s">
        <v>465</v>
      </c>
      <c r="D565" s="409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409"/>
      <c r="D566" s="409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417"/>
      <c r="D567" s="418"/>
      <c r="E567" s="122"/>
      <c r="F567" s="123"/>
      <c r="G567" s="74"/>
      <c r="I567" s="115">
        <f>IF(C567=0,0,VLOOKUP(C567,Tabla2[],3,FALSE))</f>
        <v>0</v>
      </c>
      <c r="K567" s="84">
        <f>+F567*I567</f>
        <v>0</v>
      </c>
      <c r="L567" s="116">
        <f>E567*I567</f>
        <v>0</v>
      </c>
    </row>
    <row r="568" spans="2:12" ht="17.25" thickBot="1" x14ac:dyDescent="0.35">
      <c r="B568" s="419" t="s">
        <v>15</v>
      </c>
      <c r="C568" s="420"/>
      <c r="D568" s="420"/>
      <c r="E568" s="420"/>
      <c r="F568" s="420"/>
      <c r="G568" s="421"/>
      <c r="I568" s="84">
        <v>0</v>
      </c>
      <c r="K568" s="84">
        <v>0</v>
      </c>
      <c r="L568" s="116">
        <f>E568*I568</f>
        <v>0</v>
      </c>
    </row>
    <row r="569" spans="2:12" ht="17.25" thickBot="1" x14ac:dyDescent="0.35"/>
    <row r="570" spans="2:12" ht="17.25" thickBot="1" x14ac:dyDescent="0.35">
      <c r="F570" s="402" t="s">
        <v>16</v>
      </c>
      <c r="G570" s="403"/>
      <c r="H570" s="403"/>
      <c r="I570" s="404"/>
      <c r="K570" s="224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413" t="s">
        <v>18</v>
      </c>
      <c r="D572" s="413"/>
      <c r="E572" s="413"/>
      <c r="F572" s="413"/>
      <c r="G572" s="414"/>
    </row>
    <row r="573" spans="2:12" x14ac:dyDescent="0.3">
      <c r="B573" s="112" t="s">
        <v>6</v>
      </c>
      <c r="C573" s="415" t="s">
        <v>1</v>
      </c>
      <c r="D573" s="416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411"/>
      <c r="D574" s="412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411"/>
      <c r="D575" s="412"/>
      <c r="E575" s="125"/>
      <c r="F575" s="72"/>
      <c r="G575" s="74"/>
      <c r="I575" s="84">
        <v>0</v>
      </c>
      <c r="K575" s="84">
        <f>+F575*I575</f>
        <v>0</v>
      </c>
      <c r="L575" s="116">
        <f>E575*I575</f>
        <v>0</v>
      </c>
    </row>
    <row r="576" spans="2:12" x14ac:dyDescent="0.3">
      <c r="B576" s="74"/>
      <c r="C576" s="411"/>
      <c r="D576" s="412"/>
      <c r="E576" s="125"/>
      <c r="F576" s="72"/>
      <c r="G576" s="74"/>
      <c r="I576" s="84">
        <v>0</v>
      </c>
      <c r="K576" s="84">
        <f>+F576*I576</f>
        <v>0</v>
      </c>
      <c r="L576" s="116">
        <f>E576*I576</f>
        <v>0</v>
      </c>
    </row>
    <row r="577" spans="2:16" ht="17.25" thickBot="1" x14ac:dyDescent="0.35">
      <c r="L577" s="116"/>
    </row>
    <row r="578" spans="2:16" ht="17.25" thickBot="1" x14ac:dyDescent="0.35">
      <c r="F578" s="402" t="s">
        <v>19</v>
      </c>
      <c r="G578" s="403"/>
      <c r="H578" s="403"/>
      <c r="I578" s="404"/>
      <c r="K578" s="224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127"/>
      <c r="H579" s="128"/>
      <c r="I579" s="106"/>
      <c r="K579" s="225"/>
    </row>
    <row r="580" spans="2:16" ht="15" customHeight="1" thickBot="1" x14ac:dyDescent="0.35"/>
    <row r="581" spans="2:16" ht="17.25" thickBot="1" x14ac:dyDescent="0.35">
      <c r="F581" s="402" t="s">
        <v>20</v>
      </c>
      <c r="G581" s="403"/>
      <c r="H581" s="403"/>
      <c r="I581" s="404"/>
      <c r="K581" s="224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402" t="s">
        <v>21</v>
      </c>
      <c r="G583" s="403"/>
      <c r="H583" s="403"/>
      <c r="I583" s="404"/>
      <c r="K583" s="224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402" t="s">
        <v>22</v>
      </c>
      <c r="G585" s="403"/>
      <c r="H585" s="403"/>
      <c r="I585" s="404"/>
      <c r="K585" s="224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127"/>
      <c r="H586" s="128"/>
      <c r="I586" s="106"/>
      <c r="K586" s="226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127"/>
      <c r="H587" s="128"/>
      <c r="I587" s="106"/>
      <c r="K587" s="227"/>
      <c r="L587" s="129"/>
      <c r="M587" s="132"/>
      <c r="N587" s="133"/>
    </row>
    <row r="588" spans="2:16" ht="17.25" thickBot="1" x14ac:dyDescent="0.35">
      <c r="B588" s="405"/>
      <c r="C588" s="405"/>
      <c r="D588" s="405"/>
    </row>
    <row r="589" spans="2:16" x14ac:dyDescent="0.3">
      <c r="B589" s="406" t="s">
        <v>23</v>
      </c>
      <c r="C589" s="406"/>
      <c r="D589" s="406"/>
    </row>
    <row r="590" spans="2:16" x14ac:dyDescent="0.3">
      <c r="B590" s="155"/>
      <c r="C590" s="155"/>
      <c r="D590" s="155"/>
    </row>
    <row r="591" spans="2:16" x14ac:dyDescent="0.3">
      <c r="B591" s="155"/>
      <c r="C591" s="155"/>
      <c r="D591" s="155"/>
    </row>
    <row r="592" spans="2:16" x14ac:dyDescent="0.3">
      <c r="B592" s="103" t="s">
        <v>43</v>
      </c>
      <c r="C592" s="104"/>
      <c r="D592" s="422" t="s">
        <v>1</v>
      </c>
      <c r="E592" s="422"/>
      <c r="F592" s="422"/>
      <c r="G592" s="422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09">
        <f>CATALOGO!B28</f>
        <v>303.06</v>
      </c>
      <c r="C593" s="71"/>
      <c r="D593" s="423" t="str">
        <f>CATALOGO!C28</f>
        <v>LEVANTADO DE MURO 0.19m, BLOCK TIPO A (70 Kg/Cm²)</v>
      </c>
      <c r="E593" s="423"/>
      <c r="F593" s="423"/>
      <c r="G593" s="423"/>
      <c r="H593" s="71"/>
      <c r="I593" s="209">
        <f>CATALOGO!D28</f>
        <v>20.55</v>
      </c>
      <c r="J593" s="107"/>
      <c r="K593" s="222" t="str">
        <f>CATALOGO!G28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413" t="s">
        <v>5</v>
      </c>
      <c r="D595" s="413"/>
      <c r="E595" s="413"/>
      <c r="F595" s="413"/>
      <c r="G595" s="414"/>
    </row>
    <row r="596" spans="1:16" x14ac:dyDescent="0.3">
      <c r="B596" s="109" t="s">
        <v>6</v>
      </c>
      <c r="C596" s="424" t="s">
        <v>1</v>
      </c>
      <c r="D596" s="425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3" t="s">
        <v>8</v>
      </c>
      <c r="L596" s="113" t="s">
        <v>193</v>
      </c>
    </row>
    <row r="597" spans="1:16" x14ac:dyDescent="0.3">
      <c r="B597" s="120">
        <v>1</v>
      </c>
      <c r="C597" s="407" t="s">
        <v>573</v>
      </c>
      <c r="D597" s="408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428" t="s">
        <v>213</v>
      </c>
      <c r="D598" s="429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14">+F598*I598</f>
        <v>24</v>
      </c>
      <c r="L598" s="116">
        <f t="shared" ref="L598:L604" si="15">E598*I598</f>
        <v>493.2</v>
      </c>
    </row>
    <row r="599" spans="1:16" x14ac:dyDescent="0.3">
      <c r="B599" s="120">
        <v>3</v>
      </c>
      <c r="C599" s="430" t="s">
        <v>72</v>
      </c>
      <c r="D599" s="429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14"/>
        <v>10</v>
      </c>
      <c r="L599" s="116">
        <f t="shared" si="15"/>
        <v>205.50000000000003</v>
      </c>
    </row>
    <row r="600" spans="1:16" x14ac:dyDescent="0.3">
      <c r="B600" s="120"/>
      <c r="C600" s="410"/>
      <c r="D600" s="410"/>
      <c r="E600" s="114"/>
      <c r="F600" s="83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1:16" x14ac:dyDescent="0.3">
      <c r="B601" s="120"/>
      <c r="C601" s="410"/>
      <c r="D601" s="410"/>
      <c r="E601" s="114"/>
      <c r="F601" s="72"/>
      <c r="G601" s="74"/>
      <c r="I601" s="115">
        <f>IF(C601=0,0,VLOOKUP(C601,Tabla1[],3,FALSE))</f>
        <v>0</v>
      </c>
      <c r="K601" s="84">
        <f t="shared" si="14"/>
        <v>0</v>
      </c>
      <c r="L601" s="116">
        <f t="shared" si="15"/>
        <v>0</v>
      </c>
    </row>
    <row r="602" spans="1:16" x14ac:dyDescent="0.3">
      <c r="B602" s="120"/>
      <c r="C602" s="410"/>
      <c r="D602" s="410"/>
      <c r="E602" s="114"/>
      <c r="F602" s="72"/>
      <c r="G602" s="74"/>
      <c r="I602" s="115">
        <f>IF(C602=0,0,VLOOKUP(C602,Tabla1[],3,FALSE))</f>
        <v>0</v>
      </c>
      <c r="K602" s="84">
        <f t="shared" si="14"/>
        <v>0</v>
      </c>
      <c r="L602" s="116">
        <f t="shared" si="15"/>
        <v>0</v>
      </c>
    </row>
    <row r="603" spans="1:16" x14ac:dyDescent="0.3">
      <c r="B603" s="120"/>
      <c r="C603" s="410"/>
      <c r="D603" s="410"/>
      <c r="E603" s="114"/>
      <c r="F603" s="72"/>
      <c r="G603" s="74"/>
      <c r="I603" s="115">
        <f>IF(C603=0,0,VLOOKUP(C603,Tabla1[],3,FALSE))</f>
        <v>0</v>
      </c>
      <c r="K603" s="84">
        <f t="shared" si="14"/>
        <v>0</v>
      </c>
      <c r="L603" s="116">
        <f t="shared" si="15"/>
        <v>0</v>
      </c>
    </row>
    <row r="604" spans="1:16" x14ac:dyDescent="0.3">
      <c r="B604" s="120"/>
      <c r="C604" s="410"/>
      <c r="D604" s="410"/>
      <c r="E604" s="114"/>
      <c r="F604" s="72"/>
      <c r="G604" s="74"/>
      <c r="I604" s="115">
        <f>IF(C604=0,0,VLOOKUP(C604,Tabla1[],3,FALSE))</f>
        <v>0</v>
      </c>
      <c r="K604" s="84">
        <f t="shared" si="14"/>
        <v>0</v>
      </c>
      <c r="L604" s="116">
        <f t="shared" si="15"/>
        <v>0</v>
      </c>
    </row>
    <row r="605" spans="1:16" ht="17.25" thickBot="1" x14ac:dyDescent="0.35"/>
    <row r="606" spans="1:16" ht="17.25" thickBot="1" x14ac:dyDescent="0.35">
      <c r="F606" s="402" t="s">
        <v>9</v>
      </c>
      <c r="G606" s="403"/>
      <c r="H606" s="403"/>
      <c r="I606" s="404"/>
      <c r="K606" s="224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413" t="s">
        <v>11</v>
      </c>
      <c r="D608" s="413"/>
      <c r="E608" s="413"/>
      <c r="F608" s="413"/>
      <c r="G608" s="414"/>
    </row>
    <row r="609" spans="2:12" x14ac:dyDescent="0.3">
      <c r="B609" s="112" t="s">
        <v>6</v>
      </c>
      <c r="C609" s="415" t="s">
        <v>1</v>
      </c>
      <c r="D609" s="416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409"/>
      <c r="D610" s="409"/>
      <c r="E610" s="114"/>
      <c r="F610" s="83"/>
      <c r="G610" s="74"/>
      <c r="I610" s="115">
        <f>IF(C610=0,0,VLOOKUP(C610,Tabla3[],3,FALSE))</f>
        <v>0</v>
      </c>
      <c r="K610" s="84">
        <f>+F610*I610</f>
        <v>0</v>
      </c>
      <c r="L610" s="116">
        <f>E610*I610</f>
        <v>0</v>
      </c>
    </row>
    <row r="611" spans="2:12" x14ac:dyDescent="0.3">
      <c r="B611" s="74"/>
      <c r="C611" s="202"/>
      <c r="D611" s="203"/>
      <c r="E611" s="119"/>
      <c r="F611" s="72"/>
      <c r="G611" s="74"/>
      <c r="I611" s="115">
        <f>IF(C611=0,0,VLOOKUP(C611,Tabla3[],3,FALSE))</f>
        <v>0</v>
      </c>
      <c r="K611" s="84">
        <f>+F611*I611</f>
        <v>0</v>
      </c>
      <c r="L611" s="116">
        <f>E611*I611</f>
        <v>0</v>
      </c>
    </row>
    <row r="612" spans="2:12" x14ac:dyDescent="0.3">
      <c r="B612" s="74"/>
      <c r="C612" s="202"/>
      <c r="D612" s="203"/>
      <c r="E612" s="119"/>
      <c r="F612" s="72"/>
      <c r="G612" s="74"/>
      <c r="I612" s="115">
        <f>IF(C612=0,0,VLOOKUP(C612,Tabla3[],3,FALSE))</f>
        <v>0</v>
      </c>
      <c r="K612" s="84">
        <f>+F612*I612</f>
        <v>0</v>
      </c>
      <c r="L612" s="116">
        <f>E612*I612</f>
        <v>0</v>
      </c>
    </row>
    <row r="613" spans="2:12" x14ac:dyDescent="0.3">
      <c r="B613" s="74"/>
      <c r="C613" s="411"/>
      <c r="D613" s="412"/>
      <c r="E613" s="119"/>
      <c r="F613" s="72"/>
      <c r="G613" s="74"/>
      <c r="I613" s="115">
        <f>IF(C613=0,0,VLOOKUP(C613,Tabla3[],3,FALSE))</f>
        <v>0</v>
      </c>
      <c r="K613" s="84">
        <f>+F613*I613</f>
        <v>0</v>
      </c>
      <c r="L613" s="116">
        <f>E613*I613</f>
        <v>0</v>
      </c>
    </row>
    <row r="614" spans="2:12" ht="17.25" thickBot="1" x14ac:dyDescent="0.35"/>
    <row r="615" spans="2:12" ht="17.25" thickBot="1" x14ac:dyDescent="0.35">
      <c r="F615" s="402" t="s">
        <v>12</v>
      </c>
      <c r="G615" s="403"/>
      <c r="H615" s="403"/>
      <c r="I615" s="404"/>
      <c r="K615" s="224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413" t="s">
        <v>14</v>
      </c>
      <c r="D617" s="413"/>
      <c r="E617" s="413"/>
      <c r="F617" s="413"/>
      <c r="G617" s="414"/>
    </row>
    <row r="618" spans="2:12" x14ac:dyDescent="0.3">
      <c r="B618" s="112" t="s">
        <v>6</v>
      </c>
      <c r="C618" s="415" t="s">
        <v>1</v>
      </c>
      <c r="D618" s="416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409" t="s">
        <v>465</v>
      </c>
      <c r="D619" s="409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409"/>
      <c r="D620" s="409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417"/>
      <c r="D621" s="418"/>
      <c r="E621" s="122"/>
      <c r="F621" s="123"/>
      <c r="G621" s="74"/>
      <c r="I621" s="115">
        <f>IF(C621=0,0,VLOOKUP(C621,Tabla2[],3,FALSE))</f>
        <v>0</v>
      </c>
      <c r="K621" s="84">
        <f>+F621*I621</f>
        <v>0</v>
      </c>
      <c r="L621" s="116">
        <f>E621*I621</f>
        <v>0</v>
      </c>
    </row>
    <row r="622" spans="2:12" ht="17.25" thickBot="1" x14ac:dyDescent="0.35">
      <c r="B622" s="419" t="s">
        <v>15</v>
      </c>
      <c r="C622" s="420"/>
      <c r="D622" s="420"/>
      <c r="E622" s="420"/>
      <c r="F622" s="420"/>
      <c r="G622" s="421"/>
      <c r="I622" s="84">
        <v>0</v>
      </c>
      <c r="K622" s="84">
        <v>0</v>
      </c>
      <c r="L622" s="116">
        <f>E622*I622</f>
        <v>0</v>
      </c>
    </row>
    <row r="623" spans="2:12" ht="17.25" thickBot="1" x14ac:dyDescent="0.35"/>
    <row r="624" spans="2:12" ht="17.25" thickBot="1" x14ac:dyDescent="0.35">
      <c r="F624" s="402" t="s">
        <v>16</v>
      </c>
      <c r="G624" s="403"/>
      <c r="H624" s="403"/>
      <c r="I624" s="404"/>
      <c r="K624" s="224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413" t="s">
        <v>18</v>
      </c>
      <c r="D626" s="413"/>
      <c r="E626" s="413"/>
      <c r="F626" s="413"/>
      <c r="G626" s="414"/>
    </row>
    <row r="627" spans="2:16" x14ac:dyDescent="0.3">
      <c r="B627" s="112" t="s">
        <v>6</v>
      </c>
      <c r="C627" s="415" t="s">
        <v>1</v>
      </c>
      <c r="D627" s="416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411"/>
      <c r="D628" s="412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411"/>
      <c r="D629" s="412"/>
      <c r="E629" s="125"/>
      <c r="F629" s="72"/>
      <c r="G629" s="74"/>
      <c r="I629" s="84">
        <v>0</v>
      </c>
      <c r="K629" s="84">
        <f>+F629*I629</f>
        <v>0</v>
      </c>
      <c r="L629" s="116">
        <f>E629*I629</f>
        <v>0</v>
      </c>
    </row>
    <row r="630" spans="2:16" x14ac:dyDescent="0.3">
      <c r="B630" s="74"/>
      <c r="C630" s="411"/>
      <c r="D630" s="412"/>
      <c r="E630" s="125"/>
      <c r="F630" s="72"/>
      <c r="G630" s="74"/>
      <c r="I630" s="84">
        <v>0</v>
      </c>
      <c r="K630" s="84">
        <f>+F630*I630</f>
        <v>0</v>
      </c>
      <c r="L630" s="116">
        <f>E630*I630</f>
        <v>0</v>
      </c>
    </row>
    <row r="631" spans="2:16" ht="17.25" thickBot="1" x14ac:dyDescent="0.35">
      <c r="L631" s="116"/>
    </row>
    <row r="632" spans="2:16" ht="17.25" thickBot="1" x14ac:dyDescent="0.35">
      <c r="F632" s="402" t="s">
        <v>19</v>
      </c>
      <c r="G632" s="403"/>
      <c r="H632" s="403"/>
      <c r="I632" s="404"/>
      <c r="K632" s="224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127"/>
      <c r="H633" s="128"/>
      <c r="I633" s="106"/>
      <c r="K633" s="225"/>
    </row>
    <row r="634" spans="2:16" ht="15" customHeight="1" thickBot="1" x14ac:dyDescent="0.35"/>
    <row r="635" spans="2:16" ht="17.25" thickBot="1" x14ac:dyDescent="0.35">
      <c r="F635" s="402" t="s">
        <v>20</v>
      </c>
      <c r="G635" s="403"/>
      <c r="H635" s="403"/>
      <c r="I635" s="404"/>
      <c r="K635" s="224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402" t="s">
        <v>21</v>
      </c>
      <c r="G637" s="403"/>
      <c r="H637" s="403"/>
      <c r="I637" s="404"/>
      <c r="K637" s="224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402" t="s">
        <v>22</v>
      </c>
      <c r="G639" s="403"/>
      <c r="H639" s="403"/>
      <c r="I639" s="404"/>
      <c r="K639" s="224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127"/>
      <c r="H640" s="128"/>
      <c r="I640" s="106"/>
      <c r="K640" s="226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127"/>
      <c r="H641" s="128"/>
      <c r="I641" s="106"/>
      <c r="K641" s="227"/>
      <c r="L641" s="129"/>
      <c r="M641" s="132"/>
      <c r="N641" s="133"/>
    </row>
    <row r="642" spans="1:16" ht="17.25" thickBot="1" x14ac:dyDescent="0.35">
      <c r="B642" s="405"/>
      <c r="C642" s="405"/>
      <c r="D642" s="405"/>
    </row>
    <row r="643" spans="1:16" x14ac:dyDescent="0.3">
      <c r="B643" s="406" t="s">
        <v>23</v>
      </c>
      <c r="C643" s="406"/>
      <c r="D643" s="406"/>
    </row>
    <row r="644" spans="1:16" x14ac:dyDescent="0.3">
      <c r="B644" s="155"/>
      <c r="C644" s="155"/>
      <c r="D644" s="155"/>
    </row>
    <row r="645" spans="1:16" x14ac:dyDescent="0.3">
      <c r="B645" s="155"/>
      <c r="C645" s="155"/>
      <c r="D645" s="155"/>
    </row>
    <row r="646" spans="1:16" x14ac:dyDescent="0.3">
      <c r="B646" s="103" t="s">
        <v>43</v>
      </c>
      <c r="C646" s="104"/>
      <c r="D646" s="422" t="s">
        <v>1</v>
      </c>
      <c r="E646" s="422"/>
      <c r="F646" s="422"/>
      <c r="G646" s="422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09">
        <f>CATALOGO!B30</f>
        <v>303.08999999999997</v>
      </c>
      <c r="C647" s="71"/>
      <c r="D647" s="423" t="str">
        <f>CATALOGO!C30</f>
        <v xml:space="preserve">LEVANTADO DE MURO DOBLE 0.19m, BLOCK TIPO A (70 Kg/Cm²) </v>
      </c>
      <c r="E647" s="423"/>
      <c r="F647" s="423"/>
      <c r="G647" s="423"/>
      <c r="H647" s="71"/>
      <c r="I647" s="209">
        <f>CATALOGO!D30</f>
        <v>19.100000000000001</v>
      </c>
      <c r="J647" s="107"/>
      <c r="K647" s="222" t="str">
        <f>CATALOGO!G30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413" t="s">
        <v>5</v>
      </c>
      <c r="D649" s="413"/>
      <c r="E649" s="413"/>
      <c r="F649" s="413"/>
      <c r="G649" s="414"/>
    </row>
    <row r="650" spans="1:16" x14ac:dyDescent="0.3">
      <c r="B650" s="109" t="s">
        <v>6</v>
      </c>
      <c r="C650" s="424" t="s">
        <v>1</v>
      </c>
      <c r="D650" s="425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3" t="s">
        <v>8</v>
      </c>
      <c r="L650" s="113" t="s">
        <v>193</v>
      </c>
    </row>
    <row r="651" spans="1:16" x14ac:dyDescent="0.3">
      <c r="B651" s="120">
        <v>1</v>
      </c>
      <c r="C651" s="407" t="s">
        <v>573</v>
      </c>
      <c r="D651" s="408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428" t="s">
        <v>213</v>
      </c>
      <c r="D652" s="429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16">+F652*I652</f>
        <v>48</v>
      </c>
      <c r="L652" s="116">
        <f t="shared" ref="L652:L658" si="17">E652*I652</f>
        <v>916.80000000000007</v>
      </c>
    </row>
    <row r="653" spans="1:16" x14ac:dyDescent="0.3">
      <c r="B653" s="120">
        <v>3</v>
      </c>
      <c r="C653" s="430" t="s">
        <v>72</v>
      </c>
      <c r="D653" s="429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16"/>
        <v>20</v>
      </c>
      <c r="L653" s="116">
        <f t="shared" si="17"/>
        <v>382.00000000000006</v>
      </c>
    </row>
    <row r="654" spans="1:16" x14ac:dyDescent="0.3">
      <c r="B654" s="120"/>
      <c r="C654" s="410"/>
      <c r="D654" s="410"/>
      <c r="E654" s="114"/>
      <c r="F654" s="83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6" x14ac:dyDescent="0.3">
      <c r="B655" s="120"/>
      <c r="C655" s="410"/>
      <c r="D655" s="410"/>
      <c r="E655" s="114"/>
      <c r="F655" s="72"/>
      <c r="G655" s="74"/>
      <c r="I655" s="115">
        <f>IF(C655=0,0,VLOOKUP(C655,Tabla1[],3,FALSE))</f>
        <v>0</v>
      </c>
      <c r="K655" s="84">
        <f t="shared" si="16"/>
        <v>0</v>
      </c>
      <c r="L655" s="116">
        <f t="shared" si="17"/>
        <v>0</v>
      </c>
    </row>
    <row r="656" spans="1:16" x14ac:dyDescent="0.3">
      <c r="B656" s="120"/>
      <c r="C656" s="410"/>
      <c r="D656" s="410"/>
      <c r="E656" s="114"/>
      <c r="F656" s="72"/>
      <c r="G656" s="74"/>
      <c r="I656" s="115">
        <f>IF(C656=0,0,VLOOKUP(C656,Tabla1[],3,FALSE))</f>
        <v>0</v>
      </c>
      <c r="K656" s="84">
        <f t="shared" si="16"/>
        <v>0</v>
      </c>
      <c r="L656" s="116">
        <f t="shared" si="17"/>
        <v>0</v>
      </c>
    </row>
    <row r="657" spans="2:12" x14ac:dyDescent="0.3">
      <c r="B657" s="120"/>
      <c r="C657" s="410"/>
      <c r="D657" s="410"/>
      <c r="E657" s="114"/>
      <c r="F657" s="72"/>
      <c r="G657" s="74"/>
      <c r="I657" s="115">
        <f>IF(C657=0,0,VLOOKUP(C657,Tabla1[],3,FALSE))</f>
        <v>0</v>
      </c>
      <c r="K657" s="84">
        <f t="shared" si="16"/>
        <v>0</v>
      </c>
      <c r="L657" s="116">
        <f t="shared" si="17"/>
        <v>0</v>
      </c>
    </row>
    <row r="658" spans="2:12" x14ac:dyDescent="0.3">
      <c r="B658" s="120"/>
      <c r="C658" s="410"/>
      <c r="D658" s="410"/>
      <c r="E658" s="114"/>
      <c r="F658" s="72"/>
      <c r="G658" s="74"/>
      <c r="I658" s="115">
        <f>IF(C658=0,0,VLOOKUP(C658,Tabla1[],3,FALSE))</f>
        <v>0</v>
      </c>
      <c r="K658" s="84">
        <f t="shared" si="16"/>
        <v>0</v>
      </c>
      <c r="L658" s="116">
        <f t="shared" si="17"/>
        <v>0</v>
      </c>
    </row>
    <row r="659" spans="2:12" ht="17.25" thickBot="1" x14ac:dyDescent="0.35"/>
    <row r="660" spans="2:12" ht="17.25" thickBot="1" x14ac:dyDescent="0.35">
      <c r="F660" s="402" t="s">
        <v>9</v>
      </c>
      <c r="G660" s="403"/>
      <c r="H660" s="403"/>
      <c r="I660" s="404"/>
      <c r="K660" s="224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413" t="s">
        <v>11</v>
      </c>
      <c r="D662" s="413"/>
      <c r="E662" s="413"/>
      <c r="F662" s="413"/>
      <c r="G662" s="414"/>
    </row>
    <row r="663" spans="2:12" x14ac:dyDescent="0.3">
      <c r="B663" s="112" t="s">
        <v>6</v>
      </c>
      <c r="C663" s="415" t="s">
        <v>1</v>
      </c>
      <c r="D663" s="416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409"/>
      <c r="D664" s="409"/>
      <c r="E664" s="114"/>
      <c r="F664" s="83"/>
      <c r="G664" s="74"/>
      <c r="I664" s="115">
        <f>IF(C664=0,0,VLOOKUP(C664,Tabla3[],3,FALSE))</f>
        <v>0</v>
      </c>
      <c r="K664" s="84">
        <f>+F664*I664</f>
        <v>0</v>
      </c>
      <c r="L664" s="116">
        <f>E664*I664</f>
        <v>0</v>
      </c>
    </row>
    <row r="665" spans="2:12" x14ac:dyDescent="0.3">
      <c r="B665" s="74"/>
      <c r="C665" s="202"/>
      <c r="D665" s="203"/>
      <c r="E665" s="119"/>
      <c r="F665" s="72"/>
      <c r="G665" s="74"/>
      <c r="I665" s="115">
        <f>IF(C665=0,0,VLOOKUP(C665,Tabla3[],3,FALSE))</f>
        <v>0</v>
      </c>
      <c r="K665" s="84">
        <f>+F665*I665</f>
        <v>0</v>
      </c>
      <c r="L665" s="116">
        <f>E665*I665</f>
        <v>0</v>
      </c>
    </row>
    <row r="666" spans="2:12" x14ac:dyDescent="0.3">
      <c r="B666" s="74"/>
      <c r="C666" s="202"/>
      <c r="D666" s="203"/>
      <c r="E666" s="119"/>
      <c r="F666" s="72"/>
      <c r="G666" s="74"/>
      <c r="I666" s="115">
        <f>IF(C666=0,0,VLOOKUP(C666,Tabla3[],3,FALSE))</f>
        <v>0</v>
      </c>
      <c r="K666" s="84">
        <f>+F666*I666</f>
        <v>0</v>
      </c>
      <c r="L666" s="116">
        <f>E666*I666</f>
        <v>0</v>
      </c>
    </row>
    <row r="667" spans="2:12" x14ac:dyDescent="0.3">
      <c r="B667" s="74"/>
      <c r="C667" s="411"/>
      <c r="D667" s="412"/>
      <c r="E667" s="119"/>
      <c r="F667" s="72"/>
      <c r="G667" s="74"/>
      <c r="I667" s="115">
        <f>IF(C667=0,0,VLOOKUP(C667,Tabla3[],3,FALSE))</f>
        <v>0</v>
      </c>
      <c r="K667" s="84">
        <f>+F667*I667</f>
        <v>0</v>
      </c>
      <c r="L667" s="116">
        <f>E667*I667</f>
        <v>0</v>
      </c>
    </row>
    <row r="668" spans="2:12" ht="17.25" thickBot="1" x14ac:dyDescent="0.35"/>
    <row r="669" spans="2:12" ht="17.25" thickBot="1" x14ac:dyDescent="0.35">
      <c r="F669" s="402" t="s">
        <v>12</v>
      </c>
      <c r="G669" s="403"/>
      <c r="H669" s="403"/>
      <c r="I669" s="404"/>
      <c r="K669" s="224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413" t="s">
        <v>14</v>
      </c>
      <c r="D671" s="413"/>
      <c r="E671" s="413"/>
      <c r="F671" s="413"/>
      <c r="G671" s="414"/>
    </row>
    <row r="672" spans="2:12" x14ac:dyDescent="0.3">
      <c r="B672" s="112" t="s">
        <v>6</v>
      </c>
      <c r="C672" s="415" t="s">
        <v>1</v>
      </c>
      <c r="D672" s="416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409" t="s">
        <v>465</v>
      </c>
      <c r="D673" s="409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409"/>
      <c r="D674" s="409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417"/>
      <c r="D675" s="418"/>
      <c r="E675" s="122"/>
      <c r="F675" s="123"/>
      <c r="G675" s="74"/>
      <c r="I675" s="115">
        <f>IF(C675=0,0,VLOOKUP(C675,Tabla2[],3,FALSE))</f>
        <v>0</v>
      </c>
      <c r="K675" s="84">
        <f>+F675*I675</f>
        <v>0</v>
      </c>
      <c r="L675" s="116">
        <f>E675*I675</f>
        <v>0</v>
      </c>
    </row>
    <row r="676" spans="2:12" ht="17.25" thickBot="1" x14ac:dyDescent="0.35">
      <c r="B676" s="419" t="s">
        <v>15</v>
      </c>
      <c r="C676" s="420"/>
      <c r="D676" s="420"/>
      <c r="E676" s="420"/>
      <c r="F676" s="420"/>
      <c r="G676" s="421"/>
      <c r="I676" s="84">
        <v>0</v>
      </c>
      <c r="K676" s="84">
        <v>0</v>
      </c>
      <c r="L676" s="116">
        <f>E676*I676</f>
        <v>0</v>
      </c>
    </row>
    <row r="677" spans="2:12" ht="17.25" thickBot="1" x14ac:dyDescent="0.35"/>
    <row r="678" spans="2:12" ht="17.25" thickBot="1" x14ac:dyDescent="0.35">
      <c r="F678" s="402" t="s">
        <v>16</v>
      </c>
      <c r="G678" s="403"/>
      <c r="H678" s="403"/>
      <c r="I678" s="404"/>
      <c r="K678" s="224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413" t="s">
        <v>18</v>
      </c>
      <c r="D680" s="413"/>
      <c r="E680" s="413"/>
      <c r="F680" s="413"/>
      <c r="G680" s="414"/>
    </row>
    <row r="681" spans="2:12" x14ac:dyDescent="0.3">
      <c r="B681" s="112" t="s">
        <v>6</v>
      </c>
      <c r="C681" s="415" t="s">
        <v>1</v>
      </c>
      <c r="D681" s="416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411"/>
      <c r="D682" s="412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411"/>
      <c r="D683" s="412"/>
      <c r="E683" s="125"/>
      <c r="F683" s="72"/>
      <c r="G683" s="74"/>
      <c r="I683" s="84">
        <v>0</v>
      </c>
      <c r="K683" s="84">
        <f>+F683*I683</f>
        <v>0</v>
      </c>
      <c r="L683" s="116">
        <f>E683*I683</f>
        <v>0</v>
      </c>
    </row>
    <row r="684" spans="2:12" x14ac:dyDescent="0.3">
      <c r="B684" s="74"/>
      <c r="C684" s="411"/>
      <c r="D684" s="412"/>
      <c r="E684" s="125"/>
      <c r="F684" s="72"/>
      <c r="G684" s="74"/>
      <c r="I684" s="84">
        <v>0</v>
      </c>
      <c r="K684" s="84">
        <f>+F684*I684</f>
        <v>0</v>
      </c>
      <c r="L684" s="116">
        <f>E684*I684</f>
        <v>0</v>
      </c>
    </row>
    <row r="685" spans="2:12" ht="17.25" thickBot="1" x14ac:dyDescent="0.35">
      <c r="L685" s="116"/>
    </row>
    <row r="686" spans="2:12" ht="17.25" thickBot="1" x14ac:dyDescent="0.35">
      <c r="F686" s="402" t="s">
        <v>19</v>
      </c>
      <c r="G686" s="403"/>
      <c r="H686" s="403"/>
      <c r="I686" s="404"/>
      <c r="K686" s="224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127"/>
      <c r="H687" s="128"/>
      <c r="I687" s="106"/>
      <c r="K687" s="225"/>
    </row>
    <row r="688" spans="2:12" ht="15" customHeight="1" thickBot="1" x14ac:dyDescent="0.35"/>
    <row r="689" spans="1:16" ht="17.25" thickBot="1" x14ac:dyDescent="0.35">
      <c r="F689" s="402" t="s">
        <v>20</v>
      </c>
      <c r="G689" s="403"/>
      <c r="H689" s="403"/>
      <c r="I689" s="404"/>
      <c r="K689" s="224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402" t="s">
        <v>21</v>
      </c>
      <c r="G691" s="403"/>
      <c r="H691" s="403"/>
      <c r="I691" s="404"/>
      <c r="K691" s="224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402" t="s">
        <v>22</v>
      </c>
      <c r="G693" s="403"/>
      <c r="H693" s="403"/>
      <c r="I693" s="404"/>
      <c r="K693" s="224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127"/>
      <c r="H694" s="128"/>
      <c r="I694" s="106"/>
      <c r="K694" s="226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127"/>
      <c r="H695" s="128"/>
      <c r="I695" s="106"/>
      <c r="K695" s="227"/>
      <c r="L695" s="129"/>
      <c r="M695" s="132"/>
      <c r="N695" s="133"/>
    </row>
    <row r="696" spans="1:16" ht="17.25" thickBot="1" x14ac:dyDescent="0.35">
      <c r="B696" s="405"/>
      <c r="C696" s="405"/>
      <c r="D696" s="405"/>
    </row>
    <row r="697" spans="1:16" x14ac:dyDescent="0.3">
      <c r="B697" s="406" t="s">
        <v>23</v>
      </c>
      <c r="C697" s="406"/>
      <c r="D697" s="406"/>
    </row>
    <row r="698" spans="1:16" x14ac:dyDescent="0.3">
      <c r="B698" s="155"/>
      <c r="C698" s="155"/>
      <c r="D698" s="155"/>
    </row>
    <row r="699" spans="1:16" x14ac:dyDescent="0.3">
      <c r="B699" s="155"/>
      <c r="C699" s="155"/>
      <c r="D699" s="155"/>
    </row>
    <row r="700" spans="1:16" x14ac:dyDescent="0.3">
      <c r="B700" s="103" t="s">
        <v>43</v>
      </c>
      <c r="C700" s="104"/>
      <c r="D700" s="422" t="s">
        <v>1</v>
      </c>
      <c r="E700" s="422"/>
      <c r="F700" s="422"/>
      <c r="G700" s="422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09">
        <f>CATALOGO!B31</f>
        <v>304.07</v>
      </c>
      <c r="C701" s="71"/>
      <c r="D701" s="423" t="str">
        <f>CATALOGO!C31</f>
        <v xml:space="preserve">PIN EN BLOCK DE 0.20m </v>
      </c>
      <c r="E701" s="423"/>
      <c r="F701" s="423"/>
      <c r="G701" s="423"/>
      <c r="H701" s="71"/>
      <c r="I701" s="209">
        <f>CATALOGO!D31</f>
        <v>701.4</v>
      </c>
      <c r="J701" s="107"/>
      <c r="K701" s="222" t="str">
        <f>CATALOGO!G31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413" t="s">
        <v>5</v>
      </c>
      <c r="D703" s="413"/>
      <c r="E703" s="413"/>
      <c r="F703" s="413"/>
      <c r="G703" s="414"/>
    </row>
    <row r="704" spans="1:16" x14ac:dyDescent="0.3">
      <c r="B704" s="109" t="s">
        <v>6</v>
      </c>
      <c r="C704" s="424" t="s">
        <v>1</v>
      </c>
      <c r="D704" s="425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3" t="s">
        <v>8</v>
      </c>
      <c r="L704" s="113" t="s">
        <v>193</v>
      </c>
    </row>
    <row r="705" spans="2:12" x14ac:dyDescent="0.3">
      <c r="B705" s="120">
        <v>1</v>
      </c>
      <c r="C705" s="407" t="s">
        <v>168</v>
      </c>
      <c r="D705" s="408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428" t="s">
        <v>213</v>
      </c>
      <c r="D706" s="429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430" t="s">
        <v>72</v>
      </c>
      <c r="D707" s="429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8">+F707*I707</f>
        <v>2.5</v>
      </c>
      <c r="L707" s="116">
        <f t="shared" ref="L707:L714" si="19">E707*I707</f>
        <v>1753.5</v>
      </c>
    </row>
    <row r="708" spans="2:12" x14ac:dyDescent="0.3">
      <c r="B708" s="120">
        <v>4</v>
      </c>
      <c r="C708" s="430" t="s">
        <v>229</v>
      </c>
      <c r="D708" s="429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8"/>
        <v>2.5</v>
      </c>
      <c r="L708" s="116">
        <f t="shared" si="19"/>
        <v>1753.5</v>
      </c>
    </row>
    <row r="709" spans="2:12" x14ac:dyDescent="0.3">
      <c r="B709" s="120"/>
      <c r="C709" s="430"/>
      <c r="D709" s="429"/>
      <c r="E709" s="114"/>
      <c r="F709" s="83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</row>
    <row r="710" spans="2:12" x14ac:dyDescent="0.3">
      <c r="B710" s="120"/>
      <c r="C710" s="433"/>
      <c r="D710" s="433"/>
      <c r="E710" s="114"/>
      <c r="F710" s="83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</row>
    <row r="711" spans="2:12" x14ac:dyDescent="0.3">
      <c r="B711" s="120"/>
      <c r="C711" s="433"/>
      <c r="D711" s="433"/>
      <c r="E711" s="114"/>
      <c r="F711" s="83"/>
      <c r="G711" s="74"/>
      <c r="I711" s="115">
        <f>IF(C711=0,0,VLOOKUP(C711,Tabla1[],3,FALSE))</f>
        <v>0</v>
      </c>
      <c r="K711" s="84">
        <f t="shared" si="18"/>
        <v>0</v>
      </c>
      <c r="L711" s="116">
        <f t="shared" si="19"/>
        <v>0</v>
      </c>
    </row>
    <row r="712" spans="2:12" x14ac:dyDescent="0.3">
      <c r="B712" s="120"/>
      <c r="C712" s="433"/>
      <c r="D712" s="433"/>
      <c r="E712" s="114"/>
      <c r="F712" s="83"/>
      <c r="G712" s="74"/>
      <c r="I712" s="115">
        <f>IF(C712=0,0,VLOOKUP(C712,Tabla1[],3,FALSE))</f>
        <v>0</v>
      </c>
      <c r="K712" s="84">
        <f t="shared" si="18"/>
        <v>0</v>
      </c>
      <c r="L712" s="116">
        <f t="shared" si="19"/>
        <v>0</v>
      </c>
    </row>
    <row r="713" spans="2:12" x14ac:dyDescent="0.3">
      <c r="B713" s="120"/>
      <c r="C713" s="410"/>
      <c r="D713" s="410"/>
      <c r="E713" s="114"/>
      <c r="F713" s="72"/>
      <c r="G713" s="74"/>
      <c r="I713" s="115">
        <f>IF(C713=0,0,VLOOKUP(C713,Tabla1[],3,FALSE))</f>
        <v>0</v>
      </c>
      <c r="K713" s="84">
        <f t="shared" si="18"/>
        <v>0</v>
      </c>
      <c r="L713" s="116">
        <f t="shared" si="19"/>
        <v>0</v>
      </c>
    </row>
    <row r="714" spans="2:12" x14ac:dyDescent="0.3">
      <c r="B714" s="120"/>
      <c r="C714" s="410"/>
      <c r="D714" s="410"/>
      <c r="E714" s="114"/>
      <c r="F714" s="72"/>
      <c r="G714" s="74"/>
      <c r="I714" s="115">
        <f>IF(C714=0,0,VLOOKUP(C714,Tabla1[],3,FALSE))</f>
        <v>0</v>
      </c>
      <c r="K714" s="84">
        <f t="shared" si="18"/>
        <v>0</v>
      </c>
      <c r="L714" s="116">
        <f t="shared" si="19"/>
        <v>0</v>
      </c>
    </row>
    <row r="715" spans="2:12" ht="17.25" thickBot="1" x14ac:dyDescent="0.35"/>
    <row r="716" spans="2:12" ht="17.25" thickBot="1" x14ac:dyDescent="0.35">
      <c r="F716" s="402" t="s">
        <v>9</v>
      </c>
      <c r="G716" s="403"/>
      <c r="H716" s="403"/>
      <c r="I716" s="404"/>
      <c r="K716" s="224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413" t="s">
        <v>11</v>
      </c>
      <c r="D718" s="413"/>
      <c r="E718" s="413"/>
      <c r="F718" s="413"/>
      <c r="G718" s="414"/>
    </row>
    <row r="719" spans="2:12" x14ac:dyDescent="0.3">
      <c r="B719" s="112" t="s">
        <v>6</v>
      </c>
      <c r="C719" s="415" t="s">
        <v>1</v>
      </c>
      <c r="D719" s="416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409"/>
      <c r="D720" s="409"/>
      <c r="E720" s="114"/>
      <c r="F720" s="83"/>
      <c r="G720" s="74"/>
      <c r="I720" s="115">
        <f>IF(C720=0,0,VLOOKUP(C720,Tabla3[],3,FALSE))</f>
        <v>0</v>
      </c>
      <c r="K720" s="84">
        <f>+F720*I720</f>
        <v>0</v>
      </c>
      <c r="L720" s="116">
        <f>E720*I720</f>
        <v>0</v>
      </c>
    </row>
    <row r="721" spans="2:12" x14ac:dyDescent="0.3">
      <c r="B721" s="74"/>
      <c r="C721" s="202"/>
      <c r="D721" s="203"/>
      <c r="E721" s="119"/>
      <c r="F721" s="72"/>
      <c r="G721" s="74"/>
      <c r="I721" s="115">
        <f>IF(C721=0,0,VLOOKUP(C721,Tabla3[],3,FALSE))</f>
        <v>0</v>
      </c>
      <c r="K721" s="84">
        <f>+F721*I721</f>
        <v>0</v>
      </c>
      <c r="L721" s="116">
        <f>E721*I721</f>
        <v>0</v>
      </c>
    </row>
    <row r="722" spans="2:12" x14ac:dyDescent="0.3">
      <c r="B722" s="74"/>
      <c r="C722" s="202"/>
      <c r="D722" s="203"/>
      <c r="E722" s="119"/>
      <c r="F722" s="72"/>
      <c r="G722" s="74"/>
      <c r="I722" s="115">
        <f>IF(C722=0,0,VLOOKUP(C722,Tabla3[],3,FALSE))</f>
        <v>0</v>
      </c>
      <c r="K722" s="84">
        <f>+F722*I722</f>
        <v>0</v>
      </c>
      <c r="L722" s="116">
        <f>E722*I722</f>
        <v>0</v>
      </c>
    </row>
    <row r="723" spans="2:12" x14ac:dyDescent="0.3">
      <c r="B723" s="74"/>
      <c r="C723" s="411"/>
      <c r="D723" s="412"/>
      <c r="E723" s="119"/>
      <c r="F723" s="72"/>
      <c r="G723" s="74"/>
      <c r="I723" s="115">
        <f>IF(C723=0,0,VLOOKUP(C723,Tabla3[],3,FALSE))</f>
        <v>0</v>
      </c>
      <c r="K723" s="84">
        <f>+F723*I723</f>
        <v>0</v>
      </c>
      <c r="L723" s="116">
        <f>E723*I723</f>
        <v>0</v>
      </c>
    </row>
    <row r="724" spans="2:12" ht="17.25" thickBot="1" x14ac:dyDescent="0.35"/>
    <row r="725" spans="2:12" ht="17.25" thickBot="1" x14ac:dyDescent="0.35">
      <c r="F725" s="402" t="s">
        <v>12</v>
      </c>
      <c r="G725" s="403"/>
      <c r="H725" s="403"/>
      <c r="I725" s="404"/>
      <c r="K725" s="224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413" t="s">
        <v>14</v>
      </c>
      <c r="D727" s="413"/>
      <c r="E727" s="413"/>
      <c r="F727" s="413"/>
      <c r="G727" s="414"/>
    </row>
    <row r="728" spans="2:12" x14ac:dyDescent="0.3">
      <c r="B728" s="112" t="s">
        <v>6</v>
      </c>
      <c r="C728" s="415" t="s">
        <v>1</v>
      </c>
      <c r="D728" s="416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409" t="s">
        <v>367</v>
      </c>
      <c r="D729" s="409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409"/>
      <c r="D730" s="409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417"/>
      <c r="D731" s="418"/>
      <c r="E731" s="122"/>
      <c r="F731" s="123"/>
      <c r="G731" s="74"/>
      <c r="I731" s="115">
        <f>IF(C731=0,0,VLOOKUP(C731,Tabla2[],3,FALSE))</f>
        <v>0</v>
      </c>
      <c r="K731" s="84">
        <f>+F731*I731</f>
        <v>0</v>
      </c>
      <c r="L731" s="116">
        <f>E731*I731</f>
        <v>0</v>
      </c>
    </row>
    <row r="732" spans="2:12" ht="17.25" thickBot="1" x14ac:dyDescent="0.35">
      <c r="B732" s="419" t="s">
        <v>15</v>
      </c>
      <c r="C732" s="420"/>
      <c r="D732" s="420"/>
      <c r="E732" s="420"/>
      <c r="F732" s="420"/>
      <c r="G732" s="421"/>
      <c r="I732" s="84">
        <v>0</v>
      </c>
      <c r="K732" s="84">
        <v>0</v>
      </c>
      <c r="L732" s="116">
        <f>E732*I732</f>
        <v>0</v>
      </c>
    </row>
    <row r="733" spans="2:12" ht="17.25" thickBot="1" x14ac:dyDescent="0.35"/>
    <row r="734" spans="2:12" ht="17.25" thickBot="1" x14ac:dyDescent="0.35">
      <c r="F734" s="402" t="s">
        <v>16</v>
      </c>
      <c r="G734" s="403"/>
      <c r="H734" s="403"/>
      <c r="I734" s="404"/>
      <c r="K734" s="224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413" t="s">
        <v>18</v>
      </c>
      <c r="D736" s="413"/>
      <c r="E736" s="413"/>
      <c r="F736" s="413"/>
      <c r="G736" s="414"/>
    </row>
    <row r="737" spans="2:16" x14ac:dyDescent="0.3">
      <c r="B737" s="112" t="s">
        <v>6</v>
      </c>
      <c r="C737" s="415" t="s">
        <v>1</v>
      </c>
      <c r="D737" s="416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411"/>
      <c r="D738" s="412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411"/>
      <c r="D739" s="412"/>
      <c r="E739" s="125"/>
      <c r="F739" s="72"/>
      <c r="G739" s="74"/>
      <c r="I739" s="84">
        <v>0</v>
      </c>
      <c r="K739" s="84">
        <f>+F739*I739</f>
        <v>0</v>
      </c>
      <c r="L739" s="116">
        <f>E739*I739</f>
        <v>0</v>
      </c>
    </row>
    <row r="740" spans="2:16" x14ac:dyDescent="0.3">
      <c r="B740" s="74"/>
      <c r="C740" s="411"/>
      <c r="D740" s="412"/>
      <c r="E740" s="125"/>
      <c r="F740" s="72"/>
      <c r="G740" s="74"/>
      <c r="I740" s="84">
        <v>0</v>
      </c>
      <c r="K740" s="84">
        <f>+F740*I740</f>
        <v>0</v>
      </c>
      <c r="L740" s="116">
        <f>E740*I740</f>
        <v>0</v>
      </c>
    </row>
    <row r="741" spans="2:16" ht="17.25" thickBot="1" x14ac:dyDescent="0.35">
      <c r="L741" s="116"/>
    </row>
    <row r="742" spans="2:16" ht="17.25" thickBot="1" x14ac:dyDescent="0.35">
      <c r="F742" s="402" t="s">
        <v>19</v>
      </c>
      <c r="G742" s="403"/>
      <c r="H742" s="403"/>
      <c r="I742" s="404"/>
      <c r="K742" s="224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127"/>
      <c r="H743" s="128"/>
      <c r="I743" s="106"/>
      <c r="K743" s="225"/>
    </row>
    <row r="744" spans="2:16" ht="15" customHeight="1" thickBot="1" x14ac:dyDescent="0.35"/>
    <row r="745" spans="2:16" ht="17.25" thickBot="1" x14ac:dyDescent="0.35">
      <c r="F745" s="402" t="s">
        <v>20</v>
      </c>
      <c r="G745" s="403"/>
      <c r="H745" s="403"/>
      <c r="I745" s="404"/>
      <c r="K745" s="224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402" t="s">
        <v>21</v>
      </c>
      <c r="G747" s="403"/>
      <c r="H747" s="403"/>
      <c r="I747" s="404"/>
      <c r="K747" s="224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402" t="s">
        <v>22</v>
      </c>
      <c r="G749" s="403"/>
      <c r="H749" s="403"/>
      <c r="I749" s="404"/>
      <c r="K749" s="224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127"/>
      <c r="H750" s="128"/>
      <c r="I750" s="106"/>
      <c r="K750" s="226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127"/>
      <c r="H751" s="128"/>
      <c r="I751" s="106"/>
      <c r="K751" s="227"/>
      <c r="L751" s="129"/>
      <c r="M751" s="132"/>
      <c r="N751" s="133"/>
    </row>
    <row r="752" spans="2:16" ht="17.25" thickBot="1" x14ac:dyDescent="0.35">
      <c r="B752" s="405"/>
      <c r="C752" s="405"/>
      <c r="D752" s="405"/>
    </row>
    <row r="753" spans="1:16" x14ac:dyDescent="0.3">
      <c r="B753" s="406" t="s">
        <v>23</v>
      </c>
      <c r="C753" s="406"/>
      <c r="D753" s="406"/>
    </row>
    <row r="754" spans="1:16" x14ac:dyDescent="0.3">
      <c r="B754" s="155"/>
      <c r="C754" s="155"/>
      <c r="D754" s="155"/>
    </row>
    <row r="755" spans="1:16" x14ac:dyDescent="0.3">
      <c r="B755" s="155"/>
      <c r="C755" s="155"/>
      <c r="D755" s="155"/>
    </row>
    <row r="756" spans="1:16" x14ac:dyDescent="0.3">
      <c r="B756" s="155"/>
      <c r="C756" s="155"/>
      <c r="D756" s="155"/>
    </row>
    <row r="757" spans="1:16" x14ac:dyDescent="0.3">
      <c r="B757" s="103" t="s">
        <v>43</v>
      </c>
      <c r="C757" s="104"/>
      <c r="D757" s="422" t="s">
        <v>1</v>
      </c>
      <c r="E757" s="422"/>
      <c r="F757" s="422"/>
      <c r="G757" s="422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09">
        <f>CATALOGO!B33</f>
        <v>401.35</v>
      </c>
      <c r="C758" s="71"/>
      <c r="D758" s="423" t="str">
        <f>CATALOGO!C33</f>
        <v>COLUMNA (0.20m X 0.40m + 6 NO. 3 + ESL+ EST NO. 3 @ 0.20m)</v>
      </c>
      <c r="E758" s="423"/>
      <c r="F758" s="423"/>
      <c r="G758" s="423"/>
      <c r="H758" s="71"/>
      <c r="I758" s="209">
        <f>CATALOGO!D33</f>
        <v>15</v>
      </c>
      <c r="J758" s="107"/>
      <c r="K758" s="222" t="str">
        <f>CATALOGO!G33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413" t="s">
        <v>5</v>
      </c>
      <c r="D760" s="413"/>
      <c r="E760" s="413"/>
      <c r="F760" s="413"/>
      <c r="G760" s="414"/>
    </row>
    <row r="761" spans="1:16" x14ac:dyDescent="0.3">
      <c r="B761" s="109" t="s">
        <v>6</v>
      </c>
      <c r="C761" s="424" t="s">
        <v>1</v>
      </c>
      <c r="D761" s="425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3" t="s">
        <v>8</v>
      </c>
      <c r="L761" s="113" t="s">
        <v>193</v>
      </c>
    </row>
    <row r="762" spans="1:16" x14ac:dyDescent="0.3">
      <c r="B762" s="120">
        <v>1</v>
      </c>
      <c r="C762" s="407" t="s">
        <v>168</v>
      </c>
      <c r="D762" s="408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407" t="s">
        <v>312</v>
      </c>
      <c r="D763" s="408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428" t="s">
        <v>213</v>
      </c>
      <c r="D764" s="429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20">+F764*I764</f>
        <v>16</v>
      </c>
      <c r="L764" s="116">
        <f t="shared" ref="L764:L771" si="21">E764*I764</f>
        <v>240</v>
      </c>
    </row>
    <row r="765" spans="1:16" x14ac:dyDescent="0.3">
      <c r="B765" s="120">
        <v>4</v>
      </c>
      <c r="C765" s="430" t="s">
        <v>72</v>
      </c>
      <c r="D765" s="429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20"/>
        <v>5</v>
      </c>
      <c r="L765" s="116">
        <f t="shared" si="21"/>
        <v>75</v>
      </c>
    </row>
    <row r="766" spans="1:16" x14ac:dyDescent="0.3">
      <c r="B766" s="120">
        <v>5</v>
      </c>
      <c r="C766" s="430" t="s">
        <v>229</v>
      </c>
      <c r="D766" s="429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20"/>
        <v>5</v>
      </c>
      <c r="L766" s="116">
        <f t="shared" si="21"/>
        <v>75</v>
      </c>
    </row>
    <row r="767" spans="1:16" x14ac:dyDescent="0.3">
      <c r="B767" s="120">
        <v>6</v>
      </c>
      <c r="C767" s="433" t="s">
        <v>368</v>
      </c>
      <c r="D767" s="433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20"/>
        <v>1.6</v>
      </c>
      <c r="L767" s="116">
        <f t="shared" si="21"/>
        <v>24</v>
      </c>
    </row>
    <row r="768" spans="1:16" x14ac:dyDescent="0.3">
      <c r="B768" s="120">
        <v>7</v>
      </c>
      <c r="C768" s="433" t="s">
        <v>174</v>
      </c>
      <c r="D768" s="433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20"/>
        <v>0.4</v>
      </c>
      <c r="L768" s="116">
        <f t="shared" si="21"/>
        <v>6</v>
      </c>
    </row>
    <row r="769" spans="2:12" x14ac:dyDescent="0.3">
      <c r="B769" s="120">
        <v>8</v>
      </c>
      <c r="C769" s="433" t="s">
        <v>179</v>
      </c>
      <c r="D769" s="433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20"/>
        <v>108</v>
      </c>
      <c r="L769" s="116">
        <f t="shared" si="21"/>
        <v>1620</v>
      </c>
    </row>
    <row r="770" spans="2:12" x14ac:dyDescent="0.3">
      <c r="B770" s="120"/>
      <c r="C770" s="410"/>
      <c r="D770" s="410"/>
      <c r="E770" s="114"/>
      <c r="F770" s="72"/>
      <c r="G770" s="74"/>
      <c r="I770" s="115">
        <f>IF(C770=0,0,VLOOKUP(C770,Tabla1[],3,FALSE))</f>
        <v>0</v>
      </c>
      <c r="K770" s="84">
        <f t="shared" si="20"/>
        <v>0</v>
      </c>
      <c r="L770" s="116">
        <f t="shared" si="21"/>
        <v>0</v>
      </c>
    </row>
    <row r="771" spans="2:12" x14ac:dyDescent="0.3">
      <c r="B771" s="120"/>
      <c r="C771" s="410"/>
      <c r="D771" s="410"/>
      <c r="E771" s="114"/>
      <c r="F771" s="72"/>
      <c r="G771" s="74"/>
      <c r="I771" s="115">
        <f>IF(C771=0,0,VLOOKUP(C771,Tabla1[],3,FALSE))</f>
        <v>0</v>
      </c>
      <c r="K771" s="84">
        <f t="shared" si="20"/>
        <v>0</v>
      </c>
      <c r="L771" s="116">
        <f t="shared" si="21"/>
        <v>0</v>
      </c>
    </row>
    <row r="772" spans="2:12" ht="17.25" thickBot="1" x14ac:dyDescent="0.35"/>
    <row r="773" spans="2:12" ht="17.25" thickBot="1" x14ac:dyDescent="0.35">
      <c r="F773" s="402" t="s">
        <v>9</v>
      </c>
      <c r="G773" s="403"/>
      <c r="H773" s="403"/>
      <c r="I773" s="404"/>
      <c r="K773" s="224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413" t="s">
        <v>11</v>
      </c>
      <c r="D775" s="413"/>
      <c r="E775" s="413"/>
      <c r="F775" s="413"/>
      <c r="G775" s="414"/>
    </row>
    <row r="776" spans="2:12" x14ac:dyDescent="0.3">
      <c r="B776" s="112" t="s">
        <v>6</v>
      </c>
      <c r="C776" s="415" t="s">
        <v>1</v>
      </c>
      <c r="D776" s="416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409"/>
      <c r="D777" s="409"/>
      <c r="E777" s="114"/>
      <c r="F777" s="83"/>
      <c r="G777" s="74"/>
      <c r="I777" s="115">
        <f>IF(C777=0,0,VLOOKUP(C777,Tabla3[],3,FALSE))</f>
        <v>0</v>
      </c>
      <c r="K777" s="84">
        <f>+F777*I777</f>
        <v>0</v>
      </c>
      <c r="L777" s="116">
        <f>E777*I777</f>
        <v>0</v>
      </c>
    </row>
    <row r="778" spans="2:12" x14ac:dyDescent="0.3">
      <c r="B778" s="74"/>
      <c r="C778" s="202"/>
      <c r="D778" s="203"/>
      <c r="E778" s="119"/>
      <c r="F778" s="72"/>
      <c r="G778" s="74"/>
      <c r="I778" s="115">
        <f>IF(C778=0,0,VLOOKUP(C778,Tabla3[],3,FALSE))</f>
        <v>0</v>
      </c>
      <c r="K778" s="84">
        <f>+F778*I778</f>
        <v>0</v>
      </c>
      <c r="L778" s="116">
        <f>E778*I778</f>
        <v>0</v>
      </c>
    </row>
    <row r="779" spans="2:12" x14ac:dyDescent="0.3">
      <c r="B779" s="74"/>
      <c r="C779" s="202"/>
      <c r="D779" s="203"/>
      <c r="E779" s="119"/>
      <c r="F779" s="72"/>
      <c r="G779" s="74"/>
      <c r="I779" s="115">
        <f>IF(C779=0,0,VLOOKUP(C779,Tabla3[],3,FALSE))</f>
        <v>0</v>
      </c>
      <c r="K779" s="84">
        <f>+F779*I779</f>
        <v>0</v>
      </c>
      <c r="L779" s="116">
        <f>E779*I779</f>
        <v>0</v>
      </c>
    </row>
    <row r="780" spans="2:12" x14ac:dyDescent="0.3">
      <c r="B780" s="74"/>
      <c r="C780" s="411"/>
      <c r="D780" s="412"/>
      <c r="E780" s="119"/>
      <c r="F780" s="72"/>
      <c r="G780" s="74"/>
      <c r="I780" s="115">
        <f>IF(C780=0,0,VLOOKUP(C780,Tabla3[],3,FALSE))</f>
        <v>0</v>
      </c>
      <c r="K780" s="84">
        <f>+F780*I780</f>
        <v>0</v>
      </c>
      <c r="L780" s="116">
        <f>E780*I780</f>
        <v>0</v>
      </c>
    </row>
    <row r="781" spans="2:12" ht="17.25" thickBot="1" x14ac:dyDescent="0.35"/>
    <row r="782" spans="2:12" ht="17.25" thickBot="1" x14ac:dyDescent="0.35">
      <c r="F782" s="402" t="s">
        <v>12</v>
      </c>
      <c r="G782" s="403"/>
      <c r="H782" s="403"/>
      <c r="I782" s="404"/>
      <c r="K782" s="224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413" t="s">
        <v>14</v>
      </c>
      <c r="D784" s="413"/>
      <c r="E784" s="413"/>
      <c r="F784" s="413"/>
      <c r="G784" s="414"/>
    </row>
    <row r="785" spans="2:12" x14ac:dyDescent="0.3">
      <c r="B785" s="112" t="s">
        <v>6</v>
      </c>
      <c r="C785" s="415" t="s">
        <v>1</v>
      </c>
      <c r="D785" s="416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409" t="s">
        <v>420</v>
      </c>
      <c r="D786" s="409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409"/>
      <c r="D787" s="409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417"/>
      <c r="D788" s="418"/>
      <c r="E788" s="122"/>
      <c r="F788" s="123"/>
      <c r="G788" s="74"/>
      <c r="I788" s="115">
        <f>IF(C788=0,0,VLOOKUP(C788,Tabla2[],3,FALSE))</f>
        <v>0</v>
      </c>
      <c r="K788" s="84">
        <f>+F788*I788</f>
        <v>0</v>
      </c>
      <c r="L788" s="116">
        <f>E788*I788</f>
        <v>0</v>
      </c>
    </row>
    <row r="789" spans="2:12" ht="17.25" thickBot="1" x14ac:dyDescent="0.35">
      <c r="B789" s="419" t="s">
        <v>15</v>
      </c>
      <c r="C789" s="420"/>
      <c r="D789" s="420"/>
      <c r="E789" s="420"/>
      <c r="F789" s="420"/>
      <c r="G789" s="421"/>
      <c r="I789" s="84">
        <v>0</v>
      </c>
      <c r="K789" s="84">
        <v>0</v>
      </c>
      <c r="L789" s="116">
        <f>E789*I789</f>
        <v>0</v>
      </c>
    </row>
    <row r="790" spans="2:12" ht="17.25" thickBot="1" x14ac:dyDescent="0.35"/>
    <row r="791" spans="2:12" ht="17.25" thickBot="1" x14ac:dyDescent="0.35">
      <c r="F791" s="402" t="s">
        <v>16</v>
      </c>
      <c r="G791" s="403"/>
      <c r="H791" s="403"/>
      <c r="I791" s="404"/>
      <c r="K791" s="224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413" t="s">
        <v>18</v>
      </c>
      <c r="D793" s="413"/>
      <c r="E793" s="413"/>
      <c r="F793" s="413"/>
      <c r="G793" s="414"/>
    </row>
    <row r="794" spans="2:12" x14ac:dyDescent="0.3">
      <c r="B794" s="112" t="s">
        <v>6</v>
      </c>
      <c r="C794" s="415" t="s">
        <v>1</v>
      </c>
      <c r="D794" s="416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411"/>
      <c r="D795" s="412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411"/>
      <c r="D796" s="412"/>
      <c r="E796" s="125"/>
      <c r="F796" s="72"/>
      <c r="G796" s="74"/>
      <c r="I796" s="84">
        <v>0</v>
      </c>
      <c r="K796" s="84">
        <f>+F796*I796</f>
        <v>0</v>
      </c>
      <c r="L796" s="116">
        <f>E796*I796</f>
        <v>0</v>
      </c>
    </row>
    <row r="797" spans="2:12" x14ac:dyDescent="0.3">
      <c r="B797" s="74"/>
      <c r="C797" s="411"/>
      <c r="D797" s="412"/>
      <c r="E797" s="125"/>
      <c r="F797" s="72"/>
      <c r="G797" s="74"/>
      <c r="I797" s="84">
        <v>0</v>
      </c>
      <c r="K797" s="84">
        <f>+F797*I797</f>
        <v>0</v>
      </c>
      <c r="L797" s="116">
        <f>E797*I797</f>
        <v>0</v>
      </c>
    </row>
    <row r="798" spans="2:12" ht="17.25" thickBot="1" x14ac:dyDescent="0.35">
      <c r="L798" s="116"/>
    </row>
    <row r="799" spans="2:12" ht="17.25" thickBot="1" x14ac:dyDescent="0.35">
      <c r="F799" s="402" t="s">
        <v>19</v>
      </c>
      <c r="G799" s="403"/>
      <c r="H799" s="403"/>
      <c r="I799" s="404"/>
      <c r="K799" s="224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127"/>
      <c r="H800" s="128"/>
      <c r="I800" s="106"/>
      <c r="K800" s="225"/>
    </row>
    <row r="801" spans="1:16" ht="15" customHeight="1" thickBot="1" x14ac:dyDescent="0.35"/>
    <row r="802" spans="1:16" ht="17.25" thickBot="1" x14ac:dyDescent="0.35">
      <c r="F802" s="402" t="s">
        <v>20</v>
      </c>
      <c r="G802" s="403"/>
      <c r="H802" s="403"/>
      <c r="I802" s="404"/>
      <c r="K802" s="224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402" t="s">
        <v>21</v>
      </c>
      <c r="G804" s="403"/>
      <c r="H804" s="403"/>
      <c r="I804" s="404"/>
      <c r="K804" s="224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402" t="s">
        <v>22</v>
      </c>
      <c r="G806" s="403"/>
      <c r="H806" s="403"/>
      <c r="I806" s="404"/>
      <c r="K806" s="224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127"/>
      <c r="H807" s="128"/>
      <c r="I807" s="106"/>
      <c r="K807" s="226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127"/>
      <c r="H808" s="128"/>
      <c r="I808" s="106"/>
      <c r="K808" s="227"/>
      <c r="L808" s="129"/>
      <c r="M808" s="132"/>
      <c r="N808" s="133"/>
    </row>
    <row r="809" spans="1:16" ht="17.25" thickBot="1" x14ac:dyDescent="0.35">
      <c r="B809" s="405"/>
      <c r="C809" s="405"/>
      <c r="D809" s="405"/>
    </row>
    <row r="810" spans="1:16" x14ac:dyDescent="0.3">
      <c r="B810" s="406" t="s">
        <v>23</v>
      </c>
      <c r="C810" s="406"/>
      <c r="D810" s="406"/>
    </row>
    <row r="811" spans="1:16" x14ac:dyDescent="0.3">
      <c r="B811" s="155"/>
      <c r="C811" s="155"/>
      <c r="D811" s="155"/>
    </row>
    <row r="812" spans="1:16" x14ac:dyDescent="0.3">
      <c r="B812" s="155"/>
      <c r="C812" s="155"/>
      <c r="D812" s="155"/>
    </row>
    <row r="813" spans="1:16" x14ac:dyDescent="0.3">
      <c r="B813" s="103" t="s">
        <v>43</v>
      </c>
      <c r="C813" s="104"/>
      <c r="D813" s="422" t="s">
        <v>1</v>
      </c>
      <c r="E813" s="422"/>
      <c r="F813" s="422"/>
      <c r="G813" s="422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09">
        <f>CATALOGO!B35</f>
        <v>401.36</v>
      </c>
      <c r="C814" s="71"/>
      <c r="D814" s="423" t="str">
        <f>CATALOGO!C35</f>
        <v>COLUMNA (0.20m X 0.20m + 4 NO. 3 + EST NO. 3 @ 0.20m)</v>
      </c>
      <c r="E814" s="423"/>
      <c r="F814" s="423"/>
      <c r="G814" s="423"/>
      <c r="H814" s="71"/>
      <c r="I814" s="209">
        <f>CATALOGO!D35</f>
        <v>15</v>
      </c>
      <c r="J814" s="107"/>
      <c r="K814" s="222" t="str">
        <f>CATALOGO!G35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413" t="s">
        <v>5</v>
      </c>
      <c r="D816" s="413"/>
      <c r="E816" s="413"/>
      <c r="F816" s="413"/>
      <c r="G816" s="414"/>
    </row>
    <row r="817" spans="2:12" x14ac:dyDescent="0.3">
      <c r="B817" s="109" t="s">
        <v>6</v>
      </c>
      <c r="C817" s="424" t="s">
        <v>1</v>
      </c>
      <c r="D817" s="425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3" t="s">
        <v>8</v>
      </c>
      <c r="L817" s="113" t="s">
        <v>193</v>
      </c>
    </row>
    <row r="818" spans="2:12" x14ac:dyDescent="0.3">
      <c r="B818" s="120">
        <v>1</v>
      </c>
      <c r="C818" s="407" t="s">
        <v>168</v>
      </c>
      <c r="D818" s="408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407" t="s">
        <v>312</v>
      </c>
      <c r="D819" s="408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428" t="s">
        <v>213</v>
      </c>
      <c r="D820" s="429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22">+F820*I820</f>
        <v>16</v>
      </c>
      <c r="L820" s="116">
        <f t="shared" ref="L820:L827" si="23">E820*I820</f>
        <v>240</v>
      </c>
    </row>
    <row r="821" spans="2:12" x14ac:dyDescent="0.3">
      <c r="B821" s="120">
        <v>4</v>
      </c>
      <c r="C821" s="430" t="s">
        <v>72</v>
      </c>
      <c r="D821" s="429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22"/>
        <v>2.5</v>
      </c>
      <c r="L821" s="116">
        <f t="shared" si="23"/>
        <v>37.5</v>
      </c>
    </row>
    <row r="822" spans="2:12" x14ac:dyDescent="0.3">
      <c r="B822" s="120">
        <v>5</v>
      </c>
      <c r="C822" s="430" t="s">
        <v>229</v>
      </c>
      <c r="D822" s="429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22"/>
        <v>2.5</v>
      </c>
      <c r="L822" s="116">
        <f t="shared" si="23"/>
        <v>37.5</v>
      </c>
    </row>
    <row r="823" spans="2:12" x14ac:dyDescent="0.3">
      <c r="B823" s="120">
        <v>6</v>
      </c>
      <c r="C823" s="433" t="s">
        <v>368</v>
      </c>
      <c r="D823" s="433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22"/>
        <v>0.8</v>
      </c>
      <c r="L823" s="116">
        <f t="shared" si="23"/>
        <v>12</v>
      </c>
    </row>
    <row r="824" spans="2:12" x14ac:dyDescent="0.3">
      <c r="B824" s="120">
        <v>7</v>
      </c>
      <c r="C824" s="433" t="s">
        <v>174</v>
      </c>
      <c r="D824" s="433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22"/>
        <v>0.2</v>
      </c>
      <c r="L824" s="116">
        <f t="shared" si="23"/>
        <v>3</v>
      </c>
    </row>
    <row r="825" spans="2:12" x14ac:dyDescent="0.3">
      <c r="B825" s="120">
        <v>8</v>
      </c>
      <c r="C825" s="433" t="s">
        <v>179</v>
      </c>
      <c r="D825" s="433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22"/>
        <v>45</v>
      </c>
      <c r="L825" s="116">
        <f t="shared" si="23"/>
        <v>675</v>
      </c>
    </row>
    <row r="826" spans="2:12" x14ac:dyDescent="0.3">
      <c r="B826" s="120"/>
      <c r="C826" s="410"/>
      <c r="D826" s="410"/>
      <c r="E826" s="114"/>
      <c r="F826" s="72"/>
      <c r="G826" s="74"/>
      <c r="I826" s="115">
        <f>IF(C826=0,0,VLOOKUP(C826,Tabla1[],3,FALSE))</f>
        <v>0</v>
      </c>
      <c r="K826" s="84">
        <f t="shared" si="22"/>
        <v>0</v>
      </c>
      <c r="L826" s="116">
        <f t="shared" si="23"/>
        <v>0</v>
      </c>
    </row>
    <row r="827" spans="2:12" x14ac:dyDescent="0.3">
      <c r="B827" s="120"/>
      <c r="C827" s="410"/>
      <c r="D827" s="410"/>
      <c r="E827" s="114"/>
      <c r="F827" s="72"/>
      <c r="G827" s="74"/>
      <c r="I827" s="115">
        <f>IF(C827=0,0,VLOOKUP(C827,Tabla1[],3,FALSE))</f>
        <v>0</v>
      </c>
      <c r="K827" s="84">
        <f t="shared" si="22"/>
        <v>0</v>
      </c>
      <c r="L827" s="116">
        <f t="shared" si="23"/>
        <v>0</v>
      </c>
    </row>
    <row r="828" spans="2:12" ht="17.25" thickBot="1" x14ac:dyDescent="0.35"/>
    <row r="829" spans="2:12" ht="17.25" thickBot="1" x14ac:dyDescent="0.35">
      <c r="F829" s="402" t="s">
        <v>9</v>
      </c>
      <c r="G829" s="403"/>
      <c r="H829" s="403"/>
      <c r="I829" s="404"/>
      <c r="K829" s="224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413" t="s">
        <v>11</v>
      </c>
      <c r="D831" s="413"/>
      <c r="E831" s="413"/>
      <c r="F831" s="413"/>
      <c r="G831" s="414"/>
    </row>
    <row r="832" spans="2:12" x14ac:dyDescent="0.3">
      <c r="B832" s="112" t="s">
        <v>6</v>
      </c>
      <c r="C832" s="415" t="s">
        <v>1</v>
      </c>
      <c r="D832" s="416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409"/>
      <c r="D833" s="409"/>
      <c r="E833" s="114"/>
      <c r="F833" s="83"/>
      <c r="G833" s="74"/>
      <c r="I833" s="115">
        <f>IF(C833=0,0,VLOOKUP(C833,Tabla3[],3,FALSE))</f>
        <v>0</v>
      </c>
      <c r="K833" s="84">
        <f>+F833*I833</f>
        <v>0</v>
      </c>
      <c r="L833" s="116">
        <f>E833*I833</f>
        <v>0</v>
      </c>
    </row>
    <row r="834" spans="2:12" x14ac:dyDescent="0.3">
      <c r="B834" s="74"/>
      <c r="C834" s="202"/>
      <c r="D834" s="203"/>
      <c r="E834" s="119"/>
      <c r="F834" s="72"/>
      <c r="G834" s="74"/>
      <c r="I834" s="115">
        <f>IF(C834=0,0,VLOOKUP(C834,Tabla3[],3,FALSE))</f>
        <v>0</v>
      </c>
      <c r="K834" s="84">
        <f>+F834*I834</f>
        <v>0</v>
      </c>
      <c r="L834" s="116">
        <f>E834*I834</f>
        <v>0</v>
      </c>
    </row>
    <row r="835" spans="2:12" x14ac:dyDescent="0.3">
      <c r="B835" s="74"/>
      <c r="C835" s="202"/>
      <c r="D835" s="203"/>
      <c r="E835" s="119"/>
      <c r="F835" s="72"/>
      <c r="G835" s="74"/>
      <c r="I835" s="115">
        <f>IF(C835=0,0,VLOOKUP(C835,Tabla3[],3,FALSE))</f>
        <v>0</v>
      </c>
      <c r="K835" s="84">
        <f>+F835*I835</f>
        <v>0</v>
      </c>
      <c r="L835" s="116">
        <f>E835*I835</f>
        <v>0</v>
      </c>
    </row>
    <row r="836" spans="2:12" x14ac:dyDescent="0.3">
      <c r="B836" s="74"/>
      <c r="C836" s="411"/>
      <c r="D836" s="412"/>
      <c r="E836" s="119"/>
      <c r="F836" s="72"/>
      <c r="G836" s="74"/>
      <c r="I836" s="115">
        <f>IF(C836=0,0,VLOOKUP(C836,Tabla3[],3,FALSE))</f>
        <v>0</v>
      </c>
      <c r="K836" s="84">
        <f>+F836*I836</f>
        <v>0</v>
      </c>
      <c r="L836" s="116">
        <f>E836*I836</f>
        <v>0</v>
      </c>
    </row>
    <row r="837" spans="2:12" ht="17.25" thickBot="1" x14ac:dyDescent="0.35"/>
    <row r="838" spans="2:12" ht="17.25" thickBot="1" x14ac:dyDescent="0.35">
      <c r="F838" s="402" t="s">
        <v>12</v>
      </c>
      <c r="G838" s="403"/>
      <c r="H838" s="403"/>
      <c r="I838" s="404"/>
      <c r="K838" s="224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413" t="s">
        <v>14</v>
      </c>
      <c r="D840" s="413"/>
      <c r="E840" s="413"/>
      <c r="F840" s="413"/>
      <c r="G840" s="414"/>
    </row>
    <row r="841" spans="2:12" x14ac:dyDescent="0.3">
      <c r="B841" s="112" t="s">
        <v>6</v>
      </c>
      <c r="C841" s="415" t="s">
        <v>1</v>
      </c>
      <c r="D841" s="416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409" t="s">
        <v>420</v>
      </c>
      <c r="D842" s="409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409"/>
      <c r="D843" s="409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417"/>
      <c r="D844" s="418"/>
      <c r="E844" s="122"/>
      <c r="F844" s="123"/>
      <c r="G844" s="74"/>
      <c r="I844" s="115">
        <f>IF(C844=0,0,VLOOKUP(C844,Tabla2[],3,FALSE))</f>
        <v>0</v>
      </c>
      <c r="K844" s="84">
        <f>+F844*I844</f>
        <v>0</v>
      </c>
      <c r="L844" s="116">
        <f>E844*I844</f>
        <v>0</v>
      </c>
    </row>
    <row r="845" spans="2:12" ht="17.25" thickBot="1" x14ac:dyDescent="0.35">
      <c r="B845" s="419" t="s">
        <v>15</v>
      </c>
      <c r="C845" s="420"/>
      <c r="D845" s="420"/>
      <c r="E845" s="420"/>
      <c r="F845" s="420"/>
      <c r="G845" s="421"/>
      <c r="I845" s="84">
        <v>0</v>
      </c>
      <c r="K845" s="84">
        <v>0</v>
      </c>
      <c r="L845" s="116">
        <f>E845*I845</f>
        <v>0</v>
      </c>
    </row>
    <row r="846" spans="2:12" ht="17.25" thickBot="1" x14ac:dyDescent="0.35"/>
    <row r="847" spans="2:12" ht="17.25" thickBot="1" x14ac:dyDescent="0.35">
      <c r="F847" s="402" t="s">
        <v>16</v>
      </c>
      <c r="G847" s="403"/>
      <c r="H847" s="403"/>
      <c r="I847" s="404"/>
      <c r="K847" s="224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413" t="s">
        <v>18</v>
      </c>
      <c r="D849" s="413"/>
      <c r="E849" s="413"/>
      <c r="F849" s="413"/>
      <c r="G849" s="414"/>
    </row>
    <row r="850" spans="2:16" x14ac:dyDescent="0.3">
      <c r="B850" s="112" t="s">
        <v>6</v>
      </c>
      <c r="C850" s="415" t="s">
        <v>1</v>
      </c>
      <c r="D850" s="416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411"/>
      <c r="D851" s="412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411"/>
      <c r="D852" s="412"/>
      <c r="E852" s="125"/>
      <c r="F852" s="72"/>
      <c r="G852" s="74"/>
      <c r="I852" s="84">
        <v>0</v>
      </c>
      <c r="K852" s="84">
        <f>+F852*I852</f>
        <v>0</v>
      </c>
      <c r="L852" s="116">
        <f>E852*I852</f>
        <v>0</v>
      </c>
    </row>
    <row r="853" spans="2:16" x14ac:dyDescent="0.3">
      <c r="B853" s="74"/>
      <c r="C853" s="411"/>
      <c r="D853" s="412"/>
      <c r="E853" s="125"/>
      <c r="F853" s="72"/>
      <c r="G853" s="74"/>
      <c r="I853" s="84">
        <v>0</v>
      </c>
      <c r="K853" s="84">
        <f>+F853*I853</f>
        <v>0</v>
      </c>
      <c r="L853" s="116">
        <f>E853*I853</f>
        <v>0</v>
      </c>
    </row>
    <row r="854" spans="2:16" ht="17.25" thickBot="1" x14ac:dyDescent="0.35">
      <c r="L854" s="116"/>
    </row>
    <row r="855" spans="2:16" ht="17.25" thickBot="1" x14ac:dyDescent="0.35">
      <c r="F855" s="402" t="s">
        <v>19</v>
      </c>
      <c r="G855" s="403"/>
      <c r="H855" s="403"/>
      <c r="I855" s="404"/>
      <c r="K855" s="224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127"/>
      <c r="H856" s="128"/>
      <c r="I856" s="106"/>
      <c r="K856" s="225"/>
    </row>
    <row r="857" spans="2:16" ht="15" customHeight="1" thickBot="1" x14ac:dyDescent="0.35"/>
    <row r="858" spans="2:16" ht="17.25" thickBot="1" x14ac:dyDescent="0.35">
      <c r="F858" s="402" t="s">
        <v>20</v>
      </c>
      <c r="G858" s="403"/>
      <c r="H858" s="403"/>
      <c r="I858" s="404"/>
      <c r="K858" s="224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402" t="s">
        <v>21</v>
      </c>
      <c r="G860" s="403"/>
      <c r="H860" s="403"/>
      <c r="I860" s="404"/>
      <c r="K860" s="224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402" t="s">
        <v>22</v>
      </c>
      <c r="G862" s="403"/>
      <c r="H862" s="403"/>
      <c r="I862" s="404"/>
      <c r="K862" s="224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127"/>
      <c r="H863" s="128"/>
      <c r="I863" s="106"/>
      <c r="K863" s="226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127"/>
      <c r="H864" s="128"/>
      <c r="I864" s="106"/>
      <c r="K864" s="227"/>
      <c r="L864" s="129"/>
      <c r="M864" s="132"/>
      <c r="N864" s="133"/>
    </row>
    <row r="865" spans="1:16" ht="17.25" thickBot="1" x14ac:dyDescent="0.35">
      <c r="B865" s="405"/>
      <c r="C865" s="405"/>
      <c r="D865" s="405"/>
    </row>
    <row r="866" spans="1:16" x14ac:dyDescent="0.3">
      <c r="B866" s="406" t="s">
        <v>23</v>
      </c>
      <c r="C866" s="406"/>
      <c r="D866" s="406"/>
    </row>
    <row r="867" spans="1:16" x14ac:dyDescent="0.3">
      <c r="B867" s="155"/>
      <c r="C867" s="155"/>
      <c r="D867" s="155"/>
    </row>
    <row r="868" spans="1:16" x14ac:dyDescent="0.3">
      <c r="B868" s="155"/>
      <c r="C868" s="155"/>
      <c r="D868" s="155"/>
    </row>
    <row r="869" spans="1:16" x14ac:dyDescent="0.3">
      <c r="B869" s="103" t="s">
        <v>43</v>
      </c>
      <c r="C869" s="104"/>
      <c r="D869" s="422" t="s">
        <v>1</v>
      </c>
      <c r="E869" s="422"/>
      <c r="F869" s="422"/>
      <c r="G869" s="422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09">
        <f>CATALOGO!B36</f>
        <v>401.39</v>
      </c>
      <c r="C870" s="71"/>
      <c r="D870" s="423" t="str">
        <f>CATALOGO!C36</f>
        <v>COLUMNA (0.20m X 0.40m + 6 NO. 4 + ESL+ EST NO. 3 @ 0.10m)</v>
      </c>
      <c r="E870" s="423"/>
      <c r="F870" s="423"/>
      <c r="G870" s="423"/>
      <c r="H870" s="71"/>
      <c r="I870" s="209">
        <f>CATALOGO!D36</f>
        <v>21</v>
      </c>
      <c r="J870" s="107"/>
      <c r="K870" s="222" t="str">
        <f>CATALOGO!G36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413" t="s">
        <v>5</v>
      </c>
      <c r="D872" s="413"/>
      <c r="E872" s="413"/>
      <c r="F872" s="413"/>
      <c r="G872" s="414"/>
    </row>
    <row r="873" spans="1:16" x14ac:dyDescent="0.3">
      <c r="B873" s="109" t="s">
        <v>6</v>
      </c>
      <c r="C873" s="424" t="s">
        <v>1</v>
      </c>
      <c r="D873" s="425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3" t="s">
        <v>8</v>
      </c>
      <c r="L873" s="113" t="s">
        <v>193</v>
      </c>
    </row>
    <row r="874" spans="1:16" x14ac:dyDescent="0.3">
      <c r="B874" s="120">
        <v>1</v>
      </c>
      <c r="C874" s="407" t="s">
        <v>168</v>
      </c>
      <c r="D874" s="408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407" t="s">
        <v>312</v>
      </c>
      <c r="D875" s="408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428" t="s">
        <v>213</v>
      </c>
      <c r="D876" s="429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24">+F876*I876</f>
        <v>80</v>
      </c>
      <c r="L876" s="116">
        <f t="shared" ref="L876:L883" si="25">E876*I876</f>
        <v>1680</v>
      </c>
    </row>
    <row r="877" spans="1:16" x14ac:dyDescent="0.3">
      <c r="B877" s="120">
        <v>4</v>
      </c>
      <c r="C877" s="430" t="s">
        <v>72</v>
      </c>
      <c r="D877" s="429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24"/>
        <v>5</v>
      </c>
      <c r="L877" s="116">
        <f t="shared" si="25"/>
        <v>105</v>
      </c>
    </row>
    <row r="878" spans="1:16" x14ac:dyDescent="0.3">
      <c r="B878" s="120">
        <v>5</v>
      </c>
      <c r="C878" s="430" t="s">
        <v>229</v>
      </c>
      <c r="D878" s="429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24"/>
        <v>5</v>
      </c>
      <c r="L878" s="116">
        <f t="shared" si="25"/>
        <v>105</v>
      </c>
    </row>
    <row r="879" spans="1:16" x14ac:dyDescent="0.3">
      <c r="B879" s="120">
        <v>6</v>
      </c>
      <c r="C879" s="433" t="s">
        <v>368</v>
      </c>
      <c r="D879" s="433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24"/>
        <v>1.6</v>
      </c>
      <c r="L879" s="116">
        <f t="shared" si="25"/>
        <v>33.6</v>
      </c>
    </row>
    <row r="880" spans="1:16" x14ac:dyDescent="0.3">
      <c r="B880" s="120">
        <v>7</v>
      </c>
      <c r="C880" s="433" t="s">
        <v>174</v>
      </c>
      <c r="D880" s="433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24"/>
        <v>0.4</v>
      </c>
      <c r="L880" s="116">
        <f t="shared" si="25"/>
        <v>8.4</v>
      </c>
    </row>
    <row r="881" spans="2:12" x14ac:dyDescent="0.3">
      <c r="B881" s="120">
        <v>8</v>
      </c>
      <c r="C881" s="433" t="s">
        <v>179</v>
      </c>
      <c r="D881" s="433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24"/>
        <v>126</v>
      </c>
      <c r="L881" s="116">
        <f t="shared" si="25"/>
        <v>2646</v>
      </c>
    </row>
    <row r="882" spans="2:12" x14ac:dyDescent="0.3">
      <c r="B882" s="120"/>
      <c r="C882" s="410"/>
      <c r="D882" s="410"/>
      <c r="E882" s="114"/>
      <c r="F882" s="72"/>
      <c r="G882" s="74"/>
      <c r="I882" s="115">
        <f>IF(C882=0,0,VLOOKUP(C882,Tabla1[],3,FALSE))</f>
        <v>0</v>
      </c>
      <c r="K882" s="84">
        <f t="shared" si="24"/>
        <v>0</v>
      </c>
      <c r="L882" s="116">
        <f t="shared" si="25"/>
        <v>0</v>
      </c>
    </row>
    <row r="883" spans="2:12" x14ac:dyDescent="0.3">
      <c r="B883" s="120"/>
      <c r="C883" s="410"/>
      <c r="D883" s="410"/>
      <c r="E883" s="114"/>
      <c r="F883" s="72"/>
      <c r="G883" s="74"/>
      <c r="I883" s="115">
        <f>IF(C883=0,0,VLOOKUP(C883,Tabla1[],3,FALSE))</f>
        <v>0</v>
      </c>
      <c r="K883" s="84">
        <f t="shared" si="24"/>
        <v>0</v>
      </c>
      <c r="L883" s="116">
        <f t="shared" si="25"/>
        <v>0</v>
      </c>
    </row>
    <row r="884" spans="2:12" ht="17.25" thickBot="1" x14ac:dyDescent="0.35"/>
    <row r="885" spans="2:12" ht="17.25" thickBot="1" x14ac:dyDescent="0.35">
      <c r="F885" s="402" t="s">
        <v>9</v>
      </c>
      <c r="G885" s="403"/>
      <c r="H885" s="403"/>
      <c r="I885" s="404"/>
      <c r="K885" s="224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413" t="s">
        <v>11</v>
      </c>
      <c r="D887" s="413"/>
      <c r="E887" s="413"/>
      <c r="F887" s="413"/>
      <c r="G887" s="414"/>
    </row>
    <row r="888" spans="2:12" x14ac:dyDescent="0.3">
      <c r="B888" s="112" t="s">
        <v>6</v>
      </c>
      <c r="C888" s="415" t="s">
        <v>1</v>
      </c>
      <c r="D888" s="416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409"/>
      <c r="D889" s="409"/>
      <c r="E889" s="114"/>
      <c r="F889" s="83"/>
      <c r="G889" s="74"/>
      <c r="I889" s="115">
        <f>IF(C889=0,0,VLOOKUP(C889,Tabla3[],3,FALSE))</f>
        <v>0</v>
      </c>
      <c r="K889" s="84">
        <f>+F889*I889</f>
        <v>0</v>
      </c>
      <c r="L889" s="116">
        <f>E889*I889</f>
        <v>0</v>
      </c>
    </row>
    <row r="890" spans="2:12" x14ac:dyDescent="0.3">
      <c r="B890" s="74"/>
      <c r="C890" s="202"/>
      <c r="D890" s="203"/>
      <c r="E890" s="119"/>
      <c r="F890" s="72"/>
      <c r="G890" s="74"/>
      <c r="I890" s="115">
        <f>IF(C890=0,0,VLOOKUP(C890,Tabla3[],3,FALSE))</f>
        <v>0</v>
      </c>
      <c r="K890" s="84">
        <f>+F890*I890</f>
        <v>0</v>
      </c>
      <c r="L890" s="116">
        <f>E890*I890</f>
        <v>0</v>
      </c>
    </row>
    <row r="891" spans="2:12" x14ac:dyDescent="0.3">
      <c r="B891" s="74"/>
      <c r="C891" s="202"/>
      <c r="D891" s="203"/>
      <c r="E891" s="119"/>
      <c r="F891" s="72"/>
      <c r="G891" s="74"/>
      <c r="I891" s="115">
        <f>IF(C891=0,0,VLOOKUP(C891,Tabla3[],3,FALSE))</f>
        <v>0</v>
      </c>
      <c r="K891" s="84">
        <f>+F891*I891</f>
        <v>0</v>
      </c>
      <c r="L891" s="116">
        <f>E891*I891</f>
        <v>0</v>
      </c>
    </row>
    <row r="892" spans="2:12" x14ac:dyDescent="0.3">
      <c r="B892" s="74"/>
      <c r="C892" s="411"/>
      <c r="D892" s="412"/>
      <c r="E892" s="119"/>
      <c r="F892" s="72"/>
      <c r="G892" s="74"/>
      <c r="I892" s="115">
        <f>IF(C892=0,0,VLOOKUP(C892,Tabla3[],3,FALSE))</f>
        <v>0</v>
      </c>
      <c r="K892" s="84">
        <f>+F892*I892</f>
        <v>0</v>
      </c>
      <c r="L892" s="116">
        <f>E892*I892</f>
        <v>0</v>
      </c>
    </row>
    <row r="893" spans="2:12" ht="17.25" thickBot="1" x14ac:dyDescent="0.35"/>
    <row r="894" spans="2:12" ht="17.25" thickBot="1" x14ac:dyDescent="0.35">
      <c r="F894" s="402" t="s">
        <v>12</v>
      </c>
      <c r="G894" s="403"/>
      <c r="H894" s="403"/>
      <c r="I894" s="404"/>
      <c r="K894" s="224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413" t="s">
        <v>14</v>
      </c>
      <c r="D896" s="413"/>
      <c r="E896" s="413"/>
      <c r="F896" s="413"/>
      <c r="G896" s="414"/>
    </row>
    <row r="897" spans="2:12" x14ac:dyDescent="0.3">
      <c r="B897" s="112" t="s">
        <v>6</v>
      </c>
      <c r="C897" s="415" t="s">
        <v>1</v>
      </c>
      <c r="D897" s="416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409" t="s">
        <v>420</v>
      </c>
      <c r="D898" s="409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409"/>
      <c r="D899" s="409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417"/>
      <c r="D900" s="418"/>
      <c r="E900" s="122"/>
      <c r="F900" s="123"/>
      <c r="G900" s="74"/>
      <c r="I900" s="115">
        <f>IF(C900=0,0,VLOOKUP(C900,Tabla2[],3,FALSE))</f>
        <v>0</v>
      </c>
      <c r="K900" s="84">
        <f>+F900*I900</f>
        <v>0</v>
      </c>
      <c r="L900" s="116">
        <f>E900*I900</f>
        <v>0</v>
      </c>
    </row>
    <row r="901" spans="2:12" ht="17.25" thickBot="1" x14ac:dyDescent="0.35">
      <c r="B901" s="419" t="s">
        <v>15</v>
      </c>
      <c r="C901" s="420"/>
      <c r="D901" s="420"/>
      <c r="E901" s="420"/>
      <c r="F901" s="420"/>
      <c r="G901" s="421"/>
      <c r="I901" s="84">
        <v>0</v>
      </c>
      <c r="K901" s="84">
        <v>0</v>
      </c>
      <c r="L901" s="116">
        <f>E901*I901</f>
        <v>0</v>
      </c>
    </row>
    <row r="902" spans="2:12" ht="17.25" thickBot="1" x14ac:dyDescent="0.35"/>
    <row r="903" spans="2:12" ht="17.25" thickBot="1" x14ac:dyDescent="0.35">
      <c r="F903" s="402" t="s">
        <v>16</v>
      </c>
      <c r="G903" s="403"/>
      <c r="H903" s="403"/>
      <c r="I903" s="404"/>
      <c r="K903" s="224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413" t="s">
        <v>18</v>
      </c>
      <c r="D905" s="413"/>
      <c r="E905" s="413"/>
      <c r="F905" s="413"/>
      <c r="G905" s="414"/>
    </row>
    <row r="906" spans="2:12" x14ac:dyDescent="0.3">
      <c r="B906" s="112" t="s">
        <v>6</v>
      </c>
      <c r="C906" s="415" t="s">
        <v>1</v>
      </c>
      <c r="D906" s="416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411"/>
      <c r="D907" s="412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411"/>
      <c r="D908" s="412"/>
      <c r="E908" s="125"/>
      <c r="F908" s="72"/>
      <c r="G908" s="74"/>
      <c r="I908" s="84">
        <v>0</v>
      </c>
      <c r="K908" s="84">
        <f>+F908*I908</f>
        <v>0</v>
      </c>
      <c r="L908" s="116">
        <f>E908*I908</f>
        <v>0</v>
      </c>
    </row>
    <row r="909" spans="2:12" x14ac:dyDescent="0.3">
      <c r="B909" s="74"/>
      <c r="C909" s="411"/>
      <c r="D909" s="412"/>
      <c r="E909" s="125"/>
      <c r="F909" s="72"/>
      <c r="G909" s="74"/>
      <c r="I909" s="84">
        <v>0</v>
      </c>
      <c r="K909" s="84">
        <f>+F909*I909</f>
        <v>0</v>
      </c>
      <c r="L909" s="116">
        <f>E909*I909</f>
        <v>0</v>
      </c>
    </row>
    <row r="910" spans="2:12" ht="17.25" thickBot="1" x14ac:dyDescent="0.35">
      <c r="L910" s="116"/>
    </row>
    <row r="911" spans="2:12" ht="17.25" thickBot="1" x14ac:dyDescent="0.35">
      <c r="F911" s="402" t="s">
        <v>19</v>
      </c>
      <c r="G911" s="403"/>
      <c r="H911" s="403"/>
      <c r="I911" s="404"/>
      <c r="K911" s="224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127"/>
      <c r="H912" s="128"/>
      <c r="I912" s="106"/>
      <c r="K912" s="225"/>
    </row>
    <row r="913" spans="1:16" ht="15" customHeight="1" thickBot="1" x14ac:dyDescent="0.35"/>
    <row r="914" spans="1:16" ht="17.25" thickBot="1" x14ac:dyDescent="0.35">
      <c r="F914" s="402" t="s">
        <v>20</v>
      </c>
      <c r="G914" s="403"/>
      <c r="H914" s="403"/>
      <c r="I914" s="404"/>
      <c r="K914" s="224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402" t="s">
        <v>21</v>
      </c>
      <c r="G916" s="403"/>
      <c r="H916" s="403"/>
      <c r="I916" s="404"/>
      <c r="K916" s="224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402" t="s">
        <v>22</v>
      </c>
      <c r="G918" s="403"/>
      <c r="H918" s="403"/>
      <c r="I918" s="404"/>
      <c r="K918" s="224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127"/>
      <c r="H919" s="128"/>
      <c r="I919" s="106"/>
      <c r="K919" s="226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127"/>
      <c r="H920" s="128"/>
      <c r="I920" s="106"/>
      <c r="K920" s="227"/>
      <c r="L920" s="129"/>
      <c r="M920" s="132"/>
      <c r="N920" s="133"/>
    </row>
    <row r="921" spans="1:16" ht="17.25" thickBot="1" x14ac:dyDescent="0.35">
      <c r="B921" s="405"/>
      <c r="C921" s="405"/>
      <c r="D921" s="405"/>
    </row>
    <row r="922" spans="1:16" x14ac:dyDescent="0.3">
      <c r="B922" s="406" t="s">
        <v>23</v>
      </c>
      <c r="C922" s="406"/>
      <c r="D922" s="406"/>
    </row>
    <row r="923" spans="1:16" x14ac:dyDescent="0.3">
      <c r="B923" s="155"/>
      <c r="C923" s="155"/>
      <c r="D923" s="155"/>
    </row>
    <row r="924" spans="1:16" x14ac:dyDescent="0.3">
      <c r="B924" s="155"/>
      <c r="C924" s="155"/>
      <c r="D924" s="155"/>
    </row>
    <row r="925" spans="1:16" x14ac:dyDescent="0.3">
      <c r="B925" s="103" t="s">
        <v>43</v>
      </c>
      <c r="C925" s="104"/>
      <c r="D925" s="422" t="s">
        <v>1</v>
      </c>
      <c r="E925" s="422"/>
      <c r="F925" s="422"/>
      <c r="G925" s="422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09">
        <f>CATALOGO!B37</f>
        <v>404.01</v>
      </c>
      <c r="C926" s="71"/>
      <c r="D926" s="423" t="str">
        <f>CATALOGO!C37</f>
        <v>PEDESTAL (0.30m X 0.30m + 4 NO. 5 + EST NO.2 @ 0.15m)</v>
      </c>
      <c r="E926" s="423"/>
      <c r="F926" s="423"/>
      <c r="G926" s="423"/>
      <c r="H926" s="71"/>
      <c r="I926" s="209">
        <f>CATALOGO!D37</f>
        <v>1.8</v>
      </c>
      <c r="J926" s="107"/>
      <c r="K926" s="222" t="str">
        <f>CATALOGO!G37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413" t="s">
        <v>5</v>
      </c>
      <c r="D928" s="413"/>
      <c r="E928" s="413"/>
      <c r="F928" s="413"/>
      <c r="G928" s="414"/>
    </row>
    <row r="929" spans="2:12" x14ac:dyDescent="0.3">
      <c r="B929" s="109" t="s">
        <v>6</v>
      </c>
      <c r="C929" s="424" t="s">
        <v>1</v>
      </c>
      <c r="D929" s="425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3" t="s">
        <v>8</v>
      </c>
      <c r="L929" s="113" t="s">
        <v>193</v>
      </c>
    </row>
    <row r="930" spans="2:12" x14ac:dyDescent="0.3">
      <c r="B930" s="120">
        <v>1</v>
      </c>
      <c r="C930" s="407" t="s">
        <v>168</v>
      </c>
      <c r="D930" s="408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407" t="s">
        <v>312</v>
      </c>
      <c r="D931" s="408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428" t="s">
        <v>213</v>
      </c>
      <c r="D932" s="429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26">+F932*I932</f>
        <v>80</v>
      </c>
      <c r="L932" s="116">
        <f t="shared" ref="L932:L939" si="27">E932*I932</f>
        <v>144</v>
      </c>
    </row>
    <row r="933" spans="2:12" x14ac:dyDescent="0.3">
      <c r="B933" s="120">
        <v>4</v>
      </c>
      <c r="C933" s="430" t="s">
        <v>72</v>
      </c>
      <c r="D933" s="429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26"/>
        <v>5</v>
      </c>
      <c r="L933" s="116">
        <f t="shared" si="27"/>
        <v>9.0000000000000018</v>
      </c>
    </row>
    <row r="934" spans="2:12" x14ac:dyDescent="0.3">
      <c r="B934" s="120">
        <v>5</v>
      </c>
      <c r="C934" s="430" t="s">
        <v>229</v>
      </c>
      <c r="D934" s="429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26"/>
        <v>5</v>
      </c>
      <c r="L934" s="116">
        <f t="shared" si="27"/>
        <v>9.0000000000000018</v>
      </c>
    </row>
    <row r="935" spans="2:12" x14ac:dyDescent="0.3">
      <c r="B935" s="120">
        <v>6</v>
      </c>
      <c r="C935" s="433" t="s">
        <v>368</v>
      </c>
      <c r="D935" s="433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26"/>
        <v>1.6</v>
      </c>
      <c r="L935" s="116">
        <f t="shared" si="27"/>
        <v>2.8800000000000003</v>
      </c>
    </row>
    <row r="936" spans="2:12" x14ac:dyDescent="0.3">
      <c r="B936" s="120">
        <v>7</v>
      </c>
      <c r="C936" s="433" t="s">
        <v>174</v>
      </c>
      <c r="D936" s="433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26"/>
        <v>0.4</v>
      </c>
      <c r="L936" s="116">
        <f t="shared" si="27"/>
        <v>0.72000000000000008</v>
      </c>
    </row>
    <row r="937" spans="2:12" x14ac:dyDescent="0.3">
      <c r="B937" s="120">
        <v>8</v>
      </c>
      <c r="C937" s="433" t="s">
        <v>179</v>
      </c>
      <c r="D937" s="433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26"/>
        <v>126</v>
      </c>
      <c r="L937" s="116">
        <f t="shared" si="27"/>
        <v>226.79999999999998</v>
      </c>
    </row>
    <row r="938" spans="2:12" x14ac:dyDescent="0.3">
      <c r="B938" s="120"/>
      <c r="C938" s="410"/>
      <c r="D938" s="410"/>
      <c r="E938" s="114"/>
      <c r="F938" s="72"/>
      <c r="G938" s="74"/>
      <c r="I938" s="115">
        <f>IF(C938=0,0,VLOOKUP(C938,Tabla1[],3,FALSE))</f>
        <v>0</v>
      </c>
      <c r="K938" s="84">
        <f t="shared" si="26"/>
        <v>0</v>
      </c>
      <c r="L938" s="116">
        <f t="shared" si="27"/>
        <v>0</v>
      </c>
    </row>
    <row r="939" spans="2:12" x14ac:dyDescent="0.3">
      <c r="B939" s="120"/>
      <c r="C939" s="410"/>
      <c r="D939" s="410"/>
      <c r="E939" s="114"/>
      <c r="F939" s="72"/>
      <c r="G939" s="74"/>
      <c r="I939" s="115">
        <f>IF(C939=0,0,VLOOKUP(C939,Tabla1[],3,FALSE))</f>
        <v>0</v>
      </c>
      <c r="K939" s="84">
        <f t="shared" si="26"/>
        <v>0</v>
      </c>
      <c r="L939" s="116">
        <f t="shared" si="27"/>
        <v>0</v>
      </c>
    </row>
    <row r="940" spans="2:12" ht="17.25" thickBot="1" x14ac:dyDescent="0.35"/>
    <row r="941" spans="2:12" ht="17.25" thickBot="1" x14ac:dyDescent="0.35">
      <c r="F941" s="402" t="s">
        <v>9</v>
      </c>
      <c r="G941" s="403"/>
      <c r="H941" s="403"/>
      <c r="I941" s="404"/>
      <c r="K941" s="224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413" t="s">
        <v>11</v>
      </c>
      <c r="D943" s="413"/>
      <c r="E943" s="413"/>
      <c r="F943" s="413"/>
      <c r="G943" s="414"/>
    </row>
    <row r="944" spans="2:12" x14ac:dyDescent="0.3">
      <c r="B944" s="112" t="s">
        <v>6</v>
      </c>
      <c r="C944" s="415" t="s">
        <v>1</v>
      </c>
      <c r="D944" s="416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409"/>
      <c r="D945" s="409"/>
      <c r="E945" s="114"/>
      <c r="F945" s="83"/>
      <c r="G945" s="74"/>
      <c r="I945" s="115">
        <f>IF(C945=0,0,VLOOKUP(C945,Tabla3[],3,FALSE))</f>
        <v>0</v>
      </c>
      <c r="K945" s="84">
        <f>+F945*I945</f>
        <v>0</v>
      </c>
      <c r="L945" s="116">
        <f>E945*I945</f>
        <v>0</v>
      </c>
    </row>
    <row r="946" spans="2:12" x14ac:dyDescent="0.3">
      <c r="B946" s="74"/>
      <c r="C946" s="202"/>
      <c r="D946" s="203"/>
      <c r="E946" s="119"/>
      <c r="F946" s="72"/>
      <c r="G946" s="74"/>
      <c r="I946" s="115">
        <f>IF(C946=0,0,VLOOKUP(C946,Tabla3[],3,FALSE))</f>
        <v>0</v>
      </c>
      <c r="K946" s="84">
        <f>+F946*I946</f>
        <v>0</v>
      </c>
      <c r="L946" s="116">
        <f>E946*I946</f>
        <v>0</v>
      </c>
    </row>
    <row r="947" spans="2:12" x14ac:dyDescent="0.3">
      <c r="B947" s="74"/>
      <c r="C947" s="202"/>
      <c r="D947" s="203"/>
      <c r="E947" s="119"/>
      <c r="F947" s="72"/>
      <c r="G947" s="74"/>
      <c r="I947" s="115">
        <f>IF(C947=0,0,VLOOKUP(C947,Tabla3[],3,FALSE))</f>
        <v>0</v>
      </c>
      <c r="K947" s="84">
        <f>+F947*I947</f>
        <v>0</v>
      </c>
      <c r="L947" s="116">
        <f>E947*I947</f>
        <v>0</v>
      </c>
    </row>
    <row r="948" spans="2:12" x14ac:dyDescent="0.3">
      <c r="B948" s="74"/>
      <c r="C948" s="411"/>
      <c r="D948" s="412"/>
      <c r="E948" s="119"/>
      <c r="F948" s="72"/>
      <c r="G948" s="74"/>
      <c r="I948" s="115">
        <f>IF(C948=0,0,VLOOKUP(C948,Tabla3[],3,FALSE))</f>
        <v>0</v>
      </c>
      <c r="K948" s="84">
        <f>+F948*I948</f>
        <v>0</v>
      </c>
      <c r="L948" s="116">
        <f>E948*I948</f>
        <v>0</v>
      </c>
    </row>
    <row r="949" spans="2:12" ht="17.25" thickBot="1" x14ac:dyDescent="0.35"/>
    <row r="950" spans="2:12" ht="17.25" thickBot="1" x14ac:dyDescent="0.35">
      <c r="F950" s="402" t="s">
        <v>12</v>
      </c>
      <c r="G950" s="403"/>
      <c r="H950" s="403"/>
      <c r="I950" s="404"/>
      <c r="K950" s="224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413" t="s">
        <v>14</v>
      </c>
      <c r="D952" s="413"/>
      <c r="E952" s="413"/>
      <c r="F952" s="413"/>
      <c r="G952" s="414"/>
    </row>
    <row r="953" spans="2:12" x14ac:dyDescent="0.3">
      <c r="B953" s="112" t="s">
        <v>6</v>
      </c>
      <c r="C953" s="415" t="s">
        <v>1</v>
      </c>
      <c r="D953" s="416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409" t="s">
        <v>420</v>
      </c>
      <c r="D954" s="409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409"/>
      <c r="D955" s="409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417"/>
      <c r="D956" s="418"/>
      <c r="E956" s="122"/>
      <c r="F956" s="123"/>
      <c r="G956" s="74"/>
      <c r="I956" s="115">
        <f>IF(C956=0,0,VLOOKUP(C956,Tabla2[],3,FALSE))</f>
        <v>0</v>
      </c>
      <c r="K956" s="84">
        <f>+F956*I956</f>
        <v>0</v>
      </c>
      <c r="L956" s="116">
        <f>E956*I956</f>
        <v>0</v>
      </c>
    </row>
    <row r="957" spans="2:12" ht="17.25" thickBot="1" x14ac:dyDescent="0.35">
      <c r="B957" s="419" t="s">
        <v>15</v>
      </c>
      <c r="C957" s="420"/>
      <c r="D957" s="420"/>
      <c r="E957" s="420"/>
      <c r="F957" s="420"/>
      <c r="G957" s="421"/>
      <c r="I957" s="84">
        <v>0</v>
      </c>
      <c r="K957" s="84">
        <v>0</v>
      </c>
      <c r="L957" s="116">
        <f>E957*I957</f>
        <v>0</v>
      </c>
    </row>
    <row r="958" spans="2:12" ht="17.25" thickBot="1" x14ac:dyDescent="0.35"/>
    <row r="959" spans="2:12" ht="17.25" thickBot="1" x14ac:dyDescent="0.35">
      <c r="F959" s="402" t="s">
        <v>16</v>
      </c>
      <c r="G959" s="403"/>
      <c r="H959" s="403"/>
      <c r="I959" s="404"/>
      <c r="K959" s="224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413" t="s">
        <v>18</v>
      </c>
      <c r="D961" s="413"/>
      <c r="E961" s="413"/>
      <c r="F961" s="413"/>
      <c r="G961" s="414"/>
    </row>
    <row r="962" spans="2:16" x14ac:dyDescent="0.3">
      <c r="B962" s="112" t="s">
        <v>6</v>
      </c>
      <c r="C962" s="415" t="s">
        <v>1</v>
      </c>
      <c r="D962" s="416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411"/>
      <c r="D963" s="412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411"/>
      <c r="D964" s="412"/>
      <c r="E964" s="125"/>
      <c r="F964" s="72"/>
      <c r="G964" s="74"/>
      <c r="I964" s="84">
        <v>0</v>
      </c>
      <c r="K964" s="84">
        <f>+F964*I964</f>
        <v>0</v>
      </c>
      <c r="L964" s="116">
        <f>E964*I964</f>
        <v>0</v>
      </c>
    </row>
    <row r="965" spans="2:16" x14ac:dyDescent="0.3">
      <c r="B965" s="74"/>
      <c r="C965" s="411"/>
      <c r="D965" s="412"/>
      <c r="E965" s="125"/>
      <c r="F965" s="72"/>
      <c r="G965" s="74"/>
      <c r="I965" s="84">
        <v>0</v>
      </c>
      <c r="K965" s="84">
        <f>+F965*I965</f>
        <v>0</v>
      </c>
      <c r="L965" s="116">
        <f>E965*I965</f>
        <v>0</v>
      </c>
    </row>
    <row r="966" spans="2:16" ht="17.25" thickBot="1" x14ac:dyDescent="0.35">
      <c r="L966" s="116"/>
    </row>
    <row r="967" spans="2:16" ht="17.25" thickBot="1" x14ac:dyDescent="0.35">
      <c r="F967" s="402" t="s">
        <v>19</v>
      </c>
      <c r="G967" s="403"/>
      <c r="H967" s="403"/>
      <c r="I967" s="404"/>
      <c r="K967" s="224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127"/>
      <c r="H968" s="128"/>
      <c r="I968" s="106"/>
      <c r="K968" s="225"/>
    </row>
    <row r="969" spans="2:16" ht="15" customHeight="1" thickBot="1" x14ac:dyDescent="0.35"/>
    <row r="970" spans="2:16" ht="17.25" thickBot="1" x14ac:dyDescent="0.35">
      <c r="F970" s="402" t="s">
        <v>20</v>
      </c>
      <c r="G970" s="403"/>
      <c r="H970" s="403"/>
      <c r="I970" s="404"/>
      <c r="K970" s="224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402" t="s">
        <v>21</v>
      </c>
      <c r="G972" s="403"/>
      <c r="H972" s="403"/>
      <c r="I972" s="404"/>
      <c r="K972" s="224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402" t="s">
        <v>22</v>
      </c>
      <c r="G974" s="403"/>
      <c r="H974" s="403"/>
      <c r="I974" s="404"/>
      <c r="K974" s="224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127"/>
      <c r="H975" s="128"/>
      <c r="I975" s="106"/>
      <c r="K975" s="226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127"/>
      <c r="H976" s="128"/>
      <c r="I976" s="106"/>
      <c r="K976" s="227"/>
      <c r="L976" s="129"/>
      <c r="M976" s="132"/>
      <c r="N976" s="133"/>
    </row>
    <row r="977" spans="1:16" ht="17.25" thickBot="1" x14ac:dyDescent="0.35">
      <c r="B977" s="405"/>
      <c r="C977" s="405"/>
      <c r="D977" s="405"/>
    </row>
    <row r="978" spans="1:16" x14ac:dyDescent="0.3">
      <c r="B978" s="406" t="s">
        <v>23</v>
      </c>
      <c r="C978" s="406"/>
      <c r="D978" s="406"/>
    </row>
    <row r="979" spans="1:16" x14ac:dyDescent="0.3">
      <c r="B979" s="155"/>
      <c r="C979" s="155"/>
      <c r="D979" s="155"/>
    </row>
    <row r="980" spans="1:16" x14ac:dyDescent="0.3">
      <c r="B980" s="155"/>
      <c r="C980" s="155"/>
      <c r="D980" s="155"/>
    </row>
    <row r="981" spans="1:16" x14ac:dyDescent="0.3">
      <c r="B981" s="103" t="s">
        <v>43</v>
      </c>
      <c r="C981" s="104"/>
      <c r="D981" s="422" t="s">
        <v>1</v>
      </c>
      <c r="E981" s="422"/>
      <c r="F981" s="422"/>
      <c r="G981" s="422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09">
        <f>CATALOGO!B38</f>
        <v>405.23</v>
      </c>
      <c r="C982" s="71"/>
      <c r="D982" s="423" t="str">
        <f>CATALOGO!C38</f>
        <v>SOLERA (0.20m X 0.20m + 4 NO. 3 + EST NO. 3 @ 0.20m)</v>
      </c>
      <c r="E982" s="423"/>
      <c r="F982" s="423"/>
      <c r="G982" s="423"/>
      <c r="H982" s="71"/>
      <c r="I982" s="209">
        <f>CATALOGO!D38</f>
        <v>39.72</v>
      </c>
      <c r="J982" s="107"/>
      <c r="K982" s="222" t="str">
        <f>CATALOGO!G38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413" t="s">
        <v>5</v>
      </c>
      <c r="D984" s="413"/>
      <c r="E984" s="413"/>
      <c r="F984" s="413"/>
      <c r="G984" s="414"/>
    </row>
    <row r="985" spans="1:16" x14ac:dyDescent="0.3">
      <c r="B985" s="109" t="s">
        <v>6</v>
      </c>
      <c r="C985" s="424" t="s">
        <v>1</v>
      </c>
      <c r="D985" s="425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3" t="s">
        <v>8</v>
      </c>
      <c r="L985" s="113" t="s">
        <v>193</v>
      </c>
    </row>
    <row r="986" spans="1:16" x14ac:dyDescent="0.3">
      <c r="B986" s="120">
        <v>1</v>
      </c>
      <c r="C986" s="407" t="s">
        <v>168</v>
      </c>
      <c r="D986" s="408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407" t="s">
        <v>312</v>
      </c>
      <c r="D987" s="408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428" t="s">
        <v>213</v>
      </c>
      <c r="D988" s="429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28">+F988*I988</f>
        <v>40</v>
      </c>
      <c r="L988" s="116">
        <f t="shared" ref="L988:L995" si="29">E988*I988</f>
        <v>1588.8</v>
      </c>
    </row>
    <row r="989" spans="1:16" x14ac:dyDescent="0.3">
      <c r="B989" s="120">
        <v>4</v>
      </c>
      <c r="C989" s="430" t="s">
        <v>72</v>
      </c>
      <c r="D989" s="429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28"/>
        <v>2.5</v>
      </c>
      <c r="L989" s="116">
        <f t="shared" si="29"/>
        <v>99.3</v>
      </c>
    </row>
    <row r="990" spans="1:16" x14ac:dyDescent="0.3">
      <c r="B990" s="120">
        <v>5</v>
      </c>
      <c r="C990" s="430" t="s">
        <v>229</v>
      </c>
      <c r="D990" s="429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28"/>
        <v>2.5</v>
      </c>
      <c r="L990" s="116">
        <f t="shared" si="29"/>
        <v>99.3</v>
      </c>
    </row>
    <row r="991" spans="1:16" x14ac:dyDescent="0.3">
      <c r="B991" s="120">
        <v>6</v>
      </c>
      <c r="C991" s="433" t="s">
        <v>368</v>
      </c>
      <c r="D991" s="433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28"/>
        <v>0.8</v>
      </c>
      <c r="L991" s="116">
        <f t="shared" si="29"/>
        <v>31.776</v>
      </c>
    </row>
    <row r="992" spans="1:16" x14ac:dyDescent="0.3">
      <c r="B992" s="120">
        <v>7</v>
      </c>
      <c r="C992" s="433" t="s">
        <v>174</v>
      </c>
      <c r="D992" s="433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28"/>
        <v>0.2</v>
      </c>
      <c r="L992" s="116">
        <f t="shared" si="29"/>
        <v>7.944</v>
      </c>
    </row>
    <row r="993" spans="2:12" x14ac:dyDescent="0.3">
      <c r="B993" s="120">
        <v>8</v>
      </c>
      <c r="C993" s="433" t="s">
        <v>179</v>
      </c>
      <c r="D993" s="433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28"/>
        <v>54</v>
      </c>
      <c r="L993" s="116">
        <f t="shared" si="29"/>
        <v>2144.88</v>
      </c>
    </row>
    <row r="994" spans="2:12" x14ac:dyDescent="0.3">
      <c r="B994" s="120"/>
      <c r="C994" s="410"/>
      <c r="D994" s="410"/>
      <c r="E994" s="114"/>
      <c r="F994" s="72"/>
      <c r="G994" s="74"/>
      <c r="I994" s="115">
        <f>IF(C994=0,0,VLOOKUP(C994,Tabla1[],3,FALSE))</f>
        <v>0</v>
      </c>
      <c r="K994" s="84">
        <f t="shared" si="28"/>
        <v>0</v>
      </c>
      <c r="L994" s="116">
        <f t="shared" si="29"/>
        <v>0</v>
      </c>
    </row>
    <row r="995" spans="2:12" x14ac:dyDescent="0.3">
      <c r="B995" s="120"/>
      <c r="C995" s="410"/>
      <c r="D995" s="410"/>
      <c r="E995" s="114"/>
      <c r="F995" s="72"/>
      <c r="G995" s="74"/>
      <c r="I995" s="115">
        <f>IF(C995=0,0,VLOOKUP(C995,Tabla1[],3,FALSE))</f>
        <v>0</v>
      </c>
      <c r="K995" s="84">
        <f t="shared" si="28"/>
        <v>0</v>
      </c>
      <c r="L995" s="116">
        <f t="shared" si="29"/>
        <v>0</v>
      </c>
    </row>
    <row r="996" spans="2:12" ht="17.25" thickBot="1" x14ac:dyDescent="0.35"/>
    <row r="997" spans="2:12" ht="17.25" thickBot="1" x14ac:dyDescent="0.35">
      <c r="F997" s="402" t="s">
        <v>9</v>
      </c>
      <c r="G997" s="403"/>
      <c r="H997" s="403"/>
      <c r="I997" s="404"/>
      <c r="K997" s="224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413" t="s">
        <v>11</v>
      </c>
      <c r="D999" s="413"/>
      <c r="E999" s="413"/>
      <c r="F999" s="413"/>
      <c r="G999" s="414"/>
    </row>
    <row r="1000" spans="2:12" x14ac:dyDescent="0.3">
      <c r="B1000" s="112" t="s">
        <v>6</v>
      </c>
      <c r="C1000" s="415" t="s">
        <v>1</v>
      </c>
      <c r="D1000" s="416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409"/>
      <c r="D1001" s="409"/>
      <c r="E1001" s="114"/>
      <c r="F1001" s="83"/>
      <c r="G1001" s="74"/>
      <c r="I1001" s="115">
        <f>IF(C1001=0,0,VLOOKUP(C1001,Tabla3[],3,FALSE))</f>
        <v>0</v>
      </c>
      <c r="K1001" s="84">
        <f>+F1001*I1001</f>
        <v>0</v>
      </c>
      <c r="L1001" s="116">
        <f>E1001*I1001</f>
        <v>0</v>
      </c>
    </row>
    <row r="1002" spans="2:12" x14ac:dyDescent="0.3">
      <c r="B1002" s="74"/>
      <c r="C1002" s="202"/>
      <c r="D1002" s="203"/>
      <c r="E1002" s="119"/>
      <c r="F1002" s="72"/>
      <c r="G1002" s="74"/>
      <c r="I1002" s="115">
        <f>IF(C1002=0,0,VLOOKUP(C1002,Tabla3[],3,FALSE))</f>
        <v>0</v>
      </c>
      <c r="K1002" s="84">
        <f>+F1002*I1002</f>
        <v>0</v>
      </c>
      <c r="L1002" s="116">
        <f>E1002*I1002</f>
        <v>0</v>
      </c>
    </row>
    <row r="1003" spans="2:12" x14ac:dyDescent="0.3">
      <c r="B1003" s="74"/>
      <c r="C1003" s="202"/>
      <c r="D1003" s="203"/>
      <c r="E1003" s="119"/>
      <c r="F1003" s="72"/>
      <c r="G1003" s="74"/>
      <c r="I1003" s="115">
        <f>IF(C1003=0,0,VLOOKUP(C1003,Tabla3[],3,FALSE))</f>
        <v>0</v>
      </c>
      <c r="K1003" s="84">
        <f>+F1003*I1003</f>
        <v>0</v>
      </c>
      <c r="L1003" s="116">
        <f>E1003*I1003</f>
        <v>0</v>
      </c>
    </row>
    <row r="1004" spans="2:12" x14ac:dyDescent="0.3">
      <c r="B1004" s="74"/>
      <c r="C1004" s="411"/>
      <c r="D1004" s="412"/>
      <c r="E1004" s="119"/>
      <c r="F1004" s="72"/>
      <c r="G1004" s="74"/>
      <c r="I1004" s="115">
        <f>IF(C1004=0,0,VLOOKUP(C1004,Tabla3[],3,FALSE))</f>
        <v>0</v>
      </c>
      <c r="K1004" s="84">
        <f>+F1004*I1004</f>
        <v>0</v>
      </c>
      <c r="L1004" s="116">
        <f>E1004*I1004</f>
        <v>0</v>
      </c>
    </row>
    <row r="1005" spans="2:12" ht="17.25" thickBot="1" x14ac:dyDescent="0.35"/>
    <row r="1006" spans="2:12" ht="17.25" thickBot="1" x14ac:dyDescent="0.35">
      <c r="F1006" s="402" t="s">
        <v>12</v>
      </c>
      <c r="G1006" s="403"/>
      <c r="H1006" s="403"/>
      <c r="I1006" s="404"/>
      <c r="K1006" s="224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413" t="s">
        <v>14</v>
      </c>
      <c r="D1008" s="413"/>
      <c r="E1008" s="413"/>
      <c r="F1008" s="413"/>
      <c r="G1008" s="414"/>
    </row>
    <row r="1009" spans="2:12" x14ac:dyDescent="0.3">
      <c r="B1009" s="112" t="s">
        <v>6</v>
      </c>
      <c r="C1009" s="415" t="s">
        <v>1</v>
      </c>
      <c r="D1009" s="416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409" t="s">
        <v>423</v>
      </c>
      <c r="D1010" s="409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409"/>
      <c r="D1011" s="409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417"/>
      <c r="D1012" s="418"/>
      <c r="E1012" s="122"/>
      <c r="F1012" s="123"/>
      <c r="G1012" s="74"/>
      <c r="I1012" s="115">
        <f>IF(C1012=0,0,VLOOKUP(C1012,Tabla2[],3,FALSE))</f>
        <v>0</v>
      </c>
      <c r="K1012" s="84">
        <f>+F1012*I1012</f>
        <v>0</v>
      </c>
      <c r="L1012" s="116">
        <f>E1012*I1012</f>
        <v>0</v>
      </c>
    </row>
    <row r="1013" spans="2:12" ht="17.25" thickBot="1" x14ac:dyDescent="0.35">
      <c r="B1013" s="419" t="s">
        <v>15</v>
      </c>
      <c r="C1013" s="420"/>
      <c r="D1013" s="420"/>
      <c r="E1013" s="420"/>
      <c r="F1013" s="420"/>
      <c r="G1013" s="421"/>
      <c r="I1013" s="84">
        <v>0</v>
      </c>
      <c r="K1013" s="84">
        <v>0</v>
      </c>
      <c r="L1013" s="116">
        <f>E1013*I1013</f>
        <v>0</v>
      </c>
    </row>
    <row r="1014" spans="2:12" ht="17.25" thickBot="1" x14ac:dyDescent="0.35"/>
    <row r="1015" spans="2:12" ht="17.25" thickBot="1" x14ac:dyDescent="0.35">
      <c r="F1015" s="402" t="s">
        <v>16</v>
      </c>
      <c r="G1015" s="403"/>
      <c r="H1015" s="403"/>
      <c r="I1015" s="404"/>
      <c r="K1015" s="224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413" t="s">
        <v>18</v>
      </c>
      <c r="D1017" s="413"/>
      <c r="E1017" s="413"/>
      <c r="F1017" s="413"/>
      <c r="G1017" s="414"/>
    </row>
    <row r="1018" spans="2:12" x14ac:dyDescent="0.3">
      <c r="B1018" s="112" t="s">
        <v>6</v>
      </c>
      <c r="C1018" s="415" t="s">
        <v>1</v>
      </c>
      <c r="D1018" s="416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411"/>
      <c r="D1019" s="412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411"/>
      <c r="D1020" s="412"/>
      <c r="E1020" s="125"/>
      <c r="F1020" s="72"/>
      <c r="G1020" s="74"/>
      <c r="I1020" s="84">
        <v>0</v>
      </c>
      <c r="K1020" s="84">
        <f>+F1020*I1020</f>
        <v>0</v>
      </c>
      <c r="L1020" s="116">
        <f>E1020*I1020</f>
        <v>0</v>
      </c>
    </row>
    <row r="1021" spans="2:12" x14ac:dyDescent="0.3">
      <c r="B1021" s="74"/>
      <c r="C1021" s="411"/>
      <c r="D1021" s="412"/>
      <c r="E1021" s="125"/>
      <c r="F1021" s="72"/>
      <c r="G1021" s="74"/>
      <c r="I1021" s="84">
        <v>0</v>
      </c>
      <c r="K1021" s="84">
        <f>+F1021*I1021</f>
        <v>0</v>
      </c>
      <c r="L1021" s="116">
        <f>E1021*I1021</f>
        <v>0</v>
      </c>
    </row>
    <row r="1022" spans="2:12" ht="17.25" thickBot="1" x14ac:dyDescent="0.35">
      <c r="L1022" s="116"/>
    </row>
    <row r="1023" spans="2:12" ht="17.25" thickBot="1" x14ac:dyDescent="0.35">
      <c r="F1023" s="402" t="s">
        <v>19</v>
      </c>
      <c r="G1023" s="403"/>
      <c r="H1023" s="403"/>
      <c r="I1023" s="404"/>
      <c r="K1023" s="224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127"/>
      <c r="H1024" s="128"/>
      <c r="I1024" s="106"/>
      <c r="K1024" s="225"/>
    </row>
    <row r="1025" spans="1:16" ht="15" customHeight="1" thickBot="1" x14ac:dyDescent="0.35"/>
    <row r="1026" spans="1:16" ht="17.25" thickBot="1" x14ac:dyDescent="0.35">
      <c r="F1026" s="402" t="s">
        <v>20</v>
      </c>
      <c r="G1026" s="403"/>
      <c r="H1026" s="403"/>
      <c r="I1026" s="404"/>
      <c r="K1026" s="224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402" t="s">
        <v>21</v>
      </c>
      <c r="G1028" s="403"/>
      <c r="H1028" s="403"/>
      <c r="I1028" s="404"/>
      <c r="K1028" s="224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402" t="s">
        <v>22</v>
      </c>
      <c r="G1030" s="403"/>
      <c r="H1030" s="403"/>
      <c r="I1030" s="404"/>
      <c r="K1030" s="224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127"/>
      <c r="H1031" s="128"/>
      <c r="I1031" s="106"/>
      <c r="K1031" s="226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127"/>
      <c r="H1032" s="128"/>
      <c r="I1032" s="106"/>
      <c r="K1032" s="227"/>
      <c r="L1032" s="129"/>
      <c r="M1032" s="132"/>
      <c r="N1032" s="133"/>
    </row>
    <row r="1033" spans="1:16" ht="17.25" thickBot="1" x14ac:dyDescent="0.35">
      <c r="B1033" s="405"/>
      <c r="C1033" s="405"/>
      <c r="D1033" s="405"/>
    </row>
    <row r="1034" spans="1:16" x14ac:dyDescent="0.3">
      <c r="B1034" s="406" t="s">
        <v>23</v>
      </c>
      <c r="C1034" s="406"/>
      <c r="D1034" s="406"/>
    </row>
    <row r="1035" spans="1:16" x14ac:dyDescent="0.3">
      <c r="B1035" s="155"/>
      <c r="C1035" s="155"/>
      <c r="D1035" s="155"/>
    </row>
    <row r="1036" spans="1:16" x14ac:dyDescent="0.3">
      <c r="B1036" s="155"/>
      <c r="C1036" s="155"/>
      <c r="D1036" s="155"/>
    </row>
    <row r="1037" spans="1:16" x14ac:dyDescent="0.3">
      <c r="B1037" s="103" t="s">
        <v>43</v>
      </c>
      <c r="C1037" s="104"/>
      <c r="D1037" s="422" t="s">
        <v>1</v>
      </c>
      <c r="E1037" s="422"/>
      <c r="F1037" s="422"/>
      <c r="G1037" s="422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09">
        <f>CATALOGO!B44</f>
        <v>405.27</v>
      </c>
      <c r="C1038" s="71"/>
      <c r="D1038" s="423" t="str">
        <f>CATALOGO!C44</f>
        <v>SOLERA (0.20m X 0.40m + 6 NO. 3 + EST NO. 3 @ 0.20m)</v>
      </c>
      <c r="E1038" s="423"/>
      <c r="F1038" s="423"/>
      <c r="G1038" s="423"/>
      <c r="H1038" s="71"/>
      <c r="I1038" s="209">
        <f>CATALOGO!D44</f>
        <v>73.180000000000007</v>
      </c>
      <c r="J1038" s="107"/>
      <c r="K1038" s="222" t="str">
        <f>CATALOGO!G44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413" t="s">
        <v>5</v>
      </c>
      <c r="D1040" s="413"/>
      <c r="E1040" s="413"/>
      <c r="F1040" s="413"/>
      <c r="G1040" s="414"/>
    </row>
    <row r="1041" spans="2:12" x14ac:dyDescent="0.3">
      <c r="B1041" s="109" t="s">
        <v>6</v>
      </c>
      <c r="C1041" s="424" t="s">
        <v>1</v>
      </c>
      <c r="D1041" s="425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3" t="s">
        <v>8</v>
      </c>
      <c r="L1041" s="113" t="s">
        <v>193</v>
      </c>
    </row>
    <row r="1042" spans="2:12" x14ac:dyDescent="0.3">
      <c r="B1042" s="120">
        <v>1</v>
      </c>
      <c r="C1042" s="407" t="s">
        <v>168</v>
      </c>
      <c r="D1042" s="408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407" t="s">
        <v>312</v>
      </c>
      <c r="D1043" s="408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428" t="s">
        <v>213</v>
      </c>
      <c r="D1044" s="429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30">+F1044*I1044</f>
        <v>80</v>
      </c>
      <c r="L1044" s="116">
        <f t="shared" ref="L1044:L1051" si="31">E1044*I1044</f>
        <v>5854.4000000000005</v>
      </c>
    </row>
    <row r="1045" spans="2:12" x14ac:dyDescent="0.3">
      <c r="B1045" s="120">
        <v>4</v>
      </c>
      <c r="C1045" s="430" t="s">
        <v>72</v>
      </c>
      <c r="D1045" s="429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30"/>
        <v>5</v>
      </c>
      <c r="L1045" s="116">
        <f t="shared" si="31"/>
        <v>365.90000000000003</v>
      </c>
    </row>
    <row r="1046" spans="2:12" x14ac:dyDescent="0.3">
      <c r="B1046" s="120">
        <v>5</v>
      </c>
      <c r="C1046" s="430" t="s">
        <v>229</v>
      </c>
      <c r="D1046" s="429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30"/>
        <v>5</v>
      </c>
      <c r="L1046" s="116">
        <f t="shared" si="31"/>
        <v>365.90000000000003</v>
      </c>
    </row>
    <row r="1047" spans="2:12" x14ac:dyDescent="0.3">
      <c r="B1047" s="120">
        <v>6</v>
      </c>
      <c r="C1047" s="433" t="s">
        <v>368</v>
      </c>
      <c r="D1047" s="433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30"/>
        <v>1.6</v>
      </c>
      <c r="L1047" s="116">
        <f t="shared" si="31"/>
        <v>117.08800000000002</v>
      </c>
    </row>
    <row r="1048" spans="2:12" x14ac:dyDescent="0.3">
      <c r="B1048" s="120">
        <v>7</v>
      </c>
      <c r="C1048" s="433" t="s">
        <v>174</v>
      </c>
      <c r="D1048" s="433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30"/>
        <v>0.4</v>
      </c>
      <c r="L1048" s="116">
        <f t="shared" si="31"/>
        <v>29.272000000000006</v>
      </c>
    </row>
    <row r="1049" spans="2:12" x14ac:dyDescent="0.3">
      <c r="B1049" s="120">
        <v>8</v>
      </c>
      <c r="C1049" s="433" t="s">
        <v>179</v>
      </c>
      <c r="D1049" s="433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30"/>
        <v>63</v>
      </c>
      <c r="L1049" s="116">
        <f t="shared" si="31"/>
        <v>4610.34</v>
      </c>
    </row>
    <row r="1050" spans="2:12" x14ac:dyDescent="0.3">
      <c r="B1050" s="120"/>
      <c r="C1050" s="410"/>
      <c r="D1050" s="410"/>
      <c r="E1050" s="114"/>
      <c r="F1050" s="72"/>
      <c r="G1050" s="74"/>
      <c r="I1050" s="115">
        <f>IF(C1050=0,0,VLOOKUP(C1050,Tabla1[],3,FALSE))</f>
        <v>0</v>
      </c>
      <c r="K1050" s="84">
        <f t="shared" si="30"/>
        <v>0</v>
      </c>
      <c r="L1050" s="116">
        <f t="shared" si="31"/>
        <v>0</v>
      </c>
    </row>
    <row r="1051" spans="2:12" x14ac:dyDescent="0.3">
      <c r="B1051" s="120"/>
      <c r="C1051" s="410"/>
      <c r="D1051" s="410"/>
      <c r="E1051" s="114"/>
      <c r="F1051" s="72"/>
      <c r="G1051" s="74"/>
      <c r="I1051" s="115">
        <f>IF(C1051=0,0,VLOOKUP(C1051,Tabla1[],3,FALSE))</f>
        <v>0</v>
      </c>
      <c r="K1051" s="84">
        <f t="shared" si="30"/>
        <v>0</v>
      </c>
      <c r="L1051" s="116">
        <f t="shared" si="31"/>
        <v>0</v>
      </c>
    </row>
    <row r="1052" spans="2:12" ht="17.25" thickBot="1" x14ac:dyDescent="0.35"/>
    <row r="1053" spans="2:12" ht="17.25" thickBot="1" x14ac:dyDescent="0.35">
      <c r="F1053" s="402" t="s">
        <v>9</v>
      </c>
      <c r="G1053" s="403"/>
      <c r="H1053" s="403"/>
      <c r="I1053" s="404"/>
      <c r="K1053" s="224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413" t="s">
        <v>11</v>
      </c>
      <c r="D1055" s="413"/>
      <c r="E1055" s="413"/>
      <c r="F1055" s="413"/>
      <c r="G1055" s="414"/>
    </row>
    <row r="1056" spans="2:12" x14ac:dyDescent="0.3">
      <c r="B1056" s="112" t="s">
        <v>6</v>
      </c>
      <c r="C1056" s="415" t="s">
        <v>1</v>
      </c>
      <c r="D1056" s="416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409"/>
      <c r="D1057" s="409"/>
      <c r="E1057" s="114"/>
      <c r="F1057" s="83"/>
      <c r="G1057" s="74"/>
      <c r="I1057" s="115">
        <f>IF(C1057=0,0,VLOOKUP(C1057,Tabla3[],3,FALSE))</f>
        <v>0</v>
      </c>
      <c r="K1057" s="84">
        <f>+F1057*I1057</f>
        <v>0</v>
      </c>
      <c r="L1057" s="116">
        <f>E1057*I1057</f>
        <v>0</v>
      </c>
    </row>
    <row r="1058" spans="2:12" x14ac:dyDescent="0.3">
      <c r="B1058" s="74"/>
      <c r="C1058" s="202"/>
      <c r="D1058" s="203"/>
      <c r="E1058" s="119"/>
      <c r="F1058" s="72"/>
      <c r="G1058" s="74"/>
      <c r="I1058" s="115">
        <f>IF(C1058=0,0,VLOOKUP(C1058,Tabla3[],3,FALSE))</f>
        <v>0</v>
      </c>
      <c r="K1058" s="84">
        <f>+F1058*I1058</f>
        <v>0</v>
      </c>
      <c r="L1058" s="116">
        <f>E1058*I1058</f>
        <v>0</v>
      </c>
    </row>
    <row r="1059" spans="2:12" x14ac:dyDescent="0.3">
      <c r="B1059" s="74"/>
      <c r="C1059" s="202"/>
      <c r="D1059" s="203"/>
      <c r="E1059" s="119"/>
      <c r="F1059" s="72"/>
      <c r="G1059" s="74"/>
      <c r="I1059" s="115">
        <f>IF(C1059=0,0,VLOOKUP(C1059,Tabla3[],3,FALSE))</f>
        <v>0</v>
      </c>
      <c r="K1059" s="84">
        <f>+F1059*I1059</f>
        <v>0</v>
      </c>
      <c r="L1059" s="116">
        <f>E1059*I1059</f>
        <v>0</v>
      </c>
    </row>
    <row r="1060" spans="2:12" x14ac:dyDescent="0.3">
      <c r="B1060" s="74"/>
      <c r="C1060" s="411"/>
      <c r="D1060" s="412"/>
      <c r="E1060" s="119"/>
      <c r="F1060" s="72"/>
      <c r="G1060" s="74"/>
      <c r="I1060" s="115">
        <f>IF(C1060=0,0,VLOOKUP(C1060,Tabla3[],3,FALSE))</f>
        <v>0</v>
      </c>
      <c r="K1060" s="84">
        <f>+F1060*I1060</f>
        <v>0</v>
      </c>
      <c r="L1060" s="116">
        <f>E1060*I1060</f>
        <v>0</v>
      </c>
    </row>
    <row r="1061" spans="2:12" ht="17.25" thickBot="1" x14ac:dyDescent="0.35"/>
    <row r="1062" spans="2:12" ht="17.25" thickBot="1" x14ac:dyDescent="0.35">
      <c r="F1062" s="402" t="s">
        <v>12</v>
      </c>
      <c r="G1062" s="403"/>
      <c r="H1062" s="403"/>
      <c r="I1062" s="404"/>
      <c r="K1062" s="224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413" t="s">
        <v>14</v>
      </c>
      <c r="D1064" s="413"/>
      <c r="E1064" s="413"/>
      <c r="F1064" s="413"/>
      <c r="G1064" s="414"/>
    </row>
    <row r="1065" spans="2:12" x14ac:dyDescent="0.3">
      <c r="B1065" s="112" t="s">
        <v>6</v>
      </c>
      <c r="C1065" s="415" t="s">
        <v>1</v>
      </c>
      <c r="D1065" s="416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409" t="s">
        <v>423</v>
      </c>
      <c r="D1066" s="409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409"/>
      <c r="D1067" s="409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417"/>
      <c r="D1068" s="418"/>
      <c r="E1068" s="122"/>
      <c r="F1068" s="123"/>
      <c r="G1068" s="74"/>
      <c r="I1068" s="115">
        <f>IF(C1068=0,0,VLOOKUP(C1068,Tabla2[],3,FALSE))</f>
        <v>0</v>
      </c>
      <c r="K1068" s="84">
        <f>+F1068*I1068</f>
        <v>0</v>
      </c>
      <c r="L1068" s="116">
        <f>E1068*I1068</f>
        <v>0</v>
      </c>
    </row>
    <row r="1069" spans="2:12" ht="17.25" thickBot="1" x14ac:dyDescent="0.35">
      <c r="B1069" s="419" t="s">
        <v>15</v>
      </c>
      <c r="C1069" s="420"/>
      <c r="D1069" s="420"/>
      <c r="E1069" s="420"/>
      <c r="F1069" s="420"/>
      <c r="G1069" s="421"/>
      <c r="I1069" s="84">
        <v>0</v>
      </c>
      <c r="K1069" s="84">
        <v>0</v>
      </c>
      <c r="L1069" s="116">
        <f>E1069*I1069</f>
        <v>0</v>
      </c>
    </row>
    <row r="1070" spans="2:12" ht="17.25" thickBot="1" x14ac:dyDescent="0.35"/>
    <row r="1071" spans="2:12" ht="17.25" thickBot="1" x14ac:dyDescent="0.35">
      <c r="F1071" s="402" t="s">
        <v>16</v>
      </c>
      <c r="G1071" s="403"/>
      <c r="H1071" s="403"/>
      <c r="I1071" s="404"/>
      <c r="K1071" s="224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413" t="s">
        <v>18</v>
      </c>
      <c r="D1073" s="413"/>
      <c r="E1073" s="413"/>
      <c r="F1073" s="413"/>
      <c r="G1073" s="414"/>
    </row>
    <row r="1074" spans="2:16" x14ac:dyDescent="0.3">
      <c r="B1074" s="112" t="s">
        <v>6</v>
      </c>
      <c r="C1074" s="415" t="s">
        <v>1</v>
      </c>
      <c r="D1074" s="416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411"/>
      <c r="D1075" s="412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411"/>
      <c r="D1076" s="412"/>
      <c r="E1076" s="125"/>
      <c r="F1076" s="72"/>
      <c r="G1076" s="74"/>
      <c r="I1076" s="84">
        <v>0</v>
      </c>
      <c r="K1076" s="84">
        <f>+F1076*I1076</f>
        <v>0</v>
      </c>
      <c r="L1076" s="116">
        <f>E1076*I1076</f>
        <v>0</v>
      </c>
    </row>
    <row r="1077" spans="2:16" x14ac:dyDescent="0.3">
      <c r="B1077" s="74"/>
      <c r="C1077" s="411"/>
      <c r="D1077" s="412"/>
      <c r="E1077" s="125"/>
      <c r="F1077" s="72"/>
      <c r="G1077" s="74"/>
      <c r="I1077" s="84">
        <v>0</v>
      </c>
      <c r="K1077" s="84">
        <f>+F1077*I1077</f>
        <v>0</v>
      </c>
      <c r="L1077" s="116">
        <f>E1077*I1077</f>
        <v>0</v>
      </c>
    </row>
    <row r="1078" spans="2:16" ht="17.25" thickBot="1" x14ac:dyDescent="0.35">
      <c r="L1078" s="116"/>
    </row>
    <row r="1079" spans="2:16" ht="17.25" thickBot="1" x14ac:dyDescent="0.35">
      <c r="F1079" s="402" t="s">
        <v>19</v>
      </c>
      <c r="G1079" s="403"/>
      <c r="H1079" s="403"/>
      <c r="I1079" s="404"/>
      <c r="K1079" s="224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127"/>
      <c r="H1080" s="128"/>
      <c r="I1080" s="106"/>
      <c r="K1080" s="225"/>
    </row>
    <row r="1081" spans="2:16" ht="15" customHeight="1" thickBot="1" x14ac:dyDescent="0.35"/>
    <row r="1082" spans="2:16" ht="17.25" thickBot="1" x14ac:dyDescent="0.35">
      <c r="F1082" s="402" t="s">
        <v>20</v>
      </c>
      <c r="G1082" s="403"/>
      <c r="H1082" s="403"/>
      <c r="I1082" s="404"/>
      <c r="K1082" s="224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402" t="s">
        <v>21</v>
      </c>
      <c r="G1084" s="403"/>
      <c r="H1084" s="403"/>
      <c r="I1084" s="404"/>
      <c r="K1084" s="224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402" t="s">
        <v>22</v>
      </c>
      <c r="G1086" s="403"/>
      <c r="H1086" s="403"/>
      <c r="I1086" s="404"/>
      <c r="K1086" s="224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127"/>
      <c r="H1087" s="128"/>
      <c r="I1087" s="106"/>
      <c r="K1087" s="226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127"/>
      <c r="H1088" s="128"/>
      <c r="I1088" s="106"/>
      <c r="K1088" s="227"/>
      <c r="L1088" s="129"/>
      <c r="M1088" s="132"/>
      <c r="N1088" s="133"/>
    </row>
    <row r="1089" spans="1:16" ht="17.25" thickBot="1" x14ac:dyDescent="0.35">
      <c r="B1089" s="405"/>
      <c r="C1089" s="405"/>
      <c r="D1089" s="405"/>
    </row>
    <row r="1090" spans="1:16" x14ac:dyDescent="0.3">
      <c r="B1090" s="406" t="s">
        <v>23</v>
      </c>
      <c r="C1090" s="406"/>
      <c r="D1090" s="406"/>
    </row>
    <row r="1091" spans="1:16" x14ac:dyDescent="0.3">
      <c r="B1091" s="155"/>
      <c r="C1091" s="155"/>
      <c r="D1091" s="155"/>
    </row>
    <row r="1092" spans="1:16" x14ac:dyDescent="0.3">
      <c r="B1092" s="155"/>
      <c r="C1092" s="155"/>
      <c r="D1092" s="155"/>
    </row>
    <row r="1093" spans="1:16" x14ac:dyDescent="0.3">
      <c r="B1093" s="103" t="s">
        <v>43</v>
      </c>
      <c r="C1093" s="104"/>
      <c r="D1093" s="422" t="s">
        <v>1</v>
      </c>
      <c r="E1093" s="422"/>
      <c r="F1093" s="422"/>
      <c r="G1093" s="422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09">
        <f>CATALOGO!B45</f>
        <v>407.09</v>
      </c>
      <c r="C1094" s="71"/>
      <c r="D1094" s="423" t="str">
        <f>CATALOGO!C45</f>
        <v>VIGA (0.20m X 0.40m + 6 NO. 5 + 3 BAST NO 5 + EST NO. 3 @ 0.10-0.15m)</v>
      </c>
      <c r="E1094" s="423"/>
      <c r="F1094" s="423"/>
      <c r="G1094" s="423"/>
      <c r="H1094" s="71"/>
      <c r="I1094" s="209">
        <f>CATALOGO!D45</f>
        <v>16.649999999999999</v>
      </c>
      <c r="J1094" s="107"/>
      <c r="K1094" s="222" t="str">
        <f>CATALOGO!G45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413" t="s">
        <v>5</v>
      </c>
      <c r="D1096" s="413"/>
      <c r="E1096" s="413"/>
      <c r="F1096" s="413"/>
      <c r="G1096" s="414"/>
    </row>
    <row r="1097" spans="1:16" x14ac:dyDescent="0.3">
      <c r="B1097" s="109" t="s">
        <v>6</v>
      </c>
      <c r="C1097" s="424" t="s">
        <v>1</v>
      </c>
      <c r="D1097" s="425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3" t="s">
        <v>8</v>
      </c>
      <c r="L1097" s="113" t="s">
        <v>193</v>
      </c>
    </row>
    <row r="1098" spans="1:16" x14ac:dyDescent="0.3">
      <c r="B1098" s="120">
        <v>1</v>
      </c>
      <c r="C1098" s="407" t="s">
        <v>168</v>
      </c>
      <c r="D1098" s="408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407" t="s">
        <v>312</v>
      </c>
      <c r="D1099" s="408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428" t="s">
        <v>213</v>
      </c>
      <c r="D1100" s="429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32">+F1100*I1100</f>
        <v>80</v>
      </c>
      <c r="L1100" s="116">
        <f t="shared" ref="L1100:L1107" si="33">E1100*I1100</f>
        <v>1332</v>
      </c>
    </row>
    <row r="1101" spans="1:16" x14ac:dyDescent="0.3">
      <c r="B1101" s="120">
        <v>4</v>
      </c>
      <c r="C1101" s="430" t="s">
        <v>72</v>
      </c>
      <c r="D1101" s="429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32"/>
        <v>5</v>
      </c>
      <c r="L1101" s="116">
        <f t="shared" si="33"/>
        <v>83.249999999999986</v>
      </c>
    </row>
    <row r="1102" spans="1:16" x14ac:dyDescent="0.3">
      <c r="B1102" s="120">
        <v>5</v>
      </c>
      <c r="C1102" s="430" t="s">
        <v>229</v>
      </c>
      <c r="D1102" s="429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32"/>
        <v>5</v>
      </c>
      <c r="L1102" s="116">
        <f t="shared" si="33"/>
        <v>83.249999999999986</v>
      </c>
    </row>
    <row r="1103" spans="1:16" x14ac:dyDescent="0.3">
      <c r="B1103" s="120">
        <v>6</v>
      </c>
      <c r="C1103" s="433" t="s">
        <v>368</v>
      </c>
      <c r="D1103" s="433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32"/>
        <v>1.6</v>
      </c>
      <c r="L1103" s="116">
        <f t="shared" si="33"/>
        <v>26.64</v>
      </c>
    </row>
    <row r="1104" spans="1:16" x14ac:dyDescent="0.3">
      <c r="B1104" s="120">
        <v>7</v>
      </c>
      <c r="C1104" s="433" t="s">
        <v>174</v>
      </c>
      <c r="D1104" s="433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32"/>
        <v>0.4</v>
      </c>
      <c r="L1104" s="116">
        <f t="shared" si="33"/>
        <v>6.6599999999999993</v>
      </c>
    </row>
    <row r="1105" spans="2:12" x14ac:dyDescent="0.3">
      <c r="B1105" s="120">
        <v>8</v>
      </c>
      <c r="C1105" s="433" t="s">
        <v>179</v>
      </c>
      <c r="D1105" s="433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32"/>
        <v>63</v>
      </c>
      <c r="L1105" s="116">
        <f t="shared" si="33"/>
        <v>1048.9499999999998</v>
      </c>
    </row>
    <row r="1106" spans="2:12" x14ac:dyDescent="0.3">
      <c r="B1106" s="120"/>
      <c r="C1106" s="410"/>
      <c r="D1106" s="410"/>
      <c r="E1106" s="114"/>
      <c r="F1106" s="72"/>
      <c r="G1106" s="74"/>
      <c r="I1106" s="115">
        <f>IF(C1106=0,0,VLOOKUP(C1106,Tabla1[],3,FALSE))</f>
        <v>0</v>
      </c>
      <c r="K1106" s="84">
        <f t="shared" si="32"/>
        <v>0</v>
      </c>
      <c r="L1106" s="116">
        <f t="shared" si="33"/>
        <v>0</v>
      </c>
    </row>
    <row r="1107" spans="2:12" x14ac:dyDescent="0.3">
      <c r="B1107" s="120"/>
      <c r="C1107" s="410"/>
      <c r="D1107" s="410"/>
      <c r="E1107" s="114"/>
      <c r="F1107" s="72"/>
      <c r="G1107" s="74"/>
      <c r="I1107" s="115">
        <f>IF(C1107=0,0,VLOOKUP(C1107,Tabla1[],3,FALSE))</f>
        <v>0</v>
      </c>
      <c r="K1107" s="84">
        <f t="shared" si="32"/>
        <v>0</v>
      </c>
      <c r="L1107" s="116">
        <f t="shared" si="33"/>
        <v>0</v>
      </c>
    </row>
    <row r="1108" spans="2:12" ht="17.25" thickBot="1" x14ac:dyDescent="0.35"/>
    <row r="1109" spans="2:12" ht="17.25" thickBot="1" x14ac:dyDescent="0.35">
      <c r="F1109" s="402" t="s">
        <v>9</v>
      </c>
      <c r="G1109" s="403"/>
      <c r="H1109" s="403"/>
      <c r="I1109" s="404"/>
      <c r="K1109" s="224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413" t="s">
        <v>11</v>
      </c>
      <c r="D1111" s="413"/>
      <c r="E1111" s="413"/>
      <c r="F1111" s="413"/>
      <c r="G1111" s="414"/>
    </row>
    <row r="1112" spans="2:12" x14ac:dyDescent="0.3">
      <c r="B1112" s="112" t="s">
        <v>6</v>
      </c>
      <c r="C1112" s="415" t="s">
        <v>1</v>
      </c>
      <c r="D1112" s="416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409"/>
      <c r="D1113" s="409"/>
      <c r="E1113" s="114"/>
      <c r="F1113" s="83"/>
      <c r="G1113" s="74"/>
      <c r="I1113" s="115">
        <f>IF(C1113=0,0,VLOOKUP(C1113,Tabla3[],3,FALSE))</f>
        <v>0</v>
      </c>
      <c r="K1113" s="84">
        <f>+F1113*I1113</f>
        <v>0</v>
      </c>
      <c r="L1113" s="116">
        <f>E1113*I1113</f>
        <v>0</v>
      </c>
    </row>
    <row r="1114" spans="2:12" x14ac:dyDescent="0.3">
      <c r="B1114" s="74"/>
      <c r="C1114" s="202"/>
      <c r="D1114" s="203"/>
      <c r="E1114" s="119"/>
      <c r="F1114" s="72"/>
      <c r="G1114" s="74"/>
      <c r="I1114" s="115">
        <f>IF(C1114=0,0,VLOOKUP(C1114,Tabla3[],3,FALSE))</f>
        <v>0</v>
      </c>
      <c r="K1114" s="84">
        <f>+F1114*I1114</f>
        <v>0</v>
      </c>
      <c r="L1114" s="116">
        <f>E1114*I1114</f>
        <v>0</v>
      </c>
    </row>
    <row r="1115" spans="2:12" x14ac:dyDescent="0.3">
      <c r="B1115" s="74"/>
      <c r="C1115" s="202"/>
      <c r="D1115" s="203"/>
      <c r="E1115" s="119"/>
      <c r="F1115" s="72"/>
      <c r="G1115" s="74"/>
      <c r="I1115" s="115">
        <f>IF(C1115=0,0,VLOOKUP(C1115,Tabla3[],3,FALSE))</f>
        <v>0</v>
      </c>
      <c r="K1115" s="84">
        <f>+F1115*I1115</f>
        <v>0</v>
      </c>
      <c r="L1115" s="116">
        <f>E1115*I1115</f>
        <v>0</v>
      </c>
    </row>
    <row r="1116" spans="2:12" x14ac:dyDescent="0.3">
      <c r="B1116" s="74"/>
      <c r="C1116" s="411"/>
      <c r="D1116" s="412"/>
      <c r="E1116" s="119"/>
      <c r="F1116" s="72"/>
      <c r="G1116" s="74"/>
      <c r="I1116" s="115">
        <f>IF(C1116=0,0,VLOOKUP(C1116,Tabla3[],3,FALSE))</f>
        <v>0</v>
      </c>
      <c r="K1116" s="84">
        <f>+F1116*I1116</f>
        <v>0</v>
      </c>
      <c r="L1116" s="116">
        <f>E1116*I1116</f>
        <v>0</v>
      </c>
    </row>
    <row r="1117" spans="2:12" ht="17.25" thickBot="1" x14ac:dyDescent="0.35"/>
    <row r="1118" spans="2:12" ht="17.25" thickBot="1" x14ac:dyDescent="0.35">
      <c r="F1118" s="402" t="s">
        <v>12</v>
      </c>
      <c r="G1118" s="403"/>
      <c r="H1118" s="403"/>
      <c r="I1118" s="404"/>
      <c r="K1118" s="224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413" t="s">
        <v>14</v>
      </c>
      <c r="D1120" s="413"/>
      <c r="E1120" s="413"/>
      <c r="F1120" s="413"/>
      <c r="G1120" s="414"/>
    </row>
    <row r="1121" spans="2:12" x14ac:dyDescent="0.3">
      <c r="B1121" s="112" t="s">
        <v>6</v>
      </c>
      <c r="C1121" s="415" t="s">
        <v>1</v>
      </c>
      <c r="D1121" s="416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409" t="s">
        <v>574</v>
      </c>
      <c r="D1122" s="409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409"/>
      <c r="D1123" s="409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417"/>
      <c r="D1124" s="418"/>
      <c r="E1124" s="122"/>
      <c r="F1124" s="123"/>
      <c r="G1124" s="74"/>
      <c r="I1124" s="115">
        <f>IF(C1124=0,0,VLOOKUP(C1124,Tabla2[],3,FALSE))</f>
        <v>0</v>
      </c>
      <c r="K1124" s="84">
        <f>+F1124*I1124</f>
        <v>0</v>
      </c>
      <c r="L1124" s="116">
        <f>E1124*I1124</f>
        <v>0</v>
      </c>
    </row>
    <row r="1125" spans="2:12" ht="17.25" thickBot="1" x14ac:dyDescent="0.35">
      <c r="B1125" s="419" t="s">
        <v>15</v>
      </c>
      <c r="C1125" s="420"/>
      <c r="D1125" s="420"/>
      <c r="E1125" s="420"/>
      <c r="F1125" s="420"/>
      <c r="G1125" s="421"/>
      <c r="I1125" s="84">
        <v>0</v>
      </c>
      <c r="K1125" s="84">
        <v>0</v>
      </c>
      <c r="L1125" s="116">
        <f>E1125*I1125</f>
        <v>0</v>
      </c>
    </row>
    <row r="1126" spans="2:12" ht="17.25" thickBot="1" x14ac:dyDescent="0.35"/>
    <row r="1127" spans="2:12" ht="17.25" thickBot="1" x14ac:dyDescent="0.35">
      <c r="F1127" s="402" t="s">
        <v>16</v>
      </c>
      <c r="G1127" s="403"/>
      <c r="H1127" s="403"/>
      <c r="I1127" s="404"/>
      <c r="K1127" s="224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413" t="s">
        <v>18</v>
      </c>
      <c r="D1129" s="413"/>
      <c r="E1129" s="413"/>
      <c r="F1129" s="413"/>
      <c r="G1129" s="414"/>
    </row>
    <row r="1130" spans="2:12" x14ac:dyDescent="0.3">
      <c r="B1130" s="112" t="s">
        <v>6</v>
      </c>
      <c r="C1130" s="415" t="s">
        <v>1</v>
      </c>
      <c r="D1130" s="416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411"/>
      <c r="D1131" s="412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411"/>
      <c r="D1132" s="412"/>
      <c r="E1132" s="125"/>
      <c r="F1132" s="72"/>
      <c r="G1132" s="74"/>
      <c r="I1132" s="84">
        <v>0</v>
      </c>
      <c r="K1132" s="84">
        <f>+F1132*I1132</f>
        <v>0</v>
      </c>
      <c r="L1132" s="116">
        <f>E1132*I1132</f>
        <v>0</v>
      </c>
    </row>
    <row r="1133" spans="2:12" x14ac:dyDescent="0.3">
      <c r="B1133" s="74"/>
      <c r="C1133" s="411"/>
      <c r="D1133" s="412"/>
      <c r="E1133" s="125"/>
      <c r="F1133" s="72"/>
      <c r="G1133" s="74"/>
      <c r="I1133" s="84">
        <v>0</v>
      </c>
      <c r="K1133" s="84">
        <f>+F1133*I1133</f>
        <v>0</v>
      </c>
      <c r="L1133" s="116">
        <f>E1133*I1133</f>
        <v>0</v>
      </c>
    </row>
    <row r="1134" spans="2:12" ht="17.25" thickBot="1" x14ac:dyDescent="0.35">
      <c r="L1134" s="116"/>
    </row>
    <row r="1135" spans="2:12" ht="17.25" thickBot="1" x14ac:dyDescent="0.35">
      <c r="F1135" s="402" t="s">
        <v>19</v>
      </c>
      <c r="G1135" s="403"/>
      <c r="H1135" s="403"/>
      <c r="I1135" s="404"/>
      <c r="K1135" s="224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127"/>
      <c r="H1136" s="128"/>
      <c r="I1136" s="106"/>
      <c r="K1136" s="225"/>
    </row>
    <row r="1137" spans="1:16" ht="15" customHeight="1" thickBot="1" x14ac:dyDescent="0.35"/>
    <row r="1138" spans="1:16" ht="17.25" thickBot="1" x14ac:dyDescent="0.35">
      <c r="F1138" s="402" t="s">
        <v>20</v>
      </c>
      <c r="G1138" s="403"/>
      <c r="H1138" s="403"/>
      <c r="I1138" s="404"/>
      <c r="K1138" s="224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402" t="s">
        <v>21</v>
      </c>
      <c r="G1140" s="403"/>
      <c r="H1140" s="403"/>
      <c r="I1140" s="404"/>
      <c r="K1140" s="224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402" t="s">
        <v>22</v>
      </c>
      <c r="G1142" s="403"/>
      <c r="H1142" s="403"/>
      <c r="I1142" s="404"/>
      <c r="K1142" s="224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127"/>
      <c r="H1143" s="128"/>
      <c r="I1143" s="106"/>
      <c r="K1143" s="226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127"/>
      <c r="H1144" s="128"/>
      <c r="I1144" s="106"/>
      <c r="K1144" s="227"/>
      <c r="L1144" s="129"/>
      <c r="M1144" s="132"/>
      <c r="N1144" s="133"/>
    </row>
    <row r="1145" spans="1:16" ht="17.25" thickBot="1" x14ac:dyDescent="0.35">
      <c r="B1145" s="405"/>
      <c r="C1145" s="405"/>
      <c r="D1145" s="405"/>
    </row>
    <row r="1146" spans="1:16" x14ac:dyDescent="0.3">
      <c r="B1146" s="406" t="s">
        <v>23</v>
      </c>
      <c r="C1146" s="406"/>
      <c r="D1146" s="406"/>
    </row>
    <row r="1147" spans="1:16" x14ac:dyDescent="0.3">
      <c r="B1147" s="155"/>
      <c r="C1147" s="155"/>
      <c r="D1147" s="155"/>
    </row>
    <row r="1148" spans="1:16" x14ac:dyDescent="0.3">
      <c r="B1148" s="155"/>
      <c r="C1148" s="155"/>
      <c r="D1148" s="155"/>
    </row>
    <row r="1149" spans="1:16" x14ac:dyDescent="0.3">
      <c r="B1149" s="103" t="s">
        <v>43</v>
      </c>
      <c r="C1149" s="104"/>
      <c r="D1149" s="422" t="s">
        <v>1</v>
      </c>
      <c r="E1149" s="422"/>
      <c r="F1149" s="422"/>
      <c r="G1149" s="422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09">
        <f>CATALOGO!B46</f>
        <v>407.27</v>
      </c>
      <c r="C1150" s="71"/>
      <c r="D1150" s="423" t="str">
        <f>CATALOGO!C46</f>
        <v>VIGA (0.15m X 0.40m + 4 NO. 4 + EST NO. 3 @ 0.20m)</v>
      </c>
      <c r="E1150" s="423"/>
      <c r="F1150" s="423"/>
      <c r="G1150" s="423"/>
      <c r="H1150" s="71"/>
      <c r="I1150" s="209">
        <f>CATALOGO!D46</f>
        <v>4.3</v>
      </c>
      <c r="J1150" s="107"/>
      <c r="K1150" s="222" t="str">
        <f>CATALOGO!G46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413" t="s">
        <v>5</v>
      </c>
      <c r="D1152" s="413"/>
      <c r="E1152" s="413"/>
      <c r="F1152" s="413"/>
      <c r="G1152" s="414"/>
    </row>
    <row r="1153" spans="2:12" x14ac:dyDescent="0.3">
      <c r="B1153" s="109" t="s">
        <v>6</v>
      </c>
      <c r="C1153" s="424" t="s">
        <v>1</v>
      </c>
      <c r="D1153" s="425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3" t="s">
        <v>8</v>
      </c>
      <c r="L1153" s="113" t="s">
        <v>193</v>
      </c>
    </row>
    <row r="1154" spans="2:12" x14ac:dyDescent="0.3">
      <c r="B1154" s="120">
        <v>1</v>
      </c>
      <c r="C1154" s="407" t="s">
        <v>169</v>
      </c>
      <c r="D1154" s="408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407" t="s">
        <v>168</v>
      </c>
      <c r="D1155" s="408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428" t="s">
        <v>213</v>
      </c>
      <c r="D1156" s="429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34">+F1156*I1156</f>
        <v>40</v>
      </c>
      <c r="L1156" s="116">
        <f t="shared" ref="L1156:L1163" si="35">E1156*I1156</f>
        <v>172</v>
      </c>
    </row>
    <row r="1157" spans="2:12" x14ac:dyDescent="0.3">
      <c r="B1157" s="120">
        <v>4</v>
      </c>
      <c r="C1157" s="430" t="s">
        <v>72</v>
      </c>
      <c r="D1157" s="429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34"/>
        <v>2.5</v>
      </c>
      <c r="L1157" s="116">
        <f t="shared" si="35"/>
        <v>10.75</v>
      </c>
    </row>
    <row r="1158" spans="2:12" x14ac:dyDescent="0.3">
      <c r="B1158" s="120">
        <v>5</v>
      </c>
      <c r="C1158" s="430" t="s">
        <v>229</v>
      </c>
      <c r="D1158" s="429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34"/>
        <v>2.5</v>
      </c>
      <c r="L1158" s="116">
        <f t="shared" si="35"/>
        <v>10.75</v>
      </c>
    </row>
    <row r="1159" spans="2:12" x14ac:dyDescent="0.3">
      <c r="B1159" s="120">
        <v>6</v>
      </c>
      <c r="C1159" s="433" t="s">
        <v>368</v>
      </c>
      <c r="D1159" s="433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34"/>
        <v>0.8</v>
      </c>
      <c r="L1159" s="116">
        <f t="shared" si="35"/>
        <v>3.44</v>
      </c>
    </row>
    <row r="1160" spans="2:12" x14ac:dyDescent="0.3">
      <c r="B1160" s="120">
        <v>7</v>
      </c>
      <c r="C1160" s="433" t="s">
        <v>174</v>
      </c>
      <c r="D1160" s="433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34"/>
        <v>0.2</v>
      </c>
      <c r="L1160" s="116">
        <f t="shared" si="35"/>
        <v>0.85999999999999988</v>
      </c>
    </row>
    <row r="1161" spans="2:12" x14ac:dyDescent="0.3">
      <c r="B1161" s="120">
        <v>8</v>
      </c>
      <c r="C1161" s="433" t="s">
        <v>179</v>
      </c>
      <c r="D1161" s="433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34"/>
        <v>36</v>
      </c>
      <c r="L1161" s="116">
        <f t="shared" si="35"/>
        <v>154.79999999999998</v>
      </c>
    </row>
    <row r="1162" spans="2:12" x14ac:dyDescent="0.3">
      <c r="B1162" s="120"/>
      <c r="C1162" s="410"/>
      <c r="D1162" s="410"/>
      <c r="E1162" s="114"/>
      <c r="F1162" s="72"/>
      <c r="G1162" s="74"/>
      <c r="I1162" s="115">
        <f>IF(C1162=0,0,VLOOKUP(C1162,Tabla1[],3,FALSE))</f>
        <v>0</v>
      </c>
      <c r="K1162" s="84">
        <f t="shared" si="34"/>
        <v>0</v>
      </c>
      <c r="L1162" s="116">
        <f t="shared" si="35"/>
        <v>0</v>
      </c>
    </row>
    <row r="1163" spans="2:12" x14ac:dyDescent="0.3">
      <c r="B1163" s="120"/>
      <c r="C1163" s="410"/>
      <c r="D1163" s="410"/>
      <c r="E1163" s="114"/>
      <c r="F1163" s="72"/>
      <c r="G1163" s="74"/>
      <c r="I1163" s="115">
        <f>IF(C1163=0,0,VLOOKUP(C1163,Tabla1[],3,FALSE))</f>
        <v>0</v>
      </c>
      <c r="K1163" s="84">
        <f t="shared" si="34"/>
        <v>0</v>
      </c>
      <c r="L1163" s="116">
        <f t="shared" si="35"/>
        <v>0</v>
      </c>
    </row>
    <row r="1164" spans="2:12" ht="17.25" thickBot="1" x14ac:dyDescent="0.35"/>
    <row r="1165" spans="2:12" ht="17.25" thickBot="1" x14ac:dyDescent="0.35">
      <c r="F1165" s="402" t="s">
        <v>9</v>
      </c>
      <c r="G1165" s="403"/>
      <c r="H1165" s="403"/>
      <c r="I1165" s="404"/>
      <c r="K1165" s="224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413" t="s">
        <v>11</v>
      </c>
      <c r="D1167" s="413"/>
      <c r="E1167" s="413"/>
      <c r="F1167" s="413"/>
      <c r="G1167" s="414"/>
    </row>
    <row r="1168" spans="2:12" x14ac:dyDescent="0.3">
      <c r="B1168" s="112" t="s">
        <v>6</v>
      </c>
      <c r="C1168" s="415" t="s">
        <v>1</v>
      </c>
      <c r="D1168" s="416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409"/>
      <c r="D1169" s="409"/>
      <c r="E1169" s="114"/>
      <c r="F1169" s="83"/>
      <c r="G1169" s="74"/>
      <c r="I1169" s="115">
        <f>IF(C1169=0,0,VLOOKUP(C1169,Tabla3[],3,FALSE))</f>
        <v>0</v>
      </c>
      <c r="K1169" s="84">
        <f>+F1169*I1169</f>
        <v>0</v>
      </c>
      <c r="L1169" s="116">
        <f>E1169*I1169</f>
        <v>0</v>
      </c>
    </row>
    <row r="1170" spans="2:12" x14ac:dyDescent="0.3">
      <c r="B1170" s="74"/>
      <c r="C1170" s="202"/>
      <c r="D1170" s="203"/>
      <c r="E1170" s="119"/>
      <c r="F1170" s="72"/>
      <c r="G1170" s="74"/>
      <c r="I1170" s="115">
        <f>IF(C1170=0,0,VLOOKUP(C1170,Tabla3[],3,FALSE))</f>
        <v>0</v>
      </c>
      <c r="K1170" s="84">
        <f>+F1170*I1170</f>
        <v>0</v>
      </c>
      <c r="L1170" s="116">
        <f>E1170*I1170</f>
        <v>0</v>
      </c>
    </row>
    <row r="1171" spans="2:12" x14ac:dyDescent="0.3">
      <c r="B1171" s="74"/>
      <c r="C1171" s="202"/>
      <c r="D1171" s="203"/>
      <c r="E1171" s="119"/>
      <c r="F1171" s="72"/>
      <c r="G1171" s="74"/>
      <c r="I1171" s="115">
        <f>IF(C1171=0,0,VLOOKUP(C1171,Tabla3[],3,FALSE))</f>
        <v>0</v>
      </c>
      <c r="K1171" s="84">
        <f>+F1171*I1171</f>
        <v>0</v>
      </c>
      <c r="L1171" s="116">
        <f>E1171*I1171</f>
        <v>0</v>
      </c>
    </row>
    <row r="1172" spans="2:12" x14ac:dyDescent="0.3">
      <c r="B1172" s="74"/>
      <c r="C1172" s="411"/>
      <c r="D1172" s="412"/>
      <c r="E1172" s="119"/>
      <c r="F1172" s="72"/>
      <c r="G1172" s="74"/>
      <c r="I1172" s="115">
        <f>IF(C1172=0,0,VLOOKUP(C1172,Tabla3[],3,FALSE))</f>
        <v>0</v>
      </c>
      <c r="K1172" s="84">
        <f>+F1172*I1172</f>
        <v>0</v>
      </c>
      <c r="L1172" s="116">
        <f>E1172*I1172</f>
        <v>0</v>
      </c>
    </row>
    <row r="1173" spans="2:12" ht="17.25" thickBot="1" x14ac:dyDescent="0.35"/>
    <row r="1174" spans="2:12" ht="17.25" thickBot="1" x14ac:dyDescent="0.35">
      <c r="F1174" s="402" t="s">
        <v>12</v>
      </c>
      <c r="G1174" s="403"/>
      <c r="H1174" s="403"/>
      <c r="I1174" s="404"/>
      <c r="K1174" s="224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413" t="s">
        <v>14</v>
      </c>
      <c r="D1176" s="413"/>
      <c r="E1176" s="413"/>
      <c r="F1176" s="413"/>
      <c r="G1176" s="414"/>
    </row>
    <row r="1177" spans="2:12" x14ac:dyDescent="0.3">
      <c r="B1177" s="112" t="s">
        <v>6</v>
      </c>
      <c r="C1177" s="415" t="s">
        <v>1</v>
      </c>
      <c r="D1177" s="416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409" t="s">
        <v>574</v>
      </c>
      <c r="D1178" s="409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409"/>
      <c r="D1179" s="409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417"/>
      <c r="D1180" s="418"/>
      <c r="E1180" s="122"/>
      <c r="F1180" s="123"/>
      <c r="G1180" s="74"/>
      <c r="I1180" s="115">
        <f>IF(C1180=0,0,VLOOKUP(C1180,Tabla2[],3,FALSE))</f>
        <v>0</v>
      </c>
      <c r="K1180" s="84">
        <f>+F1180*I1180</f>
        <v>0</v>
      </c>
      <c r="L1180" s="116">
        <f>E1180*I1180</f>
        <v>0</v>
      </c>
    </row>
    <row r="1181" spans="2:12" ht="17.25" thickBot="1" x14ac:dyDescent="0.35">
      <c r="B1181" s="419" t="s">
        <v>15</v>
      </c>
      <c r="C1181" s="420"/>
      <c r="D1181" s="420"/>
      <c r="E1181" s="420"/>
      <c r="F1181" s="420"/>
      <c r="G1181" s="421"/>
      <c r="I1181" s="84">
        <v>0</v>
      </c>
      <c r="K1181" s="84">
        <v>0</v>
      </c>
      <c r="L1181" s="116">
        <f>E1181*I1181</f>
        <v>0</v>
      </c>
    </row>
    <row r="1182" spans="2:12" ht="17.25" thickBot="1" x14ac:dyDescent="0.35"/>
    <row r="1183" spans="2:12" ht="17.25" thickBot="1" x14ac:dyDescent="0.35">
      <c r="F1183" s="402" t="s">
        <v>16</v>
      </c>
      <c r="G1183" s="403"/>
      <c r="H1183" s="403"/>
      <c r="I1183" s="404"/>
      <c r="K1183" s="224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413" t="s">
        <v>18</v>
      </c>
      <c r="D1185" s="413"/>
      <c r="E1185" s="413"/>
      <c r="F1185" s="413"/>
      <c r="G1185" s="414"/>
    </row>
    <row r="1186" spans="2:16" x14ac:dyDescent="0.3">
      <c r="B1186" s="112" t="s">
        <v>6</v>
      </c>
      <c r="C1186" s="415" t="s">
        <v>1</v>
      </c>
      <c r="D1186" s="416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411"/>
      <c r="D1187" s="412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411"/>
      <c r="D1188" s="412"/>
      <c r="E1188" s="125"/>
      <c r="F1188" s="72"/>
      <c r="G1188" s="74"/>
      <c r="I1188" s="84">
        <v>0</v>
      </c>
      <c r="K1188" s="84">
        <f>+F1188*I1188</f>
        <v>0</v>
      </c>
      <c r="L1188" s="116">
        <f>E1188*I1188</f>
        <v>0</v>
      </c>
    </row>
    <row r="1189" spans="2:16" x14ac:dyDescent="0.3">
      <c r="B1189" s="74"/>
      <c r="C1189" s="411"/>
      <c r="D1189" s="412"/>
      <c r="E1189" s="125"/>
      <c r="F1189" s="72"/>
      <c r="G1189" s="74"/>
      <c r="I1189" s="84">
        <v>0</v>
      </c>
      <c r="K1189" s="84">
        <f>+F1189*I1189</f>
        <v>0</v>
      </c>
      <c r="L1189" s="116">
        <f>E1189*I1189</f>
        <v>0</v>
      </c>
    </row>
    <row r="1190" spans="2:16" ht="17.25" thickBot="1" x14ac:dyDescent="0.35">
      <c r="L1190" s="116"/>
    </row>
    <row r="1191" spans="2:16" ht="17.25" thickBot="1" x14ac:dyDescent="0.35">
      <c r="F1191" s="402" t="s">
        <v>19</v>
      </c>
      <c r="G1191" s="403"/>
      <c r="H1191" s="403"/>
      <c r="I1191" s="404"/>
      <c r="K1191" s="224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127"/>
      <c r="H1192" s="128"/>
      <c r="I1192" s="106"/>
      <c r="K1192" s="225"/>
    </row>
    <row r="1193" spans="2:16" ht="15" customHeight="1" thickBot="1" x14ac:dyDescent="0.35"/>
    <row r="1194" spans="2:16" ht="17.25" thickBot="1" x14ac:dyDescent="0.35">
      <c r="F1194" s="402" t="s">
        <v>20</v>
      </c>
      <c r="G1194" s="403"/>
      <c r="H1194" s="403"/>
      <c r="I1194" s="404"/>
      <c r="K1194" s="224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402" t="s">
        <v>21</v>
      </c>
      <c r="G1196" s="403"/>
      <c r="H1196" s="403"/>
      <c r="I1196" s="404"/>
      <c r="K1196" s="224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402" t="s">
        <v>22</v>
      </c>
      <c r="G1198" s="403"/>
      <c r="H1198" s="403"/>
      <c r="I1198" s="404"/>
      <c r="K1198" s="224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127"/>
      <c r="H1199" s="128"/>
      <c r="I1199" s="106"/>
      <c r="K1199" s="226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127"/>
      <c r="H1200" s="128"/>
      <c r="I1200" s="106"/>
      <c r="K1200" s="227"/>
      <c r="L1200" s="129"/>
      <c r="M1200" s="132"/>
      <c r="N1200" s="133"/>
    </row>
    <row r="1201" spans="1:16" ht="17.25" thickBot="1" x14ac:dyDescent="0.35">
      <c r="B1201" s="405"/>
      <c r="C1201" s="405"/>
      <c r="D1201" s="405"/>
    </row>
    <row r="1202" spans="1:16" x14ac:dyDescent="0.3">
      <c r="B1202" s="406" t="s">
        <v>23</v>
      </c>
      <c r="C1202" s="406"/>
      <c r="D1202" s="406"/>
    </row>
    <row r="1203" spans="1:16" x14ac:dyDescent="0.3">
      <c r="B1203" s="155"/>
      <c r="C1203" s="155"/>
      <c r="D1203" s="155"/>
    </row>
    <row r="1204" spans="1:16" x14ac:dyDescent="0.3">
      <c r="B1204" s="155"/>
      <c r="C1204" s="155"/>
      <c r="D1204" s="155"/>
    </row>
    <row r="1205" spans="1:16" x14ac:dyDescent="0.3">
      <c r="B1205" s="103" t="s">
        <v>43</v>
      </c>
      <c r="C1205" s="104"/>
      <c r="D1205" s="422" t="s">
        <v>1</v>
      </c>
      <c r="E1205" s="422"/>
      <c r="F1205" s="422"/>
      <c r="G1205" s="422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09">
        <f>CATALOGO!B47</f>
        <v>407.28</v>
      </c>
      <c r="C1206" s="71"/>
      <c r="D1206" s="423" t="str">
        <f>CATALOGO!C47</f>
        <v>VIGA (0.40m X 0.40m + 4 NO. 5 + 2 NO.4 + EST NO. 3 @ 0.15m)</v>
      </c>
      <c r="E1206" s="423"/>
      <c r="F1206" s="423"/>
      <c r="G1206" s="423"/>
      <c r="H1206" s="71"/>
      <c r="I1206" s="209">
        <f>CATALOGO!D47</f>
        <v>15.6</v>
      </c>
      <c r="J1206" s="107"/>
      <c r="K1206" s="222" t="str">
        <f>CATALOGO!G47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413" t="s">
        <v>5</v>
      </c>
      <c r="D1208" s="413"/>
      <c r="E1208" s="413"/>
      <c r="F1208" s="413"/>
      <c r="G1208" s="414"/>
    </row>
    <row r="1209" spans="1:16" x14ac:dyDescent="0.3">
      <c r="B1209" s="109" t="s">
        <v>6</v>
      </c>
      <c r="C1209" s="424" t="s">
        <v>1</v>
      </c>
      <c r="D1209" s="425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3" t="s">
        <v>8</v>
      </c>
      <c r="L1209" s="113" t="s">
        <v>193</v>
      </c>
    </row>
    <row r="1210" spans="1:16" x14ac:dyDescent="0.3">
      <c r="B1210" s="120">
        <v>1</v>
      </c>
      <c r="C1210" s="407" t="s">
        <v>400</v>
      </c>
      <c r="D1210" s="408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407" t="s">
        <v>168</v>
      </c>
      <c r="D1211" s="408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428" t="s">
        <v>213</v>
      </c>
      <c r="D1212" s="429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36">+F1212*I1212</f>
        <v>80</v>
      </c>
      <c r="L1212" s="116">
        <f t="shared" ref="L1212:L1219" si="37">E1212*I1212</f>
        <v>1248</v>
      </c>
    </row>
    <row r="1213" spans="1:16" x14ac:dyDescent="0.3">
      <c r="B1213" s="120">
        <v>4</v>
      </c>
      <c r="C1213" s="430" t="s">
        <v>72</v>
      </c>
      <c r="D1213" s="429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36"/>
        <v>5</v>
      </c>
      <c r="L1213" s="116">
        <f t="shared" si="37"/>
        <v>78</v>
      </c>
    </row>
    <row r="1214" spans="1:16" x14ac:dyDescent="0.3">
      <c r="B1214" s="120">
        <v>5</v>
      </c>
      <c r="C1214" s="430" t="s">
        <v>229</v>
      </c>
      <c r="D1214" s="429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36"/>
        <v>5</v>
      </c>
      <c r="L1214" s="116">
        <f t="shared" si="37"/>
        <v>78</v>
      </c>
    </row>
    <row r="1215" spans="1:16" x14ac:dyDescent="0.3">
      <c r="B1215" s="120">
        <v>6</v>
      </c>
      <c r="C1215" s="433" t="s">
        <v>368</v>
      </c>
      <c r="D1215" s="433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36"/>
        <v>1.6</v>
      </c>
      <c r="L1215" s="116">
        <f t="shared" si="37"/>
        <v>24.96</v>
      </c>
    </row>
    <row r="1216" spans="1:16" x14ac:dyDescent="0.3">
      <c r="B1216" s="120">
        <v>7</v>
      </c>
      <c r="C1216" s="433" t="s">
        <v>174</v>
      </c>
      <c r="D1216" s="433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36"/>
        <v>0.4</v>
      </c>
      <c r="L1216" s="116">
        <f t="shared" si="37"/>
        <v>6.24</v>
      </c>
    </row>
    <row r="1217" spans="2:12" x14ac:dyDescent="0.3">
      <c r="B1217" s="120">
        <v>8</v>
      </c>
      <c r="C1217" s="433" t="s">
        <v>179</v>
      </c>
      <c r="D1217" s="433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36"/>
        <v>63</v>
      </c>
      <c r="L1217" s="116">
        <f t="shared" si="37"/>
        <v>982.80000000000007</v>
      </c>
    </row>
    <row r="1218" spans="2:12" x14ac:dyDescent="0.3">
      <c r="B1218" s="120">
        <v>9</v>
      </c>
      <c r="C1218" s="407" t="s">
        <v>312</v>
      </c>
      <c r="D1218" s="408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410"/>
      <c r="D1219" s="410"/>
      <c r="E1219" s="114"/>
      <c r="F1219" s="72"/>
      <c r="G1219" s="74"/>
      <c r="I1219" s="115">
        <f>IF(C1219=0,0,VLOOKUP(C1219,Tabla1[],3,FALSE))</f>
        <v>0</v>
      </c>
      <c r="K1219" s="84">
        <f t="shared" si="36"/>
        <v>0</v>
      </c>
      <c r="L1219" s="116">
        <f t="shared" si="37"/>
        <v>0</v>
      </c>
    </row>
    <row r="1220" spans="2:12" ht="17.25" thickBot="1" x14ac:dyDescent="0.35"/>
    <row r="1221" spans="2:12" ht="17.25" thickBot="1" x14ac:dyDescent="0.35">
      <c r="F1221" s="402" t="s">
        <v>9</v>
      </c>
      <c r="G1221" s="403"/>
      <c r="H1221" s="403"/>
      <c r="I1221" s="404"/>
      <c r="K1221" s="224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413" t="s">
        <v>11</v>
      </c>
      <c r="D1223" s="413"/>
      <c r="E1223" s="413"/>
      <c r="F1223" s="413"/>
      <c r="G1223" s="414"/>
    </row>
    <row r="1224" spans="2:12" x14ac:dyDescent="0.3">
      <c r="B1224" s="112" t="s">
        <v>6</v>
      </c>
      <c r="C1224" s="415" t="s">
        <v>1</v>
      </c>
      <c r="D1224" s="416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409"/>
      <c r="D1225" s="409"/>
      <c r="E1225" s="114"/>
      <c r="F1225" s="83"/>
      <c r="G1225" s="74"/>
      <c r="I1225" s="115">
        <f>IF(C1225=0,0,VLOOKUP(C1225,Tabla3[],3,FALSE))</f>
        <v>0</v>
      </c>
      <c r="K1225" s="84">
        <f>+F1225*I1225</f>
        <v>0</v>
      </c>
      <c r="L1225" s="116">
        <f>E1225*I1225</f>
        <v>0</v>
      </c>
    </row>
    <row r="1226" spans="2:12" x14ac:dyDescent="0.3">
      <c r="B1226" s="74"/>
      <c r="C1226" s="202"/>
      <c r="D1226" s="203"/>
      <c r="E1226" s="119"/>
      <c r="F1226" s="72"/>
      <c r="G1226" s="74"/>
      <c r="I1226" s="115">
        <f>IF(C1226=0,0,VLOOKUP(C1226,Tabla3[],3,FALSE))</f>
        <v>0</v>
      </c>
      <c r="K1226" s="84">
        <f>+F1226*I1226</f>
        <v>0</v>
      </c>
      <c r="L1226" s="116">
        <f>E1226*I1226</f>
        <v>0</v>
      </c>
    </row>
    <row r="1227" spans="2:12" x14ac:dyDescent="0.3">
      <c r="B1227" s="74"/>
      <c r="C1227" s="202"/>
      <c r="D1227" s="203"/>
      <c r="E1227" s="119"/>
      <c r="F1227" s="72"/>
      <c r="G1227" s="74"/>
      <c r="I1227" s="115">
        <f>IF(C1227=0,0,VLOOKUP(C1227,Tabla3[],3,FALSE))</f>
        <v>0</v>
      </c>
      <c r="K1227" s="84">
        <f>+F1227*I1227</f>
        <v>0</v>
      </c>
      <c r="L1227" s="116">
        <f>E1227*I1227</f>
        <v>0</v>
      </c>
    </row>
    <row r="1228" spans="2:12" x14ac:dyDescent="0.3">
      <c r="B1228" s="74"/>
      <c r="C1228" s="411"/>
      <c r="D1228" s="412"/>
      <c r="E1228" s="119"/>
      <c r="F1228" s="72"/>
      <c r="G1228" s="74"/>
      <c r="I1228" s="115">
        <f>IF(C1228=0,0,VLOOKUP(C1228,Tabla3[],3,FALSE))</f>
        <v>0</v>
      </c>
      <c r="K1228" s="84">
        <f>+F1228*I1228</f>
        <v>0</v>
      </c>
      <c r="L1228" s="116">
        <f>E1228*I1228</f>
        <v>0</v>
      </c>
    </row>
    <row r="1229" spans="2:12" ht="17.25" thickBot="1" x14ac:dyDescent="0.35"/>
    <row r="1230" spans="2:12" ht="17.25" thickBot="1" x14ac:dyDescent="0.35">
      <c r="F1230" s="402" t="s">
        <v>12</v>
      </c>
      <c r="G1230" s="403"/>
      <c r="H1230" s="403"/>
      <c r="I1230" s="404"/>
      <c r="K1230" s="224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413" t="s">
        <v>14</v>
      </c>
      <c r="D1232" s="413"/>
      <c r="E1232" s="413"/>
      <c r="F1232" s="413"/>
      <c r="G1232" s="414"/>
    </row>
    <row r="1233" spans="2:12" x14ac:dyDescent="0.3">
      <c r="B1233" s="112" t="s">
        <v>6</v>
      </c>
      <c r="C1233" s="415" t="s">
        <v>1</v>
      </c>
      <c r="D1233" s="416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409" t="s">
        <v>574</v>
      </c>
      <c r="D1234" s="409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409"/>
      <c r="D1235" s="409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417"/>
      <c r="D1236" s="418"/>
      <c r="E1236" s="122"/>
      <c r="F1236" s="123"/>
      <c r="G1236" s="74"/>
      <c r="I1236" s="115">
        <f>IF(C1236=0,0,VLOOKUP(C1236,Tabla2[],3,FALSE))</f>
        <v>0</v>
      </c>
      <c r="K1236" s="84">
        <f>+F1236*I1236</f>
        <v>0</v>
      </c>
      <c r="L1236" s="116">
        <f>E1236*I1236</f>
        <v>0</v>
      </c>
    </row>
    <row r="1237" spans="2:12" ht="17.25" thickBot="1" x14ac:dyDescent="0.35">
      <c r="B1237" s="419" t="s">
        <v>15</v>
      </c>
      <c r="C1237" s="420"/>
      <c r="D1237" s="420"/>
      <c r="E1237" s="420"/>
      <c r="F1237" s="420"/>
      <c r="G1237" s="421"/>
      <c r="I1237" s="84">
        <v>0</v>
      </c>
      <c r="K1237" s="84">
        <v>0</v>
      </c>
      <c r="L1237" s="116">
        <f>E1237*I1237</f>
        <v>0</v>
      </c>
    </row>
    <row r="1238" spans="2:12" ht="17.25" thickBot="1" x14ac:dyDescent="0.35"/>
    <row r="1239" spans="2:12" ht="17.25" thickBot="1" x14ac:dyDescent="0.35">
      <c r="F1239" s="402" t="s">
        <v>16</v>
      </c>
      <c r="G1239" s="403"/>
      <c r="H1239" s="403"/>
      <c r="I1239" s="404"/>
      <c r="K1239" s="224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413" t="s">
        <v>18</v>
      </c>
      <c r="D1241" s="413"/>
      <c r="E1241" s="413"/>
      <c r="F1241" s="413"/>
      <c r="G1241" s="414"/>
    </row>
    <row r="1242" spans="2:12" x14ac:dyDescent="0.3">
      <c r="B1242" s="112" t="s">
        <v>6</v>
      </c>
      <c r="C1242" s="415" t="s">
        <v>1</v>
      </c>
      <c r="D1242" s="416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411"/>
      <c r="D1243" s="412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411"/>
      <c r="D1244" s="412"/>
      <c r="E1244" s="125"/>
      <c r="F1244" s="72"/>
      <c r="G1244" s="74"/>
      <c r="I1244" s="84">
        <v>0</v>
      </c>
      <c r="K1244" s="84">
        <f>+F1244*I1244</f>
        <v>0</v>
      </c>
      <c r="L1244" s="116">
        <f>E1244*I1244</f>
        <v>0</v>
      </c>
    </row>
    <row r="1245" spans="2:12" x14ac:dyDescent="0.3">
      <c r="B1245" s="74"/>
      <c r="C1245" s="411"/>
      <c r="D1245" s="412"/>
      <c r="E1245" s="125"/>
      <c r="F1245" s="72"/>
      <c r="G1245" s="74"/>
      <c r="I1245" s="84">
        <v>0</v>
      </c>
      <c r="K1245" s="84">
        <f>+F1245*I1245</f>
        <v>0</v>
      </c>
      <c r="L1245" s="116">
        <f>E1245*I1245</f>
        <v>0</v>
      </c>
    </row>
    <row r="1246" spans="2:12" ht="17.25" thickBot="1" x14ac:dyDescent="0.35">
      <c r="L1246" s="116"/>
    </row>
    <row r="1247" spans="2:12" ht="17.25" thickBot="1" x14ac:dyDescent="0.35">
      <c r="F1247" s="402" t="s">
        <v>19</v>
      </c>
      <c r="G1247" s="403"/>
      <c r="H1247" s="403"/>
      <c r="I1247" s="404"/>
      <c r="K1247" s="224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127"/>
      <c r="H1248" s="128"/>
      <c r="I1248" s="106"/>
      <c r="K1248" s="225"/>
    </row>
    <row r="1249" spans="1:16" ht="15" customHeight="1" thickBot="1" x14ac:dyDescent="0.35"/>
    <row r="1250" spans="1:16" ht="17.25" thickBot="1" x14ac:dyDescent="0.35">
      <c r="F1250" s="402" t="s">
        <v>20</v>
      </c>
      <c r="G1250" s="403"/>
      <c r="H1250" s="403"/>
      <c r="I1250" s="404"/>
      <c r="K1250" s="224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402" t="s">
        <v>21</v>
      </c>
      <c r="G1252" s="403"/>
      <c r="H1252" s="403"/>
      <c r="I1252" s="404"/>
      <c r="K1252" s="224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402" t="s">
        <v>22</v>
      </c>
      <c r="G1254" s="403"/>
      <c r="H1254" s="403"/>
      <c r="I1254" s="404"/>
      <c r="K1254" s="224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127"/>
      <c r="H1255" s="128"/>
      <c r="I1255" s="106"/>
      <c r="K1255" s="226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127"/>
      <c r="H1256" s="128"/>
      <c r="I1256" s="106"/>
      <c r="K1256" s="227"/>
      <c r="L1256" s="129"/>
      <c r="M1256" s="132"/>
      <c r="N1256" s="133"/>
    </row>
    <row r="1257" spans="1:16" ht="17.25" thickBot="1" x14ac:dyDescent="0.35">
      <c r="B1257" s="405"/>
      <c r="C1257" s="405"/>
      <c r="D1257" s="405"/>
    </row>
    <row r="1258" spans="1:16" x14ac:dyDescent="0.3">
      <c r="B1258" s="406" t="s">
        <v>23</v>
      </c>
      <c r="C1258" s="406"/>
      <c r="D1258" s="406"/>
    </row>
    <row r="1259" spans="1:16" x14ac:dyDescent="0.3">
      <c r="B1259" s="155"/>
      <c r="C1259" s="155"/>
      <c r="D1259" s="155"/>
    </row>
    <row r="1260" spans="1:16" x14ac:dyDescent="0.3">
      <c r="B1260" s="155"/>
      <c r="C1260" s="155"/>
      <c r="D1260" s="155"/>
    </row>
    <row r="1261" spans="1:16" x14ac:dyDescent="0.3">
      <c r="B1261" s="103" t="s">
        <v>43</v>
      </c>
      <c r="C1261" s="104"/>
      <c r="D1261" s="422" t="s">
        <v>1</v>
      </c>
      <c r="E1261" s="422"/>
      <c r="F1261" s="422"/>
      <c r="G1261" s="422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09">
        <f>CATALOGO!B48</f>
        <v>408.01</v>
      </c>
      <c r="C1262" s="71"/>
      <c r="D1262" s="437" t="str">
        <f>CATALOGO!C48</f>
        <v>LOSA TRADICIONAL (E = 0.10m + REFUERZO NO. 3 - S = 0.18m X 0.18m + BASTONES NO 3 - S = 0.18m X 0.18m)</v>
      </c>
      <c r="E1262" s="437"/>
      <c r="F1262" s="437"/>
      <c r="G1262" s="437"/>
      <c r="H1262" s="71"/>
      <c r="I1262" s="209">
        <f>CATALOGO!D48</f>
        <v>32.57</v>
      </c>
      <c r="J1262" s="107"/>
      <c r="K1262" s="222" t="str">
        <f>CATALOGO!G48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413" t="s">
        <v>5</v>
      </c>
      <c r="D1264" s="413"/>
      <c r="E1264" s="413"/>
      <c r="F1264" s="413"/>
      <c r="G1264" s="414"/>
    </row>
    <row r="1265" spans="2:12" x14ac:dyDescent="0.3">
      <c r="B1265" s="109" t="s">
        <v>6</v>
      </c>
      <c r="C1265" s="424" t="s">
        <v>1</v>
      </c>
      <c r="D1265" s="425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3" t="s">
        <v>8</v>
      </c>
      <c r="L1265" s="113" t="s">
        <v>193</v>
      </c>
    </row>
    <row r="1266" spans="2:12" x14ac:dyDescent="0.3">
      <c r="B1266" s="120">
        <v>1</v>
      </c>
      <c r="C1266" s="407" t="s">
        <v>168</v>
      </c>
      <c r="D1266" s="408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428" t="s">
        <v>213</v>
      </c>
      <c r="D1267" s="429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38">+F1267*I1267</f>
        <v>148</v>
      </c>
      <c r="L1267" s="116">
        <f t="shared" ref="L1267:L1272" si="39">E1267*I1267</f>
        <v>4820.3599999999997</v>
      </c>
    </row>
    <row r="1268" spans="2:12" x14ac:dyDescent="0.3">
      <c r="B1268" s="120">
        <v>4</v>
      </c>
      <c r="C1268" s="430" t="s">
        <v>72</v>
      </c>
      <c r="D1268" s="429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38"/>
        <v>10</v>
      </c>
      <c r="L1268" s="116">
        <f t="shared" si="39"/>
        <v>325.7</v>
      </c>
    </row>
    <row r="1269" spans="2:12" x14ac:dyDescent="0.3">
      <c r="B1269" s="120">
        <v>5</v>
      </c>
      <c r="C1269" s="430" t="s">
        <v>229</v>
      </c>
      <c r="D1269" s="429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38"/>
        <v>10</v>
      </c>
      <c r="L1269" s="116">
        <f t="shared" si="39"/>
        <v>325.7</v>
      </c>
    </row>
    <row r="1270" spans="2:12" x14ac:dyDescent="0.3">
      <c r="B1270" s="120">
        <v>6</v>
      </c>
      <c r="C1270" s="433" t="s">
        <v>368</v>
      </c>
      <c r="D1270" s="433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38"/>
        <v>1.6</v>
      </c>
      <c r="L1270" s="116">
        <f t="shared" si="39"/>
        <v>52.112000000000002</v>
      </c>
    </row>
    <row r="1271" spans="2:12" x14ac:dyDescent="0.3">
      <c r="B1271" s="120">
        <v>7</v>
      </c>
      <c r="C1271" s="433" t="s">
        <v>174</v>
      </c>
      <c r="D1271" s="433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38"/>
        <v>0.4</v>
      </c>
      <c r="L1271" s="116">
        <f t="shared" si="39"/>
        <v>13.027999999999999</v>
      </c>
    </row>
    <row r="1272" spans="2:12" x14ac:dyDescent="0.3">
      <c r="B1272" s="120">
        <v>8</v>
      </c>
      <c r="C1272" s="433" t="s">
        <v>179</v>
      </c>
      <c r="D1272" s="433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38"/>
        <v>63</v>
      </c>
      <c r="L1272" s="116">
        <f t="shared" si="39"/>
        <v>2051.91</v>
      </c>
    </row>
    <row r="1273" spans="2:12" x14ac:dyDescent="0.3">
      <c r="B1273" s="120"/>
      <c r="C1273" s="407"/>
      <c r="D1273" s="408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07"/>
      <c r="D1274" s="208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410"/>
      <c r="D1275" s="410"/>
      <c r="E1275" s="114"/>
      <c r="F1275" s="72"/>
      <c r="G1275" s="74"/>
      <c r="I1275" s="115">
        <f>IF(C1275=0,0,VLOOKUP(C1275,Tabla1[],3,FALSE))</f>
        <v>0</v>
      </c>
      <c r="K1275" s="84">
        <f>+F1275*I1275</f>
        <v>0</v>
      </c>
      <c r="L1275" s="116">
        <f>E1275*I1275</f>
        <v>0</v>
      </c>
    </row>
    <row r="1276" spans="2:12" ht="17.25" thickBot="1" x14ac:dyDescent="0.35"/>
    <row r="1277" spans="2:12" ht="17.25" thickBot="1" x14ac:dyDescent="0.35">
      <c r="F1277" s="402" t="s">
        <v>9</v>
      </c>
      <c r="G1277" s="403"/>
      <c r="H1277" s="403"/>
      <c r="I1277" s="404"/>
      <c r="K1277" s="224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413" t="s">
        <v>11</v>
      </c>
      <c r="D1279" s="413"/>
      <c r="E1279" s="413"/>
      <c r="F1279" s="413"/>
      <c r="G1279" s="414"/>
    </row>
    <row r="1280" spans="2:12" x14ac:dyDescent="0.3">
      <c r="B1280" s="112" t="s">
        <v>6</v>
      </c>
      <c r="C1280" s="415" t="s">
        <v>1</v>
      </c>
      <c r="D1280" s="416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409"/>
      <c r="D1281" s="409"/>
      <c r="E1281" s="114"/>
      <c r="F1281" s="83"/>
      <c r="G1281" s="74"/>
      <c r="I1281" s="115">
        <f>IF(C1281=0,0,VLOOKUP(C1281,Tabla3[],3,FALSE))</f>
        <v>0</v>
      </c>
      <c r="K1281" s="84">
        <f>+F1281*I1281</f>
        <v>0</v>
      </c>
      <c r="L1281" s="116">
        <f>E1281*I1281</f>
        <v>0</v>
      </c>
    </row>
    <row r="1282" spans="2:12" x14ac:dyDescent="0.3">
      <c r="B1282" s="74"/>
      <c r="C1282" s="202"/>
      <c r="D1282" s="203"/>
      <c r="E1282" s="119"/>
      <c r="F1282" s="72"/>
      <c r="G1282" s="74"/>
      <c r="I1282" s="115">
        <f>IF(C1282=0,0,VLOOKUP(C1282,Tabla3[],3,FALSE))</f>
        <v>0</v>
      </c>
      <c r="K1282" s="84">
        <f>+F1282*I1282</f>
        <v>0</v>
      </c>
      <c r="L1282" s="116">
        <f>E1282*I1282</f>
        <v>0</v>
      </c>
    </row>
    <row r="1283" spans="2:12" x14ac:dyDescent="0.3">
      <c r="B1283" s="74"/>
      <c r="C1283" s="202"/>
      <c r="D1283" s="203"/>
      <c r="E1283" s="119"/>
      <c r="F1283" s="72"/>
      <c r="G1283" s="74"/>
      <c r="I1283" s="115">
        <f>IF(C1283=0,0,VLOOKUP(C1283,Tabla3[],3,FALSE))</f>
        <v>0</v>
      </c>
      <c r="K1283" s="84">
        <f>+F1283*I1283</f>
        <v>0</v>
      </c>
      <c r="L1283" s="116">
        <f>E1283*I1283</f>
        <v>0</v>
      </c>
    </row>
    <row r="1284" spans="2:12" x14ac:dyDescent="0.3">
      <c r="B1284" s="74"/>
      <c r="C1284" s="411"/>
      <c r="D1284" s="412"/>
      <c r="E1284" s="119"/>
      <c r="F1284" s="72"/>
      <c r="G1284" s="74"/>
      <c r="I1284" s="115">
        <f>IF(C1284=0,0,VLOOKUP(C1284,Tabla3[],3,FALSE))</f>
        <v>0</v>
      </c>
      <c r="K1284" s="84">
        <f>+F1284*I1284</f>
        <v>0</v>
      </c>
      <c r="L1284" s="116">
        <f>E1284*I1284</f>
        <v>0</v>
      </c>
    </row>
    <row r="1285" spans="2:12" ht="17.25" thickBot="1" x14ac:dyDescent="0.35"/>
    <row r="1286" spans="2:12" ht="17.25" thickBot="1" x14ac:dyDescent="0.35">
      <c r="F1286" s="402" t="s">
        <v>12</v>
      </c>
      <c r="G1286" s="403"/>
      <c r="H1286" s="403"/>
      <c r="I1286" s="404"/>
      <c r="K1286" s="224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413" t="s">
        <v>14</v>
      </c>
      <c r="D1288" s="413"/>
      <c r="E1288" s="413"/>
      <c r="F1288" s="413"/>
      <c r="G1288" s="414"/>
    </row>
    <row r="1289" spans="2:12" x14ac:dyDescent="0.3">
      <c r="B1289" s="112" t="s">
        <v>6</v>
      </c>
      <c r="C1289" s="415" t="s">
        <v>1</v>
      </c>
      <c r="D1289" s="416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409" t="s">
        <v>575</v>
      </c>
      <c r="D1290" s="409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409"/>
      <c r="D1291" s="409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417"/>
      <c r="D1292" s="418"/>
      <c r="E1292" s="122"/>
      <c r="F1292" s="123"/>
      <c r="G1292" s="74"/>
      <c r="I1292" s="115">
        <f>IF(C1292=0,0,VLOOKUP(C1292,Tabla2[],3,FALSE))</f>
        <v>0</v>
      </c>
      <c r="K1292" s="84">
        <f>+F1292*I1292</f>
        <v>0</v>
      </c>
      <c r="L1292" s="116">
        <f>E1292*I1292</f>
        <v>0</v>
      </c>
    </row>
    <row r="1293" spans="2:12" ht="17.25" thickBot="1" x14ac:dyDescent="0.35">
      <c r="B1293" s="419" t="s">
        <v>15</v>
      </c>
      <c r="C1293" s="420"/>
      <c r="D1293" s="420"/>
      <c r="E1293" s="420"/>
      <c r="F1293" s="420"/>
      <c r="G1293" s="421"/>
      <c r="I1293" s="84">
        <v>0</v>
      </c>
      <c r="K1293" s="84">
        <v>0</v>
      </c>
      <c r="L1293" s="116">
        <f>E1293*I1293</f>
        <v>0</v>
      </c>
    </row>
    <row r="1294" spans="2:12" ht="17.25" thickBot="1" x14ac:dyDescent="0.35"/>
    <row r="1295" spans="2:12" ht="17.25" thickBot="1" x14ac:dyDescent="0.35">
      <c r="F1295" s="402" t="s">
        <v>16</v>
      </c>
      <c r="G1295" s="403"/>
      <c r="H1295" s="403"/>
      <c r="I1295" s="404"/>
      <c r="K1295" s="224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413" t="s">
        <v>18</v>
      </c>
      <c r="D1297" s="413"/>
      <c r="E1297" s="413"/>
      <c r="F1297" s="413"/>
      <c r="G1297" s="414"/>
    </row>
    <row r="1298" spans="2:16" x14ac:dyDescent="0.3">
      <c r="B1298" s="112" t="s">
        <v>6</v>
      </c>
      <c r="C1298" s="415" t="s">
        <v>1</v>
      </c>
      <c r="D1298" s="416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411"/>
      <c r="D1299" s="412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411"/>
      <c r="D1300" s="412"/>
      <c r="E1300" s="125"/>
      <c r="F1300" s="72"/>
      <c r="G1300" s="74"/>
      <c r="I1300" s="84">
        <v>0</v>
      </c>
      <c r="K1300" s="84">
        <f>+F1300*I1300</f>
        <v>0</v>
      </c>
      <c r="L1300" s="116">
        <f>E1300*I1300</f>
        <v>0</v>
      </c>
    </row>
    <row r="1301" spans="2:16" x14ac:dyDescent="0.3">
      <c r="B1301" s="74"/>
      <c r="C1301" s="411"/>
      <c r="D1301" s="412"/>
      <c r="E1301" s="125"/>
      <c r="F1301" s="72"/>
      <c r="G1301" s="74"/>
      <c r="I1301" s="84">
        <v>0</v>
      </c>
      <c r="K1301" s="84">
        <f>+F1301*I1301</f>
        <v>0</v>
      </c>
      <c r="L1301" s="116">
        <f>E1301*I1301</f>
        <v>0</v>
      </c>
    </row>
    <row r="1302" spans="2:16" ht="17.25" thickBot="1" x14ac:dyDescent="0.35">
      <c r="L1302" s="116"/>
    </row>
    <row r="1303" spans="2:16" ht="17.25" thickBot="1" x14ac:dyDescent="0.35">
      <c r="F1303" s="402" t="s">
        <v>19</v>
      </c>
      <c r="G1303" s="403"/>
      <c r="H1303" s="403"/>
      <c r="I1303" s="404"/>
      <c r="K1303" s="224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127"/>
      <c r="H1304" s="128"/>
      <c r="I1304" s="106"/>
      <c r="K1304" s="225"/>
    </row>
    <row r="1305" spans="2:16" ht="15" customHeight="1" thickBot="1" x14ac:dyDescent="0.35"/>
    <row r="1306" spans="2:16" ht="17.25" thickBot="1" x14ac:dyDescent="0.35">
      <c r="F1306" s="402" t="s">
        <v>20</v>
      </c>
      <c r="G1306" s="403"/>
      <c r="H1306" s="403"/>
      <c r="I1306" s="404"/>
      <c r="K1306" s="224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402" t="s">
        <v>21</v>
      </c>
      <c r="G1308" s="403"/>
      <c r="H1308" s="403"/>
      <c r="I1308" s="404"/>
      <c r="K1308" s="224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402" t="s">
        <v>22</v>
      </c>
      <c r="G1310" s="403"/>
      <c r="H1310" s="403"/>
      <c r="I1310" s="404"/>
      <c r="K1310" s="224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127"/>
      <c r="H1311" s="128"/>
      <c r="I1311" s="106"/>
      <c r="K1311" s="226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127"/>
      <c r="H1312" s="128"/>
      <c r="I1312" s="106"/>
      <c r="K1312" s="227"/>
      <c r="L1312" s="129"/>
      <c r="M1312" s="132"/>
      <c r="N1312" s="133"/>
    </row>
    <row r="1313" spans="1:16" ht="17.25" thickBot="1" x14ac:dyDescent="0.35">
      <c r="B1313" s="405"/>
      <c r="C1313" s="405"/>
      <c r="D1313" s="405"/>
    </row>
    <row r="1314" spans="1:16" x14ac:dyDescent="0.3">
      <c r="B1314" s="406" t="s">
        <v>23</v>
      </c>
      <c r="C1314" s="406"/>
      <c r="D1314" s="406"/>
    </row>
    <row r="1315" spans="1:16" x14ac:dyDescent="0.3">
      <c r="B1315" s="155"/>
      <c r="C1315" s="155"/>
      <c r="D1315" s="155"/>
    </row>
    <row r="1316" spans="1:16" x14ac:dyDescent="0.3">
      <c r="B1316" s="155"/>
      <c r="C1316" s="155"/>
      <c r="D1316" s="155"/>
    </row>
    <row r="1317" spans="1:16" x14ac:dyDescent="0.3">
      <c r="B1317" s="103" t="s">
        <v>43</v>
      </c>
      <c r="C1317" s="104"/>
      <c r="D1317" s="422" t="s">
        <v>1</v>
      </c>
      <c r="E1317" s="422"/>
      <c r="F1317" s="422"/>
      <c r="G1317" s="422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09">
        <f>CATALOGO!B49</f>
        <v>411.04</v>
      </c>
      <c r="C1318" s="71"/>
      <c r="D1318" s="423" t="str">
        <f>CATALOGO!C49</f>
        <v>CENEFA (0.40m X 0.10m, NO.3 EN AMBOS SENTIDOS @ 0.20m - FORMA L)</v>
      </c>
      <c r="E1318" s="423"/>
      <c r="F1318" s="423"/>
      <c r="G1318" s="423"/>
      <c r="H1318" s="71"/>
      <c r="I1318" s="209">
        <f>CATALOGO!D49</f>
        <v>13.97</v>
      </c>
      <c r="J1318" s="107"/>
      <c r="K1318" s="222" t="str">
        <f>CATALOGO!G49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413" t="s">
        <v>5</v>
      </c>
      <c r="D1320" s="413"/>
      <c r="E1320" s="413"/>
      <c r="F1320" s="413"/>
      <c r="G1320" s="414"/>
    </row>
    <row r="1321" spans="1:16" x14ac:dyDescent="0.3">
      <c r="B1321" s="109" t="s">
        <v>6</v>
      </c>
      <c r="C1321" s="424" t="s">
        <v>1</v>
      </c>
      <c r="D1321" s="425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3" t="s">
        <v>8</v>
      </c>
      <c r="L1321" s="113" t="s">
        <v>193</v>
      </c>
    </row>
    <row r="1322" spans="1:16" x14ac:dyDescent="0.3">
      <c r="B1322" s="120">
        <v>1</v>
      </c>
      <c r="C1322" s="407" t="s">
        <v>168</v>
      </c>
      <c r="D1322" s="408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428" t="s">
        <v>213</v>
      </c>
      <c r="D1323" s="429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40">+F1323*I1323</f>
        <v>80</v>
      </c>
      <c r="L1323" s="116">
        <f t="shared" ref="L1323:L1328" si="41">E1323*I1323</f>
        <v>1117.6000000000001</v>
      </c>
    </row>
    <row r="1324" spans="1:16" x14ac:dyDescent="0.3">
      <c r="B1324" s="120">
        <v>3</v>
      </c>
      <c r="C1324" s="430" t="s">
        <v>72</v>
      </c>
      <c r="D1324" s="429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40"/>
        <v>5</v>
      </c>
      <c r="L1324" s="116">
        <f t="shared" si="41"/>
        <v>69.850000000000009</v>
      </c>
    </row>
    <row r="1325" spans="1:16" x14ac:dyDescent="0.3">
      <c r="B1325" s="120">
        <v>4</v>
      </c>
      <c r="C1325" s="430" t="s">
        <v>229</v>
      </c>
      <c r="D1325" s="429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40"/>
        <v>5</v>
      </c>
      <c r="L1325" s="116">
        <f t="shared" si="41"/>
        <v>69.850000000000009</v>
      </c>
    </row>
    <row r="1326" spans="1:16" x14ac:dyDescent="0.3">
      <c r="B1326" s="120">
        <v>5</v>
      </c>
      <c r="C1326" s="433" t="s">
        <v>368</v>
      </c>
      <c r="D1326" s="433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40"/>
        <v>0.8</v>
      </c>
      <c r="L1326" s="116">
        <f t="shared" si="41"/>
        <v>11.176000000000002</v>
      </c>
    </row>
    <row r="1327" spans="1:16" x14ac:dyDescent="0.3">
      <c r="B1327" s="120">
        <v>6</v>
      </c>
      <c r="C1327" s="433" t="s">
        <v>174</v>
      </c>
      <c r="D1327" s="433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40"/>
        <v>0.2</v>
      </c>
      <c r="L1327" s="116">
        <f t="shared" si="41"/>
        <v>2.7940000000000005</v>
      </c>
    </row>
    <row r="1328" spans="1:16" x14ac:dyDescent="0.3">
      <c r="B1328" s="120">
        <v>7</v>
      </c>
      <c r="C1328" s="433" t="s">
        <v>179</v>
      </c>
      <c r="D1328" s="433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40"/>
        <v>27</v>
      </c>
      <c r="L1328" s="116">
        <f t="shared" si="41"/>
        <v>377.19000000000005</v>
      </c>
    </row>
    <row r="1329" spans="2:12" x14ac:dyDescent="0.3">
      <c r="B1329" s="120"/>
      <c r="C1329" s="407"/>
      <c r="D1329" s="408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07"/>
      <c r="D1330" s="208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410"/>
      <c r="D1331" s="410"/>
      <c r="E1331" s="114"/>
      <c r="F1331" s="72"/>
      <c r="G1331" s="74"/>
      <c r="I1331" s="115">
        <f>IF(C1331=0,0,VLOOKUP(C1331,Tabla1[],3,FALSE))</f>
        <v>0</v>
      </c>
      <c r="K1331" s="84">
        <f>+F1331*I1331</f>
        <v>0</v>
      </c>
      <c r="L1331" s="116">
        <f>E1331*I1331</f>
        <v>0</v>
      </c>
    </row>
    <row r="1332" spans="2:12" ht="17.25" thickBot="1" x14ac:dyDescent="0.35"/>
    <row r="1333" spans="2:12" ht="17.25" thickBot="1" x14ac:dyDescent="0.35">
      <c r="F1333" s="402" t="s">
        <v>9</v>
      </c>
      <c r="G1333" s="403"/>
      <c r="H1333" s="403"/>
      <c r="I1333" s="404"/>
      <c r="K1333" s="224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413" t="s">
        <v>11</v>
      </c>
      <c r="D1335" s="413"/>
      <c r="E1335" s="413"/>
      <c r="F1335" s="413"/>
      <c r="G1335" s="414"/>
    </row>
    <row r="1336" spans="2:12" x14ac:dyDescent="0.3">
      <c r="B1336" s="112" t="s">
        <v>6</v>
      </c>
      <c r="C1336" s="415" t="s">
        <v>1</v>
      </c>
      <c r="D1336" s="416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409"/>
      <c r="D1337" s="409"/>
      <c r="E1337" s="114"/>
      <c r="F1337" s="83"/>
      <c r="G1337" s="74"/>
      <c r="I1337" s="115">
        <f>IF(C1337=0,0,VLOOKUP(C1337,Tabla3[],3,FALSE))</f>
        <v>0</v>
      </c>
      <c r="K1337" s="84">
        <f>+F1337*I1337</f>
        <v>0</v>
      </c>
      <c r="L1337" s="116">
        <f>E1337*I1337</f>
        <v>0</v>
      </c>
    </row>
    <row r="1338" spans="2:12" x14ac:dyDescent="0.3">
      <c r="B1338" s="74"/>
      <c r="C1338" s="202"/>
      <c r="D1338" s="203"/>
      <c r="E1338" s="119"/>
      <c r="F1338" s="72"/>
      <c r="G1338" s="74"/>
      <c r="I1338" s="115">
        <f>IF(C1338=0,0,VLOOKUP(C1338,Tabla3[],3,FALSE))</f>
        <v>0</v>
      </c>
      <c r="K1338" s="84">
        <f>+F1338*I1338</f>
        <v>0</v>
      </c>
      <c r="L1338" s="116">
        <f>E1338*I1338</f>
        <v>0</v>
      </c>
    </row>
    <row r="1339" spans="2:12" x14ac:dyDescent="0.3">
      <c r="B1339" s="74"/>
      <c r="C1339" s="202"/>
      <c r="D1339" s="203"/>
      <c r="E1339" s="119"/>
      <c r="F1339" s="72"/>
      <c r="G1339" s="74"/>
      <c r="I1339" s="115">
        <f>IF(C1339=0,0,VLOOKUP(C1339,Tabla3[],3,FALSE))</f>
        <v>0</v>
      </c>
      <c r="K1339" s="84">
        <f>+F1339*I1339</f>
        <v>0</v>
      </c>
      <c r="L1339" s="116">
        <f>E1339*I1339</f>
        <v>0</v>
      </c>
    </row>
    <row r="1340" spans="2:12" x14ac:dyDescent="0.3">
      <c r="B1340" s="74"/>
      <c r="C1340" s="411"/>
      <c r="D1340" s="412"/>
      <c r="E1340" s="119"/>
      <c r="F1340" s="72"/>
      <c r="G1340" s="74"/>
      <c r="I1340" s="115">
        <f>IF(C1340=0,0,VLOOKUP(C1340,Tabla3[],3,FALSE))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/>
    <row r="1342" spans="2:12" ht="17.25" thickBot="1" x14ac:dyDescent="0.35">
      <c r="F1342" s="402" t="s">
        <v>12</v>
      </c>
      <c r="G1342" s="403"/>
      <c r="H1342" s="403"/>
      <c r="I1342" s="404"/>
      <c r="K1342" s="224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413" t="s">
        <v>14</v>
      </c>
      <c r="D1344" s="413"/>
      <c r="E1344" s="413"/>
      <c r="F1344" s="413"/>
      <c r="G1344" s="414"/>
    </row>
    <row r="1345" spans="2:12" x14ac:dyDescent="0.3">
      <c r="B1345" s="112" t="s">
        <v>6</v>
      </c>
      <c r="C1345" s="415" t="s">
        <v>1</v>
      </c>
      <c r="D1345" s="416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409" t="s">
        <v>576</v>
      </c>
      <c r="D1346" s="409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409"/>
      <c r="D1347" s="409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417"/>
      <c r="D1348" s="418"/>
      <c r="E1348" s="122"/>
      <c r="F1348" s="123"/>
      <c r="G1348" s="74"/>
      <c r="I1348" s="115">
        <f>IF(C1348=0,0,VLOOKUP(C1348,Tabla2[],3,FALSE))</f>
        <v>0</v>
      </c>
      <c r="K1348" s="84">
        <f>+F1348*I1348</f>
        <v>0</v>
      </c>
      <c r="L1348" s="116">
        <f>E1348*I1348</f>
        <v>0</v>
      </c>
    </row>
    <row r="1349" spans="2:12" ht="17.25" thickBot="1" x14ac:dyDescent="0.35">
      <c r="B1349" s="419" t="s">
        <v>15</v>
      </c>
      <c r="C1349" s="420"/>
      <c r="D1349" s="420"/>
      <c r="E1349" s="420"/>
      <c r="F1349" s="420"/>
      <c r="G1349" s="421"/>
      <c r="I1349" s="84">
        <v>0</v>
      </c>
      <c r="K1349" s="84">
        <v>0</v>
      </c>
      <c r="L1349" s="116">
        <f>E1349*I1349</f>
        <v>0</v>
      </c>
    </row>
    <row r="1350" spans="2:12" ht="17.25" thickBot="1" x14ac:dyDescent="0.35"/>
    <row r="1351" spans="2:12" ht="17.25" thickBot="1" x14ac:dyDescent="0.35">
      <c r="F1351" s="402" t="s">
        <v>16</v>
      </c>
      <c r="G1351" s="403"/>
      <c r="H1351" s="403"/>
      <c r="I1351" s="404"/>
      <c r="K1351" s="224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413" t="s">
        <v>18</v>
      </c>
      <c r="D1353" s="413"/>
      <c r="E1353" s="413"/>
      <c r="F1353" s="413"/>
      <c r="G1353" s="414"/>
    </row>
    <row r="1354" spans="2:12" x14ac:dyDescent="0.3">
      <c r="B1354" s="112" t="s">
        <v>6</v>
      </c>
      <c r="C1354" s="415" t="s">
        <v>1</v>
      </c>
      <c r="D1354" s="416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411"/>
      <c r="D1355" s="412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411"/>
      <c r="D1356" s="412"/>
      <c r="E1356" s="125"/>
      <c r="F1356" s="72"/>
      <c r="G1356" s="74"/>
      <c r="I1356" s="84">
        <v>0</v>
      </c>
      <c r="K1356" s="84">
        <f>+F1356*I1356</f>
        <v>0</v>
      </c>
      <c r="L1356" s="116">
        <f>E1356*I1356</f>
        <v>0</v>
      </c>
    </row>
    <row r="1357" spans="2:12" x14ac:dyDescent="0.3">
      <c r="B1357" s="74"/>
      <c r="C1357" s="411"/>
      <c r="D1357" s="412"/>
      <c r="E1357" s="125"/>
      <c r="F1357" s="72"/>
      <c r="G1357" s="74"/>
      <c r="I1357" s="84">
        <v>0</v>
      </c>
      <c r="K1357" s="84">
        <f>+F1357*I1357</f>
        <v>0</v>
      </c>
      <c r="L1357" s="116">
        <f>E1357*I1357</f>
        <v>0</v>
      </c>
    </row>
    <row r="1358" spans="2:12" ht="17.25" thickBot="1" x14ac:dyDescent="0.35">
      <c r="L1358" s="116"/>
    </row>
    <row r="1359" spans="2:12" ht="17.25" thickBot="1" x14ac:dyDescent="0.35">
      <c r="F1359" s="402" t="s">
        <v>19</v>
      </c>
      <c r="G1359" s="403"/>
      <c r="H1359" s="403"/>
      <c r="I1359" s="404"/>
      <c r="K1359" s="224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127"/>
      <c r="H1360" s="128"/>
      <c r="I1360" s="106"/>
      <c r="K1360" s="225"/>
    </row>
    <row r="1361" spans="1:16" ht="15" customHeight="1" thickBot="1" x14ac:dyDescent="0.35"/>
    <row r="1362" spans="1:16" ht="17.25" thickBot="1" x14ac:dyDescent="0.35">
      <c r="F1362" s="402" t="s">
        <v>20</v>
      </c>
      <c r="G1362" s="403"/>
      <c r="H1362" s="403"/>
      <c r="I1362" s="404"/>
      <c r="K1362" s="224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402" t="s">
        <v>21</v>
      </c>
      <c r="G1364" s="403"/>
      <c r="H1364" s="403"/>
      <c r="I1364" s="404"/>
      <c r="K1364" s="224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402" t="s">
        <v>22</v>
      </c>
      <c r="G1366" s="403"/>
      <c r="H1366" s="403"/>
      <c r="I1366" s="404"/>
      <c r="K1366" s="224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127"/>
      <c r="H1367" s="128"/>
      <c r="I1367" s="106"/>
      <c r="K1367" s="226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127"/>
      <c r="H1368" s="128"/>
      <c r="I1368" s="106"/>
      <c r="K1368" s="227"/>
      <c r="L1368" s="129"/>
      <c r="M1368" s="132"/>
      <c r="N1368" s="133"/>
    </row>
    <row r="1369" spans="1:16" ht="17.25" thickBot="1" x14ac:dyDescent="0.35">
      <c r="B1369" s="405"/>
      <c r="C1369" s="405"/>
      <c r="D1369" s="405"/>
    </row>
    <row r="1370" spans="1:16" x14ac:dyDescent="0.3">
      <c r="B1370" s="406" t="s">
        <v>23</v>
      </c>
      <c r="C1370" s="406"/>
      <c r="D1370" s="406"/>
    </row>
    <row r="1371" spans="1:16" x14ac:dyDescent="0.3">
      <c r="B1371" s="155"/>
      <c r="C1371" s="155"/>
      <c r="D1371" s="155"/>
    </row>
    <row r="1372" spans="1:16" x14ac:dyDescent="0.3">
      <c r="B1372" s="155"/>
      <c r="C1372" s="155"/>
      <c r="D1372" s="155"/>
    </row>
    <row r="1373" spans="1:16" x14ac:dyDescent="0.3">
      <c r="B1373" s="103" t="s">
        <v>43</v>
      </c>
      <c r="C1373" s="104"/>
      <c r="D1373" s="422" t="s">
        <v>1</v>
      </c>
      <c r="E1373" s="422"/>
      <c r="F1373" s="422"/>
      <c r="G1373" s="422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09">
        <f>CATALOGO!B51</f>
        <v>503.02</v>
      </c>
      <c r="C1374" s="71"/>
      <c r="D1374" s="423" t="str">
        <f>CATALOGO!C51</f>
        <v xml:space="preserve">COSTANERA DE 2" X 4" X 1/16" </v>
      </c>
      <c r="E1374" s="423"/>
      <c r="F1374" s="423"/>
      <c r="G1374" s="423"/>
      <c r="H1374" s="71"/>
      <c r="I1374" s="209">
        <f>CATALOGO!D51</f>
        <v>9.6</v>
      </c>
      <c r="J1374" s="107"/>
      <c r="K1374" s="222" t="str">
        <f>CATALOGO!G51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413" t="s">
        <v>5</v>
      </c>
      <c r="D1376" s="413"/>
      <c r="E1376" s="413"/>
      <c r="F1376" s="413"/>
      <c r="G1376" s="414"/>
    </row>
    <row r="1377" spans="2:12" x14ac:dyDescent="0.3">
      <c r="B1377" s="109" t="s">
        <v>6</v>
      </c>
      <c r="C1377" s="424" t="s">
        <v>1</v>
      </c>
      <c r="D1377" s="425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3" t="s">
        <v>8</v>
      </c>
      <c r="L1377" s="113" t="s">
        <v>193</v>
      </c>
    </row>
    <row r="1378" spans="2:12" x14ac:dyDescent="0.3">
      <c r="B1378" s="120">
        <v>1</v>
      </c>
      <c r="C1378" s="426" t="s">
        <v>197</v>
      </c>
      <c r="D1378" s="427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428" t="s">
        <v>77</v>
      </c>
      <c r="D1379" s="429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42">+F1379*I1379</f>
        <v>0.5</v>
      </c>
      <c r="L1379" s="116">
        <f t="shared" ref="L1379:L1387" si="43">E1379*I1379</f>
        <v>4.8</v>
      </c>
    </row>
    <row r="1380" spans="2:12" x14ac:dyDescent="0.3">
      <c r="B1380" s="120">
        <v>3</v>
      </c>
      <c r="C1380" s="428" t="s">
        <v>195</v>
      </c>
      <c r="D1380" s="429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42"/>
        <v>4</v>
      </c>
      <c r="L1380" s="116">
        <f t="shared" si="43"/>
        <v>38.4</v>
      </c>
    </row>
    <row r="1381" spans="2:12" x14ac:dyDescent="0.3">
      <c r="B1381" s="120">
        <v>4</v>
      </c>
      <c r="C1381" s="428" t="s">
        <v>183</v>
      </c>
      <c r="D1381" s="429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42"/>
        <v>0.5</v>
      </c>
      <c r="L1381" s="116">
        <f t="shared" si="43"/>
        <v>4.8</v>
      </c>
    </row>
    <row r="1382" spans="2:12" x14ac:dyDescent="0.3">
      <c r="B1382" s="120">
        <v>5</v>
      </c>
      <c r="C1382" s="429" t="s">
        <v>199</v>
      </c>
      <c r="D1382" s="409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42"/>
        <v>2</v>
      </c>
      <c r="L1382" s="116">
        <f t="shared" si="43"/>
        <v>19.2</v>
      </c>
    </row>
    <row r="1383" spans="2:12" x14ac:dyDescent="0.3">
      <c r="B1383" s="120">
        <v>6</v>
      </c>
      <c r="C1383" s="429" t="s">
        <v>181</v>
      </c>
      <c r="D1383" s="409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42"/>
        <v>2</v>
      </c>
      <c r="L1383" s="116">
        <f t="shared" si="43"/>
        <v>19.2</v>
      </c>
    </row>
    <row r="1384" spans="2:12" x14ac:dyDescent="0.3">
      <c r="B1384" s="120"/>
      <c r="C1384" s="429"/>
      <c r="D1384" s="409"/>
      <c r="E1384" s="114"/>
      <c r="F1384" s="83"/>
      <c r="G1384" s="74"/>
      <c r="I1384" s="115">
        <f>IF(C1384=0,0,VLOOKUP(C1384,Tabla1[],3,FALSE))</f>
        <v>0</v>
      </c>
      <c r="K1384" s="84">
        <f t="shared" si="42"/>
        <v>0</v>
      </c>
      <c r="L1384" s="116">
        <f t="shared" si="43"/>
        <v>0</v>
      </c>
    </row>
    <row r="1385" spans="2:12" x14ac:dyDescent="0.3">
      <c r="B1385" s="120"/>
      <c r="C1385" s="429"/>
      <c r="D1385" s="409"/>
      <c r="E1385" s="114"/>
      <c r="F1385" s="83"/>
      <c r="G1385" s="74"/>
      <c r="I1385" s="115">
        <f>IF(C1385=0,0,VLOOKUP(C1385,Tabla1[],3,FALSE))</f>
        <v>0</v>
      </c>
      <c r="K1385" s="84">
        <f t="shared" si="42"/>
        <v>0</v>
      </c>
      <c r="L1385" s="116">
        <f t="shared" si="43"/>
        <v>0</v>
      </c>
    </row>
    <row r="1386" spans="2:12" x14ac:dyDescent="0.3">
      <c r="B1386" s="120"/>
      <c r="C1386" s="426"/>
      <c r="D1386" s="427"/>
      <c r="E1386" s="114"/>
      <c r="F1386" s="83"/>
      <c r="G1386" s="74"/>
      <c r="I1386" s="115">
        <f>IF(C1386=0,0,VLOOKUP(C1386,Tabla1[],3,FALSE))</f>
        <v>0</v>
      </c>
      <c r="K1386" s="84">
        <f t="shared" si="42"/>
        <v>0</v>
      </c>
      <c r="L1386" s="116">
        <f t="shared" si="43"/>
        <v>0</v>
      </c>
    </row>
    <row r="1387" spans="2:12" x14ac:dyDescent="0.3">
      <c r="B1387" s="120"/>
      <c r="C1387" s="426"/>
      <c r="D1387" s="427"/>
      <c r="E1387" s="114"/>
      <c r="F1387" s="83"/>
      <c r="G1387" s="74"/>
      <c r="I1387" s="115">
        <f>IF(C1387=0,0,VLOOKUP(C1387,Tabla1[],3,FALSE))</f>
        <v>0</v>
      </c>
      <c r="K1387" s="84">
        <f t="shared" si="42"/>
        <v>0</v>
      </c>
      <c r="L1387" s="116">
        <f t="shared" si="43"/>
        <v>0</v>
      </c>
    </row>
    <row r="1388" spans="2:12" ht="17.25" thickBot="1" x14ac:dyDescent="0.35"/>
    <row r="1389" spans="2:12" ht="17.25" thickBot="1" x14ac:dyDescent="0.35">
      <c r="F1389" s="402" t="s">
        <v>9</v>
      </c>
      <c r="G1389" s="403"/>
      <c r="H1389" s="403"/>
      <c r="I1389" s="404"/>
      <c r="K1389" s="224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413" t="s">
        <v>11</v>
      </c>
      <c r="D1391" s="413"/>
      <c r="E1391" s="413"/>
      <c r="F1391" s="413"/>
      <c r="G1391" s="414"/>
    </row>
    <row r="1392" spans="2:12" x14ac:dyDescent="0.3">
      <c r="B1392" s="112" t="s">
        <v>6</v>
      </c>
      <c r="C1392" s="415" t="s">
        <v>1</v>
      </c>
      <c r="D1392" s="416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409"/>
      <c r="D1393" s="409"/>
      <c r="E1393" s="114"/>
      <c r="F1393" s="83"/>
      <c r="G1393" s="74"/>
      <c r="I1393" s="115">
        <f>IF(C1393=0,0,VLOOKUP(C1393,Tabla3[],3,FALSE))</f>
        <v>0</v>
      </c>
      <c r="K1393" s="84">
        <f>+F1393*I1393</f>
        <v>0</v>
      </c>
      <c r="L1393" s="116">
        <f>E1393*I1393</f>
        <v>0</v>
      </c>
    </row>
    <row r="1394" spans="2:12" x14ac:dyDescent="0.3">
      <c r="B1394" s="74"/>
      <c r="C1394" s="409"/>
      <c r="D1394" s="409"/>
      <c r="E1394" s="119"/>
      <c r="F1394" s="72"/>
      <c r="G1394" s="74"/>
      <c r="I1394" s="115">
        <f>IF(C1394=0,0,VLOOKUP(C1394,Tabla3[],3,FALSE))</f>
        <v>0</v>
      </c>
      <c r="K1394" s="84">
        <f>+F1394*I1394</f>
        <v>0</v>
      </c>
      <c r="L1394" s="116">
        <f>E1394*I1394</f>
        <v>0</v>
      </c>
    </row>
    <row r="1395" spans="2:12" x14ac:dyDescent="0.3">
      <c r="B1395" s="74"/>
      <c r="C1395" s="409"/>
      <c r="D1395" s="409"/>
      <c r="E1395" s="119"/>
      <c r="F1395" s="72"/>
      <c r="G1395" s="74"/>
      <c r="I1395" s="115">
        <f>IF(C1395=0,0,VLOOKUP(C1395,Tabla3[],3,FALSE))</f>
        <v>0</v>
      </c>
      <c r="K1395" s="84">
        <f>+F1395*I1395</f>
        <v>0</v>
      </c>
      <c r="L1395" s="116">
        <f>E1395*I1395</f>
        <v>0</v>
      </c>
    </row>
    <row r="1396" spans="2:12" x14ac:dyDescent="0.3">
      <c r="B1396" s="74"/>
      <c r="C1396" s="411"/>
      <c r="D1396" s="412"/>
      <c r="E1396" s="119"/>
      <c r="F1396" s="72"/>
      <c r="G1396" s="74"/>
      <c r="I1396" s="115">
        <f>IF(C1396=0,0,VLOOKUP(C1396,Tabla3[],3,FALSE))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/>
    <row r="1398" spans="2:12" ht="17.25" thickBot="1" x14ac:dyDescent="0.35">
      <c r="F1398" s="402" t="s">
        <v>12</v>
      </c>
      <c r="G1398" s="403"/>
      <c r="H1398" s="403"/>
      <c r="I1398" s="404"/>
      <c r="K1398" s="224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413" t="s">
        <v>14</v>
      </c>
      <c r="D1400" s="413"/>
      <c r="E1400" s="413"/>
      <c r="F1400" s="413"/>
      <c r="G1400" s="414"/>
    </row>
    <row r="1401" spans="2:12" x14ac:dyDescent="0.3">
      <c r="B1401" s="112" t="s">
        <v>6</v>
      </c>
      <c r="C1401" s="415" t="s">
        <v>1</v>
      </c>
      <c r="D1401" s="416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434" t="s">
        <v>577</v>
      </c>
      <c r="D1402" s="434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434"/>
      <c r="D1403" s="434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417"/>
      <c r="D1404" s="418"/>
      <c r="E1404" s="122"/>
      <c r="F1404" s="123"/>
      <c r="G1404" s="74"/>
      <c r="I1404" s="115">
        <f>IF(C1404=0,0,VLOOKUP(C1404,Tabla2[],3,FALSE))</f>
        <v>0</v>
      </c>
      <c r="K1404" s="84">
        <f>+F1404*I1404</f>
        <v>0</v>
      </c>
      <c r="L1404" s="116">
        <f>E1404*I1404</f>
        <v>0</v>
      </c>
    </row>
    <row r="1405" spans="2:12" ht="17.25" thickBot="1" x14ac:dyDescent="0.35">
      <c r="B1405" s="419" t="s">
        <v>15</v>
      </c>
      <c r="C1405" s="420"/>
      <c r="D1405" s="420"/>
      <c r="E1405" s="420"/>
      <c r="F1405" s="420"/>
      <c r="G1405" s="421"/>
      <c r="I1405" s="84">
        <v>0</v>
      </c>
      <c r="K1405" s="84">
        <v>0</v>
      </c>
      <c r="L1405" s="116">
        <f>E1405*I1405</f>
        <v>0</v>
      </c>
    </row>
    <row r="1406" spans="2:12" ht="17.25" thickBot="1" x14ac:dyDescent="0.35"/>
    <row r="1407" spans="2:12" ht="17.25" thickBot="1" x14ac:dyDescent="0.35">
      <c r="F1407" s="402" t="s">
        <v>16</v>
      </c>
      <c r="G1407" s="403"/>
      <c r="H1407" s="403"/>
      <c r="I1407" s="404"/>
      <c r="K1407" s="224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413" t="s">
        <v>18</v>
      </c>
      <c r="D1409" s="413"/>
      <c r="E1409" s="413"/>
      <c r="F1409" s="413"/>
      <c r="G1409" s="414"/>
    </row>
    <row r="1410" spans="2:16" x14ac:dyDescent="0.3">
      <c r="B1410" s="112" t="s">
        <v>6</v>
      </c>
      <c r="C1410" s="415" t="s">
        <v>1</v>
      </c>
      <c r="D1410" s="416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411"/>
      <c r="D1411" s="412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411"/>
      <c r="D1412" s="412"/>
      <c r="E1412" s="125"/>
      <c r="F1412" s="72"/>
      <c r="G1412" s="74"/>
      <c r="I1412" s="84">
        <v>0</v>
      </c>
      <c r="K1412" s="84">
        <f>+F1412*I1412</f>
        <v>0</v>
      </c>
      <c r="L1412" s="116">
        <f>E1412*I1412</f>
        <v>0</v>
      </c>
    </row>
    <row r="1413" spans="2:16" x14ac:dyDescent="0.3">
      <c r="B1413" s="74"/>
      <c r="C1413" s="411"/>
      <c r="D1413" s="412"/>
      <c r="E1413" s="125"/>
      <c r="F1413" s="72"/>
      <c r="G1413" s="74"/>
      <c r="I1413" s="84">
        <v>0</v>
      </c>
      <c r="K1413" s="84">
        <f>+F1413*I1413</f>
        <v>0</v>
      </c>
      <c r="L1413" s="116">
        <f>E1413*I1413</f>
        <v>0</v>
      </c>
    </row>
    <row r="1414" spans="2:16" ht="17.25" thickBot="1" x14ac:dyDescent="0.35">
      <c r="L1414" s="116"/>
    </row>
    <row r="1415" spans="2:16" ht="17.25" thickBot="1" x14ac:dyDescent="0.35">
      <c r="F1415" s="402" t="s">
        <v>19</v>
      </c>
      <c r="G1415" s="403"/>
      <c r="H1415" s="403"/>
      <c r="I1415" s="404"/>
      <c r="K1415" s="224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127"/>
      <c r="H1416" s="128"/>
      <c r="I1416" s="106"/>
      <c r="K1416" s="225"/>
    </row>
    <row r="1417" spans="2:16" ht="15" customHeight="1" thickBot="1" x14ac:dyDescent="0.35"/>
    <row r="1418" spans="2:16" ht="17.25" thickBot="1" x14ac:dyDescent="0.35">
      <c r="F1418" s="402" t="s">
        <v>20</v>
      </c>
      <c r="G1418" s="403"/>
      <c r="H1418" s="403"/>
      <c r="I1418" s="404"/>
      <c r="K1418" s="224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402" t="s">
        <v>21</v>
      </c>
      <c r="G1420" s="403"/>
      <c r="H1420" s="403"/>
      <c r="I1420" s="404"/>
      <c r="K1420" s="224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402" t="s">
        <v>22</v>
      </c>
      <c r="G1422" s="403"/>
      <c r="H1422" s="403"/>
      <c r="I1422" s="404"/>
      <c r="K1422" s="224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127"/>
      <c r="H1423" s="128"/>
      <c r="I1423" s="106"/>
      <c r="K1423" s="226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127"/>
      <c r="H1424" s="128"/>
      <c r="I1424" s="106"/>
      <c r="K1424" s="227"/>
      <c r="L1424" s="129"/>
      <c r="M1424" s="132"/>
      <c r="N1424" s="133"/>
    </row>
    <row r="1425" spans="1:16" ht="17.25" thickBot="1" x14ac:dyDescent="0.35">
      <c r="B1425" s="405"/>
      <c r="C1425" s="405"/>
      <c r="D1425" s="405"/>
    </row>
    <row r="1426" spans="1:16" x14ac:dyDescent="0.3">
      <c r="B1426" s="406" t="s">
        <v>23</v>
      </c>
      <c r="C1426" s="406"/>
      <c r="D1426" s="406"/>
    </row>
    <row r="1427" spans="1:16" x14ac:dyDescent="0.3">
      <c r="B1427" s="155"/>
      <c r="C1427" s="155"/>
      <c r="D1427" s="155"/>
    </row>
    <row r="1428" spans="1:16" x14ac:dyDescent="0.3">
      <c r="B1428" s="155"/>
      <c r="C1428" s="155"/>
      <c r="D1428" s="155"/>
      <c r="F1428" s="77"/>
      <c r="J1428" s="78"/>
      <c r="N1428" s="144"/>
    </row>
    <row r="1429" spans="1:16" x14ac:dyDescent="0.3">
      <c r="B1429" s="103" t="s">
        <v>43</v>
      </c>
      <c r="C1429" s="104"/>
      <c r="D1429" s="422" t="s">
        <v>1</v>
      </c>
      <c r="E1429" s="422"/>
      <c r="F1429" s="422"/>
      <c r="G1429" s="422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09">
        <f>CATALOGO!B52</f>
        <v>505.02</v>
      </c>
      <c r="C1430" s="71"/>
      <c r="D1430" s="423" t="str">
        <f>CATALOGO!C52</f>
        <v>CUBIERTA DE LÁMINA TERMOACÚSTICA (INCLUYE CANAL Y BAP Ѳ=3")</v>
      </c>
      <c r="E1430" s="423"/>
      <c r="F1430" s="423"/>
      <c r="G1430" s="423"/>
      <c r="H1430" s="71"/>
      <c r="I1430" s="209">
        <f>CATALOGO!D52</f>
        <v>6</v>
      </c>
      <c r="J1430" s="107"/>
      <c r="K1430" s="222" t="str">
        <f>CATALOGO!G52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413" t="s">
        <v>5</v>
      </c>
      <c r="D1432" s="413"/>
      <c r="E1432" s="413"/>
      <c r="F1432" s="413"/>
      <c r="G1432" s="414"/>
      <c r="J1432" s="78"/>
      <c r="N1432" s="144"/>
    </row>
    <row r="1433" spans="1:16" s="20" customFormat="1" x14ac:dyDescent="0.3">
      <c r="A1433" s="53"/>
      <c r="B1433" s="109" t="s">
        <v>6</v>
      </c>
      <c r="C1433" s="424" t="s">
        <v>1</v>
      </c>
      <c r="D1433" s="425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3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428" t="s">
        <v>169</v>
      </c>
      <c r="D1434" s="429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430" t="s">
        <v>210</v>
      </c>
      <c r="D1435" s="429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44">+F1435*I1435</f>
        <v>3.5</v>
      </c>
      <c r="L1435" s="116">
        <f t="shared" ref="L1435:L1443" si="45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430" t="s">
        <v>237</v>
      </c>
      <c r="D1436" s="429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44"/>
        <v>20</v>
      </c>
      <c r="L1436" s="116">
        <f t="shared" si="45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430" t="s">
        <v>205</v>
      </c>
      <c r="D1437" s="429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44"/>
        <v>12.5</v>
      </c>
      <c r="L1437" s="116">
        <f t="shared" si="45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430" t="s">
        <v>236</v>
      </c>
      <c r="D1438" s="429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44"/>
        <v>30</v>
      </c>
      <c r="L1438" s="116">
        <f t="shared" si="45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430" t="s">
        <v>241</v>
      </c>
      <c r="D1439" s="429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44"/>
        <v>7.5</v>
      </c>
      <c r="L1439" s="116">
        <f t="shared" si="45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430" t="s">
        <v>204</v>
      </c>
      <c r="D1440" s="429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44"/>
        <v>75</v>
      </c>
      <c r="L1440" s="116">
        <f t="shared" si="45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430" t="s">
        <v>238</v>
      </c>
      <c r="D1441" s="429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44"/>
        <v>1.5</v>
      </c>
      <c r="L1441" s="116">
        <f t="shared" si="45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430" t="s">
        <v>226</v>
      </c>
      <c r="D1442" s="429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44"/>
        <v>10</v>
      </c>
      <c r="L1442" s="116">
        <f t="shared" si="45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430" t="s">
        <v>239</v>
      </c>
      <c r="D1443" s="429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44"/>
        <v>5</v>
      </c>
      <c r="L1443" s="116">
        <f t="shared" si="45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402" t="s">
        <v>9</v>
      </c>
      <c r="G1445" s="403"/>
      <c r="H1445" s="403"/>
      <c r="I1445" s="404"/>
      <c r="J1445" s="78"/>
      <c r="K1445" s="224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413" t="s">
        <v>11</v>
      </c>
      <c r="D1447" s="413"/>
      <c r="E1447" s="413"/>
      <c r="F1447" s="413"/>
      <c r="G1447" s="414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415" t="s">
        <v>1</v>
      </c>
      <c r="D1448" s="416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409"/>
      <c r="D1449" s="409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431"/>
      <c r="D1450" s="432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>+F1450*I1450</f>
        <v>0</v>
      </c>
      <c r="L1450" s="116">
        <f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431"/>
      <c r="D1451" s="432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>+F1451*I1451</f>
        <v>0</v>
      </c>
      <c r="L1451" s="116">
        <f>E1451*I1451</f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411"/>
      <c r="D1452" s="412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>+F1452*I1452</f>
        <v>0</v>
      </c>
      <c r="L1452" s="116">
        <f>E1452*I1452</f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402" t="s">
        <v>12</v>
      </c>
      <c r="G1454" s="403"/>
      <c r="H1454" s="403"/>
      <c r="I1454" s="404"/>
      <c r="J1454" s="78"/>
      <c r="K1454" s="224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413" t="s">
        <v>14</v>
      </c>
      <c r="D1456" s="413"/>
      <c r="E1456" s="413"/>
      <c r="F1456" s="413"/>
      <c r="G1456" s="414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415" t="s">
        <v>1</v>
      </c>
      <c r="D1457" s="416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409" t="s">
        <v>207</v>
      </c>
      <c r="D1458" s="409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409"/>
      <c r="D1459" s="409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>+F1459*I1459</f>
        <v>0</v>
      </c>
      <c r="L1459" s="116">
        <f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417"/>
      <c r="D1460" s="418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>+F1460*I1460</f>
        <v>0</v>
      </c>
      <c r="L1460" s="116">
        <f>E1460*I1460</f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419" t="s">
        <v>15</v>
      </c>
      <c r="C1461" s="420"/>
      <c r="D1461" s="420"/>
      <c r="E1461" s="420"/>
      <c r="F1461" s="420"/>
      <c r="G1461" s="421"/>
      <c r="H1461" s="17"/>
      <c r="I1461" s="84">
        <v>0</v>
      </c>
      <c r="J1461" s="78"/>
      <c r="K1461" s="84">
        <v>0</v>
      </c>
      <c r="L1461" s="116">
        <f>E1461*I1461</f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402" t="s">
        <v>16</v>
      </c>
      <c r="G1463" s="403"/>
      <c r="H1463" s="403"/>
      <c r="I1463" s="404"/>
      <c r="J1463" s="78"/>
      <c r="K1463" s="224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413" t="s">
        <v>18</v>
      </c>
      <c r="D1465" s="413"/>
      <c r="E1465" s="413"/>
      <c r="F1465" s="413"/>
      <c r="G1465" s="414"/>
      <c r="J1465" s="78"/>
      <c r="N1465" s="144"/>
    </row>
    <row r="1466" spans="1:16" x14ac:dyDescent="0.3">
      <c r="B1466" s="112" t="s">
        <v>6</v>
      </c>
      <c r="C1466" s="415" t="s">
        <v>1</v>
      </c>
      <c r="D1466" s="416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411"/>
      <c r="D1467" s="412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411"/>
      <c r="D1468" s="412"/>
      <c r="E1468" s="125"/>
      <c r="F1468" s="74"/>
      <c r="G1468" s="74"/>
      <c r="I1468" s="84">
        <v>0</v>
      </c>
      <c r="J1468" s="78"/>
      <c r="K1468" s="84">
        <f>+F1468*I1468</f>
        <v>0</v>
      </c>
      <c r="L1468" s="116">
        <f>E1468*I1468</f>
        <v>0</v>
      </c>
      <c r="N1468" s="144"/>
    </row>
    <row r="1469" spans="1:16" x14ac:dyDescent="0.3">
      <c r="B1469" s="74"/>
      <c r="C1469" s="411"/>
      <c r="D1469" s="412"/>
      <c r="E1469" s="125"/>
      <c r="F1469" s="74"/>
      <c r="G1469" s="74"/>
      <c r="I1469" s="84">
        <v>0</v>
      </c>
      <c r="J1469" s="78"/>
      <c r="K1469" s="84">
        <f>+F1469*I1469</f>
        <v>0</v>
      </c>
      <c r="L1469" s="116">
        <f>E1469*I1469</f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402" t="s">
        <v>19</v>
      </c>
      <c r="G1471" s="403"/>
      <c r="H1471" s="403"/>
      <c r="I1471" s="404"/>
      <c r="J1471" s="78"/>
      <c r="K1471" s="224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127"/>
      <c r="G1472" s="127"/>
      <c r="H1472" s="128"/>
      <c r="I1472" s="106"/>
      <c r="J1472" s="78"/>
      <c r="K1472" s="225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402" t="s">
        <v>20</v>
      </c>
      <c r="G1474" s="403"/>
      <c r="H1474" s="403"/>
      <c r="I1474" s="404"/>
      <c r="J1474" s="78"/>
      <c r="K1474" s="224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402" t="s">
        <v>21</v>
      </c>
      <c r="G1476" s="403"/>
      <c r="H1476" s="403"/>
      <c r="I1476" s="404"/>
      <c r="J1476" s="78"/>
      <c r="K1476" s="224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402" t="s">
        <v>22</v>
      </c>
      <c r="G1478" s="403"/>
      <c r="H1478" s="403"/>
      <c r="I1478" s="404"/>
      <c r="J1478" s="78"/>
      <c r="K1478" s="224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127"/>
      <c r="G1479" s="127"/>
      <c r="H1479" s="128"/>
      <c r="I1479" s="106"/>
      <c r="J1479" s="78"/>
      <c r="K1479" s="226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127"/>
      <c r="G1480" s="127"/>
      <c r="H1480" s="128"/>
      <c r="I1480" s="106"/>
      <c r="J1480" s="78"/>
      <c r="K1480" s="227"/>
      <c r="L1480" s="129"/>
      <c r="M1480" s="132"/>
      <c r="N1480" s="148"/>
    </row>
    <row r="1481" spans="1:16" ht="17.25" thickBot="1" x14ac:dyDescent="0.35">
      <c r="B1481" s="405"/>
      <c r="C1481" s="405"/>
      <c r="D1481" s="405"/>
      <c r="F1481" s="77"/>
      <c r="J1481" s="78"/>
      <c r="N1481" s="144"/>
    </row>
    <row r="1482" spans="1:16" x14ac:dyDescent="0.3">
      <c r="B1482" s="406" t="s">
        <v>23</v>
      </c>
      <c r="C1482" s="406"/>
      <c r="D1482" s="406"/>
      <c r="F1482" s="77"/>
      <c r="J1482" s="78"/>
      <c r="N1482" s="144"/>
    </row>
    <row r="1483" spans="1:16" x14ac:dyDescent="0.3">
      <c r="B1483" s="155"/>
      <c r="C1483" s="155"/>
      <c r="D1483" s="155"/>
      <c r="F1483" s="77"/>
      <c r="J1483" s="78"/>
      <c r="N1483" s="144"/>
    </row>
    <row r="1484" spans="1:16" x14ac:dyDescent="0.3">
      <c r="B1484" s="155"/>
      <c r="C1484" s="155"/>
      <c r="D1484" s="155"/>
      <c r="F1484" s="77"/>
      <c r="J1484" s="78"/>
      <c r="N1484" s="144"/>
    </row>
    <row r="1485" spans="1:16" x14ac:dyDescent="0.3">
      <c r="B1485" s="103" t="s">
        <v>43</v>
      </c>
      <c r="C1485" s="104"/>
      <c r="D1485" s="422" t="s">
        <v>1</v>
      </c>
      <c r="E1485" s="422"/>
      <c r="F1485" s="422"/>
      <c r="G1485" s="422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09">
        <f>CATALOGO!B53</f>
        <v>511.01</v>
      </c>
      <c r="C1486" s="71"/>
      <c r="D1486" s="423" t="str">
        <f>CATALOGO!C53</f>
        <v>COLUMNA METÁLICA DE TUBO 4" X 4", CH 14</v>
      </c>
      <c r="E1486" s="423"/>
      <c r="F1486" s="423"/>
      <c r="G1486" s="423"/>
      <c r="H1486" s="71"/>
      <c r="I1486" s="209">
        <f>CATALOGO!D53</f>
        <v>5.6</v>
      </c>
      <c r="J1486" s="107"/>
      <c r="K1486" s="222" t="str">
        <f>CATALOGO!G53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413" t="s">
        <v>5</v>
      </c>
      <c r="D1488" s="413"/>
      <c r="E1488" s="413"/>
      <c r="F1488" s="413"/>
      <c r="G1488" s="414"/>
      <c r="J1488" s="78"/>
      <c r="N1488" s="144"/>
    </row>
    <row r="1489" spans="1:16" s="20" customFormat="1" x14ac:dyDescent="0.3">
      <c r="A1489" s="53"/>
      <c r="B1489" s="109" t="s">
        <v>6</v>
      </c>
      <c r="C1489" s="424" t="s">
        <v>1</v>
      </c>
      <c r="D1489" s="425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3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407" t="s">
        <v>401</v>
      </c>
      <c r="D1490" s="408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430" t="s">
        <v>580</v>
      </c>
      <c r="D1491" s="429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46">+F1491*I1491</f>
        <v>2</v>
      </c>
      <c r="L1491" s="116">
        <f t="shared" ref="L1491:L1499" si="47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430" t="s">
        <v>581</v>
      </c>
      <c r="D1492" s="429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46"/>
        <v>1</v>
      </c>
      <c r="L1492" s="116">
        <f t="shared" si="47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430" t="s">
        <v>582</v>
      </c>
      <c r="D1493" s="429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46"/>
        <v>1</v>
      </c>
      <c r="L1493" s="116">
        <f t="shared" si="47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430" t="s">
        <v>199</v>
      </c>
      <c r="D1494" s="429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46"/>
        <v>6</v>
      </c>
      <c r="L1494" s="116">
        <f t="shared" si="47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04"/>
      <c r="D1495" s="205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>+F1495*I1495</f>
        <v>0</v>
      </c>
      <c r="L1495" s="116">
        <f>E1495*I1495</f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04"/>
      <c r="D1496" s="205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>+F1496*I1496</f>
        <v>0</v>
      </c>
      <c r="L1496" s="116">
        <f>E1496*I1496</f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430"/>
      <c r="D1497" s="429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46"/>
        <v>0</v>
      </c>
      <c r="L1497" s="116">
        <f t="shared" si="47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430"/>
      <c r="D1498" s="429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46"/>
        <v>0</v>
      </c>
      <c r="L1498" s="116">
        <f t="shared" si="47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430"/>
      <c r="D1499" s="429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46"/>
        <v>0</v>
      </c>
      <c r="L1499" s="116">
        <f t="shared" si="47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402" t="s">
        <v>9</v>
      </c>
      <c r="G1501" s="403"/>
      <c r="H1501" s="403"/>
      <c r="I1501" s="404"/>
      <c r="J1501" s="78"/>
      <c r="K1501" s="224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413" t="s">
        <v>11</v>
      </c>
      <c r="D1503" s="413"/>
      <c r="E1503" s="413"/>
      <c r="F1503" s="413"/>
      <c r="G1503" s="414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415" t="s">
        <v>1</v>
      </c>
      <c r="D1504" s="416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409"/>
      <c r="D1505" s="409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431"/>
      <c r="D1506" s="432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>+F1506*I1506</f>
        <v>0</v>
      </c>
      <c r="L1506" s="116">
        <f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431"/>
      <c r="D1507" s="432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>+F1507*I1507</f>
        <v>0</v>
      </c>
      <c r="L1507" s="116">
        <f>E1507*I1507</f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411"/>
      <c r="D1508" s="412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>+F1508*I1508</f>
        <v>0</v>
      </c>
      <c r="L1508" s="116">
        <f>E1508*I1508</f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402" t="s">
        <v>12</v>
      </c>
      <c r="G1510" s="403"/>
      <c r="H1510" s="403"/>
      <c r="I1510" s="404"/>
      <c r="J1510" s="78"/>
      <c r="K1510" s="224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413" t="s">
        <v>14</v>
      </c>
      <c r="D1512" s="413"/>
      <c r="E1512" s="413"/>
      <c r="F1512" s="413"/>
      <c r="G1512" s="414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415" t="s">
        <v>1</v>
      </c>
      <c r="D1513" s="416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409" t="s">
        <v>583</v>
      </c>
      <c r="D1514" s="409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409"/>
      <c r="D1515" s="409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>+F1515*I1515</f>
        <v>0</v>
      </c>
      <c r="L1515" s="116">
        <f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417"/>
      <c r="D1516" s="418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>+F1516*I1516</f>
        <v>0</v>
      </c>
      <c r="L1516" s="116">
        <f>E1516*I1516</f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419" t="s">
        <v>15</v>
      </c>
      <c r="C1517" s="420"/>
      <c r="D1517" s="420"/>
      <c r="E1517" s="420"/>
      <c r="F1517" s="420"/>
      <c r="G1517" s="421"/>
      <c r="H1517" s="17"/>
      <c r="I1517" s="84">
        <v>0</v>
      </c>
      <c r="J1517" s="78"/>
      <c r="K1517" s="84">
        <v>0</v>
      </c>
      <c r="L1517" s="116">
        <f>E1517*I1517</f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402" t="s">
        <v>16</v>
      </c>
      <c r="G1519" s="403"/>
      <c r="H1519" s="403"/>
      <c r="I1519" s="404"/>
      <c r="J1519" s="78"/>
      <c r="K1519" s="224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413" t="s">
        <v>18</v>
      </c>
      <c r="D1521" s="413"/>
      <c r="E1521" s="413"/>
      <c r="F1521" s="413"/>
      <c r="G1521" s="414"/>
      <c r="J1521" s="78"/>
      <c r="N1521" s="144"/>
    </row>
    <row r="1522" spans="2:16" x14ac:dyDescent="0.3">
      <c r="B1522" s="112" t="s">
        <v>6</v>
      </c>
      <c r="C1522" s="415" t="s">
        <v>1</v>
      </c>
      <c r="D1522" s="416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411"/>
      <c r="D1523" s="412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411"/>
      <c r="D1524" s="412"/>
      <c r="E1524" s="125"/>
      <c r="F1524" s="74"/>
      <c r="G1524" s="74"/>
      <c r="I1524" s="84">
        <v>0</v>
      </c>
      <c r="J1524" s="78"/>
      <c r="K1524" s="84">
        <f>+F1524*I1524</f>
        <v>0</v>
      </c>
      <c r="L1524" s="116">
        <f>E1524*I1524</f>
        <v>0</v>
      </c>
      <c r="N1524" s="144"/>
    </row>
    <row r="1525" spans="2:16" x14ac:dyDescent="0.3">
      <c r="B1525" s="74"/>
      <c r="C1525" s="411"/>
      <c r="D1525" s="412"/>
      <c r="E1525" s="125"/>
      <c r="F1525" s="74"/>
      <c r="G1525" s="74"/>
      <c r="I1525" s="84">
        <v>0</v>
      </c>
      <c r="J1525" s="78"/>
      <c r="K1525" s="84">
        <f>+F1525*I1525</f>
        <v>0</v>
      </c>
      <c r="L1525" s="116">
        <f>E1525*I1525</f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402" t="s">
        <v>19</v>
      </c>
      <c r="G1527" s="403"/>
      <c r="H1527" s="403"/>
      <c r="I1527" s="404"/>
      <c r="J1527" s="78"/>
      <c r="K1527" s="224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127"/>
      <c r="G1528" s="127"/>
      <c r="H1528" s="128"/>
      <c r="I1528" s="106"/>
      <c r="J1528" s="78"/>
      <c r="K1528" s="225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402" t="s">
        <v>20</v>
      </c>
      <c r="G1530" s="403"/>
      <c r="H1530" s="403"/>
      <c r="I1530" s="404"/>
      <c r="J1530" s="78"/>
      <c r="K1530" s="224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402" t="s">
        <v>21</v>
      </c>
      <c r="G1532" s="403"/>
      <c r="H1532" s="403"/>
      <c r="I1532" s="404"/>
      <c r="J1532" s="78"/>
      <c r="K1532" s="224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402" t="s">
        <v>22</v>
      </c>
      <c r="G1534" s="403"/>
      <c r="H1534" s="403"/>
      <c r="I1534" s="404"/>
      <c r="J1534" s="78"/>
      <c r="K1534" s="224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127"/>
      <c r="G1535" s="127"/>
      <c r="H1535" s="128"/>
      <c r="I1535" s="106"/>
      <c r="J1535" s="78"/>
      <c r="K1535" s="226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127"/>
      <c r="G1536" s="127"/>
      <c r="H1536" s="128"/>
      <c r="I1536" s="106"/>
      <c r="J1536" s="78"/>
      <c r="K1536" s="227"/>
      <c r="L1536" s="129"/>
      <c r="M1536" s="132"/>
      <c r="N1536" s="148"/>
    </row>
    <row r="1537" spans="1:16" ht="17.25" thickBot="1" x14ac:dyDescent="0.35">
      <c r="B1537" s="405"/>
      <c r="C1537" s="405"/>
      <c r="D1537" s="405"/>
      <c r="F1537" s="77"/>
      <c r="J1537" s="78"/>
      <c r="N1537" s="144"/>
    </row>
    <row r="1538" spans="1:16" x14ac:dyDescent="0.3">
      <c r="B1538" s="406" t="s">
        <v>23</v>
      </c>
      <c r="C1538" s="406"/>
      <c r="D1538" s="406"/>
      <c r="F1538" s="77"/>
      <c r="J1538" s="78"/>
      <c r="N1538" s="144"/>
    </row>
    <row r="1539" spans="1:16" x14ac:dyDescent="0.3">
      <c r="B1539" s="155"/>
      <c r="C1539" s="155"/>
      <c r="D1539" s="155"/>
      <c r="F1539" s="77"/>
      <c r="J1539" s="78"/>
      <c r="N1539" s="144"/>
    </row>
    <row r="1540" spans="1:16" x14ac:dyDescent="0.3">
      <c r="B1540" s="155"/>
      <c r="C1540" s="155"/>
      <c r="D1540" s="155"/>
    </row>
    <row r="1541" spans="1:16" x14ac:dyDescent="0.3">
      <c r="B1541" s="103" t="s">
        <v>43</v>
      </c>
      <c r="C1541" s="104"/>
      <c r="D1541" s="422" t="s">
        <v>1</v>
      </c>
      <c r="E1541" s="422"/>
      <c r="F1541" s="422"/>
      <c r="G1541" s="422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09">
        <f>CATALOGO!B55</f>
        <v>601.07000000000005</v>
      </c>
      <c r="C1542" s="71"/>
      <c r="D1542" s="423" t="str">
        <f>CATALOGO!C55</f>
        <v>REPELLO + CERNIDO EN CIELOS</v>
      </c>
      <c r="E1542" s="423"/>
      <c r="F1542" s="423"/>
      <c r="G1542" s="423"/>
      <c r="H1542" s="71"/>
      <c r="I1542" s="209">
        <f>CATALOGO!D55</f>
        <v>41.71</v>
      </c>
      <c r="J1542" s="107"/>
      <c r="K1542" s="222" t="str">
        <f>CATALOGO!G55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413" t="s">
        <v>5</v>
      </c>
      <c r="D1544" s="413"/>
      <c r="E1544" s="413"/>
      <c r="F1544" s="413"/>
      <c r="G1544" s="414"/>
    </row>
    <row r="1545" spans="1:16" x14ac:dyDescent="0.25">
      <c r="B1545" s="109" t="s">
        <v>6</v>
      </c>
      <c r="C1545" s="424" t="s">
        <v>1</v>
      </c>
      <c r="D1545" s="425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3" t="s">
        <v>8</v>
      </c>
      <c r="L1545" s="113" t="s">
        <v>193</v>
      </c>
      <c r="O1545" s="438"/>
      <c r="P1545" s="438"/>
    </row>
    <row r="1546" spans="1:16" ht="16.5" customHeight="1" x14ac:dyDescent="0.25">
      <c r="B1546" s="120">
        <v>1</v>
      </c>
      <c r="C1546" s="430" t="s">
        <v>72</v>
      </c>
      <c r="D1546" s="429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48">E1546*I1546</f>
        <v>1876.9499999999998</v>
      </c>
      <c r="O1546" s="44"/>
      <c r="P1546" s="45"/>
    </row>
    <row r="1547" spans="1:16" x14ac:dyDescent="0.3">
      <c r="B1547" s="120">
        <v>2</v>
      </c>
      <c r="C1547" s="428" t="s">
        <v>213</v>
      </c>
      <c r="D1547" s="429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49">+F1547*I1547</f>
        <v>80</v>
      </c>
      <c r="L1547" s="116">
        <f t="shared" si="48"/>
        <v>3336.8</v>
      </c>
      <c r="P1547" s="45"/>
    </row>
    <row r="1548" spans="1:16" x14ac:dyDescent="0.25">
      <c r="B1548" s="120"/>
      <c r="C1548" s="430"/>
      <c r="D1548" s="429"/>
      <c r="E1548" s="114"/>
      <c r="F1548" s="83"/>
      <c r="G1548" s="74"/>
      <c r="I1548" s="115">
        <f>IF(C1548=0,0,VLOOKUP(C1548,Tabla1[],3,FALSE))</f>
        <v>0</v>
      </c>
      <c r="K1548" s="84">
        <f t="shared" si="49"/>
        <v>0</v>
      </c>
      <c r="L1548" s="116">
        <f t="shared" si="48"/>
        <v>0</v>
      </c>
      <c r="O1548" s="44"/>
      <c r="P1548" s="46"/>
    </row>
    <row r="1549" spans="1:16" x14ac:dyDescent="0.25">
      <c r="B1549" s="120"/>
      <c r="C1549" s="430"/>
      <c r="D1549" s="429"/>
      <c r="E1549" s="114"/>
      <c r="F1549" s="83"/>
      <c r="G1549" s="74"/>
      <c r="I1549" s="115">
        <f>IF(C1549=0,0,VLOOKUP(C1549,Tabla1[],3,FALSE))</f>
        <v>0</v>
      </c>
      <c r="K1549" s="84">
        <f t="shared" si="49"/>
        <v>0</v>
      </c>
      <c r="L1549" s="116">
        <f t="shared" si="48"/>
        <v>0</v>
      </c>
      <c r="O1549" s="44"/>
      <c r="P1549" s="47"/>
    </row>
    <row r="1550" spans="1:16" x14ac:dyDescent="0.25">
      <c r="B1550" s="120"/>
      <c r="C1550" s="204"/>
      <c r="D1550" s="205"/>
      <c r="E1550" s="114"/>
      <c r="F1550" s="83"/>
      <c r="G1550" s="74"/>
      <c r="I1550" s="115">
        <f>IF(C1550=0,0,VLOOKUP(C1550,Tabla1[],3,FALSE))</f>
        <v>0</v>
      </c>
      <c r="K1550" s="84">
        <f>+F1550*I1550</f>
        <v>0</v>
      </c>
      <c r="L1550" s="116">
        <f>E1550*I1550</f>
        <v>0</v>
      </c>
      <c r="O1550" s="44"/>
      <c r="P1550" s="47"/>
    </row>
    <row r="1551" spans="1:16" x14ac:dyDescent="0.25">
      <c r="B1551" s="120"/>
      <c r="C1551" s="204"/>
      <c r="D1551" s="205"/>
      <c r="E1551" s="114"/>
      <c r="F1551" s="83"/>
      <c r="G1551" s="74"/>
      <c r="I1551" s="115">
        <f>IF(C1551=0,0,VLOOKUP(C1551,Tabla1[],3,FALSE))</f>
        <v>0</v>
      </c>
      <c r="K1551" s="84">
        <f>+F1551*I1551</f>
        <v>0</v>
      </c>
      <c r="L1551" s="116">
        <f>E1551*I1551</f>
        <v>0</v>
      </c>
      <c r="O1551" s="44"/>
      <c r="P1551" s="47"/>
    </row>
    <row r="1552" spans="1:16" x14ac:dyDescent="0.25">
      <c r="B1552" s="120"/>
      <c r="C1552" s="204"/>
      <c r="D1552" s="205"/>
      <c r="E1552" s="114"/>
      <c r="F1552" s="83"/>
      <c r="G1552" s="74"/>
      <c r="I1552" s="115">
        <f>IF(C1552=0,0,VLOOKUP(C1552,Tabla1[],3,FALSE))</f>
        <v>0</v>
      </c>
      <c r="K1552" s="84">
        <f>+F1552*I1552</f>
        <v>0</v>
      </c>
      <c r="L1552" s="116">
        <f>E1552*I1552</f>
        <v>0</v>
      </c>
      <c r="O1552" s="44"/>
      <c r="P1552" s="47"/>
    </row>
    <row r="1553" spans="2:16" x14ac:dyDescent="0.3">
      <c r="B1553" s="120"/>
      <c r="C1553" s="430"/>
      <c r="D1553" s="429"/>
      <c r="E1553" s="114"/>
      <c r="F1553" s="83"/>
      <c r="G1553" s="74"/>
      <c r="I1553" s="115">
        <f>IF(C1553=0,0,VLOOKUP(C1553,Tabla1[],3,FALSE))</f>
        <v>0</v>
      </c>
      <c r="K1553" s="84">
        <f t="shared" si="49"/>
        <v>0</v>
      </c>
      <c r="L1553" s="116">
        <f t="shared" si="48"/>
        <v>0</v>
      </c>
      <c r="O1553" s="48"/>
      <c r="P1553" s="49"/>
    </row>
    <row r="1554" spans="2:16" x14ac:dyDescent="0.3">
      <c r="B1554" s="120"/>
      <c r="C1554" s="430"/>
      <c r="D1554" s="429"/>
      <c r="E1554" s="114"/>
      <c r="F1554" s="83"/>
      <c r="G1554" s="74"/>
      <c r="I1554" s="115">
        <f>IF(C1554=0,0,VLOOKUP(C1554,Tabla1[],3,FALSE))</f>
        <v>0</v>
      </c>
      <c r="K1554" s="84">
        <f t="shared" si="49"/>
        <v>0</v>
      </c>
      <c r="L1554" s="116">
        <f t="shared" si="48"/>
        <v>0</v>
      </c>
      <c r="O1554" s="48"/>
      <c r="P1554" s="43"/>
    </row>
    <row r="1555" spans="2:16" x14ac:dyDescent="0.3">
      <c r="B1555" s="120"/>
      <c r="C1555" s="430"/>
      <c r="D1555" s="429"/>
      <c r="E1555" s="114"/>
      <c r="F1555" s="83"/>
      <c r="G1555" s="74"/>
      <c r="I1555" s="115">
        <f>IF(C1555=0,0,VLOOKUP(C1555,Tabla1[],3,FALSE))</f>
        <v>0</v>
      </c>
      <c r="K1555" s="84">
        <f t="shared" si="49"/>
        <v>0</v>
      </c>
      <c r="L1555" s="116">
        <f t="shared" si="48"/>
        <v>0</v>
      </c>
      <c r="O1555" s="48"/>
      <c r="P1555" s="49"/>
    </row>
    <row r="1556" spans="2:16" ht="17.25" thickBot="1" x14ac:dyDescent="0.35"/>
    <row r="1557" spans="2:16" ht="17.25" thickBot="1" x14ac:dyDescent="0.3">
      <c r="F1557" s="402" t="s">
        <v>9</v>
      </c>
      <c r="G1557" s="403"/>
      <c r="H1557" s="403"/>
      <c r="I1557" s="404"/>
      <c r="K1557" s="224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413" t="s">
        <v>11</v>
      </c>
      <c r="D1559" s="413"/>
      <c r="E1559" s="413"/>
      <c r="F1559" s="413"/>
      <c r="G1559" s="414"/>
    </row>
    <row r="1560" spans="2:16" x14ac:dyDescent="0.3">
      <c r="B1560" s="112" t="s">
        <v>6</v>
      </c>
      <c r="C1560" s="415" t="s">
        <v>1</v>
      </c>
      <c r="D1560" s="416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409"/>
      <c r="D1561" s="409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431"/>
      <c r="D1562" s="432"/>
      <c r="E1562" s="119"/>
      <c r="F1562" s="72"/>
      <c r="G1562" s="74"/>
      <c r="I1562" s="115">
        <f>IF(C1562=0,0,VLOOKUP(C1562,Tabla3[],3,FALSE))</f>
        <v>0</v>
      </c>
      <c r="K1562" s="84">
        <f>+F1562*I1562</f>
        <v>0</v>
      </c>
      <c r="L1562" s="116">
        <f>E1562*I1562</f>
        <v>0</v>
      </c>
    </row>
    <row r="1563" spans="2:16" x14ac:dyDescent="0.3">
      <c r="B1563" s="74"/>
      <c r="C1563" s="431"/>
      <c r="D1563" s="432"/>
      <c r="E1563" s="119"/>
      <c r="F1563" s="72"/>
      <c r="G1563" s="74"/>
      <c r="I1563" s="115">
        <f>IF(C1563=0,0,VLOOKUP(C1563,Tabla3[],3,FALSE))</f>
        <v>0</v>
      </c>
      <c r="K1563" s="84">
        <f>+F1563*I1563</f>
        <v>0</v>
      </c>
      <c r="L1563" s="116">
        <f>E1563*I1563</f>
        <v>0</v>
      </c>
    </row>
    <row r="1564" spans="2:16" x14ac:dyDescent="0.3">
      <c r="B1564" s="74"/>
      <c r="C1564" s="411"/>
      <c r="D1564" s="412"/>
      <c r="E1564" s="119"/>
      <c r="F1564" s="72"/>
      <c r="G1564" s="74"/>
      <c r="I1564" s="115">
        <f>IF(C1564=0,0,VLOOKUP(C1564,Tabla3[],3,FALSE))</f>
        <v>0</v>
      </c>
      <c r="K1564" s="84">
        <f>+F1564*I1564</f>
        <v>0</v>
      </c>
      <c r="L1564" s="116">
        <f>E1564*I1564</f>
        <v>0</v>
      </c>
    </row>
    <row r="1565" spans="2:16" ht="17.25" thickBot="1" x14ac:dyDescent="0.35"/>
    <row r="1566" spans="2:16" ht="17.25" thickBot="1" x14ac:dyDescent="0.35">
      <c r="F1566" s="402" t="s">
        <v>12</v>
      </c>
      <c r="G1566" s="403"/>
      <c r="H1566" s="403"/>
      <c r="I1566" s="404"/>
      <c r="K1566" s="224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413" t="s">
        <v>14</v>
      </c>
      <c r="D1568" s="413"/>
      <c r="E1568" s="413"/>
      <c r="F1568" s="413"/>
      <c r="G1568" s="414"/>
    </row>
    <row r="1569" spans="2:12" x14ac:dyDescent="0.3">
      <c r="B1569" s="112" t="s">
        <v>6</v>
      </c>
      <c r="C1569" s="415" t="s">
        <v>1</v>
      </c>
      <c r="D1569" s="416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409" t="s">
        <v>584</v>
      </c>
      <c r="D1570" s="409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409"/>
      <c r="D1571" s="409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417"/>
      <c r="D1572" s="418"/>
      <c r="E1572" s="122"/>
      <c r="F1572" s="123"/>
      <c r="G1572" s="74"/>
      <c r="I1572" s="115">
        <f>IF(C1572=0,0,VLOOKUP(C1572,Tabla2[],3,FALSE))</f>
        <v>0</v>
      </c>
      <c r="K1572" s="84">
        <f>+F1572*I1572</f>
        <v>0</v>
      </c>
      <c r="L1572" s="116">
        <f>E1572*I1572</f>
        <v>0</v>
      </c>
    </row>
    <row r="1573" spans="2:12" ht="17.25" thickBot="1" x14ac:dyDescent="0.35">
      <c r="B1573" s="419" t="s">
        <v>15</v>
      </c>
      <c r="C1573" s="420"/>
      <c r="D1573" s="420"/>
      <c r="E1573" s="420"/>
      <c r="F1573" s="420"/>
      <c r="G1573" s="421"/>
      <c r="I1573" s="84">
        <v>0</v>
      </c>
      <c r="K1573" s="84">
        <v>0</v>
      </c>
      <c r="L1573" s="116">
        <f>E1573*I1573</f>
        <v>0</v>
      </c>
    </row>
    <row r="1574" spans="2:12" ht="17.25" thickBot="1" x14ac:dyDescent="0.35"/>
    <row r="1575" spans="2:12" ht="17.25" thickBot="1" x14ac:dyDescent="0.35">
      <c r="F1575" s="402" t="s">
        <v>16</v>
      </c>
      <c r="G1575" s="403"/>
      <c r="H1575" s="403"/>
      <c r="I1575" s="404"/>
      <c r="K1575" s="224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413" t="s">
        <v>18</v>
      </c>
      <c r="D1577" s="413"/>
      <c r="E1577" s="413"/>
      <c r="F1577" s="413"/>
      <c r="G1577" s="414"/>
    </row>
    <row r="1578" spans="2:12" x14ac:dyDescent="0.3">
      <c r="B1578" s="112" t="s">
        <v>6</v>
      </c>
      <c r="C1578" s="415" t="s">
        <v>1</v>
      </c>
      <c r="D1578" s="416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411"/>
      <c r="D1579" s="412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411"/>
      <c r="D1580" s="412"/>
      <c r="E1580" s="125"/>
      <c r="F1580" s="72"/>
      <c r="G1580" s="74"/>
      <c r="I1580" s="84">
        <v>0</v>
      </c>
      <c r="K1580" s="84">
        <f>+F1580*I1580</f>
        <v>0</v>
      </c>
      <c r="L1580" s="116">
        <f>E1580*I1580</f>
        <v>0</v>
      </c>
    </row>
    <row r="1581" spans="2:12" x14ac:dyDescent="0.3">
      <c r="B1581" s="74"/>
      <c r="C1581" s="411"/>
      <c r="D1581" s="412"/>
      <c r="E1581" s="125"/>
      <c r="F1581" s="72"/>
      <c r="G1581" s="74"/>
      <c r="I1581" s="84">
        <v>0</v>
      </c>
      <c r="K1581" s="84">
        <f>+F1581*I1581</f>
        <v>0</v>
      </c>
      <c r="L1581" s="116">
        <f>E1581*I1581</f>
        <v>0</v>
      </c>
    </row>
    <row r="1582" spans="2:12" ht="17.25" thickBot="1" x14ac:dyDescent="0.35">
      <c r="L1582" s="116"/>
    </row>
    <row r="1583" spans="2:12" ht="17.25" thickBot="1" x14ac:dyDescent="0.35">
      <c r="F1583" s="402" t="s">
        <v>19</v>
      </c>
      <c r="G1583" s="403"/>
      <c r="H1583" s="403"/>
      <c r="I1583" s="404"/>
      <c r="K1583" s="224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127"/>
      <c r="H1584" s="128"/>
      <c r="I1584" s="106"/>
      <c r="K1584" s="225"/>
    </row>
    <row r="1585" spans="1:16" ht="15" customHeight="1" thickBot="1" x14ac:dyDescent="0.35"/>
    <row r="1586" spans="1:16" ht="17.25" thickBot="1" x14ac:dyDescent="0.35">
      <c r="F1586" s="402" t="s">
        <v>20</v>
      </c>
      <c r="G1586" s="403"/>
      <c r="H1586" s="403"/>
      <c r="I1586" s="404"/>
      <c r="K1586" s="224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402" t="s">
        <v>21</v>
      </c>
      <c r="G1588" s="403"/>
      <c r="H1588" s="403"/>
      <c r="I1588" s="404"/>
      <c r="K1588" s="224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402" t="s">
        <v>22</v>
      </c>
      <c r="G1590" s="403"/>
      <c r="H1590" s="403"/>
      <c r="I1590" s="404"/>
      <c r="K1590" s="224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127"/>
      <c r="H1591" s="128"/>
      <c r="I1591" s="106"/>
      <c r="K1591" s="226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127"/>
      <c r="H1592" s="128"/>
      <c r="I1592" s="106"/>
      <c r="K1592" s="227"/>
      <c r="L1592" s="129"/>
      <c r="M1592" s="132"/>
      <c r="N1592" s="133"/>
    </row>
    <row r="1593" spans="1:16" ht="17.25" thickBot="1" x14ac:dyDescent="0.35">
      <c r="B1593" s="405"/>
      <c r="C1593" s="405"/>
      <c r="D1593" s="405"/>
    </row>
    <row r="1594" spans="1:16" x14ac:dyDescent="0.3">
      <c r="B1594" s="406" t="s">
        <v>23</v>
      </c>
      <c r="C1594" s="406"/>
      <c r="D1594" s="406"/>
    </row>
    <row r="1595" spans="1:16" x14ac:dyDescent="0.3">
      <c r="B1595" s="155"/>
      <c r="C1595" s="155"/>
      <c r="D1595" s="155"/>
    </row>
    <row r="1596" spans="1:16" x14ac:dyDescent="0.3">
      <c r="B1596" s="155"/>
      <c r="C1596" s="155"/>
      <c r="D1596" s="155"/>
    </row>
    <row r="1597" spans="1:16" x14ac:dyDescent="0.3">
      <c r="B1597" s="103" t="s">
        <v>43</v>
      </c>
      <c r="C1597" s="104"/>
      <c r="D1597" s="422" t="s">
        <v>1</v>
      </c>
      <c r="E1597" s="422"/>
      <c r="F1597" s="422"/>
      <c r="G1597" s="422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09">
        <f>CATALOGO!B56</f>
        <v>601.08000000000004</v>
      </c>
      <c r="C1598" s="71"/>
      <c r="D1598" s="423" t="str">
        <f>CATALOGO!C56</f>
        <v>REPELLO + BLANQUEADO</v>
      </c>
      <c r="E1598" s="423"/>
      <c r="F1598" s="423"/>
      <c r="G1598" s="423"/>
      <c r="H1598" s="71"/>
      <c r="I1598" s="209">
        <f>CATALOGO!D56</f>
        <v>140.94</v>
      </c>
      <c r="J1598" s="107"/>
      <c r="K1598" s="222" t="str">
        <f>CATALOGO!G56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413" t="s">
        <v>5</v>
      </c>
      <c r="D1600" s="413"/>
      <c r="E1600" s="413"/>
      <c r="F1600" s="413"/>
      <c r="G1600" s="414"/>
    </row>
    <row r="1601" spans="2:16" x14ac:dyDescent="0.25">
      <c r="B1601" s="109" t="s">
        <v>6</v>
      </c>
      <c r="C1601" s="424" t="s">
        <v>1</v>
      </c>
      <c r="D1601" s="425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3" t="s">
        <v>8</v>
      </c>
      <c r="L1601" s="113" t="s">
        <v>193</v>
      </c>
      <c r="O1601" s="438"/>
      <c r="P1601" s="438"/>
    </row>
    <row r="1602" spans="2:16" ht="16.5" customHeight="1" x14ac:dyDescent="0.25">
      <c r="B1602" s="120">
        <v>1</v>
      </c>
      <c r="C1602" s="430" t="s">
        <v>72</v>
      </c>
      <c r="D1602" s="429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50">E1602*I1602</f>
        <v>6342.3</v>
      </c>
      <c r="O1602" s="44"/>
      <c r="P1602" s="45"/>
    </row>
    <row r="1603" spans="2:16" x14ac:dyDescent="0.3">
      <c r="B1603" s="120">
        <v>2</v>
      </c>
      <c r="C1603" s="428" t="s">
        <v>213</v>
      </c>
      <c r="D1603" s="429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51">+F1603*I1603</f>
        <v>80</v>
      </c>
      <c r="L1603" s="116">
        <f t="shared" si="50"/>
        <v>11275.2</v>
      </c>
      <c r="P1603" s="45"/>
    </row>
    <row r="1604" spans="2:16" x14ac:dyDescent="0.25">
      <c r="B1604" s="120"/>
      <c r="C1604" s="430"/>
      <c r="D1604" s="429"/>
      <c r="E1604" s="114"/>
      <c r="F1604" s="83"/>
      <c r="G1604" s="74"/>
      <c r="I1604" s="115">
        <f>IF(C1604=0,0,VLOOKUP(C1604,Tabla1[],3,FALSE))</f>
        <v>0</v>
      </c>
      <c r="K1604" s="84">
        <f t="shared" si="51"/>
        <v>0</v>
      </c>
      <c r="L1604" s="116">
        <f t="shared" si="50"/>
        <v>0</v>
      </c>
      <c r="O1604" s="44"/>
      <c r="P1604" s="46"/>
    </row>
    <row r="1605" spans="2:16" x14ac:dyDescent="0.25">
      <c r="B1605" s="120"/>
      <c r="C1605" s="430"/>
      <c r="D1605" s="429"/>
      <c r="E1605" s="114"/>
      <c r="F1605" s="83"/>
      <c r="G1605" s="74"/>
      <c r="I1605" s="115">
        <f>IF(C1605=0,0,VLOOKUP(C1605,Tabla1[],3,FALSE))</f>
        <v>0</v>
      </c>
      <c r="K1605" s="84">
        <f t="shared" si="51"/>
        <v>0</v>
      </c>
      <c r="L1605" s="116">
        <f t="shared" si="50"/>
        <v>0</v>
      </c>
      <c r="O1605" s="44"/>
      <c r="P1605" s="47"/>
    </row>
    <row r="1606" spans="2:16" x14ac:dyDescent="0.25">
      <c r="B1606" s="120"/>
      <c r="C1606" s="204"/>
      <c r="D1606" s="205"/>
      <c r="E1606" s="114"/>
      <c r="F1606" s="83"/>
      <c r="G1606" s="74"/>
      <c r="I1606" s="115">
        <f>IF(C1606=0,0,VLOOKUP(C1606,Tabla1[],3,FALSE))</f>
        <v>0</v>
      </c>
      <c r="K1606" s="84">
        <f t="shared" si="51"/>
        <v>0</v>
      </c>
      <c r="L1606" s="116">
        <f t="shared" si="50"/>
        <v>0</v>
      </c>
      <c r="O1606" s="44"/>
      <c r="P1606" s="47"/>
    </row>
    <row r="1607" spans="2:16" x14ac:dyDescent="0.25">
      <c r="B1607" s="120"/>
      <c r="C1607" s="204"/>
      <c r="D1607" s="205"/>
      <c r="E1607" s="114"/>
      <c r="F1607" s="83"/>
      <c r="G1607" s="74"/>
      <c r="I1607" s="115">
        <f>IF(C1607=0,0,VLOOKUP(C1607,Tabla1[],3,FALSE))</f>
        <v>0</v>
      </c>
      <c r="K1607" s="84">
        <f t="shared" si="51"/>
        <v>0</v>
      </c>
      <c r="L1607" s="116">
        <f t="shared" si="50"/>
        <v>0</v>
      </c>
      <c r="O1607" s="44"/>
      <c r="P1607" s="47"/>
    </row>
    <row r="1608" spans="2:16" x14ac:dyDescent="0.25">
      <c r="B1608" s="120"/>
      <c r="C1608" s="204"/>
      <c r="D1608" s="205"/>
      <c r="E1608" s="114"/>
      <c r="F1608" s="83"/>
      <c r="G1608" s="74"/>
      <c r="I1608" s="115">
        <f>IF(C1608=0,0,VLOOKUP(C1608,Tabla1[],3,FALSE))</f>
        <v>0</v>
      </c>
      <c r="K1608" s="84">
        <f t="shared" si="51"/>
        <v>0</v>
      </c>
      <c r="L1608" s="116">
        <f t="shared" si="50"/>
        <v>0</v>
      </c>
      <c r="O1608" s="44"/>
      <c r="P1608" s="47"/>
    </row>
    <row r="1609" spans="2:16" x14ac:dyDescent="0.3">
      <c r="B1609" s="120"/>
      <c r="C1609" s="430"/>
      <c r="D1609" s="429"/>
      <c r="E1609" s="114"/>
      <c r="F1609" s="83"/>
      <c r="G1609" s="74"/>
      <c r="I1609" s="115">
        <f>IF(C1609=0,0,VLOOKUP(C1609,Tabla1[],3,FALSE))</f>
        <v>0</v>
      </c>
      <c r="K1609" s="84">
        <f t="shared" si="51"/>
        <v>0</v>
      </c>
      <c r="L1609" s="116">
        <f t="shared" si="50"/>
        <v>0</v>
      </c>
      <c r="O1609" s="48"/>
      <c r="P1609" s="49"/>
    </row>
    <row r="1610" spans="2:16" x14ac:dyDescent="0.3">
      <c r="B1610" s="120"/>
      <c r="C1610" s="430"/>
      <c r="D1610" s="429"/>
      <c r="E1610" s="114"/>
      <c r="F1610" s="83"/>
      <c r="G1610" s="74"/>
      <c r="I1610" s="115">
        <f>IF(C1610=0,0,VLOOKUP(C1610,Tabla1[],3,FALSE))</f>
        <v>0</v>
      </c>
      <c r="K1610" s="84">
        <f t="shared" si="51"/>
        <v>0</v>
      </c>
      <c r="L1610" s="116">
        <f t="shared" si="50"/>
        <v>0</v>
      </c>
      <c r="O1610" s="48"/>
      <c r="P1610" s="43"/>
    </row>
    <row r="1611" spans="2:16" x14ac:dyDescent="0.3">
      <c r="B1611" s="120"/>
      <c r="C1611" s="430"/>
      <c r="D1611" s="429"/>
      <c r="E1611" s="114"/>
      <c r="F1611" s="83"/>
      <c r="G1611" s="74"/>
      <c r="I1611" s="115">
        <f>IF(C1611=0,0,VLOOKUP(C1611,Tabla1[],3,FALSE))</f>
        <v>0</v>
      </c>
      <c r="K1611" s="84">
        <f t="shared" si="51"/>
        <v>0</v>
      </c>
      <c r="L1611" s="116">
        <f t="shared" si="50"/>
        <v>0</v>
      </c>
      <c r="O1611" s="48"/>
      <c r="P1611" s="49"/>
    </row>
    <row r="1612" spans="2:16" ht="17.25" thickBot="1" x14ac:dyDescent="0.35"/>
    <row r="1613" spans="2:16" ht="17.25" thickBot="1" x14ac:dyDescent="0.3">
      <c r="F1613" s="402" t="s">
        <v>9</v>
      </c>
      <c r="G1613" s="403"/>
      <c r="H1613" s="403"/>
      <c r="I1613" s="404"/>
      <c r="K1613" s="224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413" t="s">
        <v>11</v>
      </c>
      <c r="D1615" s="413"/>
      <c r="E1615" s="413"/>
      <c r="F1615" s="413"/>
      <c r="G1615" s="414"/>
    </row>
    <row r="1616" spans="2:16" x14ac:dyDescent="0.3">
      <c r="B1616" s="112" t="s">
        <v>6</v>
      </c>
      <c r="C1616" s="415" t="s">
        <v>1</v>
      </c>
      <c r="D1616" s="416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409"/>
      <c r="D1617" s="409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431"/>
      <c r="D1618" s="432"/>
      <c r="E1618" s="119"/>
      <c r="F1618" s="72"/>
      <c r="G1618" s="74"/>
      <c r="I1618" s="115">
        <f>IF(C1618=0,0,VLOOKUP(C1618,Tabla3[],3,FALSE))</f>
        <v>0</v>
      </c>
      <c r="K1618" s="84">
        <f>+F1618*I1618</f>
        <v>0</v>
      </c>
      <c r="L1618" s="116">
        <f>E1618*I1618</f>
        <v>0</v>
      </c>
    </row>
    <row r="1619" spans="2:12" x14ac:dyDescent="0.3">
      <c r="B1619" s="74"/>
      <c r="C1619" s="431"/>
      <c r="D1619" s="432"/>
      <c r="E1619" s="119"/>
      <c r="F1619" s="72"/>
      <c r="G1619" s="74"/>
      <c r="I1619" s="115">
        <f>IF(C1619=0,0,VLOOKUP(C1619,Tabla3[],3,FALSE))</f>
        <v>0</v>
      </c>
      <c r="K1619" s="84">
        <f>+F1619*I1619</f>
        <v>0</v>
      </c>
      <c r="L1619" s="116">
        <f>E1619*I1619</f>
        <v>0</v>
      </c>
    </row>
    <row r="1620" spans="2:12" x14ac:dyDescent="0.3">
      <c r="B1620" s="74"/>
      <c r="C1620" s="411"/>
      <c r="D1620" s="412"/>
      <c r="E1620" s="119"/>
      <c r="F1620" s="72"/>
      <c r="G1620" s="74"/>
      <c r="I1620" s="115">
        <f>IF(C1620=0,0,VLOOKUP(C1620,Tabla3[],3,FALSE))</f>
        <v>0</v>
      </c>
      <c r="K1620" s="84">
        <f>+F1620*I1620</f>
        <v>0</v>
      </c>
      <c r="L1620" s="116">
        <f>E1620*I1620</f>
        <v>0</v>
      </c>
    </row>
    <row r="1621" spans="2:12" ht="17.25" thickBot="1" x14ac:dyDescent="0.35"/>
    <row r="1622" spans="2:12" ht="17.25" thickBot="1" x14ac:dyDescent="0.35">
      <c r="F1622" s="402" t="s">
        <v>12</v>
      </c>
      <c r="G1622" s="403"/>
      <c r="H1622" s="403"/>
      <c r="I1622" s="404"/>
      <c r="K1622" s="224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413" t="s">
        <v>14</v>
      </c>
      <c r="D1624" s="413"/>
      <c r="E1624" s="413"/>
      <c r="F1624" s="413"/>
      <c r="G1624" s="414"/>
    </row>
    <row r="1625" spans="2:12" x14ac:dyDescent="0.3">
      <c r="B1625" s="112" t="s">
        <v>6</v>
      </c>
      <c r="C1625" s="415" t="s">
        <v>1</v>
      </c>
      <c r="D1625" s="416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409" t="s">
        <v>584</v>
      </c>
      <c r="D1626" s="409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409"/>
      <c r="D1627" s="409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417"/>
      <c r="D1628" s="418"/>
      <c r="E1628" s="122"/>
      <c r="F1628" s="123"/>
      <c r="G1628" s="74"/>
      <c r="I1628" s="115">
        <f>IF(C1628=0,0,VLOOKUP(C1628,Tabla2[],3,FALSE))</f>
        <v>0</v>
      </c>
      <c r="K1628" s="84">
        <f>+F1628*I1628</f>
        <v>0</v>
      </c>
      <c r="L1628" s="116">
        <f>E1628*I1628</f>
        <v>0</v>
      </c>
    </row>
    <row r="1629" spans="2:12" ht="17.25" thickBot="1" x14ac:dyDescent="0.35">
      <c r="B1629" s="419" t="s">
        <v>15</v>
      </c>
      <c r="C1629" s="420"/>
      <c r="D1629" s="420"/>
      <c r="E1629" s="420"/>
      <c r="F1629" s="420"/>
      <c r="G1629" s="421"/>
      <c r="I1629" s="84">
        <v>0</v>
      </c>
      <c r="K1629" s="84">
        <v>0</v>
      </c>
      <c r="L1629" s="116">
        <f>E1629*I1629</f>
        <v>0</v>
      </c>
    </row>
    <row r="1630" spans="2:12" ht="17.25" thickBot="1" x14ac:dyDescent="0.35"/>
    <row r="1631" spans="2:12" ht="17.25" thickBot="1" x14ac:dyDescent="0.35">
      <c r="F1631" s="402" t="s">
        <v>16</v>
      </c>
      <c r="G1631" s="403"/>
      <c r="H1631" s="403"/>
      <c r="I1631" s="404"/>
      <c r="K1631" s="224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413" t="s">
        <v>18</v>
      </c>
      <c r="D1633" s="413"/>
      <c r="E1633" s="413"/>
      <c r="F1633" s="413"/>
      <c r="G1633" s="414"/>
    </row>
    <row r="1634" spans="2:16" x14ac:dyDescent="0.3">
      <c r="B1634" s="112" t="s">
        <v>6</v>
      </c>
      <c r="C1634" s="415" t="s">
        <v>1</v>
      </c>
      <c r="D1634" s="416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411"/>
      <c r="D1635" s="412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411"/>
      <c r="D1636" s="412"/>
      <c r="E1636" s="125"/>
      <c r="F1636" s="72"/>
      <c r="G1636" s="74"/>
      <c r="I1636" s="84">
        <v>0</v>
      </c>
      <c r="K1636" s="84">
        <f>+F1636*I1636</f>
        <v>0</v>
      </c>
      <c r="L1636" s="116">
        <f>E1636*I1636</f>
        <v>0</v>
      </c>
    </row>
    <row r="1637" spans="2:16" x14ac:dyDescent="0.3">
      <c r="B1637" s="74"/>
      <c r="C1637" s="411"/>
      <c r="D1637" s="412"/>
      <c r="E1637" s="125"/>
      <c r="F1637" s="72"/>
      <c r="G1637" s="74"/>
      <c r="I1637" s="84">
        <v>0</v>
      </c>
      <c r="K1637" s="84">
        <f>+F1637*I1637</f>
        <v>0</v>
      </c>
      <c r="L1637" s="116">
        <f>E1637*I1637</f>
        <v>0</v>
      </c>
    </row>
    <row r="1638" spans="2:16" ht="17.25" thickBot="1" x14ac:dyDescent="0.35">
      <c r="L1638" s="116"/>
    </row>
    <row r="1639" spans="2:16" ht="17.25" thickBot="1" x14ac:dyDescent="0.35">
      <c r="F1639" s="402" t="s">
        <v>19</v>
      </c>
      <c r="G1639" s="403"/>
      <c r="H1639" s="403"/>
      <c r="I1639" s="404"/>
      <c r="K1639" s="224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127"/>
      <c r="H1640" s="128"/>
      <c r="I1640" s="106"/>
      <c r="K1640" s="225"/>
    </row>
    <row r="1641" spans="2:16" ht="15" customHeight="1" thickBot="1" x14ac:dyDescent="0.35"/>
    <row r="1642" spans="2:16" ht="17.25" thickBot="1" x14ac:dyDescent="0.35">
      <c r="F1642" s="402" t="s">
        <v>20</v>
      </c>
      <c r="G1642" s="403"/>
      <c r="H1642" s="403"/>
      <c r="I1642" s="404"/>
      <c r="K1642" s="224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402" t="s">
        <v>21</v>
      </c>
      <c r="G1644" s="403"/>
      <c r="H1644" s="403"/>
      <c r="I1644" s="404"/>
      <c r="K1644" s="224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402" t="s">
        <v>22</v>
      </c>
      <c r="G1646" s="403"/>
      <c r="H1646" s="403"/>
      <c r="I1646" s="404"/>
      <c r="K1646" s="224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127"/>
      <c r="H1647" s="128"/>
      <c r="I1647" s="106"/>
      <c r="K1647" s="226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127"/>
      <c r="H1648" s="128"/>
      <c r="I1648" s="106"/>
      <c r="K1648" s="227"/>
      <c r="L1648" s="129"/>
      <c r="M1648" s="132"/>
      <c r="N1648" s="133"/>
    </row>
    <row r="1649" spans="1:16" ht="17.25" thickBot="1" x14ac:dyDescent="0.35">
      <c r="B1649" s="405"/>
      <c r="C1649" s="405"/>
      <c r="D1649" s="405"/>
    </row>
    <row r="1650" spans="1:16" x14ac:dyDescent="0.3">
      <c r="B1650" s="406" t="s">
        <v>23</v>
      </c>
      <c r="C1650" s="406"/>
      <c r="D1650" s="406"/>
    </row>
    <row r="1651" spans="1:16" x14ac:dyDescent="0.3">
      <c r="B1651" s="155"/>
      <c r="C1651" s="155"/>
      <c r="D1651" s="155"/>
    </row>
    <row r="1652" spans="1:16" x14ac:dyDescent="0.3">
      <c r="B1652" s="155"/>
      <c r="C1652" s="155"/>
      <c r="D1652" s="155"/>
    </row>
    <row r="1653" spans="1:16" x14ac:dyDescent="0.3">
      <c r="B1653" s="103" t="s">
        <v>43</v>
      </c>
      <c r="C1653" s="104"/>
      <c r="D1653" s="422" t="s">
        <v>1</v>
      </c>
      <c r="E1653" s="422"/>
      <c r="F1653" s="422"/>
      <c r="G1653" s="422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09">
        <f>CATALOGO!B57</f>
        <v>604.03</v>
      </c>
      <c r="C1654" s="71"/>
      <c r="D1654" s="423" t="str">
        <f>CATALOGO!C57</f>
        <v>PISO GRANITO (BASE SELECTO-CEMENTO T = 0.20m)</v>
      </c>
      <c r="E1654" s="423"/>
      <c r="F1654" s="423"/>
      <c r="G1654" s="423"/>
      <c r="H1654" s="71"/>
      <c r="I1654" s="209">
        <f>CATALOGO!D57</f>
        <v>51.5</v>
      </c>
      <c r="J1654" s="107"/>
      <c r="K1654" s="222" t="str">
        <f>CATALOGO!G57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413" t="s">
        <v>5</v>
      </c>
      <c r="D1656" s="413"/>
      <c r="E1656" s="413"/>
      <c r="F1656" s="413"/>
      <c r="G1656" s="414"/>
    </row>
    <row r="1657" spans="1:16" x14ac:dyDescent="0.25">
      <c r="B1657" s="109" t="s">
        <v>6</v>
      </c>
      <c r="C1657" s="424" t="s">
        <v>1</v>
      </c>
      <c r="D1657" s="425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3" t="s">
        <v>8</v>
      </c>
      <c r="L1657" s="113" t="s">
        <v>193</v>
      </c>
      <c r="O1657" s="438"/>
      <c r="P1657" s="438"/>
    </row>
    <row r="1658" spans="1:16" ht="17.25" customHeight="1" x14ac:dyDescent="0.25">
      <c r="B1658" s="120">
        <v>1</v>
      </c>
      <c r="C1658" s="428" t="s">
        <v>213</v>
      </c>
      <c r="D1658" s="429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52">E1658*I1658</f>
        <v>3090</v>
      </c>
      <c r="O1658" s="44"/>
      <c r="P1658" s="45"/>
    </row>
    <row r="1659" spans="1:16" x14ac:dyDescent="0.3">
      <c r="B1659" s="120">
        <v>2</v>
      </c>
      <c r="C1659" s="428" t="s">
        <v>72</v>
      </c>
      <c r="D1659" s="429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53">+F1659*I1659</f>
        <v>5</v>
      </c>
      <c r="L1659" s="116">
        <f t="shared" si="52"/>
        <v>257.5</v>
      </c>
      <c r="P1659" s="45"/>
    </row>
    <row r="1660" spans="1:16" x14ac:dyDescent="0.25">
      <c r="B1660" s="120">
        <v>3</v>
      </c>
      <c r="C1660" s="428" t="s">
        <v>73</v>
      </c>
      <c r="D1660" s="429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53"/>
        <v>5</v>
      </c>
      <c r="L1660" s="116">
        <f t="shared" si="52"/>
        <v>257.5</v>
      </c>
      <c r="O1660" s="44"/>
      <c r="P1660" s="46"/>
    </row>
    <row r="1661" spans="1:16" x14ac:dyDescent="0.25">
      <c r="B1661" s="120">
        <v>4</v>
      </c>
      <c r="C1661" s="428" t="s">
        <v>179</v>
      </c>
      <c r="D1661" s="429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53"/>
        <v>9</v>
      </c>
      <c r="L1661" s="116">
        <f t="shared" si="52"/>
        <v>463.5</v>
      </c>
      <c r="O1661" s="44"/>
      <c r="P1661" s="51"/>
    </row>
    <row r="1662" spans="1:16" x14ac:dyDescent="0.3">
      <c r="B1662" s="120">
        <v>5</v>
      </c>
      <c r="C1662" s="428" t="s">
        <v>101</v>
      </c>
      <c r="D1662" s="429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53"/>
        <v>30</v>
      </c>
      <c r="L1662" s="116">
        <f t="shared" si="52"/>
        <v>1545</v>
      </c>
      <c r="O1662" s="48"/>
      <c r="P1662" s="52"/>
    </row>
    <row r="1663" spans="1:16" x14ac:dyDescent="0.3">
      <c r="B1663" s="120">
        <v>6</v>
      </c>
      <c r="C1663" s="407" t="s">
        <v>466</v>
      </c>
      <c r="D1663" s="408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53"/>
        <v>125</v>
      </c>
      <c r="L1663" s="116">
        <f t="shared" si="52"/>
        <v>6437.5</v>
      </c>
      <c r="O1663" s="48"/>
      <c r="P1663" s="52"/>
    </row>
    <row r="1664" spans="1:16" x14ac:dyDescent="0.3">
      <c r="B1664" s="120">
        <v>7</v>
      </c>
      <c r="C1664" s="430" t="s">
        <v>214</v>
      </c>
      <c r="D1664" s="429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53"/>
        <v>6</v>
      </c>
      <c r="L1664" s="116">
        <f t="shared" si="52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402" t="s">
        <v>9</v>
      </c>
      <c r="G1666" s="403"/>
      <c r="H1666" s="403"/>
      <c r="I1666" s="404"/>
      <c r="K1666" s="224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413" t="s">
        <v>11</v>
      </c>
      <c r="D1668" s="413"/>
      <c r="E1668" s="413"/>
      <c r="F1668" s="413"/>
      <c r="G1668" s="414"/>
    </row>
    <row r="1669" spans="2:16" x14ac:dyDescent="0.3">
      <c r="B1669" s="112" t="s">
        <v>6</v>
      </c>
      <c r="C1669" s="415" t="s">
        <v>1</v>
      </c>
      <c r="D1669" s="416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409"/>
      <c r="D1670" s="409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431"/>
      <c r="D1671" s="432"/>
      <c r="E1671" s="119"/>
      <c r="F1671" s="72"/>
      <c r="G1671" s="74"/>
      <c r="I1671" s="115">
        <f>IF(C1671=0,0,VLOOKUP(C1671,Tabla3[],3,FALSE))</f>
        <v>0</v>
      </c>
      <c r="K1671" s="84">
        <f>+F1671*I1671</f>
        <v>0</v>
      </c>
      <c r="L1671" s="116">
        <f>E1671*I1671</f>
        <v>0</v>
      </c>
    </row>
    <row r="1672" spans="2:16" x14ac:dyDescent="0.3">
      <c r="B1672" s="74"/>
      <c r="C1672" s="431"/>
      <c r="D1672" s="432"/>
      <c r="E1672" s="119"/>
      <c r="F1672" s="72"/>
      <c r="G1672" s="74"/>
      <c r="I1672" s="115">
        <f>IF(C1672=0,0,VLOOKUP(C1672,Tabla3[],3,FALSE))</f>
        <v>0</v>
      </c>
      <c r="K1672" s="84">
        <f>+F1672*I1672</f>
        <v>0</v>
      </c>
      <c r="L1672" s="116">
        <f>E1672*I1672</f>
        <v>0</v>
      </c>
    </row>
    <row r="1673" spans="2:16" x14ac:dyDescent="0.3">
      <c r="B1673" s="74"/>
      <c r="C1673" s="411"/>
      <c r="D1673" s="412"/>
      <c r="E1673" s="119"/>
      <c r="F1673" s="72"/>
      <c r="G1673" s="74"/>
      <c r="I1673" s="115">
        <f>IF(C1673=0,0,VLOOKUP(C1673,Tabla3[],3,FALSE))</f>
        <v>0</v>
      </c>
      <c r="K1673" s="84">
        <f>+F1673*I1673</f>
        <v>0</v>
      </c>
      <c r="L1673" s="116">
        <f>E1673*I1673</f>
        <v>0</v>
      </c>
    </row>
    <row r="1674" spans="2:16" ht="17.25" thickBot="1" x14ac:dyDescent="0.35"/>
    <row r="1675" spans="2:16" ht="17.25" thickBot="1" x14ac:dyDescent="0.35">
      <c r="F1675" s="402" t="s">
        <v>12</v>
      </c>
      <c r="G1675" s="403"/>
      <c r="H1675" s="403"/>
      <c r="I1675" s="404"/>
      <c r="K1675" s="224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413" t="s">
        <v>14</v>
      </c>
      <c r="D1677" s="413"/>
      <c r="E1677" s="413"/>
      <c r="F1677" s="413"/>
      <c r="G1677" s="414"/>
    </row>
    <row r="1678" spans="2:16" x14ac:dyDescent="0.3">
      <c r="B1678" s="112" t="s">
        <v>6</v>
      </c>
      <c r="C1678" s="415" t="s">
        <v>1</v>
      </c>
      <c r="D1678" s="416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409" t="s">
        <v>414</v>
      </c>
      <c r="D1679" s="409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409" t="s">
        <v>215</v>
      </c>
      <c r="D1680" s="409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417"/>
      <c r="D1681" s="418"/>
      <c r="E1681" s="122"/>
      <c r="F1681" s="123"/>
      <c r="G1681" s="74"/>
      <c r="I1681" s="115">
        <f>IF(C1681=0,0,VLOOKUP(C1681,Tabla2[],3,FALSE))</f>
        <v>0</v>
      </c>
      <c r="K1681" s="84">
        <f>+F1681*I1681</f>
        <v>0</v>
      </c>
      <c r="L1681" s="116">
        <f>E1681*I1681</f>
        <v>0</v>
      </c>
    </row>
    <row r="1682" spans="2:16" ht="17.25" thickBot="1" x14ac:dyDescent="0.35">
      <c r="B1682" s="419" t="s">
        <v>15</v>
      </c>
      <c r="C1682" s="420"/>
      <c r="D1682" s="420"/>
      <c r="E1682" s="420"/>
      <c r="F1682" s="420"/>
      <c r="G1682" s="421"/>
      <c r="I1682" s="84">
        <v>0</v>
      </c>
      <c r="K1682" s="84">
        <v>0</v>
      </c>
      <c r="L1682" s="116">
        <f>E1682*I1682</f>
        <v>0</v>
      </c>
    </row>
    <row r="1683" spans="2:16" ht="17.25" thickBot="1" x14ac:dyDescent="0.35"/>
    <row r="1684" spans="2:16" ht="17.25" thickBot="1" x14ac:dyDescent="0.35">
      <c r="F1684" s="402" t="s">
        <v>16</v>
      </c>
      <c r="G1684" s="403"/>
      <c r="H1684" s="403"/>
      <c r="I1684" s="404"/>
      <c r="K1684" s="224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413" t="s">
        <v>18</v>
      </c>
      <c r="D1686" s="413"/>
      <c r="E1686" s="413"/>
      <c r="F1686" s="413"/>
      <c r="G1686" s="414"/>
    </row>
    <row r="1687" spans="2:16" x14ac:dyDescent="0.3">
      <c r="B1687" s="112" t="s">
        <v>6</v>
      </c>
      <c r="C1687" s="415" t="s">
        <v>1</v>
      </c>
      <c r="D1687" s="416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411"/>
      <c r="D1688" s="412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411"/>
      <c r="D1689" s="412"/>
      <c r="E1689" s="125"/>
      <c r="F1689" s="72"/>
      <c r="G1689" s="74"/>
      <c r="I1689" s="84">
        <v>0</v>
      </c>
      <c r="K1689" s="84">
        <f>+F1689*I1689</f>
        <v>0</v>
      </c>
      <c r="L1689" s="116">
        <f>E1689*I1689</f>
        <v>0</v>
      </c>
    </row>
    <row r="1690" spans="2:16" x14ac:dyDescent="0.3">
      <c r="B1690" s="74"/>
      <c r="C1690" s="411"/>
      <c r="D1690" s="412"/>
      <c r="E1690" s="125"/>
      <c r="F1690" s="72"/>
      <c r="G1690" s="74"/>
      <c r="I1690" s="84">
        <v>0</v>
      </c>
      <c r="K1690" s="84">
        <f>+F1690*I1690</f>
        <v>0</v>
      </c>
      <c r="L1690" s="116">
        <f>E1690*I1690</f>
        <v>0</v>
      </c>
    </row>
    <row r="1691" spans="2:16" ht="17.25" thickBot="1" x14ac:dyDescent="0.35">
      <c r="L1691" s="116"/>
    </row>
    <row r="1692" spans="2:16" ht="17.25" thickBot="1" x14ac:dyDescent="0.35">
      <c r="F1692" s="402" t="s">
        <v>19</v>
      </c>
      <c r="G1692" s="403"/>
      <c r="H1692" s="403"/>
      <c r="I1692" s="404"/>
      <c r="K1692" s="224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127"/>
      <c r="H1693" s="128"/>
      <c r="I1693" s="106"/>
      <c r="K1693" s="225"/>
    </row>
    <row r="1694" spans="2:16" ht="15" customHeight="1" thickBot="1" x14ac:dyDescent="0.35"/>
    <row r="1695" spans="2:16" ht="17.25" thickBot="1" x14ac:dyDescent="0.35">
      <c r="F1695" s="402" t="s">
        <v>20</v>
      </c>
      <c r="G1695" s="403"/>
      <c r="H1695" s="403"/>
      <c r="I1695" s="404"/>
      <c r="K1695" s="224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402" t="s">
        <v>21</v>
      </c>
      <c r="G1697" s="403"/>
      <c r="H1697" s="403"/>
      <c r="I1697" s="404"/>
      <c r="K1697" s="224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402" t="s">
        <v>22</v>
      </c>
      <c r="G1699" s="403"/>
      <c r="H1699" s="403"/>
      <c r="I1699" s="404"/>
      <c r="K1699" s="224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127"/>
      <c r="H1700" s="128"/>
      <c r="I1700" s="106"/>
      <c r="K1700" s="226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127"/>
      <c r="H1701" s="128"/>
      <c r="I1701" s="106"/>
      <c r="K1701" s="227"/>
      <c r="L1701" s="129"/>
      <c r="M1701" s="132"/>
      <c r="N1701" s="133"/>
    </row>
    <row r="1702" spans="1:16" ht="17.25" thickBot="1" x14ac:dyDescent="0.35">
      <c r="B1702" s="405"/>
      <c r="C1702" s="405"/>
      <c r="D1702" s="405"/>
    </row>
    <row r="1703" spans="1:16" x14ac:dyDescent="0.3">
      <c r="B1703" s="406" t="s">
        <v>23</v>
      </c>
      <c r="C1703" s="406"/>
      <c r="D1703" s="406"/>
    </row>
    <row r="1704" spans="1:16" x14ac:dyDescent="0.3">
      <c r="B1704" s="155"/>
      <c r="C1704" s="155"/>
      <c r="D1704" s="155"/>
    </row>
    <row r="1705" spans="1:16" x14ac:dyDescent="0.3">
      <c r="B1705" s="155"/>
      <c r="C1705" s="155"/>
      <c r="D1705" s="155"/>
    </row>
    <row r="1706" spans="1:16" x14ac:dyDescent="0.3">
      <c r="B1706" s="103" t="s">
        <v>43</v>
      </c>
      <c r="C1706" s="104"/>
      <c r="D1706" s="422" t="s">
        <v>1</v>
      </c>
      <c r="E1706" s="422"/>
      <c r="F1706" s="422"/>
      <c r="G1706" s="422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09">
        <f>CATALOGO!B58</f>
        <v>604.04999999999995</v>
      </c>
      <c r="C1707" s="71"/>
      <c r="D1707" s="423" t="str">
        <f>CATALOGO!C58</f>
        <v>PISO DE GRANITO ANTIDESLIZANTE</v>
      </c>
      <c r="E1707" s="423"/>
      <c r="F1707" s="423"/>
      <c r="G1707" s="423"/>
      <c r="H1707" s="71"/>
      <c r="I1707" s="209">
        <f>CATALOGO!D58</f>
        <v>15.02</v>
      </c>
      <c r="J1707" s="107"/>
      <c r="K1707" s="222" t="str">
        <f>CATALOGO!G58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413" t="s">
        <v>5</v>
      </c>
      <c r="D1709" s="413"/>
      <c r="E1709" s="413"/>
      <c r="F1709" s="413"/>
      <c r="G1709" s="414"/>
    </row>
    <row r="1710" spans="1:16" x14ac:dyDescent="0.25">
      <c r="B1710" s="109" t="s">
        <v>6</v>
      </c>
      <c r="C1710" s="424" t="s">
        <v>1</v>
      </c>
      <c r="D1710" s="425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3" t="s">
        <v>8</v>
      </c>
      <c r="L1710" s="113" t="s">
        <v>193</v>
      </c>
      <c r="O1710" s="438"/>
      <c r="P1710" s="438"/>
    </row>
    <row r="1711" spans="1:16" ht="17.25" customHeight="1" x14ac:dyDescent="0.25">
      <c r="B1711" s="120">
        <v>1</v>
      </c>
      <c r="C1711" s="407" t="s">
        <v>466</v>
      </c>
      <c r="D1711" s="408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54">E1711*I1711</f>
        <v>1877.5</v>
      </c>
      <c r="O1711" s="44"/>
      <c r="P1711" s="45"/>
    </row>
    <row r="1712" spans="1:16" x14ac:dyDescent="0.3">
      <c r="B1712" s="120">
        <v>2</v>
      </c>
      <c r="C1712" s="428" t="s">
        <v>213</v>
      </c>
      <c r="D1712" s="429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55">+F1712*I1712</f>
        <v>56</v>
      </c>
      <c r="L1712" s="116">
        <f t="shared" si="54"/>
        <v>841.11999999999989</v>
      </c>
      <c r="P1712" s="45"/>
    </row>
    <row r="1713" spans="2:16" ht="16.5" customHeight="1" x14ac:dyDescent="0.25">
      <c r="B1713" s="120">
        <v>3</v>
      </c>
      <c r="C1713" s="430" t="s">
        <v>72</v>
      </c>
      <c r="D1713" s="429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55"/>
        <v>5</v>
      </c>
      <c r="L1713" s="116">
        <f t="shared" si="54"/>
        <v>75.099999999999994</v>
      </c>
      <c r="O1713" s="44"/>
      <c r="P1713" s="46"/>
    </row>
    <row r="1714" spans="2:16" x14ac:dyDescent="0.25">
      <c r="B1714" s="120">
        <v>4</v>
      </c>
      <c r="C1714" s="430" t="s">
        <v>214</v>
      </c>
      <c r="D1714" s="429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55"/>
        <v>4</v>
      </c>
      <c r="L1714" s="116">
        <f t="shared" si="54"/>
        <v>60.08</v>
      </c>
      <c r="O1714" s="44"/>
      <c r="P1714" s="51"/>
    </row>
    <row r="1715" spans="2:16" x14ac:dyDescent="0.25">
      <c r="B1715" s="120"/>
      <c r="C1715" s="206"/>
      <c r="D1715" s="205"/>
      <c r="E1715" s="114"/>
      <c r="F1715" s="83"/>
      <c r="G1715" s="74"/>
      <c r="I1715" s="115">
        <f>IF(C1715=0,0,VLOOKUP(C1715,Tabla1[],3,FALSE))</f>
        <v>0</v>
      </c>
      <c r="K1715" s="84">
        <f>+F1715*I1715</f>
        <v>0</v>
      </c>
      <c r="L1715" s="116">
        <f>E1715*I1715</f>
        <v>0</v>
      </c>
      <c r="O1715" s="44"/>
      <c r="P1715" s="51"/>
    </row>
    <row r="1716" spans="2:16" x14ac:dyDescent="0.25">
      <c r="B1716" s="120"/>
      <c r="C1716" s="206"/>
      <c r="D1716" s="205"/>
      <c r="E1716" s="114"/>
      <c r="F1716" s="83"/>
      <c r="G1716" s="74"/>
      <c r="I1716" s="115">
        <f>IF(C1716=0,0,VLOOKUP(C1716,Tabla1[],3,FALSE))</f>
        <v>0</v>
      </c>
      <c r="K1716" s="84">
        <f>+F1716*I1716</f>
        <v>0</v>
      </c>
      <c r="L1716" s="116">
        <f>E1716*I1716</f>
        <v>0</v>
      </c>
      <c r="O1716" s="44"/>
      <c r="P1716" s="51"/>
    </row>
    <row r="1717" spans="2:16" x14ac:dyDescent="0.25">
      <c r="B1717" s="120"/>
      <c r="C1717" s="206"/>
      <c r="D1717" s="205"/>
      <c r="E1717" s="114"/>
      <c r="F1717" s="83"/>
      <c r="G1717" s="74"/>
      <c r="I1717" s="115">
        <f>IF(C1717=0,0,VLOOKUP(C1717,Tabla1[],3,FALSE))</f>
        <v>0</v>
      </c>
      <c r="K1717" s="84">
        <f>+F1717*I1717</f>
        <v>0</v>
      </c>
      <c r="L1717" s="116">
        <f>E1717*I1717</f>
        <v>0</v>
      </c>
      <c r="O1717" s="44"/>
      <c r="P1717" s="51"/>
    </row>
    <row r="1718" spans="2:16" x14ac:dyDescent="0.3">
      <c r="B1718" s="120"/>
      <c r="C1718" s="428"/>
      <c r="D1718" s="429"/>
      <c r="E1718" s="114"/>
      <c r="F1718" s="83"/>
      <c r="G1718" s="74"/>
      <c r="I1718" s="115">
        <f>IF(C1718=0,0,VLOOKUP(C1718,Tabla1[],3,FALSE))</f>
        <v>0</v>
      </c>
      <c r="K1718" s="84">
        <f t="shared" si="55"/>
        <v>0</v>
      </c>
      <c r="L1718" s="116">
        <f t="shared" si="54"/>
        <v>0</v>
      </c>
      <c r="O1718" s="48"/>
      <c r="P1718" s="52"/>
    </row>
    <row r="1719" spans="2:16" x14ac:dyDescent="0.3">
      <c r="B1719" s="120"/>
      <c r="C1719" s="407"/>
      <c r="D1719" s="408"/>
      <c r="E1719" s="114"/>
      <c r="F1719" s="83"/>
      <c r="G1719" s="74"/>
      <c r="I1719" s="115">
        <f>IF(C1719=0,0,VLOOKUP(C1719,Tabla1[],3,FALSE))</f>
        <v>0</v>
      </c>
      <c r="K1719" s="84">
        <f t="shared" si="55"/>
        <v>0</v>
      </c>
      <c r="L1719" s="116">
        <f t="shared" si="54"/>
        <v>0</v>
      </c>
      <c r="O1719" s="48"/>
      <c r="P1719" s="52"/>
    </row>
    <row r="1720" spans="2:16" x14ac:dyDescent="0.3">
      <c r="B1720" s="120"/>
      <c r="C1720" s="430"/>
      <c r="D1720" s="429"/>
      <c r="E1720" s="114"/>
      <c r="F1720" s="83"/>
      <c r="G1720" s="74"/>
      <c r="I1720" s="115">
        <f>IF(C1720=0,0,VLOOKUP(C1720,Tabla1[],3,FALSE))</f>
        <v>0</v>
      </c>
      <c r="K1720" s="84">
        <f t="shared" si="55"/>
        <v>0</v>
      </c>
      <c r="L1720" s="116">
        <f t="shared" si="54"/>
        <v>0</v>
      </c>
      <c r="O1720" s="48"/>
      <c r="P1720" s="52"/>
    </row>
    <row r="1721" spans="2:16" ht="17.25" thickBot="1" x14ac:dyDescent="0.35"/>
    <row r="1722" spans="2:16" ht="17.25" thickBot="1" x14ac:dyDescent="0.3">
      <c r="F1722" s="402" t="s">
        <v>9</v>
      </c>
      <c r="G1722" s="403"/>
      <c r="H1722" s="403"/>
      <c r="I1722" s="404"/>
      <c r="K1722" s="224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413" t="s">
        <v>11</v>
      </c>
      <c r="D1724" s="413"/>
      <c r="E1724" s="413"/>
      <c r="F1724" s="413"/>
      <c r="G1724" s="414"/>
    </row>
    <row r="1725" spans="2:16" x14ac:dyDescent="0.3">
      <c r="B1725" s="112" t="s">
        <v>6</v>
      </c>
      <c r="C1725" s="415" t="s">
        <v>1</v>
      </c>
      <c r="D1725" s="416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409"/>
      <c r="D1726" s="409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431"/>
      <c r="D1727" s="432"/>
      <c r="E1727" s="119"/>
      <c r="F1727" s="72"/>
      <c r="G1727" s="74"/>
      <c r="I1727" s="115">
        <f>IF(C1727=0,0,VLOOKUP(C1727,Tabla3[],3,FALSE))</f>
        <v>0</v>
      </c>
      <c r="K1727" s="84">
        <f>+F1727*I1727</f>
        <v>0</v>
      </c>
      <c r="L1727" s="116">
        <f>E1727*I1727</f>
        <v>0</v>
      </c>
    </row>
    <row r="1728" spans="2:16" x14ac:dyDescent="0.3">
      <c r="B1728" s="74"/>
      <c r="C1728" s="431"/>
      <c r="D1728" s="432"/>
      <c r="E1728" s="119"/>
      <c r="F1728" s="72"/>
      <c r="G1728" s="74"/>
      <c r="I1728" s="115">
        <f>IF(C1728=0,0,VLOOKUP(C1728,Tabla3[],3,FALSE))</f>
        <v>0</v>
      </c>
      <c r="K1728" s="84">
        <f>+F1728*I1728</f>
        <v>0</v>
      </c>
      <c r="L1728" s="116">
        <f>E1728*I1728</f>
        <v>0</v>
      </c>
    </row>
    <row r="1729" spans="2:12" x14ac:dyDescent="0.3">
      <c r="B1729" s="74"/>
      <c r="C1729" s="411"/>
      <c r="D1729" s="412"/>
      <c r="E1729" s="119"/>
      <c r="F1729" s="72"/>
      <c r="G1729" s="74"/>
      <c r="I1729" s="115">
        <f>IF(C1729=0,0,VLOOKUP(C1729,Tabla3[],3,FALSE))</f>
        <v>0</v>
      </c>
      <c r="K1729" s="84">
        <f>+F1729*I1729</f>
        <v>0</v>
      </c>
      <c r="L1729" s="116">
        <f>E1729*I1729</f>
        <v>0</v>
      </c>
    </row>
    <row r="1730" spans="2:12" ht="17.25" thickBot="1" x14ac:dyDescent="0.35"/>
    <row r="1731" spans="2:12" ht="17.25" thickBot="1" x14ac:dyDescent="0.35">
      <c r="F1731" s="402" t="s">
        <v>12</v>
      </c>
      <c r="G1731" s="403"/>
      <c r="H1731" s="403"/>
      <c r="I1731" s="404"/>
      <c r="K1731" s="224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413" t="s">
        <v>14</v>
      </c>
      <c r="D1733" s="413"/>
      <c r="E1733" s="413"/>
      <c r="F1733" s="413"/>
      <c r="G1733" s="414"/>
    </row>
    <row r="1734" spans="2:12" x14ac:dyDescent="0.3">
      <c r="B1734" s="112" t="s">
        <v>6</v>
      </c>
      <c r="C1734" s="415" t="s">
        <v>1</v>
      </c>
      <c r="D1734" s="416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409" t="s">
        <v>215</v>
      </c>
      <c r="D1735" s="409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409"/>
      <c r="D1736" s="409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417"/>
      <c r="D1737" s="418"/>
      <c r="E1737" s="122"/>
      <c r="F1737" s="123"/>
      <c r="G1737" s="74"/>
      <c r="I1737" s="115">
        <f>IF(C1737=0,0,VLOOKUP(C1737,Tabla2[],3,FALSE))</f>
        <v>0</v>
      </c>
      <c r="K1737" s="84">
        <f>+F1737*I1737</f>
        <v>0</v>
      </c>
      <c r="L1737" s="116">
        <f>E1737*I1737</f>
        <v>0</v>
      </c>
    </row>
    <row r="1738" spans="2:12" ht="17.25" thickBot="1" x14ac:dyDescent="0.35">
      <c r="B1738" s="419" t="s">
        <v>15</v>
      </c>
      <c r="C1738" s="420"/>
      <c r="D1738" s="420"/>
      <c r="E1738" s="420"/>
      <c r="F1738" s="420"/>
      <c r="G1738" s="421"/>
      <c r="I1738" s="84">
        <v>0</v>
      </c>
      <c r="K1738" s="84">
        <v>0</v>
      </c>
      <c r="L1738" s="116">
        <f>E1738*I1738</f>
        <v>0</v>
      </c>
    </row>
    <row r="1739" spans="2:12" ht="17.25" thickBot="1" x14ac:dyDescent="0.35"/>
    <row r="1740" spans="2:12" ht="17.25" thickBot="1" x14ac:dyDescent="0.35">
      <c r="F1740" s="402" t="s">
        <v>16</v>
      </c>
      <c r="G1740" s="403"/>
      <c r="H1740" s="403"/>
      <c r="I1740" s="404"/>
      <c r="K1740" s="224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413" t="s">
        <v>18</v>
      </c>
      <c r="D1742" s="413"/>
      <c r="E1742" s="413"/>
      <c r="F1742" s="413"/>
      <c r="G1742" s="414"/>
    </row>
    <row r="1743" spans="2:12" x14ac:dyDescent="0.3">
      <c r="B1743" s="112" t="s">
        <v>6</v>
      </c>
      <c r="C1743" s="415" t="s">
        <v>1</v>
      </c>
      <c r="D1743" s="416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411"/>
      <c r="D1744" s="412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411"/>
      <c r="D1745" s="412"/>
      <c r="E1745" s="125"/>
      <c r="F1745" s="72"/>
      <c r="G1745" s="74"/>
      <c r="I1745" s="84">
        <v>0</v>
      </c>
      <c r="K1745" s="84">
        <f>+F1745*I1745</f>
        <v>0</v>
      </c>
      <c r="L1745" s="116">
        <f>E1745*I1745</f>
        <v>0</v>
      </c>
    </row>
    <row r="1746" spans="2:16" x14ac:dyDescent="0.3">
      <c r="B1746" s="74"/>
      <c r="C1746" s="411"/>
      <c r="D1746" s="412"/>
      <c r="E1746" s="125"/>
      <c r="F1746" s="72"/>
      <c r="G1746" s="74"/>
      <c r="I1746" s="84">
        <v>0</v>
      </c>
      <c r="K1746" s="84">
        <f>+F1746*I1746</f>
        <v>0</v>
      </c>
      <c r="L1746" s="116">
        <f>E1746*I1746</f>
        <v>0</v>
      </c>
    </row>
    <row r="1747" spans="2:16" ht="17.25" thickBot="1" x14ac:dyDescent="0.35">
      <c r="L1747" s="116"/>
    </row>
    <row r="1748" spans="2:16" ht="17.25" thickBot="1" x14ac:dyDescent="0.35">
      <c r="F1748" s="402" t="s">
        <v>19</v>
      </c>
      <c r="G1748" s="403"/>
      <c r="H1748" s="403"/>
      <c r="I1748" s="404"/>
      <c r="K1748" s="224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127"/>
      <c r="H1749" s="128"/>
      <c r="I1749" s="106"/>
      <c r="K1749" s="225"/>
    </row>
    <row r="1750" spans="2:16" ht="15" customHeight="1" thickBot="1" x14ac:dyDescent="0.35"/>
    <row r="1751" spans="2:16" ht="17.25" thickBot="1" x14ac:dyDescent="0.35">
      <c r="F1751" s="402" t="s">
        <v>20</v>
      </c>
      <c r="G1751" s="403"/>
      <c r="H1751" s="403"/>
      <c r="I1751" s="404"/>
      <c r="K1751" s="224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402" t="s">
        <v>21</v>
      </c>
      <c r="G1753" s="403"/>
      <c r="H1753" s="403"/>
      <c r="I1753" s="404"/>
      <c r="K1753" s="224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402" t="s">
        <v>22</v>
      </c>
      <c r="G1755" s="403"/>
      <c r="H1755" s="403"/>
      <c r="I1755" s="404"/>
      <c r="K1755" s="224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127"/>
      <c r="H1756" s="128"/>
      <c r="I1756" s="106"/>
      <c r="K1756" s="226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127"/>
      <c r="H1757" s="128"/>
      <c r="I1757" s="106"/>
      <c r="K1757" s="227"/>
      <c r="L1757" s="129"/>
      <c r="M1757" s="132"/>
      <c r="N1757" s="133"/>
    </row>
    <row r="1758" spans="2:16" ht="17.25" thickBot="1" x14ac:dyDescent="0.35">
      <c r="B1758" s="405"/>
      <c r="C1758" s="405"/>
      <c r="D1758" s="405"/>
    </row>
    <row r="1759" spans="2:16" x14ac:dyDescent="0.3">
      <c r="B1759" s="406" t="s">
        <v>23</v>
      </c>
      <c r="C1759" s="406"/>
      <c r="D1759" s="406"/>
    </row>
    <row r="1760" spans="2:16" x14ac:dyDescent="0.3">
      <c r="B1760" s="155"/>
      <c r="C1760" s="155"/>
      <c r="D1760" s="155"/>
    </row>
    <row r="1761" spans="1:16" x14ac:dyDescent="0.3">
      <c r="B1761" s="155"/>
      <c r="C1761" s="155"/>
      <c r="D1761" s="155"/>
    </row>
    <row r="1762" spans="1:16" x14ac:dyDescent="0.3">
      <c r="B1762" s="103" t="s">
        <v>43</v>
      </c>
      <c r="C1762" s="104"/>
      <c r="D1762" s="422" t="s">
        <v>1</v>
      </c>
      <c r="E1762" s="422"/>
      <c r="F1762" s="422"/>
      <c r="G1762" s="422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09">
        <f>CATALOGO!B59</f>
        <v>607.02</v>
      </c>
      <c r="C1763" s="71"/>
      <c r="D1763" s="423" t="str">
        <f>CATALOGO!C59</f>
        <v>PAÑUELOS E IMPERMEABILIZACIÓN</v>
      </c>
      <c r="E1763" s="423"/>
      <c r="F1763" s="423"/>
      <c r="G1763" s="423"/>
      <c r="H1763" s="71"/>
      <c r="I1763" s="209">
        <f>CATALOGO!D59</f>
        <v>37</v>
      </c>
      <c r="J1763" s="107"/>
      <c r="K1763" s="222" t="str">
        <f>CATALOGO!G59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413" t="s">
        <v>5</v>
      </c>
      <c r="D1765" s="413"/>
      <c r="E1765" s="413"/>
      <c r="F1765" s="413"/>
      <c r="G1765" s="414"/>
    </row>
    <row r="1766" spans="1:16" x14ac:dyDescent="0.25">
      <c r="B1766" s="109" t="s">
        <v>6</v>
      </c>
      <c r="C1766" s="424" t="s">
        <v>1</v>
      </c>
      <c r="D1766" s="425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3" t="s">
        <v>8</v>
      </c>
      <c r="L1766" s="113" t="s">
        <v>193</v>
      </c>
      <c r="O1766" s="438"/>
      <c r="P1766" s="438"/>
    </row>
    <row r="1767" spans="1:16" ht="17.25" customHeight="1" x14ac:dyDescent="0.25">
      <c r="B1767" s="120">
        <v>1</v>
      </c>
      <c r="C1767" s="430" t="s">
        <v>72</v>
      </c>
      <c r="D1767" s="429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56">E1767*I1767</f>
        <v>2590.0000000000005</v>
      </c>
      <c r="O1767" s="44"/>
      <c r="P1767" s="45"/>
    </row>
    <row r="1768" spans="1:16" x14ac:dyDescent="0.3">
      <c r="B1768" s="120">
        <v>2</v>
      </c>
      <c r="C1768" s="428" t="s">
        <v>213</v>
      </c>
      <c r="D1768" s="429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57">+F1768*I1768</f>
        <v>40</v>
      </c>
      <c r="L1768" s="116">
        <f t="shared" si="56"/>
        <v>1480</v>
      </c>
      <c r="P1768" s="45"/>
    </row>
    <row r="1769" spans="1:16" ht="16.5" customHeight="1" x14ac:dyDescent="0.25">
      <c r="B1769" s="120"/>
      <c r="C1769" s="430"/>
      <c r="D1769" s="429"/>
      <c r="E1769" s="114"/>
      <c r="F1769" s="83"/>
      <c r="G1769" s="74"/>
      <c r="I1769" s="115">
        <f>IF(C1769=0,0,VLOOKUP(C1769,Tabla1[],3,FALSE))</f>
        <v>0</v>
      </c>
      <c r="K1769" s="84">
        <f t="shared" si="57"/>
        <v>0</v>
      </c>
      <c r="L1769" s="116">
        <f t="shared" si="56"/>
        <v>0</v>
      </c>
      <c r="O1769" s="44"/>
      <c r="P1769" s="46"/>
    </row>
    <row r="1770" spans="1:16" x14ac:dyDescent="0.25">
      <c r="B1770" s="120"/>
      <c r="C1770" s="430"/>
      <c r="D1770" s="429"/>
      <c r="E1770" s="114"/>
      <c r="F1770" s="83"/>
      <c r="G1770" s="74"/>
      <c r="I1770" s="115">
        <f>IF(C1770=0,0,VLOOKUP(C1770,Tabla1[],3,FALSE))</f>
        <v>0</v>
      </c>
      <c r="K1770" s="84">
        <f t="shared" si="57"/>
        <v>0</v>
      </c>
      <c r="L1770" s="116">
        <f t="shared" si="56"/>
        <v>0</v>
      </c>
      <c r="O1770" s="44"/>
      <c r="P1770" s="51"/>
    </row>
    <row r="1771" spans="1:16" x14ac:dyDescent="0.25">
      <c r="B1771" s="120"/>
      <c r="C1771" s="206"/>
      <c r="D1771" s="205"/>
      <c r="E1771" s="114"/>
      <c r="F1771" s="83"/>
      <c r="G1771" s="74"/>
      <c r="I1771" s="115">
        <f>IF(C1771=0,0,VLOOKUP(C1771,Tabla1[],3,FALSE))</f>
        <v>0</v>
      </c>
      <c r="K1771" s="84">
        <f t="shared" si="57"/>
        <v>0</v>
      </c>
      <c r="L1771" s="116">
        <f t="shared" si="56"/>
        <v>0</v>
      </c>
      <c r="O1771" s="44"/>
      <c r="P1771" s="51"/>
    </row>
    <row r="1772" spans="1:16" x14ac:dyDescent="0.25">
      <c r="B1772" s="120"/>
      <c r="C1772" s="206"/>
      <c r="D1772" s="205"/>
      <c r="E1772" s="114"/>
      <c r="F1772" s="83"/>
      <c r="G1772" s="74"/>
      <c r="I1772" s="115">
        <f>IF(C1772=0,0,VLOOKUP(C1772,Tabla1[],3,FALSE))</f>
        <v>0</v>
      </c>
      <c r="K1772" s="84">
        <f t="shared" si="57"/>
        <v>0</v>
      </c>
      <c r="L1772" s="116">
        <f t="shared" si="56"/>
        <v>0</v>
      </c>
      <c r="O1772" s="44"/>
      <c r="P1772" s="51"/>
    </row>
    <row r="1773" spans="1:16" x14ac:dyDescent="0.25">
      <c r="B1773" s="120"/>
      <c r="C1773" s="206"/>
      <c r="D1773" s="205"/>
      <c r="E1773" s="114"/>
      <c r="F1773" s="83"/>
      <c r="G1773" s="74"/>
      <c r="I1773" s="115">
        <f>IF(C1773=0,0,VLOOKUP(C1773,Tabla1[],3,FALSE))</f>
        <v>0</v>
      </c>
      <c r="K1773" s="84">
        <f t="shared" si="57"/>
        <v>0</v>
      </c>
      <c r="L1773" s="116">
        <f t="shared" si="56"/>
        <v>0</v>
      </c>
      <c r="O1773" s="44"/>
      <c r="P1773" s="51"/>
    </row>
    <row r="1774" spans="1:16" x14ac:dyDescent="0.3">
      <c r="B1774" s="120"/>
      <c r="C1774" s="428"/>
      <c r="D1774" s="429"/>
      <c r="E1774" s="114"/>
      <c r="F1774" s="83"/>
      <c r="G1774" s="74"/>
      <c r="I1774" s="115">
        <f>IF(C1774=0,0,VLOOKUP(C1774,Tabla1[],3,FALSE))</f>
        <v>0</v>
      </c>
      <c r="K1774" s="84">
        <f t="shared" si="57"/>
        <v>0</v>
      </c>
      <c r="L1774" s="116">
        <f t="shared" si="56"/>
        <v>0</v>
      </c>
      <c r="O1774" s="48"/>
      <c r="P1774" s="52"/>
    </row>
    <row r="1775" spans="1:16" x14ac:dyDescent="0.3">
      <c r="B1775" s="120"/>
      <c r="C1775" s="407"/>
      <c r="D1775" s="408"/>
      <c r="E1775" s="114"/>
      <c r="F1775" s="83"/>
      <c r="G1775" s="74"/>
      <c r="I1775" s="115">
        <f>IF(C1775=0,0,VLOOKUP(C1775,Tabla1[],3,FALSE))</f>
        <v>0</v>
      </c>
      <c r="K1775" s="84">
        <f t="shared" si="57"/>
        <v>0</v>
      </c>
      <c r="L1775" s="116">
        <f t="shared" si="56"/>
        <v>0</v>
      </c>
      <c r="O1775" s="48"/>
      <c r="P1775" s="52"/>
    </row>
    <row r="1776" spans="1:16" x14ac:dyDescent="0.3">
      <c r="B1776" s="120"/>
      <c r="C1776" s="430"/>
      <c r="D1776" s="429"/>
      <c r="E1776" s="114"/>
      <c r="F1776" s="83"/>
      <c r="G1776" s="74"/>
      <c r="I1776" s="115">
        <f>IF(C1776=0,0,VLOOKUP(C1776,Tabla1[],3,FALSE))</f>
        <v>0</v>
      </c>
      <c r="K1776" s="84">
        <f t="shared" si="57"/>
        <v>0</v>
      </c>
      <c r="L1776" s="116">
        <f t="shared" si="56"/>
        <v>0</v>
      </c>
      <c r="O1776" s="48"/>
      <c r="P1776" s="52"/>
    </row>
    <row r="1777" spans="2:16" ht="17.25" thickBot="1" x14ac:dyDescent="0.35"/>
    <row r="1778" spans="2:16" ht="17.25" thickBot="1" x14ac:dyDescent="0.3">
      <c r="F1778" s="402" t="s">
        <v>9</v>
      </c>
      <c r="G1778" s="403"/>
      <c r="H1778" s="403"/>
      <c r="I1778" s="404"/>
      <c r="K1778" s="224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413" t="s">
        <v>11</v>
      </c>
      <c r="D1780" s="413"/>
      <c r="E1780" s="413"/>
      <c r="F1780" s="413"/>
      <c r="G1780" s="414"/>
    </row>
    <row r="1781" spans="2:16" x14ac:dyDescent="0.3">
      <c r="B1781" s="112" t="s">
        <v>6</v>
      </c>
      <c r="C1781" s="415" t="s">
        <v>1</v>
      </c>
      <c r="D1781" s="416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409"/>
      <c r="D1782" s="409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431"/>
      <c r="D1783" s="432"/>
      <c r="E1783" s="119"/>
      <c r="F1783" s="72"/>
      <c r="G1783" s="74"/>
      <c r="I1783" s="115">
        <f>IF(C1783=0,0,VLOOKUP(C1783,Tabla3[],3,FALSE))</f>
        <v>0</v>
      </c>
      <c r="K1783" s="84">
        <f>+F1783*I1783</f>
        <v>0</v>
      </c>
      <c r="L1783" s="116">
        <f>E1783*I1783</f>
        <v>0</v>
      </c>
    </row>
    <row r="1784" spans="2:16" x14ac:dyDescent="0.3">
      <c r="B1784" s="74"/>
      <c r="C1784" s="431"/>
      <c r="D1784" s="432"/>
      <c r="E1784" s="119"/>
      <c r="F1784" s="72"/>
      <c r="G1784" s="74"/>
      <c r="I1784" s="115">
        <f>IF(C1784=0,0,VLOOKUP(C1784,Tabla3[],3,FALSE))</f>
        <v>0</v>
      </c>
      <c r="K1784" s="84">
        <f>+F1784*I1784</f>
        <v>0</v>
      </c>
      <c r="L1784" s="116">
        <f>E1784*I1784</f>
        <v>0</v>
      </c>
    </row>
    <row r="1785" spans="2:16" x14ac:dyDescent="0.3">
      <c r="B1785" s="74"/>
      <c r="C1785" s="411"/>
      <c r="D1785" s="412"/>
      <c r="E1785" s="119"/>
      <c r="F1785" s="72"/>
      <c r="G1785" s="74"/>
      <c r="I1785" s="115">
        <f>IF(C1785=0,0,VLOOKUP(C1785,Tabla3[],3,FALSE))</f>
        <v>0</v>
      </c>
      <c r="K1785" s="84">
        <f>+F1785*I1785</f>
        <v>0</v>
      </c>
      <c r="L1785" s="116">
        <f>E1785*I1785</f>
        <v>0</v>
      </c>
    </row>
    <row r="1786" spans="2:16" ht="17.25" thickBot="1" x14ac:dyDescent="0.35"/>
    <row r="1787" spans="2:16" ht="17.25" thickBot="1" x14ac:dyDescent="0.35">
      <c r="F1787" s="402" t="s">
        <v>12</v>
      </c>
      <c r="G1787" s="403"/>
      <c r="H1787" s="403"/>
      <c r="I1787" s="404"/>
      <c r="K1787" s="224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413" t="s">
        <v>14</v>
      </c>
      <c r="D1789" s="413"/>
      <c r="E1789" s="413"/>
      <c r="F1789" s="413"/>
      <c r="G1789" s="414"/>
    </row>
    <row r="1790" spans="2:16" x14ac:dyDescent="0.3">
      <c r="B1790" s="112" t="s">
        <v>6</v>
      </c>
      <c r="C1790" s="415" t="s">
        <v>1</v>
      </c>
      <c r="D1790" s="416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409" t="s">
        <v>395</v>
      </c>
      <c r="D1791" s="409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409"/>
      <c r="D1792" s="409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417"/>
      <c r="D1793" s="418"/>
      <c r="E1793" s="122"/>
      <c r="F1793" s="123"/>
      <c r="G1793" s="74"/>
      <c r="I1793" s="115">
        <f>IF(C1793=0,0,VLOOKUP(C1793,Tabla2[],3,FALSE))</f>
        <v>0</v>
      </c>
      <c r="K1793" s="84">
        <f>+F1793*I1793</f>
        <v>0</v>
      </c>
      <c r="L1793" s="116">
        <f>E1793*I1793</f>
        <v>0</v>
      </c>
    </row>
    <row r="1794" spans="2:16" ht="17.25" thickBot="1" x14ac:dyDescent="0.35">
      <c r="B1794" s="419" t="s">
        <v>15</v>
      </c>
      <c r="C1794" s="420"/>
      <c r="D1794" s="420"/>
      <c r="E1794" s="420"/>
      <c r="F1794" s="420"/>
      <c r="G1794" s="421"/>
      <c r="I1794" s="84">
        <v>0</v>
      </c>
      <c r="K1794" s="84">
        <v>0</v>
      </c>
      <c r="L1794" s="116">
        <f>E1794*I1794</f>
        <v>0</v>
      </c>
    </row>
    <row r="1795" spans="2:16" ht="17.25" thickBot="1" x14ac:dyDescent="0.35"/>
    <row r="1796" spans="2:16" ht="17.25" thickBot="1" x14ac:dyDescent="0.35">
      <c r="F1796" s="402" t="s">
        <v>16</v>
      </c>
      <c r="G1796" s="403"/>
      <c r="H1796" s="403"/>
      <c r="I1796" s="404"/>
      <c r="K1796" s="224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413" t="s">
        <v>18</v>
      </c>
      <c r="D1798" s="413"/>
      <c r="E1798" s="413"/>
      <c r="F1798" s="413"/>
      <c r="G1798" s="414"/>
    </row>
    <row r="1799" spans="2:16" x14ac:dyDescent="0.3">
      <c r="B1799" s="112" t="s">
        <v>6</v>
      </c>
      <c r="C1799" s="415" t="s">
        <v>1</v>
      </c>
      <c r="D1799" s="416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411"/>
      <c r="D1800" s="412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411"/>
      <c r="D1801" s="412"/>
      <c r="E1801" s="125"/>
      <c r="F1801" s="72"/>
      <c r="G1801" s="74"/>
      <c r="I1801" s="84">
        <v>0</v>
      </c>
      <c r="K1801" s="84">
        <f>+F1801*I1801</f>
        <v>0</v>
      </c>
      <c r="L1801" s="116">
        <f>E1801*I1801</f>
        <v>0</v>
      </c>
    </row>
    <row r="1802" spans="2:16" x14ac:dyDescent="0.3">
      <c r="B1802" s="74"/>
      <c r="C1802" s="411"/>
      <c r="D1802" s="412"/>
      <c r="E1802" s="125"/>
      <c r="F1802" s="72"/>
      <c r="G1802" s="74"/>
      <c r="I1802" s="84">
        <v>0</v>
      </c>
      <c r="K1802" s="84">
        <f>+F1802*I1802</f>
        <v>0</v>
      </c>
      <c r="L1802" s="116">
        <f>E1802*I1802</f>
        <v>0</v>
      </c>
    </row>
    <row r="1803" spans="2:16" ht="17.25" thickBot="1" x14ac:dyDescent="0.35">
      <c r="L1803" s="116"/>
    </row>
    <row r="1804" spans="2:16" ht="17.25" thickBot="1" x14ac:dyDescent="0.35">
      <c r="F1804" s="402" t="s">
        <v>19</v>
      </c>
      <c r="G1804" s="403"/>
      <c r="H1804" s="403"/>
      <c r="I1804" s="404"/>
      <c r="K1804" s="224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127"/>
      <c r="H1805" s="128"/>
      <c r="I1805" s="106"/>
      <c r="K1805" s="225"/>
    </row>
    <row r="1806" spans="2:16" ht="15" customHeight="1" thickBot="1" x14ac:dyDescent="0.35"/>
    <row r="1807" spans="2:16" ht="17.25" thickBot="1" x14ac:dyDescent="0.35">
      <c r="F1807" s="402" t="s">
        <v>20</v>
      </c>
      <c r="G1807" s="403"/>
      <c r="H1807" s="403"/>
      <c r="I1807" s="404"/>
      <c r="K1807" s="224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402" t="s">
        <v>21</v>
      </c>
      <c r="G1809" s="403"/>
      <c r="H1809" s="403"/>
      <c r="I1809" s="404"/>
      <c r="K1809" s="224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402" t="s">
        <v>22</v>
      </c>
      <c r="G1811" s="403"/>
      <c r="H1811" s="403"/>
      <c r="I1811" s="404"/>
      <c r="K1811" s="224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127"/>
      <c r="H1812" s="128"/>
      <c r="I1812" s="106"/>
      <c r="K1812" s="226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127"/>
      <c r="H1813" s="128"/>
      <c r="I1813" s="106"/>
      <c r="K1813" s="227"/>
      <c r="L1813" s="129"/>
      <c r="M1813" s="132"/>
      <c r="N1813" s="133"/>
    </row>
    <row r="1814" spans="1:16" ht="17.25" thickBot="1" x14ac:dyDescent="0.35">
      <c r="B1814" s="405"/>
      <c r="C1814" s="405"/>
      <c r="D1814" s="405"/>
    </row>
    <row r="1815" spans="1:16" x14ac:dyDescent="0.3">
      <c r="B1815" s="406" t="s">
        <v>23</v>
      </c>
      <c r="C1815" s="406"/>
      <c r="D1815" s="406"/>
    </row>
    <row r="1816" spans="1:16" x14ac:dyDescent="0.3">
      <c r="B1816" s="155"/>
      <c r="C1816" s="155"/>
      <c r="D1816" s="155"/>
    </row>
    <row r="1817" spans="1:16" x14ac:dyDescent="0.3">
      <c r="B1817" s="155"/>
      <c r="C1817" s="155"/>
      <c r="D1817" s="155"/>
    </row>
    <row r="1818" spans="1:16" x14ac:dyDescent="0.3">
      <c r="B1818" s="103" t="s">
        <v>43</v>
      </c>
      <c r="C1818" s="104"/>
      <c r="D1818" s="422" t="s">
        <v>1</v>
      </c>
      <c r="E1818" s="422"/>
      <c r="F1818" s="422"/>
      <c r="G1818" s="422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09">
        <f>CATALOGO!B60</f>
        <v>609.02</v>
      </c>
      <c r="C1819" s="71"/>
      <c r="D1819" s="423" t="str">
        <f>CATALOGO!C60</f>
        <v>AZULEJO DE PORCELANATO</v>
      </c>
      <c r="E1819" s="423"/>
      <c r="F1819" s="423"/>
      <c r="G1819" s="423"/>
      <c r="H1819" s="71"/>
      <c r="I1819" s="209">
        <f>CATALOGO!D60</f>
        <v>25</v>
      </c>
      <c r="J1819" s="107"/>
      <c r="K1819" s="222" t="str">
        <f>CATALOGO!G60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413" t="s">
        <v>5</v>
      </c>
      <c r="D1821" s="413"/>
      <c r="E1821" s="413"/>
      <c r="F1821" s="413"/>
      <c r="G1821" s="414"/>
    </row>
    <row r="1822" spans="1:16" x14ac:dyDescent="0.25">
      <c r="B1822" s="109" t="s">
        <v>6</v>
      </c>
      <c r="C1822" s="424" t="s">
        <v>1</v>
      </c>
      <c r="D1822" s="425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3" t="s">
        <v>8</v>
      </c>
      <c r="L1822" s="113" t="s">
        <v>193</v>
      </c>
      <c r="O1822" s="438"/>
      <c r="P1822" s="438"/>
    </row>
    <row r="1823" spans="1:16" x14ac:dyDescent="0.25">
      <c r="B1823" s="120">
        <v>1</v>
      </c>
      <c r="C1823" s="407" t="s">
        <v>469</v>
      </c>
      <c r="D1823" s="408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58">E1823*I1823</f>
        <v>3000</v>
      </c>
      <c r="O1823" s="44"/>
      <c r="P1823" s="45"/>
    </row>
    <row r="1824" spans="1:16" x14ac:dyDescent="0.3">
      <c r="B1824" s="120">
        <v>2</v>
      </c>
      <c r="C1824" s="428" t="s">
        <v>95</v>
      </c>
      <c r="D1824" s="429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59">+F1824*I1824</f>
        <v>15</v>
      </c>
      <c r="L1824" s="116">
        <f t="shared" si="58"/>
        <v>375</v>
      </c>
      <c r="P1824" s="45"/>
    </row>
    <row r="1825" spans="2:16" x14ac:dyDescent="0.25">
      <c r="B1825" s="120">
        <v>3</v>
      </c>
      <c r="C1825" s="430" t="s">
        <v>284</v>
      </c>
      <c r="D1825" s="429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59"/>
        <v>15</v>
      </c>
      <c r="L1825" s="116">
        <f t="shared" si="58"/>
        <v>375</v>
      </c>
      <c r="O1825" s="44"/>
      <c r="P1825" s="46"/>
    </row>
    <row r="1826" spans="2:16" x14ac:dyDescent="0.25">
      <c r="B1826" s="120"/>
      <c r="C1826" s="430"/>
      <c r="D1826" s="429"/>
      <c r="E1826" s="114"/>
      <c r="F1826" s="83"/>
      <c r="G1826" s="74"/>
      <c r="I1826" s="115">
        <f>IF(C1826=0,0,VLOOKUP(C1826,Tabla1[],3,FALSE))</f>
        <v>0</v>
      </c>
      <c r="K1826" s="84">
        <f t="shared" si="59"/>
        <v>0</v>
      </c>
      <c r="L1826" s="116">
        <f t="shared" si="58"/>
        <v>0</v>
      </c>
      <c r="O1826" s="44"/>
      <c r="P1826" s="47"/>
    </row>
    <row r="1827" spans="2:16" x14ac:dyDescent="0.3">
      <c r="B1827" s="120"/>
      <c r="C1827" s="430"/>
      <c r="D1827" s="429"/>
      <c r="E1827" s="114"/>
      <c r="F1827" s="83"/>
      <c r="G1827" s="74"/>
      <c r="I1827" s="115">
        <f>IF(C1827=0,0,VLOOKUP(C1827,Tabla1[],3,FALSE))</f>
        <v>0</v>
      </c>
      <c r="K1827" s="84">
        <f t="shared" si="59"/>
        <v>0</v>
      </c>
      <c r="L1827" s="116">
        <f t="shared" si="58"/>
        <v>0</v>
      </c>
      <c r="O1827" s="48"/>
      <c r="P1827" s="49"/>
    </row>
    <row r="1828" spans="2:16" x14ac:dyDescent="0.3">
      <c r="B1828" s="120"/>
      <c r="C1828" s="430"/>
      <c r="D1828" s="429"/>
      <c r="E1828" s="114"/>
      <c r="F1828" s="83"/>
      <c r="G1828" s="74"/>
      <c r="I1828" s="115">
        <f>IF(C1828=0,0,VLOOKUP(C1828,Tabla1[],3,FALSE))</f>
        <v>0</v>
      </c>
      <c r="K1828" s="84">
        <f t="shared" si="59"/>
        <v>0</v>
      </c>
      <c r="L1828" s="116">
        <f t="shared" si="58"/>
        <v>0</v>
      </c>
      <c r="O1828" s="48"/>
      <c r="P1828" s="43"/>
    </row>
    <row r="1829" spans="2:16" x14ac:dyDescent="0.3">
      <c r="B1829" s="120"/>
      <c r="C1829" s="430"/>
      <c r="D1829" s="429"/>
      <c r="E1829" s="114"/>
      <c r="F1829" s="83"/>
      <c r="G1829" s="74"/>
      <c r="I1829" s="115">
        <f>IF(C1829=0,0,VLOOKUP(C1829,Tabla1[],3,FALSE))</f>
        <v>0</v>
      </c>
      <c r="K1829" s="84">
        <f t="shared" si="59"/>
        <v>0</v>
      </c>
      <c r="L1829" s="116">
        <f t="shared" si="58"/>
        <v>0</v>
      </c>
      <c r="O1829" s="48"/>
      <c r="P1829" s="49"/>
    </row>
    <row r="1830" spans="2:16" ht="17.25" thickBot="1" x14ac:dyDescent="0.35"/>
    <row r="1831" spans="2:16" ht="17.25" thickBot="1" x14ac:dyDescent="0.3">
      <c r="F1831" s="402" t="s">
        <v>9</v>
      </c>
      <c r="G1831" s="403"/>
      <c r="H1831" s="403"/>
      <c r="I1831" s="404"/>
      <c r="K1831" s="224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413" t="s">
        <v>11</v>
      </c>
      <c r="D1833" s="413"/>
      <c r="E1833" s="413"/>
      <c r="F1833" s="413"/>
      <c r="G1833" s="414"/>
    </row>
    <row r="1834" spans="2:16" x14ac:dyDescent="0.3">
      <c r="B1834" s="112" t="s">
        <v>6</v>
      </c>
      <c r="C1834" s="415" t="s">
        <v>1</v>
      </c>
      <c r="D1834" s="416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409"/>
      <c r="D1835" s="409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431"/>
      <c r="D1836" s="432"/>
      <c r="E1836" s="119"/>
      <c r="F1836" s="72"/>
      <c r="G1836" s="74"/>
      <c r="I1836" s="115">
        <f>IF(C1836=0,0,VLOOKUP(C1836,Tabla3[],3,FALSE))</f>
        <v>0</v>
      </c>
      <c r="K1836" s="84">
        <f>+F1836*I1836</f>
        <v>0</v>
      </c>
      <c r="L1836" s="116">
        <f>E1836*I1836</f>
        <v>0</v>
      </c>
    </row>
    <row r="1837" spans="2:16" x14ac:dyDescent="0.3">
      <c r="B1837" s="74"/>
      <c r="C1837" s="431"/>
      <c r="D1837" s="432"/>
      <c r="E1837" s="119"/>
      <c r="F1837" s="72"/>
      <c r="G1837" s="74"/>
      <c r="I1837" s="115">
        <f>IF(C1837=0,0,VLOOKUP(C1837,Tabla3[],3,FALSE))</f>
        <v>0</v>
      </c>
      <c r="K1837" s="84">
        <f>+F1837*I1837</f>
        <v>0</v>
      </c>
      <c r="L1837" s="116">
        <f>E1837*I1837</f>
        <v>0</v>
      </c>
    </row>
    <row r="1838" spans="2:16" x14ac:dyDescent="0.3">
      <c r="B1838" s="74"/>
      <c r="C1838" s="411"/>
      <c r="D1838" s="412"/>
      <c r="E1838" s="119"/>
      <c r="F1838" s="72"/>
      <c r="G1838" s="74"/>
      <c r="I1838" s="115">
        <f>IF(C1838=0,0,VLOOKUP(C1838,Tabla3[],3,FALSE))</f>
        <v>0</v>
      </c>
      <c r="K1838" s="84">
        <f>+F1838*I1838</f>
        <v>0</v>
      </c>
      <c r="L1838" s="116">
        <f>E1838*I1838</f>
        <v>0</v>
      </c>
    </row>
    <row r="1839" spans="2:16" ht="17.25" thickBot="1" x14ac:dyDescent="0.35"/>
    <row r="1840" spans="2:16" ht="17.25" thickBot="1" x14ac:dyDescent="0.35">
      <c r="F1840" s="402" t="s">
        <v>12</v>
      </c>
      <c r="G1840" s="403"/>
      <c r="H1840" s="403"/>
      <c r="I1840" s="404"/>
      <c r="K1840" s="224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413" t="s">
        <v>14</v>
      </c>
      <c r="D1842" s="413"/>
      <c r="E1842" s="413"/>
      <c r="F1842" s="413"/>
      <c r="G1842" s="414"/>
    </row>
    <row r="1843" spans="2:12" x14ac:dyDescent="0.3">
      <c r="B1843" s="112" t="s">
        <v>6</v>
      </c>
      <c r="C1843" s="415" t="s">
        <v>1</v>
      </c>
      <c r="D1843" s="416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409" t="s">
        <v>602</v>
      </c>
      <c r="D1844" s="409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409"/>
      <c r="D1845" s="409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417"/>
      <c r="D1846" s="418"/>
      <c r="E1846" s="122"/>
      <c r="F1846" s="123"/>
      <c r="G1846" s="74"/>
      <c r="I1846" s="115">
        <f>IF(C1846=0,0,VLOOKUP(C1846,Tabla2[],3,FALSE))</f>
        <v>0</v>
      </c>
      <c r="K1846" s="84">
        <f>+F1846*I1846</f>
        <v>0</v>
      </c>
      <c r="L1846" s="116">
        <f>E1846*I1846</f>
        <v>0</v>
      </c>
    </row>
    <row r="1847" spans="2:12" ht="17.25" thickBot="1" x14ac:dyDescent="0.35">
      <c r="B1847" s="419" t="s">
        <v>15</v>
      </c>
      <c r="C1847" s="420"/>
      <c r="D1847" s="420"/>
      <c r="E1847" s="420"/>
      <c r="F1847" s="420"/>
      <c r="G1847" s="421"/>
      <c r="I1847" s="84">
        <v>0</v>
      </c>
      <c r="K1847" s="84">
        <v>0</v>
      </c>
      <c r="L1847" s="116">
        <f>E1847*I1847</f>
        <v>0</v>
      </c>
    </row>
    <row r="1848" spans="2:12" ht="17.25" thickBot="1" x14ac:dyDescent="0.35"/>
    <row r="1849" spans="2:12" ht="17.25" thickBot="1" x14ac:dyDescent="0.35">
      <c r="F1849" s="402" t="s">
        <v>16</v>
      </c>
      <c r="G1849" s="403"/>
      <c r="H1849" s="403"/>
      <c r="I1849" s="404"/>
      <c r="K1849" s="224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413" t="s">
        <v>18</v>
      </c>
      <c r="D1851" s="413"/>
      <c r="E1851" s="413"/>
      <c r="F1851" s="413"/>
      <c r="G1851" s="414"/>
    </row>
    <row r="1852" spans="2:12" x14ac:dyDescent="0.3">
      <c r="B1852" s="112" t="s">
        <v>6</v>
      </c>
      <c r="C1852" s="415" t="s">
        <v>1</v>
      </c>
      <c r="D1852" s="416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411"/>
      <c r="D1853" s="412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411"/>
      <c r="D1854" s="412"/>
      <c r="E1854" s="125"/>
      <c r="F1854" s="72"/>
      <c r="G1854" s="74"/>
      <c r="I1854" s="84">
        <v>0</v>
      </c>
      <c r="K1854" s="84">
        <f>+F1854*I1854</f>
        <v>0</v>
      </c>
      <c r="L1854" s="116">
        <f>E1854*I1854</f>
        <v>0</v>
      </c>
    </row>
    <row r="1855" spans="2:12" x14ac:dyDescent="0.3">
      <c r="B1855" s="74"/>
      <c r="C1855" s="411"/>
      <c r="D1855" s="412"/>
      <c r="E1855" s="125"/>
      <c r="F1855" s="72"/>
      <c r="G1855" s="74"/>
      <c r="I1855" s="84">
        <v>0</v>
      </c>
      <c r="K1855" s="84">
        <f>+F1855*I1855</f>
        <v>0</v>
      </c>
      <c r="L1855" s="116">
        <f>E1855*I1855</f>
        <v>0</v>
      </c>
    </row>
    <row r="1856" spans="2:12" ht="17.25" thickBot="1" x14ac:dyDescent="0.35">
      <c r="L1856" s="116"/>
    </row>
    <row r="1857" spans="1:16" ht="17.25" thickBot="1" x14ac:dyDescent="0.35">
      <c r="F1857" s="402" t="s">
        <v>19</v>
      </c>
      <c r="G1857" s="403"/>
      <c r="H1857" s="403"/>
      <c r="I1857" s="404"/>
      <c r="K1857" s="224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127"/>
      <c r="H1858" s="128"/>
      <c r="I1858" s="106"/>
      <c r="K1858" s="225"/>
    </row>
    <row r="1859" spans="1:16" ht="15" customHeight="1" thickBot="1" x14ac:dyDescent="0.35"/>
    <row r="1860" spans="1:16" ht="17.25" thickBot="1" x14ac:dyDescent="0.35">
      <c r="F1860" s="402" t="s">
        <v>20</v>
      </c>
      <c r="G1860" s="403"/>
      <c r="H1860" s="403"/>
      <c r="I1860" s="404"/>
      <c r="K1860" s="224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402" t="s">
        <v>21</v>
      </c>
      <c r="G1862" s="403"/>
      <c r="H1862" s="403"/>
      <c r="I1862" s="404"/>
      <c r="K1862" s="224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402" t="s">
        <v>22</v>
      </c>
      <c r="G1864" s="403"/>
      <c r="H1864" s="403"/>
      <c r="I1864" s="404"/>
      <c r="K1864" s="224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127"/>
      <c r="H1865" s="128"/>
      <c r="I1865" s="106"/>
      <c r="K1865" s="226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127"/>
      <c r="H1866" s="128"/>
      <c r="I1866" s="106"/>
      <c r="K1866" s="227"/>
      <c r="L1866" s="129"/>
      <c r="M1866" s="132"/>
      <c r="N1866" s="133"/>
    </row>
    <row r="1867" spans="1:16" ht="17.25" thickBot="1" x14ac:dyDescent="0.35">
      <c r="B1867" s="405"/>
      <c r="C1867" s="405"/>
      <c r="D1867" s="405"/>
    </row>
    <row r="1868" spans="1:16" x14ac:dyDescent="0.3">
      <c r="B1868" s="406" t="s">
        <v>23</v>
      </c>
      <c r="C1868" s="406"/>
      <c r="D1868" s="406"/>
    </row>
    <row r="1869" spans="1:16" x14ac:dyDescent="0.3">
      <c r="B1869" s="155"/>
      <c r="C1869" s="155"/>
      <c r="D1869" s="155"/>
    </row>
    <row r="1870" spans="1:16" x14ac:dyDescent="0.3">
      <c r="B1870" s="155"/>
      <c r="C1870" s="155"/>
      <c r="D1870" s="155"/>
    </row>
    <row r="1871" spans="1:16" x14ac:dyDescent="0.3">
      <c r="B1871" s="103" t="s">
        <v>43</v>
      </c>
      <c r="C1871" s="104"/>
      <c r="D1871" s="422" t="s">
        <v>1</v>
      </c>
      <c r="E1871" s="422"/>
      <c r="F1871" s="422"/>
      <c r="G1871" s="422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09">
        <f>CATALOGO!B61</f>
        <v>611.01</v>
      </c>
      <c r="C1872" s="71"/>
      <c r="D1872" s="436" t="str">
        <f>CATALOGO!C61</f>
        <v>PINTURA DE MUROS</v>
      </c>
      <c r="E1872" s="436"/>
      <c r="F1872" s="436"/>
      <c r="G1872" s="436"/>
      <c r="H1872" s="71"/>
      <c r="I1872" s="209">
        <f>CATALOGO!D61</f>
        <v>117.1</v>
      </c>
      <c r="J1872" s="107"/>
      <c r="K1872" s="222" t="str">
        <f>CATALOGO!G61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413" t="s">
        <v>5</v>
      </c>
      <c r="D1874" s="413"/>
      <c r="E1874" s="413"/>
      <c r="F1874" s="413"/>
      <c r="G1874" s="414"/>
    </row>
    <row r="1875" spans="2:16" x14ac:dyDescent="0.25">
      <c r="B1875" s="109" t="s">
        <v>6</v>
      </c>
      <c r="C1875" s="424" t="s">
        <v>1</v>
      </c>
      <c r="D1875" s="425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3" t="s">
        <v>8</v>
      </c>
      <c r="L1875" s="113" t="s">
        <v>193</v>
      </c>
      <c r="O1875" s="438"/>
      <c r="P1875" s="438"/>
    </row>
    <row r="1876" spans="2:16" ht="17.25" customHeight="1" x14ac:dyDescent="0.25">
      <c r="B1876" s="120">
        <v>1</v>
      </c>
      <c r="C1876" s="428" t="s">
        <v>77</v>
      </c>
      <c r="D1876" s="429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>E1876*I1876</f>
        <v>117.10000000000001</v>
      </c>
      <c r="O1876" s="44"/>
      <c r="P1876" s="45"/>
    </row>
    <row r="1877" spans="2:16" x14ac:dyDescent="0.3">
      <c r="B1877" s="120">
        <v>2</v>
      </c>
      <c r="C1877" s="428" t="s">
        <v>78</v>
      </c>
      <c r="D1877" s="429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60">+F1877*I1877</f>
        <v>1</v>
      </c>
      <c r="L1877" s="116">
        <f>E1877*I1877</f>
        <v>117.10000000000001</v>
      </c>
      <c r="P1877" s="45"/>
    </row>
    <row r="1878" spans="2:16" x14ac:dyDescent="0.3">
      <c r="B1878" s="120">
        <v>3</v>
      </c>
      <c r="C1878" s="428" t="s">
        <v>219</v>
      </c>
      <c r="D1878" s="429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60"/>
        <v>15</v>
      </c>
      <c r="L1878" s="116">
        <f>E1878*I1878</f>
        <v>1756.5</v>
      </c>
      <c r="O1878" s="48"/>
      <c r="P1878" s="49"/>
    </row>
    <row r="1879" spans="2:16" x14ac:dyDescent="0.3">
      <c r="B1879" s="120">
        <v>4</v>
      </c>
      <c r="C1879" s="428" t="s">
        <v>220</v>
      </c>
      <c r="D1879" s="429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60"/>
        <v>1</v>
      </c>
      <c r="L1879" s="116">
        <f t="shared" ref="L1879:L1884" si="61">E1879*I1879</f>
        <v>117.10000000000001</v>
      </c>
      <c r="O1879" s="48"/>
      <c r="P1879" s="49"/>
    </row>
    <row r="1880" spans="2:16" x14ac:dyDescent="0.3">
      <c r="B1880" s="120">
        <v>5</v>
      </c>
      <c r="C1880" s="428" t="s">
        <v>183</v>
      </c>
      <c r="D1880" s="429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60"/>
        <v>2</v>
      </c>
      <c r="L1880" s="116">
        <f t="shared" si="61"/>
        <v>234.20000000000002</v>
      </c>
      <c r="O1880" s="48"/>
      <c r="P1880" s="49"/>
    </row>
    <row r="1881" spans="2:16" x14ac:dyDescent="0.3">
      <c r="B1881" s="120">
        <v>6</v>
      </c>
      <c r="C1881" s="429" t="s">
        <v>79</v>
      </c>
      <c r="D1881" s="409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60"/>
        <v>4</v>
      </c>
      <c r="L1881" s="116">
        <f t="shared" si="61"/>
        <v>468.40000000000003</v>
      </c>
      <c r="O1881" s="48"/>
      <c r="P1881" s="49"/>
    </row>
    <row r="1882" spans="2:16" x14ac:dyDescent="0.3">
      <c r="B1882" s="120">
        <v>7</v>
      </c>
      <c r="C1882" s="429" t="s">
        <v>222</v>
      </c>
      <c r="D1882" s="409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60"/>
        <v>1</v>
      </c>
      <c r="L1882" s="116">
        <f t="shared" si="61"/>
        <v>117.10000000000001</v>
      </c>
      <c r="O1882" s="48"/>
      <c r="P1882" s="49"/>
    </row>
    <row r="1883" spans="2:16" x14ac:dyDescent="0.3">
      <c r="B1883" s="120"/>
      <c r="C1883" s="428"/>
      <c r="D1883" s="429"/>
      <c r="E1883" s="114"/>
      <c r="F1883" s="83"/>
      <c r="G1883" s="74"/>
      <c r="I1883" s="115">
        <f>IF(C1883=0,0,VLOOKUP(C1883,Tabla1[],3,FALSE))</f>
        <v>0</v>
      </c>
      <c r="K1883" s="84">
        <f t="shared" si="60"/>
        <v>0</v>
      </c>
      <c r="L1883" s="116">
        <f t="shared" si="61"/>
        <v>0</v>
      </c>
      <c r="O1883" s="48"/>
      <c r="P1883" s="49"/>
    </row>
    <row r="1884" spans="2:16" x14ac:dyDescent="0.3">
      <c r="B1884" s="120"/>
      <c r="C1884" s="428"/>
      <c r="D1884" s="429"/>
      <c r="E1884" s="114"/>
      <c r="F1884" s="83"/>
      <c r="G1884" s="74"/>
      <c r="I1884" s="115">
        <f>IF(C1884=0,0,VLOOKUP(C1884,Tabla1[],3,FALSE))</f>
        <v>0</v>
      </c>
      <c r="K1884" s="84">
        <f t="shared" si="60"/>
        <v>0</v>
      </c>
      <c r="L1884" s="116">
        <f t="shared" si="61"/>
        <v>0</v>
      </c>
      <c r="O1884" s="48"/>
      <c r="P1884" s="49"/>
    </row>
    <row r="1885" spans="2:16" x14ac:dyDescent="0.3">
      <c r="B1885" s="120"/>
      <c r="C1885" s="430"/>
      <c r="D1885" s="429"/>
      <c r="E1885" s="114"/>
      <c r="F1885" s="83"/>
      <c r="G1885" s="74"/>
      <c r="I1885" s="115">
        <f>IF(C1885=0,0,VLOOKUP(C1885,Tabla1[],3,FALSE))</f>
        <v>0</v>
      </c>
      <c r="K1885" s="84">
        <f t="shared" si="60"/>
        <v>0</v>
      </c>
      <c r="L1885" s="116">
        <f>E1885*I1885</f>
        <v>0</v>
      </c>
      <c r="O1885" s="48"/>
      <c r="P1885" s="43"/>
    </row>
    <row r="1886" spans="2:16" ht="17.25" thickBot="1" x14ac:dyDescent="0.35"/>
    <row r="1887" spans="2:16" ht="17.25" thickBot="1" x14ac:dyDescent="0.3">
      <c r="F1887" s="402" t="s">
        <v>9</v>
      </c>
      <c r="G1887" s="403"/>
      <c r="H1887" s="403"/>
      <c r="I1887" s="404"/>
      <c r="K1887" s="224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413" t="s">
        <v>11</v>
      </c>
      <c r="D1889" s="413"/>
      <c r="E1889" s="413"/>
      <c r="F1889" s="413"/>
      <c r="G1889" s="414"/>
    </row>
    <row r="1890" spans="2:12" x14ac:dyDescent="0.3">
      <c r="B1890" s="112" t="s">
        <v>6</v>
      </c>
      <c r="C1890" s="415" t="s">
        <v>1</v>
      </c>
      <c r="D1890" s="416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409"/>
      <c r="D1891" s="409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431"/>
      <c r="D1892" s="432"/>
      <c r="E1892" s="119"/>
      <c r="F1892" s="72"/>
      <c r="G1892" s="74"/>
      <c r="I1892" s="115">
        <f>IF(C1892=0,0,VLOOKUP(C1892,Tabla3[],3,FALSE))</f>
        <v>0</v>
      </c>
      <c r="K1892" s="84">
        <f>+F1892*I1892</f>
        <v>0</v>
      </c>
      <c r="L1892" s="116">
        <f>E1892*I1892</f>
        <v>0</v>
      </c>
    </row>
    <row r="1893" spans="2:12" x14ac:dyDescent="0.3">
      <c r="B1893" s="74"/>
      <c r="C1893" s="431"/>
      <c r="D1893" s="432"/>
      <c r="E1893" s="119"/>
      <c r="F1893" s="72"/>
      <c r="G1893" s="74"/>
      <c r="I1893" s="115">
        <f>IF(C1893=0,0,VLOOKUP(C1893,Tabla3[],3,FALSE))</f>
        <v>0</v>
      </c>
      <c r="K1893" s="84">
        <f>+F1893*I1893</f>
        <v>0</v>
      </c>
      <c r="L1893" s="116">
        <f>E1893*I1893</f>
        <v>0</v>
      </c>
    </row>
    <row r="1894" spans="2:12" x14ac:dyDescent="0.3">
      <c r="B1894" s="74"/>
      <c r="C1894" s="411"/>
      <c r="D1894" s="412"/>
      <c r="E1894" s="119"/>
      <c r="F1894" s="72"/>
      <c r="G1894" s="74"/>
      <c r="I1894" s="115">
        <f>IF(C1894=0,0,VLOOKUP(C1894,Tabla3[],3,FALSE))</f>
        <v>0</v>
      </c>
      <c r="K1894" s="84">
        <f>+F1894*I1894</f>
        <v>0</v>
      </c>
      <c r="L1894" s="116">
        <f>E1894*I1894</f>
        <v>0</v>
      </c>
    </row>
    <row r="1895" spans="2:12" ht="17.25" thickBot="1" x14ac:dyDescent="0.35"/>
    <row r="1896" spans="2:12" ht="17.25" thickBot="1" x14ac:dyDescent="0.35">
      <c r="F1896" s="402" t="s">
        <v>12</v>
      </c>
      <c r="G1896" s="403"/>
      <c r="H1896" s="403"/>
      <c r="I1896" s="404"/>
      <c r="K1896" s="224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413" t="s">
        <v>14</v>
      </c>
      <c r="D1898" s="413"/>
      <c r="E1898" s="413"/>
      <c r="F1898" s="413"/>
      <c r="G1898" s="414"/>
    </row>
    <row r="1899" spans="2:12" x14ac:dyDescent="0.3">
      <c r="B1899" s="112" t="s">
        <v>6</v>
      </c>
      <c r="C1899" s="415" t="s">
        <v>1</v>
      </c>
      <c r="D1899" s="416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409" t="s">
        <v>186</v>
      </c>
      <c r="D1900" s="409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409"/>
      <c r="D1901" s="409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417"/>
      <c r="D1902" s="418"/>
      <c r="E1902" s="122"/>
      <c r="F1902" s="123"/>
      <c r="G1902" s="74"/>
      <c r="I1902" s="115">
        <f>IF(C1902=0,0,VLOOKUP(C1902,Tabla2[],3,FALSE))</f>
        <v>0</v>
      </c>
      <c r="K1902" s="84">
        <f>+F1902*I1902</f>
        <v>0</v>
      </c>
      <c r="L1902" s="116">
        <f>E1902*I1902</f>
        <v>0</v>
      </c>
    </row>
    <row r="1903" spans="2:12" ht="17.25" thickBot="1" x14ac:dyDescent="0.35">
      <c r="B1903" s="419" t="s">
        <v>15</v>
      </c>
      <c r="C1903" s="420"/>
      <c r="D1903" s="420"/>
      <c r="E1903" s="420"/>
      <c r="F1903" s="420"/>
      <c r="G1903" s="421"/>
      <c r="I1903" s="84">
        <v>0</v>
      </c>
      <c r="K1903" s="84">
        <v>0</v>
      </c>
      <c r="L1903" s="116">
        <f>E1903*I1903</f>
        <v>0</v>
      </c>
    </row>
    <row r="1904" spans="2:12" ht="17.25" thickBot="1" x14ac:dyDescent="0.35"/>
    <row r="1905" spans="2:16" ht="17.25" thickBot="1" x14ac:dyDescent="0.35">
      <c r="F1905" s="402" t="s">
        <v>16</v>
      </c>
      <c r="G1905" s="403"/>
      <c r="H1905" s="403"/>
      <c r="I1905" s="404"/>
      <c r="K1905" s="224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413" t="s">
        <v>18</v>
      </c>
      <c r="D1907" s="413"/>
      <c r="E1907" s="413"/>
      <c r="F1907" s="413"/>
      <c r="G1907" s="414"/>
    </row>
    <row r="1908" spans="2:16" x14ac:dyDescent="0.3">
      <c r="B1908" s="112" t="s">
        <v>6</v>
      </c>
      <c r="C1908" s="415" t="s">
        <v>1</v>
      </c>
      <c r="D1908" s="416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411"/>
      <c r="D1909" s="412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411"/>
      <c r="D1910" s="412"/>
      <c r="E1910" s="125"/>
      <c r="F1910" s="72"/>
      <c r="G1910" s="74"/>
      <c r="I1910" s="84">
        <v>0</v>
      </c>
      <c r="K1910" s="84">
        <f>+F1910*I1910</f>
        <v>0</v>
      </c>
      <c r="L1910" s="116">
        <f>E1910*I1910</f>
        <v>0</v>
      </c>
    </row>
    <row r="1911" spans="2:16" x14ac:dyDescent="0.3">
      <c r="B1911" s="74"/>
      <c r="C1911" s="411"/>
      <c r="D1911" s="412"/>
      <c r="E1911" s="125"/>
      <c r="F1911" s="72"/>
      <c r="G1911" s="74"/>
      <c r="I1911" s="84">
        <v>0</v>
      </c>
      <c r="K1911" s="84">
        <f>+F1911*I1911</f>
        <v>0</v>
      </c>
      <c r="L1911" s="116">
        <f>E1911*I1911</f>
        <v>0</v>
      </c>
    </row>
    <row r="1912" spans="2:16" ht="17.25" thickBot="1" x14ac:dyDescent="0.35">
      <c r="L1912" s="116"/>
    </row>
    <row r="1913" spans="2:16" ht="17.25" thickBot="1" x14ac:dyDescent="0.35">
      <c r="F1913" s="402" t="s">
        <v>19</v>
      </c>
      <c r="G1913" s="403"/>
      <c r="H1913" s="403"/>
      <c r="I1913" s="404"/>
      <c r="K1913" s="224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127"/>
      <c r="H1914" s="128"/>
      <c r="I1914" s="106"/>
      <c r="K1914" s="225"/>
    </row>
    <row r="1915" spans="2:16" ht="15" customHeight="1" thickBot="1" x14ac:dyDescent="0.35"/>
    <row r="1916" spans="2:16" ht="17.25" thickBot="1" x14ac:dyDescent="0.35">
      <c r="F1916" s="402" t="s">
        <v>20</v>
      </c>
      <c r="G1916" s="403"/>
      <c r="H1916" s="403"/>
      <c r="I1916" s="404"/>
      <c r="K1916" s="224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402" t="s">
        <v>21</v>
      </c>
      <c r="G1918" s="403"/>
      <c r="H1918" s="403"/>
      <c r="I1918" s="404"/>
      <c r="K1918" s="224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402" t="s">
        <v>22</v>
      </c>
      <c r="G1920" s="403"/>
      <c r="H1920" s="403"/>
      <c r="I1920" s="404"/>
      <c r="K1920" s="224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127"/>
      <c r="H1921" s="128"/>
      <c r="I1921" s="106"/>
      <c r="K1921" s="226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127"/>
      <c r="H1922" s="128"/>
      <c r="I1922" s="106"/>
      <c r="K1922" s="227"/>
      <c r="L1922" s="129"/>
      <c r="M1922" s="132"/>
      <c r="N1922" s="133"/>
    </row>
    <row r="1923" spans="1:16" ht="17.25" thickBot="1" x14ac:dyDescent="0.35">
      <c r="B1923" s="405"/>
      <c r="C1923" s="405"/>
      <c r="D1923" s="405"/>
    </row>
    <row r="1924" spans="1:16" x14ac:dyDescent="0.3">
      <c r="B1924" s="406" t="s">
        <v>23</v>
      </c>
      <c r="C1924" s="406"/>
      <c r="D1924" s="406"/>
    </row>
    <row r="1925" spans="1:16" x14ac:dyDescent="0.3">
      <c r="B1925" s="155"/>
      <c r="C1925" s="155"/>
      <c r="D1925" s="155"/>
    </row>
    <row r="1926" spans="1:16" x14ac:dyDescent="0.3">
      <c r="B1926" s="155"/>
      <c r="C1926" s="155"/>
      <c r="D1926" s="155"/>
    </row>
    <row r="1927" spans="1:16" x14ac:dyDescent="0.3">
      <c r="B1927" s="103" t="s">
        <v>43</v>
      </c>
      <c r="C1927" s="104"/>
      <c r="D1927" s="422" t="s">
        <v>1</v>
      </c>
      <c r="E1927" s="422"/>
      <c r="F1927" s="422"/>
      <c r="G1927" s="422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09">
        <f>CATALOGO!B62</f>
        <v>611.03</v>
      </c>
      <c r="C1928" s="71"/>
      <c r="D1928" s="436" t="str">
        <f>CATALOGO!C62</f>
        <v>PINTURA DE CIELO</v>
      </c>
      <c r="E1928" s="436"/>
      <c r="F1928" s="436"/>
      <c r="G1928" s="436"/>
      <c r="H1928" s="71"/>
      <c r="I1928" s="209">
        <f>CATALOGO!D62</f>
        <v>41.71</v>
      </c>
      <c r="J1928" s="107"/>
      <c r="K1928" s="222" t="str">
        <f>CATALOGO!G62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413" t="s">
        <v>5</v>
      </c>
      <c r="D1930" s="413"/>
      <c r="E1930" s="413"/>
      <c r="F1930" s="413"/>
      <c r="G1930" s="414"/>
    </row>
    <row r="1931" spans="1:16" x14ac:dyDescent="0.25">
      <c r="B1931" s="109" t="s">
        <v>6</v>
      </c>
      <c r="C1931" s="424" t="s">
        <v>1</v>
      </c>
      <c r="D1931" s="425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3" t="s">
        <v>8</v>
      </c>
      <c r="L1931" s="113" t="s">
        <v>193</v>
      </c>
      <c r="O1931" s="438"/>
      <c r="P1931" s="438"/>
    </row>
    <row r="1932" spans="1:16" ht="17.25" customHeight="1" x14ac:dyDescent="0.25">
      <c r="B1932" s="120">
        <v>1</v>
      </c>
      <c r="C1932" s="428" t="s">
        <v>77</v>
      </c>
      <c r="D1932" s="429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62">E1932*I1932</f>
        <v>83.42</v>
      </c>
      <c r="O1932" s="44"/>
      <c r="P1932" s="45"/>
    </row>
    <row r="1933" spans="1:16" x14ac:dyDescent="0.3">
      <c r="B1933" s="120">
        <v>2</v>
      </c>
      <c r="C1933" s="428" t="s">
        <v>78</v>
      </c>
      <c r="D1933" s="429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63">+F1933*I1933</f>
        <v>2</v>
      </c>
      <c r="L1933" s="116">
        <f t="shared" si="62"/>
        <v>83.42</v>
      </c>
      <c r="P1933" s="45"/>
    </row>
    <row r="1934" spans="1:16" x14ac:dyDescent="0.3">
      <c r="B1934" s="120">
        <v>3</v>
      </c>
      <c r="C1934" s="428" t="s">
        <v>219</v>
      </c>
      <c r="D1934" s="429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63"/>
        <v>15</v>
      </c>
      <c r="L1934" s="116">
        <f t="shared" si="62"/>
        <v>625.65000000000009</v>
      </c>
      <c r="O1934" s="48"/>
      <c r="P1934" s="49"/>
    </row>
    <row r="1935" spans="1:16" x14ac:dyDescent="0.3">
      <c r="B1935" s="120">
        <v>4</v>
      </c>
      <c r="C1935" s="428" t="s">
        <v>220</v>
      </c>
      <c r="D1935" s="429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63"/>
        <v>2</v>
      </c>
      <c r="L1935" s="116">
        <f t="shared" si="62"/>
        <v>83.42</v>
      </c>
      <c r="O1935" s="48"/>
      <c r="P1935" s="49"/>
    </row>
    <row r="1936" spans="1:16" x14ac:dyDescent="0.3">
      <c r="B1936" s="120">
        <v>5</v>
      </c>
      <c r="C1936" s="428" t="s">
        <v>183</v>
      </c>
      <c r="D1936" s="429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63"/>
        <v>3</v>
      </c>
      <c r="L1936" s="116">
        <f t="shared" si="62"/>
        <v>125.13000000000001</v>
      </c>
      <c r="O1936" s="48"/>
      <c r="P1936" s="49"/>
    </row>
    <row r="1937" spans="2:16" x14ac:dyDescent="0.3">
      <c r="B1937" s="120">
        <v>6</v>
      </c>
      <c r="C1937" s="429" t="s">
        <v>79</v>
      </c>
      <c r="D1937" s="409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63"/>
        <v>4</v>
      </c>
      <c r="L1937" s="116">
        <f t="shared" si="62"/>
        <v>166.84</v>
      </c>
      <c r="O1937" s="48"/>
      <c r="P1937" s="49"/>
    </row>
    <row r="1938" spans="2:16" x14ac:dyDescent="0.3">
      <c r="B1938" s="120">
        <v>7</v>
      </c>
      <c r="C1938" s="429" t="s">
        <v>222</v>
      </c>
      <c r="D1938" s="409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63"/>
        <v>2</v>
      </c>
      <c r="L1938" s="116">
        <f t="shared" si="62"/>
        <v>83.42</v>
      </c>
      <c r="O1938" s="48"/>
      <c r="P1938" s="49"/>
    </row>
    <row r="1939" spans="2:16" x14ac:dyDescent="0.3">
      <c r="B1939" s="120"/>
      <c r="C1939" s="428"/>
      <c r="D1939" s="429"/>
      <c r="E1939" s="114"/>
      <c r="F1939" s="83"/>
      <c r="G1939" s="74"/>
      <c r="I1939" s="115">
        <f>IF(C1939=0,0,VLOOKUP(C1939,Tabla1[],3,FALSE))</f>
        <v>0</v>
      </c>
      <c r="K1939" s="84">
        <f t="shared" si="63"/>
        <v>0</v>
      </c>
      <c r="L1939" s="116">
        <f t="shared" si="62"/>
        <v>0</v>
      </c>
      <c r="O1939" s="48"/>
      <c r="P1939" s="49"/>
    </row>
    <row r="1940" spans="2:16" x14ac:dyDescent="0.3">
      <c r="B1940" s="120"/>
      <c r="C1940" s="428"/>
      <c r="D1940" s="429"/>
      <c r="E1940" s="114"/>
      <c r="F1940" s="83"/>
      <c r="G1940" s="74"/>
      <c r="I1940" s="115">
        <f>IF(C1940=0,0,VLOOKUP(C1940,Tabla1[],3,FALSE))</f>
        <v>0</v>
      </c>
      <c r="K1940" s="84">
        <f t="shared" si="63"/>
        <v>0</v>
      </c>
      <c r="L1940" s="116">
        <f t="shared" si="62"/>
        <v>0</v>
      </c>
      <c r="O1940" s="48"/>
      <c r="P1940" s="49"/>
    </row>
    <row r="1941" spans="2:16" x14ac:dyDescent="0.3">
      <c r="B1941" s="120"/>
      <c r="C1941" s="430"/>
      <c r="D1941" s="429"/>
      <c r="E1941" s="114"/>
      <c r="F1941" s="83"/>
      <c r="G1941" s="74"/>
      <c r="I1941" s="115">
        <f>IF(C1941=0,0,VLOOKUP(C1941,Tabla1[],3,FALSE))</f>
        <v>0</v>
      </c>
      <c r="K1941" s="84">
        <f t="shared" si="63"/>
        <v>0</v>
      </c>
      <c r="L1941" s="116">
        <f t="shared" si="62"/>
        <v>0</v>
      </c>
      <c r="O1941" s="48"/>
      <c r="P1941" s="43"/>
    </row>
    <row r="1942" spans="2:16" ht="17.25" thickBot="1" x14ac:dyDescent="0.35"/>
    <row r="1943" spans="2:16" ht="17.25" thickBot="1" x14ac:dyDescent="0.3">
      <c r="F1943" s="402" t="s">
        <v>9</v>
      </c>
      <c r="G1943" s="403"/>
      <c r="H1943" s="403"/>
      <c r="I1943" s="404"/>
      <c r="K1943" s="224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413" t="s">
        <v>11</v>
      </c>
      <c r="D1945" s="413"/>
      <c r="E1945" s="413"/>
      <c r="F1945" s="413"/>
      <c r="G1945" s="414"/>
    </row>
    <row r="1946" spans="2:16" x14ac:dyDescent="0.3">
      <c r="B1946" s="112" t="s">
        <v>6</v>
      </c>
      <c r="C1946" s="415" t="s">
        <v>1</v>
      </c>
      <c r="D1946" s="416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409"/>
      <c r="D1947" s="409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431"/>
      <c r="D1948" s="432"/>
      <c r="E1948" s="119"/>
      <c r="F1948" s="72"/>
      <c r="G1948" s="74"/>
      <c r="I1948" s="115">
        <f>IF(C1948=0,0,VLOOKUP(C1948,Tabla3[],3,FALSE))</f>
        <v>0</v>
      </c>
      <c r="K1948" s="84">
        <f>+F1948*I1948</f>
        <v>0</v>
      </c>
      <c r="L1948" s="116">
        <f>E1948*I1948</f>
        <v>0</v>
      </c>
    </row>
    <row r="1949" spans="2:16" x14ac:dyDescent="0.3">
      <c r="B1949" s="74"/>
      <c r="C1949" s="431"/>
      <c r="D1949" s="432"/>
      <c r="E1949" s="119"/>
      <c r="F1949" s="72"/>
      <c r="G1949" s="74"/>
      <c r="I1949" s="115">
        <f>IF(C1949=0,0,VLOOKUP(C1949,Tabla3[],3,FALSE))</f>
        <v>0</v>
      </c>
      <c r="K1949" s="84">
        <f>+F1949*I1949</f>
        <v>0</v>
      </c>
      <c r="L1949" s="116">
        <f>E1949*I1949</f>
        <v>0</v>
      </c>
    </row>
    <row r="1950" spans="2:16" x14ac:dyDescent="0.3">
      <c r="B1950" s="74"/>
      <c r="C1950" s="411"/>
      <c r="D1950" s="412"/>
      <c r="E1950" s="119"/>
      <c r="F1950" s="72"/>
      <c r="G1950" s="74"/>
      <c r="I1950" s="115">
        <f>IF(C1950=0,0,VLOOKUP(C1950,Tabla3[],3,FALSE))</f>
        <v>0</v>
      </c>
      <c r="K1950" s="84">
        <f>+F1950*I1950</f>
        <v>0</v>
      </c>
      <c r="L1950" s="116">
        <f>E1950*I1950</f>
        <v>0</v>
      </c>
    </row>
    <row r="1951" spans="2:16" ht="17.25" thickBot="1" x14ac:dyDescent="0.35"/>
    <row r="1952" spans="2:16" ht="17.25" thickBot="1" x14ac:dyDescent="0.35">
      <c r="F1952" s="402" t="s">
        <v>12</v>
      </c>
      <c r="G1952" s="403"/>
      <c r="H1952" s="403"/>
      <c r="I1952" s="404"/>
      <c r="K1952" s="224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413" t="s">
        <v>14</v>
      </c>
      <c r="D1954" s="413"/>
      <c r="E1954" s="413"/>
      <c r="F1954" s="413"/>
      <c r="G1954" s="414"/>
    </row>
    <row r="1955" spans="2:12" x14ac:dyDescent="0.3">
      <c r="B1955" s="112" t="s">
        <v>6</v>
      </c>
      <c r="C1955" s="415" t="s">
        <v>1</v>
      </c>
      <c r="D1955" s="416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409" t="s">
        <v>186</v>
      </c>
      <c r="D1956" s="409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409"/>
      <c r="D1957" s="409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417"/>
      <c r="D1958" s="418"/>
      <c r="E1958" s="122"/>
      <c r="F1958" s="123"/>
      <c r="G1958" s="74"/>
      <c r="I1958" s="115">
        <f>IF(C1958=0,0,VLOOKUP(C1958,Tabla2[],3,FALSE))</f>
        <v>0</v>
      </c>
      <c r="K1958" s="84">
        <f>+F1958*I1958</f>
        <v>0</v>
      </c>
      <c r="L1958" s="116">
        <f>E1958*I1958</f>
        <v>0</v>
      </c>
    </row>
    <row r="1959" spans="2:12" ht="17.25" thickBot="1" x14ac:dyDescent="0.35">
      <c r="B1959" s="419" t="s">
        <v>15</v>
      </c>
      <c r="C1959" s="420"/>
      <c r="D1959" s="420"/>
      <c r="E1959" s="420"/>
      <c r="F1959" s="420"/>
      <c r="G1959" s="421"/>
      <c r="I1959" s="84">
        <v>0</v>
      </c>
      <c r="K1959" s="84">
        <v>0</v>
      </c>
      <c r="L1959" s="116">
        <f>E1959*I1959</f>
        <v>0</v>
      </c>
    </row>
    <row r="1960" spans="2:12" ht="17.25" thickBot="1" x14ac:dyDescent="0.35"/>
    <row r="1961" spans="2:12" ht="17.25" thickBot="1" x14ac:dyDescent="0.35">
      <c r="F1961" s="402" t="s">
        <v>16</v>
      </c>
      <c r="G1961" s="403"/>
      <c r="H1961" s="403"/>
      <c r="I1961" s="404"/>
      <c r="K1961" s="224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413" t="s">
        <v>18</v>
      </c>
      <c r="D1963" s="413"/>
      <c r="E1963" s="413"/>
      <c r="F1963" s="413"/>
      <c r="G1963" s="414"/>
    </row>
    <row r="1964" spans="2:12" x14ac:dyDescent="0.3">
      <c r="B1964" s="112" t="s">
        <v>6</v>
      </c>
      <c r="C1964" s="415" t="s">
        <v>1</v>
      </c>
      <c r="D1964" s="416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411"/>
      <c r="D1965" s="412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411"/>
      <c r="D1966" s="412"/>
      <c r="E1966" s="125"/>
      <c r="F1966" s="72"/>
      <c r="G1966" s="74"/>
      <c r="I1966" s="84">
        <v>0</v>
      </c>
      <c r="K1966" s="84">
        <f>+F1966*I1966</f>
        <v>0</v>
      </c>
      <c r="L1966" s="116">
        <f>E1966*I1966</f>
        <v>0</v>
      </c>
    </row>
    <row r="1967" spans="2:12" x14ac:dyDescent="0.3">
      <c r="B1967" s="74"/>
      <c r="C1967" s="411"/>
      <c r="D1967" s="412"/>
      <c r="E1967" s="125"/>
      <c r="F1967" s="72"/>
      <c r="G1967" s="74"/>
      <c r="I1967" s="84">
        <v>0</v>
      </c>
      <c r="K1967" s="84">
        <f>+F1967*I1967</f>
        <v>0</v>
      </c>
      <c r="L1967" s="116">
        <f>E1967*I1967</f>
        <v>0</v>
      </c>
    </row>
    <row r="1968" spans="2:12" ht="17.25" thickBot="1" x14ac:dyDescent="0.35">
      <c r="L1968" s="116"/>
    </row>
    <row r="1969" spans="1:16" ht="17.25" thickBot="1" x14ac:dyDescent="0.35">
      <c r="F1969" s="402" t="s">
        <v>19</v>
      </c>
      <c r="G1969" s="403"/>
      <c r="H1969" s="403"/>
      <c r="I1969" s="404"/>
      <c r="K1969" s="224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127"/>
      <c r="H1970" s="128"/>
      <c r="I1970" s="106"/>
      <c r="K1970" s="225"/>
    </row>
    <row r="1971" spans="1:16" ht="15" customHeight="1" thickBot="1" x14ac:dyDescent="0.35"/>
    <row r="1972" spans="1:16" ht="17.25" thickBot="1" x14ac:dyDescent="0.35">
      <c r="F1972" s="402" t="s">
        <v>20</v>
      </c>
      <c r="G1972" s="403"/>
      <c r="H1972" s="403"/>
      <c r="I1972" s="404"/>
      <c r="K1972" s="224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402" t="s">
        <v>21</v>
      </c>
      <c r="G1974" s="403"/>
      <c r="H1974" s="403"/>
      <c r="I1974" s="404"/>
      <c r="K1974" s="224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402" t="s">
        <v>22</v>
      </c>
      <c r="G1976" s="403"/>
      <c r="H1976" s="403"/>
      <c r="I1976" s="404"/>
      <c r="K1976" s="224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127"/>
      <c r="H1977" s="128"/>
      <c r="I1977" s="106"/>
      <c r="K1977" s="226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127"/>
      <c r="H1978" s="128"/>
      <c r="I1978" s="106"/>
      <c r="K1978" s="227"/>
      <c r="L1978" s="129"/>
      <c r="M1978" s="132"/>
      <c r="N1978" s="133"/>
    </row>
    <row r="1979" spans="1:16" ht="17.25" thickBot="1" x14ac:dyDescent="0.35">
      <c r="B1979" s="405"/>
      <c r="C1979" s="405"/>
      <c r="D1979" s="405"/>
    </row>
    <row r="1980" spans="1:16" x14ac:dyDescent="0.3">
      <c r="B1980" s="406" t="s">
        <v>23</v>
      </c>
      <c r="C1980" s="406"/>
      <c r="D1980" s="406"/>
    </row>
    <row r="1981" spans="1:16" x14ac:dyDescent="0.3">
      <c r="B1981" s="155"/>
      <c r="C1981" s="155"/>
      <c r="D1981" s="155"/>
    </row>
    <row r="1982" spans="1:16" x14ac:dyDescent="0.3">
      <c r="B1982" s="155"/>
      <c r="C1982" s="155"/>
      <c r="D1982" s="155"/>
    </row>
    <row r="1983" spans="1:16" x14ac:dyDescent="0.3">
      <c r="B1983" s="103" t="s">
        <v>43</v>
      </c>
      <c r="C1983" s="104"/>
      <c r="D1983" s="422" t="s">
        <v>1</v>
      </c>
      <c r="E1983" s="422"/>
      <c r="F1983" s="422"/>
      <c r="G1983" s="422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09">
        <f>CATALOGO!B64</f>
        <v>702.01</v>
      </c>
      <c r="C1984" s="71"/>
      <c r="D1984" s="437" t="str">
        <f>CATALOGO!C64</f>
        <v>PUERTA DE METAL CON PIVOTE + SOBRELUZ + CHAPA</v>
      </c>
      <c r="E1984" s="437"/>
      <c r="F1984" s="437"/>
      <c r="G1984" s="437"/>
      <c r="H1984" s="71"/>
      <c r="I1984" s="209">
        <f>CATALOGO!D64</f>
        <v>3</v>
      </c>
      <c r="J1984" s="107"/>
      <c r="K1984" s="222" t="str">
        <f>CATALOGO!G64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413" t="s">
        <v>5</v>
      </c>
      <c r="D1986" s="413"/>
      <c r="E1986" s="413"/>
      <c r="F1986" s="413"/>
      <c r="G1986" s="414"/>
    </row>
    <row r="1987" spans="2:16" x14ac:dyDescent="0.25">
      <c r="B1987" s="109" t="s">
        <v>6</v>
      </c>
      <c r="C1987" s="424" t="s">
        <v>1</v>
      </c>
      <c r="D1987" s="425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3" t="s">
        <v>8</v>
      </c>
      <c r="L1987" s="113" t="s">
        <v>193</v>
      </c>
      <c r="O1987" s="438"/>
      <c r="P1987" s="438"/>
    </row>
    <row r="1988" spans="2:16" ht="17.25" customHeight="1" x14ac:dyDescent="0.25">
      <c r="B1988" s="120"/>
      <c r="C1988" s="428"/>
      <c r="D1988" s="429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64">E1988*I1988</f>
        <v>0</v>
      </c>
      <c r="O1988" s="44"/>
      <c r="P1988" s="45"/>
    </row>
    <row r="1989" spans="2:16" x14ac:dyDescent="0.3">
      <c r="B1989" s="120"/>
      <c r="C1989" s="428"/>
      <c r="D1989" s="429"/>
      <c r="E1989" s="114"/>
      <c r="F1989" s="83"/>
      <c r="G1989" s="74"/>
      <c r="I1989" s="115">
        <f>IF(C1989=0,0,VLOOKUP(C1989,Tabla1[],3,FALSE))</f>
        <v>0</v>
      </c>
      <c r="K1989" s="84">
        <f t="shared" ref="K1989:K1994" si="65">+F1989*I1989</f>
        <v>0</v>
      </c>
      <c r="L1989" s="116">
        <f t="shared" si="64"/>
        <v>0</v>
      </c>
      <c r="P1989" s="45"/>
    </row>
    <row r="1990" spans="2:16" x14ac:dyDescent="0.3">
      <c r="B1990" s="120"/>
      <c r="C1990" s="428"/>
      <c r="D1990" s="429"/>
      <c r="E1990" s="114"/>
      <c r="F1990" s="83"/>
      <c r="G1990" s="74"/>
      <c r="I1990" s="115">
        <f>IF(C1990=0,0,VLOOKUP(C1990,Tabla1[],3,FALSE))</f>
        <v>0</v>
      </c>
      <c r="K1990" s="84">
        <f t="shared" si="65"/>
        <v>0</v>
      </c>
      <c r="L1990" s="116">
        <f t="shared" si="64"/>
        <v>0</v>
      </c>
      <c r="O1990" s="48"/>
      <c r="P1990" s="49"/>
    </row>
    <row r="1991" spans="2:16" x14ac:dyDescent="0.3">
      <c r="B1991" s="120"/>
      <c r="C1991" s="428"/>
      <c r="D1991" s="429"/>
      <c r="E1991" s="114"/>
      <c r="F1991" s="83"/>
      <c r="G1991" s="74"/>
      <c r="I1991" s="115">
        <f>IF(C1991=0,0,VLOOKUP(C1991,Tabla1[],3,FALSE))</f>
        <v>0</v>
      </c>
      <c r="K1991" s="84">
        <f t="shared" si="65"/>
        <v>0</v>
      </c>
      <c r="L1991" s="116">
        <f t="shared" si="64"/>
        <v>0</v>
      </c>
      <c r="O1991" s="48"/>
      <c r="P1991" s="49"/>
    </row>
    <row r="1992" spans="2:16" x14ac:dyDescent="0.3">
      <c r="B1992" s="120"/>
      <c r="C1992" s="428"/>
      <c r="D1992" s="429"/>
      <c r="E1992" s="114"/>
      <c r="F1992" s="83"/>
      <c r="G1992" s="74"/>
      <c r="I1992" s="115">
        <f>IF(C1992=0,0,VLOOKUP(C1992,Tabla1[],3,FALSE))</f>
        <v>0</v>
      </c>
      <c r="K1992" s="84">
        <f t="shared" si="65"/>
        <v>0</v>
      </c>
      <c r="L1992" s="116">
        <f t="shared" si="64"/>
        <v>0</v>
      </c>
      <c r="O1992" s="48"/>
      <c r="P1992" s="49"/>
    </row>
    <row r="1993" spans="2:16" x14ac:dyDescent="0.3">
      <c r="B1993" s="120"/>
      <c r="C1993" s="431"/>
      <c r="D1993" s="432"/>
      <c r="E1993" s="114"/>
      <c r="F1993" s="83"/>
      <c r="G1993" s="74"/>
      <c r="I1993" s="115">
        <f>IF(C1993=0,0,VLOOKUP(C1993,Tabla1[],3,FALSE))</f>
        <v>0</v>
      </c>
      <c r="K1993" s="84">
        <f t="shared" si="65"/>
        <v>0</v>
      </c>
      <c r="L1993" s="116">
        <f t="shared" si="64"/>
        <v>0</v>
      </c>
      <c r="O1993" s="48"/>
      <c r="P1993" s="49"/>
    </row>
    <row r="1994" spans="2:16" x14ac:dyDescent="0.3">
      <c r="B1994" s="120"/>
      <c r="C1994" s="430"/>
      <c r="D1994" s="429"/>
      <c r="E1994" s="114"/>
      <c r="F1994" s="83"/>
      <c r="G1994" s="74"/>
      <c r="I1994" s="115">
        <f>IF(C1994=0,0,VLOOKUP(C1994,Tabla1[],3,FALSE))</f>
        <v>0</v>
      </c>
      <c r="K1994" s="84">
        <f t="shared" si="65"/>
        <v>0</v>
      </c>
      <c r="L1994" s="116">
        <f t="shared" si="64"/>
        <v>0</v>
      </c>
      <c r="O1994" s="48"/>
      <c r="P1994" s="49"/>
    </row>
    <row r="1995" spans="2:16" ht="17.25" thickBot="1" x14ac:dyDescent="0.35"/>
    <row r="1996" spans="2:16" ht="17.25" thickBot="1" x14ac:dyDescent="0.3">
      <c r="F1996" s="402" t="s">
        <v>9</v>
      </c>
      <c r="G1996" s="403"/>
      <c r="H1996" s="403"/>
      <c r="I1996" s="404"/>
      <c r="K1996" s="224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413" t="s">
        <v>11</v>
      </c>
      <c r="D1998" s="413"/>
      <c r="E1998" s="413"/>
      <c r="F1998" s="413"/>
      <c r="G1998" s="414"/>
    </row>
    <row r="1999" spans="2:16" x14ac:dyDescent="0.3">
      <c r="B1999" s="112" t="s">
        <v>6</v>
      </c>
      <c r="C1999" s="415" t="s">
        <v>1</v>
      </c>
      <c r="D1999" s="416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409"/>
      <c r="D2000" s="409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431"/>
      <c r="D2001" s="432"/>
      <c r="E2001" s="119"/>
      <c r="F2001" s="72"/>
      <c r="G2001" s="74"/>
      <c r="I2001" s="115">
        <f>IF(C2001=0,0,VLOOKUP(C2001,Tabla3[],3,FALSE))</f>
        <v>0</v>
      </c>
      <c r="K2001" s="84">
        <f>+F2001*I2001</f>
        <v>0</v>
      </c>
      <c r="L2001" s="116">
        <f>E2001*I2001</f>
        <v>0</v>
      </c>
    </row>
    <row r="2002" spans="2:12" x14ac:dyDescent="0.3">
      <c r="B2002" s="74"/>
      <c r="C2002" s="431"/>
      <c r="D2002" s="432"/>
      <c r="E2002" s="119"/>
      <c r="F2002" s="72"/>
      <c r="G2002" s="74"/>
      <c r="I2002" s="115">
        <f>IF(C2002=0,0,VLOOKUP(C2002,Tabla3[],3,FALSE))</f>
        <v>0</v>
      </c>
      <c r="K2002" s="84">
        <f>+F2002*I2002</f>
        <v>0</v>
      </c>
      <c r="L2002" s="116">
        <f>E2002*I2002</f>
        <v>0</v>
      </c>
    </row>
    <row r="2003" spans="2:12" x14ac:dyDescent="0.3">
      <c r="B2003" s="74"/>
      <c r="C2003" s="411"/>
      <c r="D2003" s="412"/>
      <c r="E2003" s="119"/>
      <c r="F2003" s="72"/>
      <c r="G2003" s="74"/>
      <c r="I2003" s="115">
        <f>IF(C2003=0,0,VLOOKUP(C2003,Tabla3[],3,FALSE))</f>
        <v>0</v>
      </c>
      <c r="K2003" s="84">
        <f>+F2003*I2003</f>
        <v>0</v>
      </c>
      <c r="L2003" s="116">
        <f>E2003*I2003</f>
        <v>0</v>
      </c>
    </row>
    <row r="2004" spans="2:12" ht="17.25" thickBot="1" x14ac:dyDescent="0.35"/>
    <row r="2005" spans="2:12" ht="17.25" thickBot="1" x14ac:dyDescent="0.35">
      <c r="F2005" s="402" t="s">
        <v>12</v>
      </c>
      <c r="G2005" s="403"/>
      <c r="H2005" s="403"/>
      <c r="I2005" s="404"/>
      <c r="K2005" s="224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413" t="s">
        <v>14</v>
      </c>
      <c r="D2007" s="413"/>
      <c r="E2007" s="413"/>
      <c r="F2007" s="413"/>
      <c r="G2007" s="414"/>
    </row>
    <row r="2008" spans="2:12" x14ac:dyDescent="0.3">
      <c r="B2008" s="112" t="s">
        <v>6</v>
      </c>
      <c r="C2008" s="415" t="s">
        <v>1</v>
      </c>
      <c r="D2008" s="416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434" t="s">
        <v>585</v>
      </c>
      <c r="D2009" s="434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409"/>
      <c r="D2010" s="409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417"/>
      <c r="D2011" s="418"/>
      <c r="E2011" s="122"/>
      <c r="F2011" s="123"/>
      <c r="G2011" s="74"/>
      <c r="I2011" s="115">
        <f>IF(C2011=0,0,VLOOKUP(C2011,Tabla2[],3,FALSE))</f>
        <v>0</v>
      </c>
      <c r="K2011" s="84">
        <f>+F2011*I2011</f>
        <v>0</v>
      </c>
      <c r="L2011" s="116">
        <f>E2011*I2011</f>
        <v>0</v>
      </c>
    </row>
    <row r="2012" spans="2:12" ht="17.25" thickBot="1" x14ac:dyDescent="0.35">
      <c r="B2012" s="419" t="s">
        <v>15</v>
      </c>
      <c r="C2012" s="420"/>
      <c r="D2012" s="420"/>
      <c r="E2012" s="420"/>
      <c r="F2012" s="420"/>
      <c r="G2012" s="421"/>
      <c r="I2012" s="84">
        <v>0</v>
      </c>
      <c r="K2012" s="84">
        <v>0</v>
      </c>
      <c r="L2012" s="116">
        <f>E2012*I2012</f>
        <v>0</v>
      </c>
    </row>
    <row r="2013" spans="2:12" ht="17.25" thickBot="1" x14ac:dyDescent="0.35"/>
    <row r="2014" spans="2:12" ht="17.25" thickBot="1" x14ac:dyDescent="0.35">
      <c r="F2014" s="402" t="s">
        <v>16</v>
      </c>
      <c r="G2014" s="403"/>
      <c r="H2014" s="403"/>
      <c r="I2014" s="404"/>
      <c r="K2014" s="224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413" t="s">
        <v>18</v>
      </c>
      <c r="D2016" s="413"/>
      <c r="E2016" s="413"/>
      <c r="F2016" s="413"/>
      <c r="G2016" s="414"/>
    </row>
    <row r="2017" spans="2:16" x14ac:dyDescent="0.3">
      <c r="B2017" s="112" t="s">
        <v>6</v>
      </c>
      <c r="C2017" s="415" t="s">
        <v>1</v>
      </c>
      <c r="D2017" s="416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411"/>
      <c r="D2018" s="412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411"/>
      <c r="D2019" s="412"/>
      <c r="E2019" s="125"/>
      <c r="F2019" s="72"/>
      <c r="G2019" s="74"/>
      <c r="I2019" s="84">
        <v>0</v>
      </c>
      <c r="K2019" s="84">
        <f>+F2019*I2019</f>
        <v>0</v>
      </c>
      <c r="L2019" s="116">
        <f>E2019*I2019</f>
        <v>0</v>
      </c>
    </row>
    <row r="2020" spans="2:16" x14ac:dyDescent="0.3">
      <c r="B2020" s="74"/>
      <c r="C2020" s="411"/>
      <c r="D2020" s="412"/>
      <c r="E2020" s="125"/>
      <c r="F2020" s="72"/>
      <c r="G2020" s="74"/>
      <c r="I2020" s="84">
        <v>0</v>
      </c>
      <c r="K2020" s="84">
        <f>+F2020*I2020</f>
        <v>0</v>
      </c>
      <c r="L2020" s="116">
        <f>E2020*I2020</f>
        <v>0</v>
      </c>
    </row>
    <row r="2021" spans="2:16" ht="17.25" thickBot="1" x14ac:dyDescent="0.35">
      <c r="L2021" s="116"/>
    </row>
    <row r="2022" spans="2:16" ht="17.25" thickBot="1" x14ac:dyDescent="0.35">
      <c r="F2022" s="402" t="s">
        <v>19</v>
      </c>
      <c r="G2022" s="403"/>
      <c r="H2022" s="403"/>
      <c r="I2022" s="404"/>
      <c r="K2022" s="224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127"/>
      <c r="H2023" s="128"/>
      <c r="I2023" s="106"/>
      <c r="K2023" s="225"/>
    </row>
    <row r="2024" spans="2:16" ht="15" customHeight="1" thickBot="1" x14ac:dyDescent="0.35"/>
    <row r="2025" spans="2:16" ht="17.25" thickBot="1" x14ac:dyDescent="0.35">
      <c r="F2025" s="402" t="s">
        <v>20</v>
      </c>
      <c r="G2025" s="403"/>
      <c r="H2025" s="403"/>
      <c r="I2025" s="404"/>
      <c r="K2025" s="224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402" t="s">
        <v>21</v>
      </c>
      <c r="G2027" s="403"/>
      <c r="H2027" s="403"/>
      <c r="I2027" s="404"/>
      <c r="K2027" s="224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402" t="s">
        <v>22</v>
      </c>
      <c r="G2029" s="403"/>
      <c r="H2029" s="403"/>
      <c r="I2029" s="404"/>
      <c r="K2029" s="224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127"/>
      <c r="H2030" s="128"/>
      <c r="I2030" s="106"/>
      <c r="K2030" s="226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127"/>
      <c r="H2031" s="128"/>
      <c r="I2031" s="106"/>
      <c r="K2031" s="227"/>
      <c r="L2031" s="129"/>
      <c r="M2031" s="132"/>
      <c r="N2031" s="133"/>
    </row>
    <row r="2032" spans="2:16" ht="17.25" thickBot="1" x14ac:dyDescent="0.35">
      <c r="B2032" s="405"/>
      <c r="C2032" s="405"/>
      <c r="D2032" s="405"/>
    </row>
    <row r="2033" spans="1:16" x14ac:dyDescent="0.3">
      <c r="B2033" s="406" t="s">
        <v>23</v>
      </c>
      <c r="C2033" s="406"/>
      <c r="D2033" s="406"/>
    </row>
    <row r="2034" spans="1:16" x14ac:dyDescent="0.3">
      <c r="B2034" s="155"/>
      <c r="C2034" s="155"/>
      <c r="D2034" s="155"/>
    </row>
    <row r="2035" spans="1:16" x14ac:dyDescent="0.3">
      <c r="B2035" s="155"/>
      <c r="C2035" s="155"/>
      <c r="D2035" s="155"/>
    </row>
    <row r="2036" spans="1:16" x14ac:dyDescent="0.3">
      <c r="B2036" s="103" t="s">
        <v>43</v>
      </c>
      <c r="C2036" s="104"/>
      <c r="D2036" s="422" t="s">
        <v>1</v>
      </c>
      <c r="E2036" s="422"/>
      <c r="F2036" s="422"/>
      <c r="G2036" s="422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09">
        <f>CATALOGO!B66</f>
        <v>803.05</v>
      </c>
      <c r="C2037" s="71"/>
      <c r="D2037" s="437" t="str">
        <f>CATALOGO!C66</f>
        <v>VENTANA CORREDIZA DE PVC + VIDRIO CLARO DE 5mm + BALCÓN</v>
      </c>
      <c r="E2037" s="437"/>
      <c r="F2037" s="437"/>
      <c r="G2037" s="437"/>
      <c r="H2037" s="71"/>
      <c r="I2037" s="209">
        <f>CATALOGO!D66</f>
        <v>10.87</v>
      </c>
      <c r="J2037" s="107"/>
      <c r="K2037" s="222" t="str">
        <f>CATALOGO!G66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413" t="s">
        <v>5</v>
      </c>
      <c r="D2039" s="413"/>
      <c r="E2039" s="413"/>
      <c r="F2039" s="413"/>
      <c r="G2039" s="414"/>
    </row>
    <row r="2040" spans="1:16" x14ac:dyDescent="0.25">
      <c r="B2040" s="109" t="s">
        <v>6</v>
      </c>
      <c r="C2040" s="424" t="s">
        <v>1</v>
      </c>
      <c r="D2040" s="425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3" t="s">
        <v>8</v>
      </c>
      <c r="L2040" s="113" t="s">
        <v>193</v>
      </c>
      <c r="O2040" s="438"/>
      <c r="P2040" s="438"/>
    </row>
    <row r="2041" spans="1:16" ht="17.25" customHeight="1" x14ac:dyDescent="0.25">
      <c r="B2041" s="120"/>
      <c r="C2041" s="428"/>
      <c r="D2041" s="429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66">E2041*I2041</f>
        <v>0</v>
      </c>
      <c r="O2041" s="44"/>
      <c r="P2041" s="45"/>
    </row>
    <row r="2042" spans="1:16" x14ac:dyDescent="0.3">
      <c r="B2042" s="120"/>
      <c r="C2042" s="428"/>
      <c r="D2042" s="429"/>
      <c r="E2042" s="114"/>
      <c r="F2042" s="83"/>
      <c r="G2042" s="74"/>
      <c r="I2042" s="115">
        <f>IF(C2042=0,0,VLOOKUP(C2042,Tabla1[],3,FALSE))</f>
        <v>0</v>
      </c>
      <c r="K2042" s="84">
        <f t="shared" ref="K2042:K2050" si="67">+F2042*I2042</f>
        <v>0</v>
      </c>
      <c r="L2042" s="116">
        <f t="shared" si="66"/>
        <v>0</v>
      </c>
      <c r="P2042" s="45"/>
    </row>
    <row r="2043" spans="1:16" x14ac:dyDescent="0.3">
      <c r="B2043" s="120"/>
      <c r="C2043" s="428"/>
      <c r="D2043" s="429"/>
      <c r="E2043" s="114"/>
      <c r="F2043" s="83"/>
      <c r="G2043" s="74"/>
      <c r="I2043" s="115">
        <f>IF(C2043=0,0,VLOOKUP(C2043,Tabla1[],3,FALSE))</f>
        <v>0</v>
      </c>
      <c r="K2043" s="84">
        <f t="shared" si="67"/>
        <v>0</v>
      </c>
      <c r="L2043" s="116">
        <f t="shared" si="66"/>
        <v>0</v>
      </c>
      <c r="O2043" s="48"/>
      <c r="P2043" s="49"/>
    </row>
    <row r="2044" spans="1:16" x14ac:dyDescent="0.3">
      <c r="B2044" s="120"/>
      <c r="C2044" s="428"/>
      <c r="D2044" s="429"/>
      <c r="E2044" s="114"/>
      <c r="F2044" s="83"/>
      <c r="G2044" s="74"/>
      <c r="I2044" s="115">
        <f>IF(C2044=0,0,VLOOKUP(C2044,Tabla1[],3,FALSE))</f>
        <v>0</v>
      </c>
      <c r="K2044" s="84">
        <f t="shared" si="67"/>
        <v>0</v>
      </c>
      <c r="L2044" s="116">
        <f t="shared" si="66"/>
        <v>0</v>
      </c>
      <c r="O2044" s="48"/>
      <c r="P2044" s="49"/>
    </row>
    <row r="2045" spans="1:16" x14ac:dyDescent="0.3">
      <c r="B2045" s="120"/>
      <c r="C2045" s="206"/>
      <c r="D2045" s="205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06"/>
      <c r="D2046" s="205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06"/>
      <c r="D2047" s="205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428"/>
      <c r="D2048" s="429"/>
      <c r="E2048" s="114"/>
      <c r="F2048" s="83"/>
      <c r="G2048" s="74"/>
      <c r="I2048" s="115">
        <f>IF(C2048=0,0,VLOOKUP(C2048,Tabla1[],3,FALSE))</f>
        <v>0</v>
      </c>
      <c r="K2048" s="84">
        <f t="shared" si="67"/>
        <v>0</v>
      </c>
      <c r="L2048" s="116">
        <f t="shared" si="66"/>
        <v>0</v>
      </c>
      <c r="O2048" s="48"/>
      <c r="P2048" s="49"/>
    </row>
    <row r="2049" spans="2:16" x14ac:dyDescent="0.3">
      <c r="B2049" s="120"/>
      <c r="C2049" s="431"/>
      <c r="D2049" s="432"/>
      <c r="E2049" s="114"/>
      <c r="F2049" s="83"/>
      <c r="G2049" s="74"/>
      <c r="I2049" s="115">
        <f>IF(C2049=0,0,VLOOKUP(C2049,Tabla1[],3,FALSE))</f>
        <v>0</v>
      </c>
      <c r="K2049" s="84">
        <f t="shared" si="67"/>
        <v>0</v>
      </c>
      <c r="L2049" s="116">
        <f t="shared" si="66"/>
        <v>0</v>
      </c>
      <c r="O2049" s="48"/>
      <c r="P2049" s="49"/>
    </row>
    <row r="2050" spans="2:16" x14ac:dyDescent="0.3">
      <c r="B2050" s="120"/>
      <c r="C2050" s="430"/>
      <c r="D2050" s="429"/>
      <c r="E2050" s="114"/>
      <c r="F2050" s="83"/>
      <c r="G2050" s="74"/>
      <c r="I2050" s="115">
        <f>IF(C2050=0,0,VLOOKUP(C2050,Tabla1[],3,FALSE))</f>
        <v>0</v>
      </c>
      <c r="K2050" s="84">
        <f t="shared" si="67"/>
        <v>0</v>
      </c>
      <c r="L2050" s="116">
        <f t="shared" si="66"/>
        <v>0</v>
      </c>
      <c r="O2050" s="48"/>
      <c r="P2050" s="49"/>
    </row>
    <row r="2051" spans="2:16" ht="17.25" thickBot="1" x14ac:dyDescent="0.35"/>
    <row r="2052" spans="2:16" ht="17.25" thickBot="1" x14ac:dyDescent="0.3">
      <c r="F2052" s="402" t="s">
        <v>9</v>
      </c>
      <c r="G2052" s="403"/>
      <c r="H2052" s="403"/>
      <c r="I2052" s="404"/>
      <c r="K2052" s="224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413" t="s">
        <v>11</v>
      </c>
      <c r="D2054" s="413"/>
      <c r="E2054" s="413"/>
      <c r="F2054" s="413"/>
      <c r="G2054" s="414"/>
    </row>
    <row r="2055" spans="2:16" x14ac:dyDescent="0.3">
      <c r="B2055" s="112" t="s">
        <v>6</v>
      </c>
      <c r="C2055" s="415" t="s">
        <v>1</v>
      </c>
      <c r="D2055" s="416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409"/>
      <c r="D2056" s="409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431"/>
      <c r="D2057" s="432"/>
      <c r="E2057" s="119"/>
      <c r="F2057" s="72"/>
      <c r="G2057" s="74"/>
      <c r="I2057" s="115">
        <f>IF(C2057=0,0,VLOOKUP(C2057,Tabla3[],3,FALSE))</f>
        <v>0</v>
      </c>
      <c r="K2057" s="84">
        <f>+F2057*I2057</f>
        <v>0</v>
      </c>
      <c r="L2057" s="116">
        <f>E2057*I2057</f>
        <v>0</v>
      </c>
    </row>
    <row r="2058" spans="2:16" x14ac:dyDescent="0.3">
      <c r="B2058" s="74"/>
      <c r="C2058" s="431"/>
      <c r="D2058" s="432"/>
      <c r="E2058" s="119"/>
      <c r="F2058" s="72"/>
      <c r="G2058" s="74"/>
      <c r="I2058" s="115">
        <f>IF(C2058=0,0,VLOOKUP(C2058,Tabla3[],3,FALSE))</f>
        <v>0</v>
      </c>
      <c r="K2058" s="84">
        <f>+F2058*I2058</f>
        <v>0</v>
      </c>
      <c r="L2058" s="116">
        <f>E2058*I2058</f>
        <v>0</v>
      </c>
    </row>
    <row r="2059" spans="2:16" x14ac:dyDescent="0.3">
      <c r="B2059" s="74"/>
      <c r="C2059" s="411"/>
      <c r="D2059" s="412"/>
      <c r="E2059" s="119"/>
      <c r="F2059" s="72"/>
      <c r="G2059" s="74"/>
      <c r="I2059" s="115">
        <f>IF(C2059=0,0,VLOOKUP(C2059,Tabla3[],3,FALSE))</f>
        <v>0</v>
      </c>
      <c r="K2059" s="84">
        <f>+F2059*I2059</f>
        <v>0</v>
      </c>
      <c r="L2059" s="116">
        <f>E2059*I2059</f>
        <v>0</v>
      </c>
    </row>
    <row r="2060" spans="2:16" ht="17.25" thickBot="1" x14ac:dyDescent="0.35"/>
    <row r="2061" spans="2:16" ht="17.25" thickBot="1" x14ac:dyDescent="0.35">
      <c r="F2061" s="402" t="s">
        <v>12</v>
      </c>
      <c r="G2061" s="403"/>
      <c r="H2061" s="403"/>
      <c r="I2061" s="404"/>
      <c r="K2061" s="224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413" t="s">
        <v>14</v>
      </c>
      <c r="D2063" s="413"/>
      <c r="E2063" s="413"/>
      <c r="F2063" s="413"/>
      <c r="G2063" s="414"/>
    </row>
    <row r="2064" spans="2:16" x14ac:dyDescent="0.3">
      <c r="B2064" s="112" t="s">
        <v>6</v>
      </c>
      <c r="C2064" s="415" t="s">
        <v>1</v>
      </c>
      <c r="D2064" s="416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434" t="s">
        <v>225</v>
      </c>
      <c r="D2065" s="434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409"/>
      <c r="D2066" s="409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417"/>
      <c r="D2067" s="418"/>
      <c r="E2067" s="122"/>
      <c r="F2067" s="123"/>
      <c r="G2067" s="74"/>
      <c r="I2067" s="115">
        <f>IF(C2067=0,0,VLOOKUP(C2067,Tabla2[],3,FALSE))</f>
        <v>0</v>
      </c>
      <c r="K2067" s="84">
        <f>+F2067*I2067</f>
        <v>0</v>
      </c>
      <c r="L2067" s="116">
        <f>E2067*I2067</f>
        <v>0</v>
      </c>
    </row>
    <row r="2068" spans="2:12" ht="17.25" thickBot="1" x14ac:dyDescent="0.35">
      <c r="B2068" s="419" t="s">
        <v>15</v>
      </c>
      <c r="C2068" s="420"/>
      <c r="D2068" s="420"/>
      <c r="E2068" s="420"/>
      <c r="F2068" s="420"/>
      <c r="G2068" s="421"/>
      <c r="I2068" s="84">
        <v>0</v>
      </c>
      <c r="K2068" s="84">
        <v>0</v>
      </c>
      <c r="L2068" s="116">
        <f>E2068*I2068</f>
        <v>0</v>
      </c>
    </row>
    <row r="2069" spans="2:12" ht="17.25" thickBot="1" x14ac:dyDescent="0.35"/>
    <row r="2070" spans="2:12" ht="17.25" thickBot="1" x14ac:dyDescent="0.35">
      <c r="F2070" s="402" t="s">
        <v>16</v>
      </c>
      <c r="G2070" s="403"/>
      <c r="H2070" s="403"/>
      <c r="I2070" s="404"/>
      <c r="K2070" s="224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413" t="s">
        <v>18</v>
      </c>
      <c r="D2072" s="413"/>
      <c r="E2072" s="413"/>
      <c r="F2072" s="413"/>
      <c r="G2072" s="414"/>
    </row>
    <row r="2073" spans="2:12" x14ac:dyDescent="0.3">
      <c r="B2073" s="112" t="s">
        <v>6</v>
      </c>
      <c r="C2073" s="415" t="s">
        <v>1</v>
      </c>
      <c r="D2073" s="416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411"/>
      <c r="D2074" s="412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411"/>
      <c r="D2075" s="412"/>
      <c r="E2075" s="125"/>
      <c r="F2075" s="72"/>
      <c r="G2075" s="74"/>
      <c r="I2075" s="84">
        <v>0</v>
      </c>
      <c r="K2075" s="84">
        <f>+F2075*I2075</f>
        <v>0</v>
      </c>
      <c r="L2075" s="116">
        <f>E2075*I2075</f>
        <v>0</v>
      </c>
    </row>
    <row r="2076" spans="2:12" x14ac:dyDescent="0.3">
      <c r="B2076" s="74"/>
      <c r="C2076" s="411"/>
      <c r="D2076" s="412"/>
      <c r="E2076" s="125"/>
      <c r="F2076" s="72"/>
      <c r="G2076" s="74"/>
      <c r="I2076" s="84">
        <v>0</v>
      </c>
      <c r="K2076" s="84">
        <f>+F2076*I2076</f>
        <v>0</v>
      </c>
      <c r="L2076" s="116">
        <f>E2076*I2076</f>
        <v>0</v>
      </c>
    </row>
    <row r="2077" spans="2:12" ht="17.25" thickBot="1" x14ac:dyDescent="0.35">
      <c r="L2077" s="116"/>
    </row>
    <row r="2078" spans="2:12" ht="17.25" thickBot="1" x14ac:dyDescent="0.35">
      <c r="F2078" s="402" t="s">
        <v>19</v>
      </c>
      <c r="G2078" s="403"/>
      <c r="H2078" s="403"/>
      <c r="I2078" s="404"/>
      <c r="K2078" s="224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127"/>
      <c r="H2079" s="128"/>
      <c r="I2079" s="106"/>
      <c r="K2079" s="225"/>
    </row>
    <row r="2080" spans="2:12" ht="15" customHeight="1" thickBot="1" x14ac:dyDescent="0.35"/>
    <row r="2081" spans="1:16" ht="17.25" thickBot="1" x14ac:dyDescent="0.35">
      <c r="F2081" s="402" t="s">
        <v>20</v>
      </c>
      <c r="G2081" s="403"/>
      <c r="H2081" s="403"/>
      <c r="I2081" s="404"/>
      <c r="K2081" s="224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402" t="s">
        <v>21</v>
      </c>
      <c r="G2083" s="403"/>
      <c r="H2083" s="403"/>
      <c r="I2083" s="404"/>
      <c r="K2083" s="224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402" t="s">
        <v>22</v>
      </c>
      <c r="G2085" s="403"/>
      <c r="H2085" s="403"/>
      <c r="I2085" s="404"/>
      <c r="K2085" s="224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127"/>
      <c r="H2086" s="128"/>
      <c r="I2086" s="106"/>
      <c r="K2086" s="226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127"/>
      <c r="H2087" s="128"/>
      <c r="I2087" s="106"/>
      <c r="K2087" s="227"/>
      <c r="L2087" s="129"/>
      <c r="M2087" s="132"/>
      <c r="N2087" s="133"/>
    </row>
    <row r="2088" spans="1:16" ht="17.25" thickBot="1" x14ac:dyDescent="0.35">
      <c r="B2088" s="405"/>
      <c r="C2088" s="405"/>
      <c r="D2088" s="405"/>
    </row>
    <row r="2089" spans="1:16" x14ac:dyDescent="0.3">
      <c r="B2089" s="406" t="s">
        <v>23</v>
      </c>
      <c r="C2089" s="406"/>
      <c r="D2089" s="406"/>
    </row>
    <row r="2090" spans="1:16" x14ac:dyDescent="0.3">
      <c r="B2090" s="155"/>
      <c r="C2090" s="155"/>
      <c r="D2090" s="155"/>
    </row>
    <row r="2091" spans="1:16" x14ac:dyDescent="0.3">
      <c r="B2091" s="155"/>
      <c r="C2091" s="155"/>
      <c r="D2091" s="155"/>
    </row>
    <row r="2092" spans="1:16" x14ac:dyDescent="0.3">
      <c r="B2092" s="103" t="s">
        <v>43</v>
      </c>
      <c r="C2092" s="104"/>
      <c r="D2092" s="422" t="s">
        <v>1</v>
      </c>
      <c r="E2092" s="422"/>
      <c r="F2092" s="422"/>
      <c r="G2092" s="422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09">
        <f>CATALOGO!B68</f>
        <v>902.01</v>
      </c>
      <c r="C2093" s="71"/>
      <c r="D2093" s="437" t="str">
        <f>CATALOGO!C68</f>
        <v>BAJADA DE AGUA PVC Ø3" (INCLUYE ACCESORIOS)</v>
      </c>
      <c r="E2093" s="437"/>
      <c r="F2093" s="437"/>
      <c r="G2093" s="437"/>
      <c r="H2093" s="71"/>
      <c r="I2093" s="209">
        <f>CATALOGO!D68</f>
        <v>3</v>
      </c>
      <c r="J2093" s="107"/>
      <c r="K2093" s="222" t="str">
        <f>CATALOGO!G68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413" t="s">
        <v>5</v>
      </c>
      <c r="D2095" s="413"/>
      <c r="E2095" s="413"/>
      <c r="F2095" s="413"/>
      <c r="G2095" s="414"/>
    </row>
    <row r="2096" spans="1:16" x14ac:dyDescent="0.25">
      <c r="B2096" s="109" t="s">
        <v>6</v>
      </c>
      <c r="C2096" s="424" t="s">
        <v>1</v>
      </c>
      <c r="D2096" s="425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3" t="s">
        <v>8</v>
      </c>
      <c r="L2096" s="113" t="s">
        <v>193</v>
      </c>
      <c r="O2096" s="438"/>
      <c r="P2096" s="438"/>
    </row>
    <row r="2097" spans="2:16" ht="17.25" customHeight="1" x14ac:dyDescent="0.25">
      <c r="B2097" s="120">
        <v>1</v>
      </c>
      <c r="C2097" s="430" t="s">
        <v>241</v>
      </c>
      <c r="D2097" s="429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>E2097*I2097</f>
        <v>45.000000000000007</v>
      </c>
      <c r="O2097" s="44"/>
      <c r="P2097" s="45"/>
    </row>
    <row r="2098" spans="2:16" x14ac:dyDescent="0.3">
      <c r="B2098" s="120">
        <v>2</v>
      </c>
      <c r="C2098" s="430" t="s">
        <v>586</v>
      </c>
      <c r="D2098" s="429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>+F2098*I2098</f>
        <v>15</v>
      </c>
      <c r="L2098" s="116">
        <f>E2098*I2098</f>
        <v>45</v>
      </c>
      <c r="P2098" s="45"/>
    </row>
    <row r="2099" spans="2:16" x14ac:dyDescent="0.3">
      <c r="B2099" s="120">
        <v>3</v>
      </c>
      <c r="C2099" s="430" t="s">
        <v>587</v>
      </c>
      <c r="D2099" s="429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>+F2099*I2099</f>
        <v>76</v>
      </c>
      <c r="L2099" s="116">
        <f>E2099*I2099</f>
        <v>228.00000000000003</v>
      </c>
      <c r="O2099" s="48"/>
      <c r="P2099" s="49"/>
    </row>
    <row r="2100" spans="2:16" x14ac:dyDescent="0.3">
      <c r="B2100" s="120">
        <v>4</v>
      </c>
      <c r="C2100" s="430" t="s">
        <v>129</v>
      </c>
      <c r="D2100" s="429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>+F2100*I2100</f>
        <v>4</v>
      </c>
      <c r="L2100" s="116">
        <f>E2100*I2100</f>
        <v>12</v>
      </c>
      <c r="O2100" s="48"/>
      <c r="P2100" s="49"/>
    </row>
    <row r="2101" spans="2:16" x14ac:dyDescent="0.3">
      <c r="B2101" s="120"/>
      <c r="C2101" s="206"/>
      <c r="D2101" s="205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06"/>
      <c r="D2102" s="205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06"/>
      <c r="D2103" s="205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402" t="s">
        <v>9</v>
      </c>
      <c r="G2105" s="403"/>
      <c r="H2105" s="403"/>
      <c r="I2105" s="404"/>
      <c r="K2105" s="224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413" t="s">
        <v>11</v>
      </c>
      <c r="D2107" s="413"/>
      <c r="E2107" s="413"/>
      <c r="F2107" s="413"/>
      <c r="G2107" s="414"/>
    </row>
    <row r="2108" spans="2:16" x14ac:dyDescent="0.3">
      <c r="B2108" s="112" t="s">
        <v>6</v>
      </c>
      <c r="C2108" s="415" t="s">
        <v>1</v>
      </c>
      <c r="D2108" s="416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409"/>
      <c r="D2109" s="409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431"/>
      <c r="D2110" s="432"/>
      <c r="E2110" s="119"/>
      <c r="F2110" s="72"/>
      <c r="G2110" s="74"/>
      <c r="I2110" s="115">
        <f>IF(C2110=0,0,VLOOKUP(C2110,Tabla3[],3,FALSE))</f>
        <v>0</v>
      </c>
      <c r="K2110" s="84">
        <f>+F2110*I2110</f>
        <v>0</v>
      </c>
      <c r="L2110" s="116">
        <f>E2110*I2110</f>
        <v>0</v>
      </c>
    </row>
    <row r="2111" spans="2:16" x14ac:dyDescent="0.3">
      <c r="B2111" s="74"/>
      <c r="C2111" s="431"/>
      <c r="D2111" s="432"/>
      <c r="E2111" s="119"/>
      <c r="F2111" s="72"/>
      <c r="G2111" s="74"/>
      <c r="I2111" s="115">
        <f>IF(C2111=0,0,VLOOKUP(C2111,Tabla3[],3,FALSE))</f>
        <v>0</v>
      </c>
      <c r="K2111" s="84">
        <f>+F2111*I2111</f>
        <v>0</v>
      </c>
      <c r="L2111" s="116">
        <f>E2111*I2111</f>
        <v>0</v>
      </c>
    </row>
    <row r="2112" spans="2:16" x14ac:dyDescent="0.3">
      <c r="B2112" s="74"/>
      <c r="C2112" s="411"/>
      <c r="D2112" s="412"/>
      <c r="E2112" s="119"/>
      <c r="F2112" s="72"/>
      <c r="G2112" s="74"/>
      <c r="I2112" s="115">
        <f>IF(C2112=0,0,VLOOKUP(C2112,Tabla3[],3,FALSE))</f>
        <v>0</v>
      </c>
      <c r="K2112" s="84">
        <f>+F2112*I2112</f>
        <v>0</v>
      </c>
      <c r="L2112" s="116">
        <f>E2112*I2112</f>
        <v>0</v>
      </c>
    </row>
    <row r="2113" spans="2:12" ht="17.25" thickBot="1" x14ac:dyDescent="0.35"/>
    <row r="2114" spans="2:12" ht="17.25" thickBot="1" x14ac:dyDescent="0.35">
      <c r="F2114" s="402" t="s">
        <v>12</v>
      </c>
      <c r="G2114" s="403"/>
      <c r="H2114" s="403"/>
      <c r="I2114" s="404"/>
      <c r="K2114" s="224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413" t="s">
        <v>14</v>
      </c>
      <c r="D2116" s="413"/>
      <c r="E2116" s="413"/>
      <c r="F2116" s="413"/>
      <c r="G2116" s="414"/>
    </row>
    <row r="2117" spans="2:12" x14ac:dyDescent="0.3">
      <c r="B2117" s="112" t="s">
        <v>6</v>
      </c>
      <c r="C2117" s="415" t="s">
        <v>1</v>
      </c>
      <c r="D2117" s="416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409" t="s">
        <v>588</v>
      </c>
      <c r="D2118" s="409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409"/>
      <c r="D2119" s="409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417"/>
      <c r="D2120" s="418"/>
      <c r="E2120" s="122"/>
      <c r="F2120" s="123"/>
      <c r="G2120" s="74"/>
      <c r="I2120" s="115">
        <f>IF(C2120=0,0,VLOOKUP(C2120,Tabla2[],3,FALSE))</f>
        <v>0</v>
      </c>
      <c r="K2120" s="84">
        <f>+F2120*I2120</f>
        <v>0</v>
      </c>
      <c r="L2120" s="116">
        <f>E2120*I2120</f>
        <v>0</v>
      </c>
    </row>
    <row r="2121" spans="2:12" ht="17.25" thickBot="1" x14ac:dyDescent="0.35">
      <c r="B2121" s="419" t="s">
        <v>15</v>
      </c>
      <c r="C2121" s="420"/>
      <c r="D2121" s="420"/>
      <c r="E2121" s="420"/>
      <c r="F2121" s="420"/>
      <c r="G2121" s="421"/>
      <c r="I2121" s="84">
        <v>0</v>
      </c>
      <c r="K2121" s="84">
        <v>0</v>
      </c>
      <c r="L2121" s="116">
        <f>E2121*I2121</f>
        <v>0</v>
      </c>
    </row>
    <row r="2122" spans="2:12" ht="17.25" thickBot="1" x14ac:dyDescent="0.35"/>
    <row r="2123" spans="2:12" ht="17.25" thickBot="1" x14ac:dyDescent="0.35">
      <c r="F2123" s="402" t="s">
        <v>16</v>
      </c>
      <c r="G2123" s="403"/>
      <c r="H2123" s="403"/>
      <c r="I2123" s="404"/>
      <c r="K2123" s="224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413" t="s">
        <v>18</v>
      </c>
      <c r="D2125" s="413"/>
      <c r="E2125" s="413"/>
      <c r="F2125" s="413"/>
      <c r="G2125" s="414"/>
    </row>
    <row r="2126" spans="2:12" x14ac:dyDescent="0.3">
      <c r="B2126" s="112" t="s">
        <v>6</v>
      </c>
      <c r="C2126" s="415" t="s">
        <v>1</v>
      </c>
      <c r="D2126" s="416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411"/>
      <c r="D2127" s="412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411"/>
      <c r="D2128" s="412"/>
      <c r="E2128" s="125"/>
      <c r="F2128" s="72"/>
      <c r="G2128" s="74"/>
      <c r="I2128" s="84">
        <v>0</v>
      </c>
      <c r="K2128" s="84">
        <f>+F2128*I2128</f>
        <v>0</v>
      </c>
      <c r="L2128" s="116">
        <f>E2128*I2128</f>
        <v>0</v>
      </c>
    </row>
    <row r="2129" spans="2:16" x14ac:dyDescent="0.3">
      <c r="B2129" s="74"/>
      <c r="C2129" s="411"/>
      <c r="D2129" s="412"/>
      <c r="E2129" s="125"/>
      <c r="F2129" s="72"/>
      <c r="G2129" s="74"/>
      <c r="I2129" s="84">
        <v>0</v>
      </c>
      <c r="K2129" s="84">
        <f>+F2129*I2129</f>
        <v>0</v>
      </c>
      <c r="L2129" s="116">
        <f>E2129*I2129</f>
        <v>0</v>
      </c>
    </row>
    <row r="2130" spans="2:16" ht="17.25" thickBot="1" x14ac:dyDescent="0.35">
      <c r="L2130" s="116"/>
    </row>
    <row r="2131" spans="2:16" ht="17.25" thickBot="1" x14ac:dyDescent="0.35">
      <c r="F2131" s="402" t="s">
        <v>19</v>
      </c>
      <c r="G2131" s="403"/>
      <c r="H2131" s="403"/>
      <c r="I2131" s="404"/>
      <c r="K2131" s="224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127"/>
      <c r="H2132" s="128"/>
      <c r="I2132" s="106"/>
      <c r="K2132" s="225"/>
    </row>
    <row r="2133" spans="2:16" ht="15" customHeight="1" thickBot="1" x14ac:dyDescent="0.35"/>
    <row r="2134" spans="2:16" ht="17.25" thickBot="1" x14ac:dyDescent="0.35">
      <c r="F2134" s="402" t="s">
        <v>20</v>
      </c>
      <c r="G2134" s="403"/>
      <c r="H2134" s="403"/>
      <c r="I2134" s="404"/>
      <c r="K2134" s="224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402" t="s">
        <v>21</v>
      </c>
      <c r="G2136" s="403"/>
      <c r="H2136" s="403"/>
      <c r="I2136" s="404"/>
      <c r="K2136" s="224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402" t="s">
        <v>22</v>
      </c>
      <c r="G2138" s="403"/>
      <c r="H2138" s="403"/>
      <c r="I2138" s="404"/>
      <c r="K2138" s="224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127"/>
      <c r="H2139" s="128"/>
      <c r="I2139" s="106"/>
      <c r="K2139" s="226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127"/>
      <c r="H2140" s="128"/>
      <c r="I2140" s="106"/>
      <c r="K2140" s="227"/>
      <c r="L2140" s="129"/>
      <c r="M2140" s="132"/>
      <c r="N2140" s="133"/>
    </row>
    <row r="2141" spans="2:16" ht="17.25" thickBot="1" x14ac:dyDescent="0.35">
      <c r="B2141" s="405"/>
      <c r="C2141" s="405"/>
      <c r="D2141" s="405"/>
    </row>
    <row r="2142" spans="2:16" x14ac:dyDescent="0.3">
      <c r="B2142" s="406" t="s">
        <v>23</v>
      </c>
      <c r="C2142" s="406"/>
      <c r="D2142" s="406"/>
    </row>
    <row r="2143" spans="2:16" x14ac:dyDescent="0.3">
      <c r="B2143" s="155"/>
      <c r="C2143" s="155"/>
      <c r="D2143" s="155"/>
    </row>
    <row r="2144" spans="2:16" x14ac:dyDescent="0.3">
      <c r="B2144" s="155"/>
      <c r="C2144" s="155"/>
      <c r="D2144" s="155"/>
    </row>
    <row r="2145" spans="1:16" x14ac:dyDescent="0.3">
      <c r="B2145" s="103" t="s">
        <v>43</v>
      </c>
      <c r="C2145" s="104"/>
      <c r="D2145" s="422" t="s">
        <v>1</v>
      </c>
      <c r="E2145" s="422"/>
      <c r="F2145" s="422"/>
      <c r="G2145" s="422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09">
        <f>CATALOGO!B69</f>
        <v>903.01</v>
      </c>
      <c r="C2146" s="71"/>
      <c r="D2146" s="437" t="str">
        <f>CATALOGO!C69</f>
        <v>TUBERÍA AGUA POTABLE PVC Ø 1/2", 315 PSI (INCLUYE ACCESORIOS)</v>
      </c>
      <c r="E2146" s="437"/>
      <c r="F2146" s="437"/>
      <c r="G2146" s="437"/>
      <c r="H2146" s="71"/>
      <c r="I2146" s="209">
        <f>CATALOGO!D104</f>
        <v>37</v>
      </c>
      <c r="J2146" s="107"/>
      <c r="K2146" s="222" t="str">
        <f>CATALOGO!G104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413" t="s">
        <v>5</v>
      </c>
      <c r="D2148" s="413"/>
      <c r="E2148" s="413"/>
      <c r="F2148" s="413"/>
      <c r="G2148" s="414"/>
    </row>
    <row r="2149" spans="1:16" x14ac:dyDescent="0.25">
      <c r="B2149" s="109" t="s">
        <v>6</v>
      </c>
      <c r="C2149" s="424" t="s">
        <v>1</v>
      </c>
      <c r="D2149" s="425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3" t="s">
        <v>8</v>
      </c>
      <c r="L2149" s="113" t="s">
        <v>193</v>
      </c>
      <c r="O2149" s="438"/>
      <c r="P2149" s="438"/>
    </row>
    <row r="2150" spans="1:16" ht="17.25" customHeight="1" x14ac:dyDescent="0.25">
      <c r="B2150" s="120">
        <v>1</v>
      </c>
      <c r="C2150" s="428" t="s">
        <v>110</v>
      </c>
      <c r="D2150" s="429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>E2150*I2150</f>
        <v>222</v>
      </c>
      <c r="O2150" s="44"/>
      <c r="P2150" s="45"/>
    </row>
    <row r="2151" spans="1:16" x14ac:dyDescent="0.3">
      <c r="B2151" s="120">
        <v>2</v>
      </c>
      <c r="C2151" s="428" t="s">
        <v>289</v>
      </c>
      <c r="D2151" s="429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>+F2151*I2151</f>
        <v>5</v>
      </c>
      <c r="L2151" s="116">
        <f>E2151*I2151</f>
        <v>185</v>
      </c>
      <c r="P2151" s="45"/>
    </row>
    <row r="2152" spans="1:16" x14ac:dyDescent="0.3">
      <c r="B2152" s="120">
        <v>3</v>
      </c>
      <c r="C2152" s="428" t="s">
        <v>129</v>
      </c>
      <c r="D2152" s="429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>+F2152*I2152</f>
        <v>4</v>
      </c>
      <c r="L2152" s="116">
        <f>E2152*I2152</f>
        <v>148</v>
      </c>
      <c r="O2152" s="48"/>
      <c r="P2152" s="49"/>
    </row>
    <row r="2153" spans="1:16" x14ac:dyDescent="0.3">
      <c r="B2153" s="120">
        <v>4</v>
      </c>
      <c r="C2153" s="428" t="s">
        <v>298</v>
      </c>
      <c r="D2153" s="429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>+F2153*I2153</f>
        <v>5</v>
      </c>
      <c r="L2153" s="116">
        <f>E2153*I2153</f>
        <v>185</v>
      </c>
      <c r="O2153" s="48"/>
      <c r="P2153" s="49"/>
    </row>
    <row r="2154" spans="1:16" x14ac:dyDescent="0.3">
      <c r="B2154" s="120"/>
      <c r="C2154" s="206"/>
      <c r="D2154" s="205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06"/>
      <c r="D2155" s="205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06"/>
      <c r="D2156" s="205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402" t="s">
        <v>9</v>
      </c>
      <c r="G2158" s="403"/>
      <c r="H2158" s="403"/>
      <c r="I2158" s="404"/>
      <c r="K2158" s="224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413" t="s">
        <v>11</v>
      </c>
      <c r="D2160" s="413"/>
      <c r="E2160" s="413"/>
      <c r="F2160" s="413"/>
      <c r="G2160" s="414"/>
    </row>
    <row r="2161" spans="2:12" x14ac:dyDescent="0.3">
      <c r="B2161" s="112" t="s">
        <v>6</v>
      </c>
      <c r="C2161" s="415" t="s">
        <v>1</v>
      </c>
      <c r="D2161" s="416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409"/>
      <c r="D2162" s="409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431"/>
      <c r="D2163" s="432"/>
      <c r="E2163" s="119"/>
      <c r="F2163" s="72"/>
      <c r="G2163" s="74"/>
      <c r="I2163" s="115">
        <f>IF(C2163=0,0,VLOOKUP(C2163,Tabla3[],3,FALSE))</f>
        <v>0</v>
      </c>
      <c r="K2163" s="84">
        <f>+F2163*I2163</f>
        <v>0</v>
      </c>
      <c r="L2163" s="116">
        <f>E2163*I2163</f>
        <v>0</v>
      </c>
    </row>
    <row r="2164" spans="2:12" x14ac:dyDescent="0.3">
      <c r="B2164" s="74"/>
      <c r="C2164" s="431"/>
      <c r="D2164" s="432"/>
      <c r="E2164" s="119"/>
      <c r="F2164" s="72"/>
      <c r="G2164" s="74"/>
      <c r="I2164" s="115">
        <f>IF(C2164=0,0,VLOOKUP(C2164,Tabla3[],3,FALSE))</f>
        <v>0</v>
      </c>
      <c r="K2164" s="84">
        <f>+F2164*I2164</f>
        <v>0</v>
      </c>
      <c r="L2164" s="116">
        <f>E2164*I2164</f>
        <v>0</v>
      </c>
    </row>
    <row r="2165" spans="2:12" x14ac:dyDescent="0.3">
      <c r="B2165" s="74"/>
      <c r="C2165" s="411"/>
      <c r="D2165" s="412"/>
      <c r="E2165" s="119"/>
      <c r="F2165" s="72"/>
      <c r="G2165" s="74"/>
      <c r="I2165" s="115">
        <f>IF(C2165=0,0,VLOOKUP(C2165,Tabla3[],3,FALSE))</f>
        <v>0</v>
      </c>
      <c r="K2165" s="84">
        <f>+F2165*I2165</f>
        <v>0</v>
      </c>
      <c r="L2165" s="116">
        <f>E2165*I2165</f>
        <v>0</v>
      </c>
    </row>
    <row r="2166" spans="2:12" ht="17.25" thickBot="1" x14ac:dyDescent="0.35"/>
    <row r="2167" spans="2:12" ht="17.25" thickBot="1" x14ac:dyDescent="0.35">
      <c r="F2167" s="402" t="s">
        <v>12</v>
      </c>
      <c r="G2167" s="403"/>
      <c r="H2167" s="403"/>
      <c r="I2167" s="404"/>
      <c r="K2167" s="224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413" t="s">
        <v>14</v>
      </c>
      <c r="D2169" s="413"/>
      <c r="E2169" s="413"/>
      <c r="F2169" s="413"/>
      <c r="G2169" s="414"/>
    </row>
    <row r="2170" spans="2:12" x14ac:dyDescent="0.3">
      <c r="B2170" s="112" t="s">
        <v>6</v>
      </c>
      <c r="C2170" s="415" t="s">
        <v>1</v>
      </c>
      <c r="D2170" s="416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409" t="s">
        <v>287</v>
      </c>
      <c r="D2171" s="409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409"/>
      <c r="D2172" s="409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417"/>
      <c r="D2173" s="418"/>
      <c r="E2173" s="122"/>
      <c r="F2173" s="123"/>
      <c r="G2173" s="74"/>
      <c r="I2173" s="115">
        <f>IF(C2173=0,0,VLOOKUP(C2173,Tabla2[],3,FALSE))</f>
        <v>0</v>
      </c>
      <c r="K2173" s="84">
        <f>+F2173*I2173</f>
        <v>0</v>
      </c>
      <c r="L2173" s="116">
        <f>E2173*I2173</f>
        <v>0</v>
      </c>
    </row>
    <row r="2174" spans="2:12" ht="17.25" thickBot="1" x14ac:dyDescent="0.35">
      <c r="B2174" s="419" t="s">
        <v>15</v>
      </c>
      <c r="C2174" s="420"/>
      <c r="D2174" s="420"/>
      <c r="E2174" s="420"/>
      <c r="F2174" s="420"/>
      <c r="G2174" s="421"/>
      <c r="I2174" s="84">
        <v>0</v>
      </c>
      <c r="K2174" s="84">
        <v>0</v>
      </c>
      <c r="L2174" s="116">
        <f>E2174*I2174</f>
        <v>0</v>
      </c>
    </row>
    <row r="2175" spans="2:12" ht="17.25" thickBot="1" x14ac:dyDescent="0.35"/>
    <row r="2176" spans="2:12" ht="17.25" thickBot="1" x14ac:dyDescent="0.35">
      <c r="F2176" s="402" t="s">
        <v>16</v>
      </c>
      <c r="G2176" s="403"/>
      <c r="H2176" s="403"/>
      <c r="I2176" s="404"/>
      <c r="K2176" s="224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413" t="s">
        <v>18</v>
      </c>
      <c r="D2178" s="413"/>
      <c r="E2178" s="413"/>
      <c r="F2178" s="413"/>
      <c r="G2178" s="414"/>
    </row>
    <row r="2179" spans="2:16" x14ac:dyDescent="0.3">
      <c r="B2179" s="112" t="s">
        <v>6</v>
      </c>
      <c r="C2179" s="415" t="s">
        <v>1</v>
      </c>
      <c r="D2179" s="416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411"/>
      <c r="D2180" s="412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411"/>
      <c r="D2181" s="412"/>
      <c r="E2181" s="125"/>
      <c r="F2181" s="72"/>
      <c r="G2181" s="74"/>
      <c r="I2181" s="84">
        <v>0</v>
      </c>
      <c r="K2181" s="84">
        <f>+F2181*I2181</f>
        <v>0</v>
      </c>
      <c r="L2181" s="116">
        <f>E2181*I2181</f>
        <v>0</v>
      </c>
    </row>
    <row r="2182" spans="2:16" x14ac:dyDescent="0.3">
      <c r="B2182" s="74"/>
      <c r="C2182" s="411"/>
      <c r="D2182" s="412"/>
      <c r="E2182" s="125"/>
      <c r="F2182" s="72"/>
      <c r="G2182" s="74"/>
      <c r="I2182" s="84">
        <v>0</v>
      </c>
      <c r="K2182" s="84">
        <f>+F2182*I2182</f>
        <v>0</v>
      </c>
      <c r="L2182" s="116">
        <f>E2182*I2182</f>
        <v>0</v>
      </c>
    </row>
    <row r="2183" spans="2:16" ht="17.25" thickBot="1" x14ac:dyDescent="0.35">
      <c r="L2183" s="116"/>
    </row>
    <row r="2184" spans="2:16" ht="17.25" thickBot="1" x14ac:dyDescent="0.35">
      <c r="F2184" s="402" t="s">
        <v>19</v>
      </c>
      <c r="G2184" s="403"/>
      <c r="H2184" s="403"/>
      <c r="I2184" s="404"/>
      <c r="K2184" s="224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127"/>
      <c r="H2185" s="128"/>
      <c r="I2185" s="106"/>
      <c r="K2185" s="225"/>
    </row>
    <row r="2186" spans="2:16" ht="15" customHeight="1" thickBot="1" x14ac:dyDescent="0.35"/>
    <row r="2187" spans="2:16" ht="17.25" thickBot="1" x14ac:dyDescent="0.35">
      <c r="F2187" s="402" t="s">
        <v>20</v>
      </c>
      <c r="G2187" s="403"/>
      <c r="H2187" s="403"/>
      <c r="I2187" s="404"/>
      <c r="K2187" s="224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402" t="s">
        <v>21</v>
      </c>
      <c r="G2189" s="403"/>
      <c r="H2189" s="403"/>
      <c r="I2189" s="404"/>
      <c r="K2189" s="224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402" t="s">
        <v>22</v>
      </c>
      <c r="G2191" s="403"/>
      <c r="H2191" s="403"/>
      <c r="I2191" s="404"/>
      <c r="K2191" s="224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127"/>
      <c r="H2192" s="128"/>
      <c r="I2192" s="106"/>
      <c r="K2192" s="226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127"/>
      <c r="H2193" s="128"/>
      <c r="I2193" s="106"/>
      <c r="K2193" s="227"/>
      <c r="L2193" s="129"/>
      <c r="M2193" s="132"/>
      <c r="N2193" s="133"/>
    </row>
    <row r="2194" spans="1:16" ht="17.25" thickBot="1" x14ac:dyDescent="0.35">
      <c r="B2194" s="405"/>
      <c r="C2194" s="405"/>
      <c r="D2194" s="405"/>
    </row>
    <row r="2195" spans="1:16" x14ac:dyDescent="0.3">
      <c r="B2195" s="406" t="s">
        <v>23</v>
      </c>
      <c r="C2195" s="406"/>
      <c r="D2195" s="406"/>
    </row>
    <row r="2196" spans="1:16" x14ac:dyDescent="0.3">
      <c r="B2196" s="155"/>
      <c r="C2196" s="155"/>
      <c r="D2196" s="155"/>
    </row>
    <row r="2197" spans="1:16" x14ac:dyDescent="0.3">
      <c r="B2197" s="155"/>
      <c r="C2197" s="155"/>
      <c r="D2197" s="155"/>
    </row>
    <row r="2198" spans="1:16" x14ac:dyDescent="0.3">
      <c r="B2198" s="103" t="s">
        <v>43</v>
      </c>
      <c r="C2198" s="104"/>
      <c r="D2198" s="422" t="s">
        <v>1</v>
      </c>
      <c r="E2198" s="422"/>
      <c r="F2198" s="422"/>
      <c r="G2198" s="422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09">
        <f>CATALOGO!B70</f>
        <v>903.02</v>
      </c>
      <c r="C2199" s="71"/>
      <c r="D2199" s="437" t="str">
        <f>CATALOGO!C70</f>
        <v>TUBERÍA AGUA POTABLE PVC Ø 3/4", 250 PSI (INCLUYE ACCESORIOS)</v>
      </c>
      <c r="E2199" s="437"/>
      <c r="F2199" s="437"/>
      <c r="G2199" s="437"/>
      <c r="H2199" s="71"/>
      <c r="I2199" s="209">
        <f>CATALOGO!D70</f>
        <v>11</v>
      </c>
      <c r="J2199" s="107"/>
      <c r="K2199" s="222" t="str">
        <f>CATALOGO!G70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413" t="s">
        <v>5</v>
      </c>
      <c r="D2201" s="413"/>
      <c r="E2201" s="413"/>
      <c r="F2201" s="413"/>
      <c r="G2201" s="414"/>
    </row>
    <row r="2202" spans="1:16" x14ac:dyDescent="0.25">
      <c r="B2202" s="109" t="s">
        <v>6</v>
      </c>
      <c r="C2202" s="424" t="s">
        <v>1</v>
      </c>
      <c r="D2202" s="425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3" t="s">
        <v>8</v>
      </c>
      <c r="L2202" s="113" t="s">
        <v>193</v>
      </c>
      <c r="O2202" s="438"/>
      <c r="P2202" s="438"/>
    </row>
    <row r="2203" spans="1:16" ht="17.25" customHeight="1" x14ac:dyDescent="0.25">
      <c r="B2203" s="120">
        <v>1</v>
      </c>
      <c r="C2203" s="428" t="s">
        <v>108</v>
      </c>
      <c r="D2203" s="429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68">E2203*I2203</f>
        <v>110.00000000000001</v>
      </c>
      <c r="O2203" s="44"/>
      <c r="P2203" s="45"/>
    </row>
    <row r="2204" spans="1:16" x14ac:dyDescent="0.3">
      <c r="B2204" s="120">
        <v>2</v>
      </c>
      <c r="C2204" s="428" t="s">
        <v>291</v>
      </c>
      <c r="D2204" s="429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69">+F2204*I2204</f>
        <v>11</v>
      </c>
      <c r="L2204" s="116">
        <f t="shared" si="68"/>
        <v>121.00000000000001</v>
      </c>
      <c r="P2204" s="45"/>
    </row>
    <row r="2205" spans="1:16" x14ac:dyDescent="0.3">
      <c r="B2205" s="120">
        <v>3</v>
      </c>
      <c r="C2205" s="428" t="s">
        <v>129</v>
      </c>
      <c r="D2205" s="429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69"/>
        <v>4</v>
      </c>
      <c r="L2205" s="116">
        <f t="shared" si="68"/>
        <v>44</v>
      </c>
      <c r="O2205" s="48"/>
      <c r="P2205" s="49"/>
    </row>
    <row r="2206" spans="1:16" x14ac:dyDescent="0.3">
      <c r="B2206" s="120"/>
      <c r="C2206" s="206"/>
      <c r="D2206" s="205"/>
      <c r="E2206" s="114"/>
      <c r="F2206" s="83"/>
      <c r="G2206" s="74"/>
      <c r="I2206" s="115">
        <f>IF(C2206=0,0,VLOOKUP(C2206,Tabla1[],3,FALSE))</f>
        <v>0</v>
      </c>
      <c r="K2206" s="84">
        <f>+F2206*I2206</f>
        <v>0</v>
      </c>
      <c r="L2206" s="116">
        <f>E2206*I2206</f>
        <v>0</v>
      </c>
      <c r="O2206" s="48"/>
      <c r="P2206" s="49"/>
    </row>
    <row r="2207" spans="1:16" x14ac:dyDescent="0.3">
      <c r="B2207" s="120"/>
      <c r="C2207" s="206"/>
      <c r="D2207" s="205"/>
      <c r="E2207" s="114"/>
      <c r="F2207" s="83"/>
      <c r="G2207" s="74"/>
      <c r="I2207" s="115">
        <f>IF(C2207=0,0,VLOOKUP(C2207,Tabla1[],3,FALSE))</f>
        <v>0</v>
      </c>
      <c r="K2207" s="84">
        <f>+F2207*I2207</f>
        <v>0</v>
      </c>
      <c r="L2207" s="116">
        <f>E2207*I2207</f>
        <v>0</v>
      </c>
      <c r="O2207" s="48"/>
      <c r="P2207" s="49"/>
    </row>
    <row r="2208" spans="1:16" x14ac:dyDescent="0.3">
      <c r="B2208" s="120"/>
      <c r="C2208" s="206"/>
      <c r="D2208" s="205"/>
      <c r="E2208" s="114"/>
      <c r="F2208" s="83"/>
      <c r="G2208" s="74"/>
      <c r="I2208" s="115">
        <f>IF(C2208=0,0,VLOOKUP(C2208,Tabla1[],3,FALSE))</f>
        <v>0</v>
      </c>
      <c r="K2208" s="84">
        <f>+F2208*I2208</f>
        <v>0</v>
      </c>
      <c r="L2208" s="116">
        <f>E2208*I2208</f>
        <v>0</v>
      </c>
      <c r="O2208" s="48"/>
      <c r="P2208" s="49"/>
    </row>
    <row r="2209" spans="2:16" x14ac:dyDescent="0.3">
      <c r="B2209" s="120"/>
      <c r="C2209" s="428"/>
      <c r="D2209" s="429"/>
      <c r="E2209" s="114"/>
      <c r="F2209" s="83"/>
      <c r="G2209" s="74"/>
      <c r="I2209" s="115">
        <f>IF(C2209=0,0,VLOOKUP(C2209,Tabla1[],3,FALSE))</f>
        <v>0</v>
      </c>
      <c r="K2209" s="84">
        <f>+F2209*I2209</f>
        <v>0</v>
      </c>
      <c r="L2209" s="116">
        <f>E2209*I2209</f>
        <v>0</v>
      </c>
      <c r="O2209" s="48"/>
      <c r="P2209" s="49"/>
    </row>
    <row r="2210" spans="2:16" x14ac:dyDescent="0.3">
      <c r="B2210" s="120"/>
      <c r="C2210" s="428"/>
      <c r="D2210" s="429"/>
      <c r="E2210" s="114"/>
      <c r="F2210" s="83"/>
      <c r="G2210" s="74"/>
      <c r="I2210" s="115">
        <f>IF(C2210=0,0,VLOOKUP(C2210,Tabla1[],3,FALSE))</f>
        <v>0</v>
      </c>
      <c r="K2210" s="84">
        <f t="shared" si="69"/>
        <v>0</v>
      </c>
      <c r="L2210" s="116">
        <f t="shared" si="68"/>
        <v>0</v>
      </c>
      <c r="O2210" s="48"/>
      <c r="P2210" s="49"/>
    </row>
    <row r="2211" spans="2:16" x14ac:dyDescent="0.3">
      <c r="B2211" s="120"/>
      <c r="C2211" s="431"/>
      <c r="D2211" s="432"/>
      <c r="E2211" s="114"/>
      <c r="F2211" s="83"/>
      <c r="G2211" s="74"/>
      <c r="I2211" s="115">
        <f>IF(C2211=0,0,VLOOKUP(C2211,Tabla1[],3,FALSE))</f>
        <v>0</v>
      </c>
      <c r="K2211" s="84">
        <f t="shared" si="69"/>
        <v>0</v>
      </c>
      <c r="L2211" s="116">
        <f t="shared" si="68"/>
        <v>0</v>
      </c>
      <c r="O2211" s="48"/>
      <c r="P2211" s="49"/>
    </row>
    <row r="2212" spans="2:16" x14ac:dyDescent="0.3">
      <c r="B2212" s="120"/>
      <c r="C2212" s="430"/>
      <c r="D2212" s="429"/>
      <c r="E2212" s="114"/>
      <c r="F2212" s="83"/>
      <c r="G2212" s="74"/>
      <c r="I2212" s="115">
        <f>IF(C2212=0,0,VLOOKUP(C2212,Tabla1[],3,FALSE))</f>
        <v>0</v>
      </c>
      <c r="K2212" s="84">
        <f t="shared" si="69"/>
        <v>0</v>
      </c>
      <c r="L2212" s="116">
        <f t="shared" si="68"/>
        <v>0</v>
      </c>
      <c r="O2212" s="48"/>
      <c r="P2212" s="49"/>
    </row>
    <row r="2213" spans="2:16" ht="17.25" thickBot="1" x14ac:dyDescent="0.35"/>
    <row r="2214" spans="2:16" ht="17.25" thickBot="1" x14ac:dyDescent="0.3">
      <c r="F2214" s="402" t="s">
        <v>9</v>
      </c>
      <c r="G2214" s="403"/>
      <c r="H2214" s="403"/>
      <c r="I2214" s="404"/>
      <c r="K2214" s="224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413" t="s">
        <v>11</v>
      </c>
      <c r="D2216" s="413"/>
      <c r="E2216" s="413"/>
      <c r="F2216" s="413"/>
      <c r="G2216" s="414"/>
    </row>
    <row r="2217" spans="2:16" x14ac:dyDescent="0.3">
      <c r="B2217" s="112" t="s">
        <v>6</v>
      </c>
      <c r="C2217" s="415" t="s">
        <v>1</v>
      </c>
      <c r="D2217" s="416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409"/>
      <c r="D2218" s="409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431"/>
      <c r="D2219" s="432"/>
      <c r="E2219" s="119"/>
      <c r="F2219" s="72"/>
      <c r="G2219" s="74"/>
      <c r="I2219" s="115">
        <f>IF(C2219=0,0,VLOOKUP(C2219,Tabla3[],3,FALSE))</f>
        <v>0</v>
      </c>
      <c r="K2219" s="84">
        <f>+F2219*I2219</f>
        <v>0</v>
      </c>
      <c r="L2219" s="116">
        <f>E2219*I2219</f>
        <v>0</v>
      </c>
    </row>
    <row r="2220" spans="2:16" x14ac:dyDescent="0.3">
      <c r="B2220" s="74"/>
      <c r="C2220" s="431"/>
      <c r="D2220" s="432"/>
      <c r="E2220" s="119"/>
      <c r="F2220" s="72"/>
      <c r="G2220" s="74"/>
      <c r="I2220" s="115">
        <f>IF(C2220=0,0,VLOOKUP(C2220,Tabla3[],3,FALSE))</f>
        <v>0</v>
      </c>
      <c r="K2220" s="84">
        <f>+F2220*I2220</f>
        <v>0</v>
      </c>
      <c r="L2220" s="116">
        <f>E2220*I2220</f>
        <v>0</v>
      </c>
    </row>
    <row r="2221" spans="2:16" x14ac:dyDescent="0.3">
      <c r="B2221" s="74"/>
      <c r="C2221" s="411"/>
      <c r="D2221" s="412"/>
      <c r="E2221" s="119"/>
      <c r="F2221" s="72"/>
      <c r="G2221" s="74"/>
      <c r="I2221" s="115">
        <f>IF(C2221=0,0,VLOOKUP(C2221,Tabla3[],3,FALSE))</f>
        <v>0</v>
      </c>
      <c r="K2221" s="84">
        <f>+F2221*I2221</f>
        <v>0</v>
      </c>
      <c r="L2221" s="116">
        <f>E2221*I2221</f>
        <v>0</v>
      </c>
    </row>
    <row r="2222" spans="2:16" ht="17.25" thickBot="1" x14ac:dyDescent="0.35"/>
    <row r="2223" spans="2:16" ht="17.25" thickBot="1" x14ac:dyDescent="0.35">
      <c r="F2223" s="402" t="s">
        <v>12</v>
      </c>
      <c r="G2223" s="403"/>
      <c r="H2223" s="403"/>
      <c r="I2223" s="404"/>
      <c r="K2223" s="224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413" t="s">
        <v>14</v>
      </c>
      <c r="D2225" s="413"/>
      <c r="E2225" s="413"/>
      <c r="F2225" s="413"/>
      <c r="G2225" s="414"/>
    </row>
    <row r="2226" spans="2:12" x14ac:dyDescent="0.3">
      <c r="B2226" s="112" t="s">
        <v>6</v>
      </c>
      <c r="C2226" s="415" t="s">
        <v>1</v>
      </c>
      <c r="D2226" s="416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409" t="s">
        <v>287</v>
      </c>
      <c r="D2227" s="409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409"/>
      <c r="D2228" s="409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417"/>
      <c r="D2229" s="418"/>
      <c r="E2229" s="122"/>
      <c r="F2229" s="123"/>
      <c r="G2229" s="74"/>
      <c r="I2229" s="115">
        <f>IF(C2229=0,0,VLOOKUP(C2229,Tabla2[],3,FALSE))</f>
        <v>0</v>
      </c>
      <c r="K2229" s="84">
        <f>+F2229*I2229</f>
        <v>0</v>
      </c>
      <c r="L2229" s="116">
        <f>E2229*I2229</f>
        <v>0</v>
      </c>
    </row>
    <row r="2230" spans="2:12" ht="17.25" thickBot="1" x14ac:dyDescent="0.35">
      <c r="B2230" s="419" t="s">
        <v>15</v>
      </c>
      <c r="C2230" s="420"/>
      <c r="D2230" s="420"/>
      <c r="E2230" s="420"/>
      <c r="F2230" s="420"/>
      <c r="G2230" s="421"/>
      <c r="I2230" s="84">
        <v>0</v>
      </c>
      <c r="K2230" s="84">
        <v>0</v>
      </c>
      <c r="L2230" s="116">
        <f>E2230*I2230</f>
        <v>0</v>
      </c>
    </row>
    <row r="2231" spans="2:12" ht="17.25" thickBot="1" x14ac:dyDescent="0.35"/>
    <row r="2232" spans="2:12" ht="17.25" thickBot="1" x14ac:dyDescent="0.35">
      <c r="F2232" s="402" t="s">
        <v>16</v>
      </c>
      <c r="G2232" s="403"/>
      <c r="H2232" s="403"/>
      <c r="I2232" s="404"/>
      <c r="K2232" s="224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413" t="s">
        <v>18</v>
      </c>
      <c r="D2234" s="413"/>
      <c r="E2234" s="413"/>
      <c r="F2234" s="413"/>
      <c r="G2234" s="414"/>
    </row>
    <row r="2235" spans="2:12" x14ac:dyDescent="0.3">
      <c r="B2235" s="112" t="s">
        <v>6</v>
      </c>
      <c r="C2235" s="415" t="s">
        <v>1</v>
      </c>
      <c r="D2235" s="416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411"/>
      <c r="D2236" s="412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411"/>
      <c r="D2237" s="412"/>
      <c r="E2237" s="125"/>
      <c r="F2237" s="72"/>
      <c r="G2237" s="74"/>
      <c r="I2237" s="84">
        <v>0</v>
      </c>
      <c r="K2237" s="84">
        <f>+F2237*I2237</f>
        <v>0</v>
      </c>
      <c r="L2237" s="116">
        <f>E2237*I2237</f>
        <v>0</v>
      </c>
    </row>
    <row r="2238" spans="2:12" x14ac:dyDescent="0.3">
      <c r="B2238" s="74"/>
      <c r="C2238" s="411"/>
      <c r="D2238" s="412"/>
      <c r="E2238" s="125"/>
      <c r="F2238" s="72"/>
      <c r="G2238" s="74"/>
      <c r="I2238" s="84">
        <v>0</v>
      </c>
      <c r="K2238" s="84">
        <f>+F2238*I2238</f>
        <v>0</v>
      </c>
      <c r="L2238" s="116">
        <f>E2238*I2238</f>
        <v>0</v>
      </c>
    </row>
    <row r="2239" spans="2:12" ht="17.25" thickBot="1" x14ac:dyDescent="0.35">
      <c r="L2239" s="116"/>
    </row>
    <row r="2240" spans="2:12" ht="17.25" thickBot="1" x14ac:dyDescent="0.35">
      <c r="F2240" s="402" t="s">
        <v>19</v>
      </c>
      <c r="G2240" s="403"/>
      <c r="H2240" s="403"/>
      <c r="I2240" s="404"/>
      <c r="K2240" s="224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127"/>
      <c r="H2241" s="128"/>
      <c r="I2241" s="106"/>
      <c r="K2241" s="225"/>
    </row>
    <row r="2242" spans="1:16" ht="15" customHeight="1" thickBot="1" x14ac:dyDescent="0.35"/>
    <row r="2243" spans="1:16" ht="17.25" thickBot="1" x14ac:dyDescent="0.35">
      <c r="F2243" s="402" t="s">
        <v>20</v>
      </c>
      <c r="G2243" s="403"/>
      <c r="H2243" s="403"/>
      <c r="I2243" s="404"/>
      <c r="K2243" s="224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402" t="s">
        <v>21</v>
      </c>
      <c r="G2245" s="403"/>
      <c r="H2245" s="403"/>
      <c r="I2245" s="404"/>
      <c r="K2245" s="224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402" t="s">
        <v>22</v>
      </c>
      <c r="G2247" s="403"/>
      <c r="H2247" s="403"/>
      <c r="I2247" s="404"/>
      <c r="K2247" s="224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127"/>
      <c r="H2248" s="128"/>
      <c r="I2248" s="106"/>
      <c r="K2248" s="226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127"/>
      <c r="H2249" s="128"/>
      <c r="I2249" s="106"/>
      <c r="K2249" s="227"/>
      <c r="L2249" s="129"/>
      <c r="M2249" s="132"/>
      <c r="N2249" s="133"/>
    </row>
    <row r="2250" spans="1:16" ht="17.25" thickBot="1" x14ac:dyDescent="0.35">
      <c r="B2250" s="405"/>
      <c r="C2250" s="405"/>
      <c r="D2250" s="405"/>
    </row>
    <row r="2251" spans="1:16" x14ac:dyDescent="0.3">
      <c r="B2251" s="406" t="s">
        <v>23</v>
      </c>
      <c r="C2251" s="406"/>
      <c r="D2251" s="406"/>
    </row>
    <row r="2252" spans="1:16" x14ac:dyDescent="0.3">
      <c r="B2252" s="155"/>
      <c r="C2252" s="155"/>
      <c r="D2252" s="155"/>
    </row>
    <row r="2253" spans="1:16" x14ac:dyDescent="0.3">
      <c r="B2253" s="155"/>
      <c r="C2253" s="155"/>
      <c r="D2253" s="155"/>
    </row>
    <row r="2254" spans="1:16" x14ac:dyDescent="0.3">
      <c r="B2254" s="103" t="s">
        <v>43</v>
      </c>
      <c r="C2254" s="104"/>
      <c r="D2254" s="422" t="s">
        <v>1</v>
      </c>
      <c r="E2254" s="422"/>
      <c r="F2254" s="422"/>
      <c r="G2254" s="422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09">
        <f>CATALOGO!B71</f>
        <v>904.01</v>
      </c>
      <c r="C2255" s="71"/>
      <c r="D2255" s="437" t="str">
        <f>CATALOGO!C71</f>
        <v>TUBERÍA PVC Ø 2", 160 PSI (INLCUYE ACCESORIOS)</v>
      </c>
      <c r="E2255" s="437"/>
      <c r="F2255" s="437"/>
      <c r="G2255" s="437"/>
      <c r="H2255" s="71"/>
      <c r="I2255" s="209">
        <f>CATALOGO!D71</f>
        <v>1.5</v>
      </c>
      <c r="J2255" s="107"/>
      <c r="K2255" s="222" t="str">
        <f>CATALOGO!G71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413" t="s">
        <v>5</v>
      </c>
      <c r="D2257" s="413"/>
      <c r="E2257" s="413"/>
      <c r="F2257" s="413"/>
      <c r="G2257" s="414"/>
    </row>
    <row r="2258" spans="2:16" x14ac:dyDescent="0.25">
      <c r="B2258" s="109" t="s">
        <v>6</v>
      </c>
      <c r="C2258" s="424" t="s">
        <v>1</v>
      </c>
      <c r="D2258" s="425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3" t="s">
        <v>8</v>
      </c>
      <c r="L2258" s="113" t="s">
        <v>193</v>
      </c>
      <c r="O2258" s="438"/>
      <c r="P2258" s="438"/>
    </row>
    <row r="2259" spans="2:16" ht="17.25" customHeight="1" x14ac:dyDescent="0.25">
      <c r="B2259" s="120">
        <v>1</v>
      </c>
      <c r="C2259" s="428" t="s">
        <v>147</v>
      </c>
      <c r="D2259" s="429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70">E2259*I2259</f>
        <v>73.5</v>
      </c>
      <c r="O2259" s="44"/>
      <c r="P2259" s="45"/>
    </row>
    <row r="2260" spans="2:16" x14ac:dyDescent="0.3">
      <c r="B2260" s="120">
        <v>2</v>
      </c>
      <c r="C2260" s="428" t="s">
        <v>303</v>
      </c>
      <c r="D2260" s="429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71">+F2260*I2260</f>
        <v>3</v>
      </c>
      <c r="L2260" s="116">
        <f t="shared" si="70"/>
        <v>4.5000000000000009</v>
      </c>
      <c r="P2260" s="45"/>
    </row>
    <row r="2261" spans="2:16" x14ac:dyDescent="0.3">
      <c r="B2261" s="120">
        <v>3</v>
      </c>
      <c r="C2261" s="428" t="s">
        <v>129</v>
      </c>
      <c r="D2261" s="429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71"/>
        <v>8</v>
      </c>
      <c r="L2261" s="116">
        <f t="shared" si="70"/>
        <v>12</v>
      </c>
      <c r="O2261" s="48"/>
      <c r="P2261" s="49"/>
    </row>
    <row r="2262" spans="2:16" x14ac:dyDescent="0.3">
      <c r="B2262" s="120"/>
      <c r="C2262" s="206"/>
      <c r="D2262" s="205"/>
      <c r="E2262" s="114"/>
      <c r="F2262" s="83"/>
      <c r="G2262" s="74"/>
      <c r="I2262" s="115">
        <f>IF(C2262=0,0,VLOOKUP(C2262,Tabla1[],3,FALSE))</f>
        <v>0</v>
      </c>
      <c r="K2262" s="84">
        <f t="shared" si="71"/>
        <v>0</v>
      </c>
      <c r="L2262" s="116">
        <f t="shared" si="70"/>
        <v>0</v>
      </c>
      <c r="O2262" s="48"/>
      <c r="P2262" s="49"/>
    </row>
    <row r="2263" spans="2:16" x14ac:dyDescent="0.3">
      <c r="B2263" s="120"/>
      <c r="C2263" s="206"/>
      <c r="D2263" s="205"/>
      <c r="E2263" s="114"/>
      <c r="F2263" s="83"/>
      <c r="G2263" s="74"/>
      <c r="I2263" s="115">
        <f>IF(C2263=0,0,VLOOKUP(C2263,Tabla1[],3,FALSE))</f>
        <v>0</v>
      </c>
      <c r="K2263" s="84">
        <f t="shared" si="71"/>
        <v>0</v>
      </c>
      <c r="L2263" s="116">
        <f t="shared" si="70"/>
        <v>0</v>
      </c>
      <c r="O2263" s="48"/>
      <c r="P2263" s="49"/>
    </row>
    <row r="2264" spans="2:16" x14ac:dyDescent="0.3">
      <c r="B2264" s="120"/>
      <c r="C2264" s="206"/>
      <c r="D2264" s="205"/>
      <c r="E2264" s="114"/>
      <c r="F2264" s="83"/>
      <c r="G2264" s="74"/>
      <c r="I2264" s="115">
        <f>IF(C2264=0,0,VLOOKUP(C2264,Tabla1[],3,FALSE))</f>
        <v>0</v>
      </c>
      <c r="K2264" s="84">
        <f t="shared" si="71"/>
        <v>0</v>
      </c>
      <c r="L2264" s="116">
        <f t="shared" si="70"/>
        <v>0</v>
      </c>
      <c r="O2264" s="48"/>
      <c r="P2264" s="49"/>
    </row>
    <row r="2265" spans="2:16" x14ac:dyDescent="0.3">
      <c r="B2265" s="120"/>
      <c r="C2265" s="428"/>
      <c r="D2265" s="429"/>
      <c r="E2265" s="114"/>
      <c r="F2265" s="83"/>
      <c r="G2265" s="74"/>
      <c r="I2265" s="115">
        <f>IF(C2265=0,0,VLOOKUP(C2265,Tabla1[],3,FALSE))</f>
        <v>0</v>
      </c>
      <c r="K2265" s="84">
        <f t="shared" si="71"/>
        <v>0</v>
      </c>
      <c r="L2265" s="116">
        <f t="shared" si="70"/>
        <v>0</v>
      </c>
      <c r="O2265" s="48"/>
      <c r="P2265" s="49"/>
    </row>
    <row r="2266" spans="2:16" x14ac:dyDescent="0.3">
      <c r="B2266" s="120"/>
      <c r="C2266" s="428"/>
      <c r="D2266" s="429"/>
      <c r="E2266" s="114"/>
      <c r="F2266" s="83"/>
      <c r="G2266" s="74"/>
      <c r="I2266" s="115">
        <f>IF(C2266=0,0,VLOOKUP(C2266,Tabla1[],3,FALSE))</f>
        <v>0</v>
      </c>
      <c r="K2266" s="84">
        <f t="shared" si="71"/>
        <v>0</v>
      </c>
      <c r="L2266" s="116">
        <f t="shared" si="70"/>
        <v>0</v>
      </c>
      <c r="O2266" s="48"/>
      <c r="P2266" s="49"/>
    </row>
    <row r="2267" spans="2:16" x14ac:dyDescent="0.3">
      <c r="B2267" s="120"/>
      <c r="C2267" s="431"/>
      <c r="D2267" s="432"/>
      <c r="E2267" s="114"/>
      <c r="F2267" s="83"/>
      <c r="G2267" s="74"/>
      <c r="I2267" s="115">
        <f>IF(C2267=0,0,VLOOKUP(C2267,Tabla1[],3,FALSE))</f>
        <v>0</v>
      </c>
      <c r="K2267" s="84">
        <f t="shared" si="71"/>
        <v>0</v>
      </c>
      <c r="L2267" s="116">
        <f t="shared" si="70"/>
        <v>0</v>
      </c>
      <c r="O2267" s="48"/>
      <c r="P2267" s="49"/>
    </row>
    <row r="2268" spans="2:16" x14ac:dyDescent="0.3">
      <c r="B2268" s="120"/>
      <c r="C2268" s="430"/>
      <c r="D2268" s="429"/>
      <c r="E2268" s="114"/>
      <c r="F2268" s="83"/>
      <c r="G2268" s="74"/>
      <c r="I2268" s="115">
        <f>IF(C2268=0,0,VLOOKUP(C2268,Tabla1[],3,FALSE))</f>
        <v>0</v>
      </c>
      <c r="K2268" s="84">
        <f t="shared" si="71"/>
        <v>0</v>
      </c>
      <c r="L2268" s="116">
        <f t="shared" si="70"/>
        <v>0</v>
      </c>
      <c r="O2268" s="48"/>
      <c r="P2268" s="49"/>
    </row>
    <row r="2269" spans="2:16" ht="17.25" thickBot="1" x14ac:dyDescent="0.35"/>
    <row r="2270" spans="2:16" ht="17.25" thickBot="1" x14ac:dyDescent="0.3">
      <c r="F2270" s="402" t="s">
        <v>9</v>
      </c>
      <c r="G2270" s="403"/>
      <c r="H2270" s="403"/>
      <c r="I2270" s="404"/>
      <c r="K2270" s="224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413" t="s">
        <v>11</v>
      </c>
      <c r="D2272" s="413"/>
      <c r="E2272" s="413"/>
      <c r="F2272" s="413"/>
      <c r="G2272" s="414"/>
    </row>
    <row r="2273" spans="2:12" x14ac:dyDescent="0.3">
      <c r="B2273" s="112" t="s">
        <v>6</v>
      </c>
      <c r="C2273" s="415" t="s">
        <v>1</v>
      </c>
      <c r="D2273" s="416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409"/>
      <c r="D2274" s="409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431"/>
      <c r="D2275" s="432"/>
      <c r="E2275" s="119"/>
      <c r="F2275" s="72"/>
      <c r="G2275" s="74"/>
      <c r="I2275" s="115">
        <f>IF(C2275=0,0,VLOOKUP(C2275,Tabla3[],3,FALSE))</f>
        <v>0</v>
      </c>
      <c r="K2275" s="84">
        <f>+F2275*I2275</f>
        <v>0</v>
      </c>
      <c r="L2275" s="116">
        <f>E2275*I2275</f>
        <v>0</v>
      </c>
    </row>
    <row r="2276" spans="2:12" x14ac:dyDescent="0.3">
      <c r="B2276" s="74"/>
      <c r="C2276" s="431"/>
      <c r="D2276" s="432"/>
      <c r="E2276" s="119"/>
      <c r="F2276" s="72"/>
      <c r="G2276" s="74"/>
      <c r="I2276" s="115">
        <f>IF(C2276=0,0,VLOOKUP(C2276,Tabla3[],3,FALSE))</f>
        <v>0</v>
      </c>
      <c r="K2276" s="84">
        <f>+F2276*I2276</f>
        <v>0</v>
      </c>
      <c r="L2276" s="116">
        <f>E2276*I2276</f>
        <v>0</v>
      </c>
    </row>
    <row r="2277" spans="2:12" x14ac:dyDescent="0.3">
      <c r="B2277" s="74"/>
      <c r="C2277" s="411"/>
      <c r="D2277" s="412"/>
      <c r="E2277" s="119"/>
      <c r="F2277" s="72"/>
      <c r="G2277" s="74"/>
      <c r="I2277" s="115">
        <f>IF(C2277=0,0,VLOOKUP(C2277,Tabla3[],3,FALSE))</f>
        <v>0</v>
      </c>
      <c r="K2277" s="84">
        <f>+F2277*I2277</f>
        <v>0</v>
      </c>
      <c r="L2277" s="116">
        <f>E2277*I2277</f>
        <v>0</v>
      </c>
    </row>
    <row r="2278" spans="2:12" ht="17.25" thickBot="1" x14ac:dyDescent="0.35"/>
    <row r="2279" spans="2:12" ht="17.25" thickBot="1" x14ac:dyDescent="0.35">
      <c r="F2279" s="402" t="s">
        <v>12</v>
      </c>
      <c r="G2279" s="403"/>
      <c r="H2279" s="403"/>
      <c r="I2279" s="404"/>
      <c r="K2279" s="224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413" t="s">
        <v>14</v>
      </c>
      <c r="D2281" s="413"/>
      <c r="E2281" s="413"/>
      <c r="F2281" s="413"/>
      <c r="G2281" s="414"/>
    </row>
    <row r="2282" spans="2:12" x14ac:dyDescent="0.3">
      <c r="B2282" s="112" t="s">
        <v>6</v>
      </c>
      <c r="C2282" s="415" t="s">
        <v>1</v>
      </c>
      <c r="D2282" s="416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409" t="s">
        <v>299</v>
      </c>
      <c r="D2283" s="409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409"/>
      <c r="D2284" s="409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417"/>
      <c r="D2285" s="418"/>
      <c r="E2285" s="122"/>
      <c r="F2285" s="123"/>
      <c r="G2285" s="74"/>
      <c r="I2285" s="115">
        <f>IF(C2285=0,0,VLOOKUP(C2285,Tabla2[],3,FALSE))</f>
        <v>0</v>
      </c>
      <c r="K2285" s="84">
        <f>+F2285*I2285</f>
        <v>0</v>
      </c>
      <c r="L2285" s="116">
        <f>E2285*I2285</f>
        <v>0</v>
      </c>
    </row>
    <row r="2286" spans="2:12" ht="17.25" thickBot="1" x14ac:dyDescent="0.35">
      <c r="B2286" s="419" t="s">
        <v>15</v>
      </c>
      <c r="C2286" s="420"/>
      <c r="D2286" s="420"/>
      <c r="E2286" s="420"/>
      <c r="F2286" s="420"/>
      <c r="G2286" s="421"/>
      <c r="I2286" s="84">
        <v>0</v>
      </c>
      <c r="K2286" s="84">
        <v>0</v>
      </c>
      <c r="L2286" s="116">
        <f>E2286*I2286</f>
        <v>0</v>
      </c>
    </row>
    <row r="2287" spans="2:12" ht="17.25" thickBot="1" x14ac:dyDescent="0.35"/>
    <row r="2288" spans="2:12" ht="17.25" thickBot="1" x14ac:dyDescent="0.35">
      <c r="F2288" s="402" t="s">
        <v>16</v>
      </c>
      <c r="G2288" s="403"/>
      <c r="H2288" s="403"/>
      <c r="I2288" s="404"/>
      <c r="K2288" s="224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413" t="s">
        <v>18</v>
      </c>
      <c r="D2290" s="413"/>
      <c r="E2290" s="413"/>
      <c r="F2290" s="413"/>
      <c r="G2290" s="414"/>
    </row>
    <row r="2291" spans="2:16" x14ac:dyDescent="0.3">
      <c r="B2291" s="112" t="s">
        <v>6</v>
      </c>
      <c r="C2291" s="415" t="s">
        <v>1</v>
      </c>
      <c r="D2291" s="416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411"/>
      <c r="D2292" s="412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411"/>
      <c r="D2293" s="412"/>
      <c r="E2293" s="125"/>
      <c r="F2293" s="72"/>
      <c r="G2293" s="74"/>
      <c r="I2293" s="84">
        <v>0</v>
      </c>
      <c r="K2293" s="84">
        <f>+F2293*I2293</f>
        <v>0</v>
      </c>
      <c r="L2293" s="116">
        <f>E2293*I2293</f>
        <v>0</v>
      </c>
    </row>
    <row r="2294" spans="2:16" x14ac:dyDescent="0.3">
      <c r="B2294" s="74"/>
      <c r="C2294" s="411"/>
      <c r="D2294" s="412"/>
      <c r="E2294" s="125"/>
      <c r="F2294" s="72"/>
      <c r="G2294" s="74"/>
      <c r="I2294" s="84">
        <v>0</v>
      </c>
      <c r="K2294" s="84">
        <f>+F2294*I2294</f>
        <v>0</v>
      </c>
      <c r="L2294" s="116">
        <f>E2294*I2294</f>
        <v>0</v>
      </c>
    </row>
    <row r="2295" spans="2:16" ht="17.25" thickBot="1" x14ac:dyDescent="0.35">
      <c r="L2295" s="116"/>
    </row>
    <row r="2296" spans="2:16" ht="17.25" thickBot="1" x14ac:dyDescent="0.35">
      <c r="F2296" s="402" t="s">
        <v>19</v>
      </c>
      <c r="G2296" s="403"/>
      <c r="H2296" s="403"/>
      <c r="I2296" s="404"/>
      <c r="K2296" s="224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127"/>
      <c r="H2297" s="128"/>
      <c r="I2297" s="106"/>
      <c r="K2297" s="225"/>
    </row>
    <row r="2298" spans="2:16" ht="15" customHeight="1" thickBot="1" x14ac:dyDescent="0.35"/>
    <row r="2299" spans="2:16" ht="17.25" thickBot="1" x14ac:dyDescent="0.35">
      <c r="F2299" s="402" t="s">
        <v>20</v>
      </c>
      <c r="G2299" s="403"/>
      <c r="H2299" s="403"/>
      <c r="I2299" s="404"/>
      <c r="K2299" s="224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402" t="s">
        <v>21</v>
      </c>
      <c r="G2301" s="403"/>
      <c r="H2301" s="403"/>
      <c r="I2301" s="404"/>
      <c r="K2301" s="224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402" t="s">
        <v>22</v>
      </c>
      <c r="G2303" s="403"/>
      <c r="H2303" s="403"/>
      <c r="I2303" s="404"/>
      <c r="K2303" s="224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127"/>
      <c r="H2304" s="128"/>
      <c r="I2304" s="106"/>
      <c r="K2304" s="226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127"/>
      <c r="H2305" s="128"/>
      <c r="I2305" s="106"/>
      <c r="K2305" s="227"/>
      <c r="L2305" s="129"/>
      <c r="M2305" s="132"/>
      <c r="N2305" s="133"/>
    </row>
    <row r="2306" spans="1:16" ht="17.25" thickBot="1" x14ac:dyDescent="0.35">
      <c r="B2306" s="405"/>
      <c r="C2306" s="405"/>
      <c r="D2306" s="405"/>
    </row>
    <row r="2307" spans="1:16" x14ac:dyDescent="0.3">
      <c r="B2307" s="406" t="s">
        <v>23</v>
      </c>
      <c r="C2307" s="406"/>
      <c r="D2307" s="406"/>
    </row>
    <row r="2308" spans="1:16" x14ac:dyDescent="0.3">
      <c r="B2308" s="155"/>
      <c r="C2308" s="155"/>
      <c r="D2308" s="155"/>
    </row>
    <row r="2309" spans="1:16" x14ac:dyDescent="0.3">
      <c r="B2309" s="155"/>
      <c r="C2309" s="155"/>
      <c r="D2309" s="155"/>
    </row>
    <row r="2310" spans="1:16" x14ac:dyDescent="0.3">
      <c r="B2310" s="103" t="s">
        <v>43</v>
      </c>
      <c r="C2310" s="104"/>
      <c r="D2310" s="422" t="s">
        <v>1</v>
      </c>
      <c r="E2310" s="422"/>
      <c r="F2310" s="422"/>
      <c r="G2310" s="422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09">
        <f>CATALOGO!B72</f>
        <v>904.02</v>
      </c>
      <c r="C2311" s="71"/>
      <c r="D2311" s="437" t="str">
        <f>CATALOGO!C72</f>
        <v>TUBERÍA PVC Ø 3", 160 PSI (INLCUYE ACCESORIOS)</v>
      </c>
      <c r="E2311" s="437"/>
      <c r="F2311" s="437"/>
      <c r="G2311" s="437"/>
      <c r="H2311" s="71"/>
      <c r="I2311" s="209">
        <f>CATALOGO!D72</f>
        <v>4.6100000000000003</v>
      </c>
      <c r="J2311" s="107"/>
      <c r="K2311" s="222" t="str">
        <f>CATALOGO!G72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413" t="s">
        <v>5</v>
      </c>
      <c r="D2313" s="413"/>
      <c r="E2313" s="413"/>
      <c r="F2313" s="413"/>
      <c r="G2313" s="414"/>
    </row>
    <row r="2314" spans="1:16" x14ac:dyDescent="0.25">
      <c r="B2314" s="109" t="s">
        <v>6</v>
      </c>
      <c r="C2314" s="424" t="s">
        <v>1</v>
      </c>
      <c r="D2314" s="425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3" t="s">
        <v>8</v>
      </c>
      <c r="L2314" s="113" t="s">
        <v>193</v>
      </c>
      <c r="O2314" s="438"/>
      <c r="P2314" s="438"/>
    </row>
    <row r="2315" spans="1:16" ht="17.25" customHeight="1" x14ac:dyDescent="0.25">
      <c r="B2315" s="120">
        <v>1</v>
      </c>
      <c r="C2315" s="428" t="s">
        <v>587</v>
      </c>
      <c r="D2315" s="429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>E2315*I2315</f>
        <v>350.36000000000007</v>
      </c>
      <c r="O2315" s="44"/>
      <c r="P2315" s="45"/>
    </row>
    <row r="2316" spans="1:16" x14ac:dyDescent="0.3">
      <c r="B2316" s="120">
        <v>2</v>
      </c>
      <c r="C2316" s="428" t="s">
        <v>586</v>
      </c>
      <c r="D2316" s="429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>+F2316*I2316</f>
        <v>12</v>
      </c>
      <c r="L2316" s="116">
        <f>E2316*I2316</f>
        <v>55.320000000000007</v>
      </c>
      <c r="P2316" s="45"/>
    </row>
    <row r="2317" spans="1:16" x14ac:dyDescent="0.3">
      <c r="B2317" s="120">
        <v>3</v>
      </c>
      <c r="C2317" s="428" t="s">
        <v>129</v>
      </c>
      <c r="D2317" s="429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>+F2317*I2317</f>
        <v>12</v>
      </c>
      <c r="L2317" s="116">
        <f>E2317*I2317</f>
        <v>55.32</v>
      </c>
      <c r="O2317" s="48"/>
      <c r="P2317" s="49"/>
    </row>
    <row r="2318" spans="1:16" x14ac:dyDescent="0.3">
      <c r="B2318" s="120"/>
      <c r="C2318" s="206"/>
      <c r="D2318" s="205"/>
      <c r="E2318" s="114"/>
      <c r="F2318" s="83"/>
      <c r="G2318" s="74"/>
      <c r="I2318" s="115">
        <f>IF(C2318=0,0,VLOOKUP(C2318,Tabla1[],3,FALSE))</f>
        <v>0</v>
      </c>
      <c r="K2318" s="84">
        <f>+F2318*I2318</f>
        <v>0</v>
      </c>
      <c r="L2318" s="116">
        <f>E2318*I2318</f>
        <v>0</v>
      </c>
      <c r="O2318" s="48"/>
      <c r="P2318" s="49"/>
    </row>
    <row r="2319" spans="1:16" x14ac:dyDescent="0.3">
      <c r="B2319" s="120"/>
      <c r="C2319" s="206"/>
      <c r="D2319" s="205"/>
      <c r="E2319" s="114"/>
      <c r="F2319" s="83"/>
      <c r="G2319" s="74"/>
      <c r="I2319" s="115">
        <f>IF(C2319=0,0,VLOOKUP(C2319,Tabla1[],3,FALSE))</f>
        <v>0</v>
      </c>
      <c r="K2319" s="84">
        <f>+F2319*I2319</f>
        <v>0</v>
      </c>
      <c r="L2319" s="116">
        <f>E2319*I2319</f>
        <v>0</v>
      </c>
      <c r="O2319" s="48"/>
      <c r="P2319" s="49"/>
    </row>
    <row r="2320" spans="1:16" ht="17.25" thickBot="1" x14ac:dyDescent="0.35"/>
    <row r="2321" spans="2:16" ht="17.25" thickBot="1" x14ac:dyDescent="0.3">
      <c r="F2321" s="402" t="s">
        <v>9</v>
      </c>
      <c r="G2321" s="403"/>
      <c r="H2321" s="403"/>
      <c r="I2321" s="404"/>
      <c r="K2321" s="224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413" t="s">
        <v>11</v>
      </c>
      <c r="D2323" s="413"/>
      <c r="E2323" s="413"/>
      <c r="F2323" s="413"/>
      <c r="G2323" s="414"/>
    </row>
    <row r="2324" spans="2:16" x14ac:dyDescent="0.3">
      <c r="B2324" s="112" t="s">
        <v>6</v>
      </c>
      <c r="C2324" s="415" t="s">
        <v>1</v>
      </c>
      <c r="D2324" s="416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409"/>
      <c r="D2325" s="409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431"/>
      <c r="D2326" s="432"/>
      <c r="E2326" s="119"/>
      <c r="F2326" s="72"/>
      <c r="G2326" s="74"/>
      <c r="I2326" s="115">
        <f>IF(C2326=0,0,VLOOKUP(C2326,Tabla3[],3,FALSE))</f>
        <v>0</v>
      </c>
      <c r="K2326" s="84">
        <f>+F2326*I2326</f>
        <v>0</v>
      </c>
      <c r="L2326" s="116">
        <f>E2326*I2326</f>
        <v>0</v>
      </c>
    </row>
    <row r="2327" spans="2:16" x14ac:dyDescent="0.3">
      <c r="B2327" s="74"/>
      <c r="C2327" s="431"/>
      <c r="D2327" s="432"/>
      <c r="E2327" s="119"/>
      <c r="F2327" s="72"/>
      <c r="G2327" s="74"/>
      <c r="I2327" s="115">
        <f>IF(C2327=0,0,VLOOKUP(C2327,Tabla3[],3,FALSE))</f>
        <v>0</v>
      </c>
      <c r="K2327" s="84">
        <f>+F2327*I2327</f>
        <v>0</v>
      </c>
      <c r="L2327" s="116">
        <f>E2327*I2327</f>
        <v>0</v>
      </c>
    </row>
    <row r="2328" spans="2:16" x14ac:dyDescent="0.3">
      <c r="B2328" s="74"/>
      <c r="C2328" s="411"/>
      <c r="D2328" s="412"/>
      <c r="E2328" s="119"/>
      <c r="F2328" s="72"/>
      <c r="G2328" s="74"/>
      <c r="I2328" s="115">
        <f>IF(C2328=0,0,VLOOKUP(C2328,Tabla3[],3,FALSE))</f>
        <v>0</v>
      </c>
      <c r="K2328" s="84">
        <f>+F2328*I2328</f>
        <v>0</v>
      </c>
      <c r="L2328" s="116">
        <f>E2328*I2328</f>
        <v>0</v>
      </c>
    </row>
    <row r="2329" spans="2:16" ht="17.25" thickBot="1" x14ac:dyDescent="0.35"/>
    <row r="2330" spans="2:16" ht="17.25" thickBot="1" x14ac:dyDescent="0.35">
      <c r="F2330" s="402" t="s">
        <v>12</v>
      </c>
      <c r="G2330" s="403"/>
      <c r="H2330" s="403"/>
      <c r="I2330" s="404"/>
      <c r="K2330" s="224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413" t="s">
        <v>14</v>
      </c>
      <c r="D2332" s="413"/>
      <c r="E2332" s="413"/>
      <c r="F2332" s="413"/>
      <c r="G2332" s="414"/>
    </row>
    <row r="2333" spans="2:16" x14ac:dyDescent="0.3">
      <c r="B2333" s="112" t="s">
        <v>6</v>
      </c>
      <c r="C2333" s="415" t="s">
        <v>1</v>
      </c>
      <c r="D2333" s="416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409" t="s">
        <v>304</v>
      </c>
      <c r="D2334" s="409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409"/>
      <c r="D2335" s="409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417"/>
      <c r="D2336" s="418"/>
      <c r="E2336" s="122"/>
      <c r="F2336" s="123"/>
      <c r="G2336" s="74"/>
      <c r="I2336" s="115">
        <f>IF(C2336=0,0,VLOOKUP(C2336,Tabla2[],3,FALSE))</f>
        <v>0</v>
      </c>
      <c r="K2336" s="84">
        <f>+F2336*I2336</f>
        <v>0</v>
      </c>
      <c r="L2336" s="116">
        <f>E2336*I2336</f>
        <v>0</v>
      </c>
    </row>
    <row r="2337" spans="2:16" ht="17.25" thickBot="1" x14ac:dyDescent="0.35">
      <c r="B2337" s="419" t="s">
        <v>15</v>
      </c>
      <c r="C2337" s="420"/>
      <c r="D2337" s="420"/>
      <c r="E2337" s="420"/>
      <c r="F2337" s="420"/>
      <c r="G2337" s="421"/>
      <c r="I2337" s="84">
        <v>0</v>
      </c>
      <c r="K2337" s="84">
        <v>0</v>
      </c>
      <c r="L2337" s="116">
        <f>E2337*I2337</f>
        <v>0</v>
      </c>
    </row>
    <row r="2338" spans="2:16" ht="17.25" thickBot="1" x14ac:dyDescent="0.35"/>
    <row r="2339" spans="2:16" ht="17.25" thickBot="1" x14ac:dyDescent="0.35">
      <c r="F2339" s="402" t="s">
        <v>16</v>
      </c>
      <c r="G2339" s="403"/>
      <c r="H2339" s="403"/>
      <c r="I2339" s="404"/>
      <c r="K2339" s="224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413" t="s">
        <v>18</v>
      </c>
      <c r="D2341" s="413"/>
      <c r="E2341" s="413"/>
      <c r="F2341" s="413"/>
      <c r="G2341" s="414"/>
    </row>
    <row r="2342" spans="2:16" x14ac:dyDescent="0.3">
      <c r="B2342" s="112" t="s">
        <v>6</v>
      </c>
      <c r="C2342" s="415" t="s">
        <v>1</v>
      </c>
      <c r="D2342" s="416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411"/>
      <c r="D2343" s="412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411"/>
      <c r="D2344" s="412"/>
      <c r="E2344" s="125"/>
      <c r="F2344" s="72"/>
      <c r="G2344" s="74"/>
      <c r="I2344" s="84">
        <v>0</v>
      </c>
      <c r="K2344" s="84">
        <f>+F2344*I2344</f>
        <v>0</v>
      </c>
      <c r="L2344" s="116">
        <f>E2344*I2344</f>
        <v>0</v>
      </c>
    </row>
    <row r="2345" spans="2:16" x14ac:dyDescent="0.3">
      <c r="B2345" s="74"/>
      <c r="C2345" s="411"/>
      <c r="D2345" s="412"/>
      <c r="E2345" s="125"/>
      <c r="F2345" s="72"/>
      <c r="G2345" s="74"/>
      <c r="I2345" s="84">
        <v>0</v>
      </c>
      <c r="K2345" s="84">
        <f>+F2345*I2345</f>
        <v>0</v>
      </c>
      <c r="L2345" s="116">
        <f>E2345*I2345</f>
        <v>0</v>
      </c>
    </row>
    <row r="2346" spans="2:16" ht="17.25" thickBot="1" x14ac:dyDescent="0.35">
      <c r="L2346" s="116"/>
    </row>
    <row r="2347" spans="2:16" ht="17.25" thickBot="1" x14ac:dyDescent="0.35">
      <c r="F2347" s="402" t="s">
        <v>19</v>
      </c>
      <c r="G2347" s="403"/>
      <c r="H2347" s="403"/>
      <c r="I2347" s="404"/>
      <c r="K2347" s="224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127"/>
      <c r="H2348" s="128"/>
      <c r="I2348" s="106"/>
      <c r="K2348" s="225"/>
    </row>
    <row r="2349" spans="2:16" ht="15" customHeight="1" thickBot="1" x14ac:dyDescent="0.35"/>
    <row r="2350" spans="2:16" ht="17.25" thickBot="1" x14ac:dyDescent="0.35">
      <c r="F2350" s="402" t="s">
        <v>20</v>
      </c>
      <c r="G2350" s="403"/>
      <c r="H2350" s="403"/>
      <c r="I2350" s="404"/>
      <c r="K2350" s="224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402" t="s">
        <v>21</v>
      </c>
      <c r="G2352" s="403"/>
      <c r="H2352" s="403"/>
      <c r="I2352" s="404"/>
      <c r="K2352" s="224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402" t="s">
        <v>22</v>
      </c>
      <c r="G2354" s="403"/>
      <c r="H2354" s="403"/>
      <c r="I2354" s="404"/>
      <c r="K2354" s="224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127"/>
      <c r="H2355" s="128"/>
      <c r="I2355" s="106"/>
      <c r="K2355" s="226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127"/>
      <c r="H2356" s="128"/>
      <c r="I2356" s="106"/>
      <c r="K2356" s="227"/>
      <c r="L2356" s="129"/>
      <c r="M2356" s="132"/>
      <c r="N2356" s="133"/>
    </row>
    <row r="2357" spans="1:16" ht="17.25" thickBot="1" x14ac:dyDescent="0.35">
      <c r="B2357" s="405"/>
      <c r="C2357" s="405"/>
      <c r="D2357" s="405"/>
    </row>
    <row r="2358" spans="1:16" x14ac:dyDescent="0.3">
      <c r="B2358" s="406" t="s">
        <v>23</v>
      </c>
      <c r="C2358" s="406"/>
      <c r="D2358" s="406"/>
    </row>
    <row r="2359" spans="1:16" x14ac:dyDescent="0.3">
      <c r="B2359" s="155"/>
      <c r="C2359" s="155"/>
      <c r="D2359" s="155"/>
    </row>
    <row r="2360" spans="1:16" x14ac:dyDescent="0.3">
      <c r="B2360" s="155"/>
      <c r="C2360" s="155"/>
      <c r="D2360" s="155"/>
    </row>
    <row r="2361" spans="1:16" x14ac:dyDescent="0.3">
      <c r="B2361" s="103" t="s">
        <v>43</v>
      </c>
      <c r="C2361" s="104"/>
      <c r="D2361" s="422" t="s">
        <v>1</v>
      </c>
      <c r="E2361" s="422"/>
      <c r="F2361" s="422"/>
      <c r="G2361" s="422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09">
        <f>CATALOGO!B73</f>
        <v>904.03</v>
      </c>
      <c r="C2362" s="71"/>
      <c r="D2362" s="437" t="str">
        <f>CATALOGO!C73</f>
        <v>TUBERÍA PVC Ø 4", 160 PSI (INLCUYE ACCESORIOS)</v>
      </c>
      <c r="E2362" s="437"/>
      <c r="F2362" s="437"/>
      <c r="G2362" s="437"/>
      <c r="H2362" s="71"/>
      <c r="I2362" s="209">
        <f>CATALOGO!D73</f>
        <v>6</v>
      </c>
      <c r="J2362" s="107"/>
      <c r="K2362" s="222" t="str">
        <f>CATALOGO!G73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413" t="s">
        <v>5</v>
      </c>
      <c r="D2364" s="413"/>
      <c r="E2364" s="413"/>
      <c r="F2364" s="413"/>
      <c r="G2364" s="414"/>
    </row>
    <row r="2365" spans="1:16" x14ac:dyDescent="0.25">
      <c r="B2365" s="109" t="s">
        <v>6</v>
      </c>
      <c r="C2365" s="424" t="s">
        <v>1</v>
      </c>
      <c r="D2365" s="425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3" t="s">
        <v>8</v>
      </c>
      <c r="L2365" s="113" t="s">
        <v>193</v>
      </c>
      <c r="O2365" s="438"/>
      <c r="P2365" s="438"/>
    </row>
    <row r="2366" spans="1:16" ht="17.25" customHeight="1" x14ac:dyDescent="0.25">
      <c r="B2366" s="120">
        <v>1</v>
      </c>
      <c r="C2366" s="428" t="s">
        <v>148</v>
      </c>
      <c r="D2366" s="429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>E2366*I2366</f>
        <v>750.00000000000011</v>
      </c>
      <c r="O2366" s="44"/>
      <c r="P2366" s="45"/>
    </row>
    <row r="2367" spans="1:16" x14ac:dyDescent="0.3">
      <c r="B2367" s="120">
        <v>2</v>
      </c>
      <c r="C2367" s="428" t="s">
        <v>305</v>
      </c>
      <c r="D2367" s="429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>+F2367*I2367</f>
        <v>7</v>
      </c>
      <c r="L2367" s="116">
        <f>E2367*I2367</f>
        <v>42.000000000000007</v>
      </c>
      <c r="P2367" s="45"/>
    </row>
    <row r="2368" spans="1:16" x14ac:dyDescent="0.3">
      <c r="B2368" s="120">
        <v>3</v>
      </c>
      <c r="C2368" s="428" t="s">
        <v>129</v>
      </c>
      <c r="D2368" s="429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>+F2368*I2368</f>
        <v>8</v>
      </c>
      <c r="L2368" s="116">
        <f>E2368*I2368</f>
        <v>48</v>
      </c>
      <c r="O2368" s="48"/>
      <c r="P2368" s="49"/>
    </row>
    <row r="2369" spans="2:16" x14ac:dyDescent="0.3">
      <c r="B2369" s="120"/>
      <c r="C2369" s="206"/>
      <c r="D2369" s="205"/>
      <c r="E2369" s="114"/>
      <c r="F2369" s="83"/>
      <c r="G2369" s="74"/>
      <c r="I2369" s="115">
        <f>IF(C2369=0,0,VLOOKUP(C2369,Tabla1[],3,FALSE))</f>
        <v>0</v>
      </c>
      <c r="K2369" s="84">
        <f>+F2369*I2369</f>
        <v>0</v>
      </c>
      <c r="L2369" s="116">
        <f>E2369*I2369</f>
        <v>0</v>
      </c>
      <c r="O2369" s="48"/>
      <c r="P2369" s="49"/>
    </row>
    <row r="2370" spans="2:16" x14ac:dyDescent="0.3">
      <c r="B2370" s="120"/>
      <c r="C2370" s="206"/>
      <c r="D2370" s="205"/>
      <c r="E2370" s="114"/>
      <c r="F2370" s="83"/>
      <c r="G2370" s="74"/>
      <c r="I2370" s="115">
        <f>IF(C2370=0,0,VLOOKUP(C2370,Tabla1[],3,FALSE))</f>
        <v>0</v>
      </c>
      <c r="K2370" s="84">
        <f>+F2370*I2370</f>
        <v>0</v>
      </c>
      <c r="L2370" s="116">
        <f>E2370*I2370</f>
        <v>0</v>
      </c>
      <c r="O2370" s="48"/>
      <c r="P2370" s="49"/>
    </row>
    <row r="2371" spans="2:16" ht="17.25" thickBot="1" x14ac:dyDescent="0.35"/>
    <row r="2372" spans="2:16" ht="17.25" thickBot="1" x14ac:dyDescent="0.3">
      <c r="F2372" s="402" t="s">
        <v>9</v>
      </c>
      <c r="G2372" s="403"/>
      <c r="H2372" s="403"/>
      <c r="I2372" s="404"/>
      <c r="K2372" s="224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413" t="s">
        <v>11</v>
      </c>
      <c r="D2374" s="413"/>
      <c r="E2374" s="413"/>
      <c r="F2374" s="413"/>
      <c r="G2374" s="414"/>
    </row>
    <row r="2375" spans="2:16" x14ac:dyDescent="0.3">
      <c r="B2375" s="112" t="s">
        <v>6</v>
      </c>
      <c r="C2375" s="415" t="s">
        <v>1</v>
      </c>
      <c r="D2375" s="416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409"/>
      <c r="D2376" s="409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431"/>
      <c r="D2377" s="432"/>
      <c r="E2377" s="119"/>
      <c r="F2377" s="72"/>
      <c r="G2377" s="74"/>
      <c r="I2377" s="115">
        <f>IF(C2377=0,0,VLOOKUP(C2377,Tabla3[],3,FALSE))</f>
        <v>0</v>
      </c>
      <c r="K2377" s="84">
        <f>+F2377*I2377</f>
        <v>0</v>
      </c>
      <c r="L2377" s="116">
        <f>E2377*I2377</f>
        <v>0</v>
      </c>
    </row>
    <row r="2378" spans="2:16" x14ac:dyDescent="0.3">
      <c r="B2378" s="74"/>
      <c r="C2378" s="431"/>
      <c r="D2378" s="432"/>
      <c r="E2378" s="119"/>
      <c r="F2378" s="72"/>
      <c r="G2378" s="74"/>
      <c r="I2378" s="115">
        <f>IF(C2378=0,0,VLOOKUP(C2378,Tabla3[],3,FALSE))</f>
        <v>0</v>
      </c>
      <c r="K2378" s="84">
        <f>+F2378*I2378</f>
        <v>0</v>
      </c>
      <c r="L2378" s="116">
        <f>E2378*I2378</f>
        <v>0</v>
      </c>
    </row>
    <row r="2379" spans="2:16" x14ac:dyDescent="0.3">
      <c r="B2379" s="74"/>
      <c r="C2379" s="411"/>
      <c r="D2379" s="412"/>
      <c r="E2379" s="119"/>
      <c r="F2379" s="72"/>
      <c r="G2379" s="74"/>
      <c r="I2379" s="115">
        <f>IF(C2379=0,0,VLOOKUP(C2379,Tabla3[],3,FALSE))</f>
        <v>0</v>
      </c>
      <c r="K2379" s="84">
        <f>+F2379*I2379</f>
        <v>0</v>
      </c>
      <c r="L2379" s="116">
        <f>E2379*I2379</f>
        <v>0</v>
      </c>
    </row>
    <row r="2380" spans="2:16" ht="17.25" thickBot="1" x14ac:dyDescent="0.35"/>
    <row r="2381" spans="2:16" ht="17.25" thickBot="1" x14ac:dyDescent="0.35">
      <c r="F2381" s="402" t="s">
        <v>12</v>
      </c>
      <c r="G2381" s="403"/>
      <c r="H2381" s="403"/>
      <c r="I2381" s="404"/>
      <c r="K2381" s="224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413" t="s">
        <v>14</v>
      </c>
      <c r="D2383" s="413"/>
      <c r="E2383" s="413"/>
      <c r="F2383" s="413"/>
      <c r="G2383" s="414"/>
    </row>
    <row r="2384" spans="2:16" x14ac:dyDescent="0.3">
      <c r="B2384" s="112" t="s">
        <v>6</v>
      </c>
      <c r="C2384" s="415" t="s">
        <v>1</v>
      </c>
      <c r="D2384" s="416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409" t="s">
        <v>304</v>
      </c>
      <c r="D2385" s="409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409"/>
      <c r="D2386" s="409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417"/>
      <c r="D2387" s="418"/>
      <c r="E2387" s="122"/>
      <c r="F2387" s="123"/>
      <c r="G2387" s="74"/>
      <c r="I2387" s="115">
        <f>IF(C2387=0,0,VLOOKUP(C2387,Tabla2[],3,FALSE))</f>
        <v>0</v>
      </c>
      <c r="K2387" s="84">
        <f>+F2387*I2387</f>
        <v>0</v>
      </c>
      <c r="L2387" s="116">
        <f>E2387*I2387</f>
        <v>0</v>
      </c>
    </row>
    <row r="2388" spans="2:12" ht="17.25" thickBot="1" x14ac:dyDescent="0.35">
      <c r="B2388" s="419" t="s">
        <v>15</v>
      </c>
      <c r="C2388" s="420"/>
      <c r="D2388" s="420"/>
      <c r="E2388" s="420"/>
      <c r="F2388" s="420"/>
      <c r="G2388" s="421"/>
      <c r="I2388" s="84">
        <v>0</v>
      </c>
      <c r="K2388" s="84">
        <v>0</v>
      </c>
      <c r="L2388" s="116">
        <f>E2388*I2388</f>
        <v>0</v>
      </c>
    </row>
    <row r="2389" spans="2:12" ht="17.25" thickBot="1" x14ac:dyDescent="0.35"/>
    <row r="2390" spans="2:12" ht="17.25" thickBot="1" x14ac:dyDescent="0.35">
      <c r="F2390" s="402" t="s">
        <v>16</v>
      </c>
      <c r="G2390" s="403"/>
      <c r="H2390" s="403"/>
      <c r="I2390" s="404"/>
      <c r="K2390" s="224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413" t="s">
        <v>18</v>
      </c>
      <c r="D2392" s="413"/>
      <c r="E2392" s="413"/>
      <c r="F2392" s="413"/>
      <c r="G2392" s="414"/>
    </row>
    <row r="2393" spans="2:12" x14ac:dyDescent="0.3">
      <c r="B2393" s="112" t="s">
        <v>6</v>
      </c>
      <c r="C2393" s="415" t="s">
        <v>1</v>
      </c>
      <c r="D2393" s="416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411"/>
      <c r="D2394" s="412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411"/>
      <c r="D2395" s="412"/>
      <c r="E2395" s="125"/>
      <c r="F2395" s="72"/>
      <c r="G2395" s="74"/>
      <c r="I2395" s="84">
        <v>0</v>
      </c>
      <c r="K2395" s="84">
        <f>+F2395*I2395</f>
        <v>0</v>
      </c>
      <c r="L2395" s="116">
        <f>E2395*I2395</f>
        <v>0</v>
      </c>
    </row>
    <row r="2396" spans="2:12" x14ac:dyDescent="0.3">
      <c r="B2396" s="74"/>
      <c r="C2396" s="411"/>
      <c r="D2396" s="412"/>
      <c r="E2396" s="125"/>
      <c r="F2396" s="72"/>
      <c r="G2396" s="74"/>
      <c r="I2396" s="84">
        <v>0</v>
      </c>
      <c r="K2396" s="84">
        <f>+F2396*I2396</f>
        <v>0</v>
      </c>
      <c r="L2396" s="116">
        <f>E2396*I2396</f>
        <v>0</v>
      </c>
    </row>
    <row r="2397" spans="2:12" ht="17.25" thickBot="1" x14ac:dyDescent="0.35">
      <c r="L2397" s="116"/>
    </row>
    <row r="2398" spans="2:12" ht="17.25" thickBot="1" x14ac:dyDescent="0.35">
      <c r="F2398" s="402" t="s">
        <v>19</v>
      </c>
      <c r="G2398" s="403"/>
      <c r="H2398" s="403"/>
      <c r="I2398" s="404"/>
      <c r="K2398" s="224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127"/>
      <c r="H2399" s="128"/>
      <c r="I2399" s="106"/>
      <c r="K2399" s="225"/>
    </row>
    <row r="2400" spans="2:12" ht="15" customHeight="1" thickBot="1" x14ac:dyDescent="0.35"/>
    <row r="2401" spans="1:16" ht="17.25" thickBot="1" x14ac:dyDescent="0.35">
      <c r="F2401" s="402" t="s">
        <v>20</v>
      </c>
      <c r="G2401" s="403"/>
      <c r="H2401" s="403"/>
      <c r="I2401" s="404"/>
      <c r="K2401" s="224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402" t="s">
        <v>21</v>
      </c>
      <c r="G2403" s="403"/>
      <c r="H2403" s="403"/>
      <c r="I2403" s="404"/>
      <c r="K2403" s="224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402" t="s">
        <v>22</v>
      </c>
      <c r="G2405" s="403"/>
      <c r="H2405" s="403"/>
      <c r="I2405" s="404"/>
      <c r="K2405" s="224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127"/>
      <c r="H2406" s="128"/>
      <c r="I2406" s="106"/>
      <c r="K2406" s="226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127"/>
      <c r="H2407" s="128"/>
      <c r="I2407" s="106"/>
      <c r="K2407" s="227"/>
      <c r="L2407" s="129"/>
      <c r="M2407" s="132"/>
      <c r="N2407" s="133"/>
    </row>
    <row r="2408" spans="1:16" ht="17.25" thickBot="1" x14ac:dyDescent="0.35">
      <c r="B2408" s="405"/>
      <c r="C2408" s="405"/>
      <c r="D2408" s="405"/>
    </row>
    <row r="2409" spans="1:16" x14ac:dyDescent="0.3">
      <c r="B2409" s="406" t="s">
        <v>23</v>
      </c>
      <c r="C2409" s="406"/>
      <c r="D2409" s="406"/>
    </row>
    <row r="2410" spans="1:16" x14ac:dyDescent="0.3">
      <c r="B2410" s="155"/>
      <c r="C2410" s="155"/>
      <c r="D2410" s="155"/>
    </row>
    <row r="2411" spans="1:16" x14ac:dyDescent="0.3">
      <c r="B2411" s="155"/>
      <c r="C2411" s="155"/>
      <c r="D2411" s="155"/>
    </row>
    <row r="2412" spans="1:16" x14ac:dyDescent="0.3">
      <c r="B2412" s="103" t="s">
        <v>43</v>
      </c>
      <c r="C2412" s="104"/>
      <c r="D2412" s="422" t="s">
        <v>1</v>
      </c>
      <c r="E2412" s="422"/>
      <c r="F2412" s="422"/>
      <c r="G2412" s="422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09">
        <f>CATALOGO!B74</f>
        <v>907.04</v>
      </c>
      <c r="C2413" s="71"/>
      <c r="D2413" s="437" t="str">
        <f>CATALOGO!C74</f>
        <v xml:space="preserve">CAJA DE REGISTRO DE 0.47m X 0.47m </v>
      </c>
      <c r="E2413" s="437"/>
      <c r="F2413" s="437"/>
      <c r="G2413" s="437"/>
      <c r="H2413" s="71"/>
      <c r="I2413" s="209">
        <f>CATALOGO!D74</f>
        <v>1</v>
      </c>
      <c r="J2413" s="107"/>
      <c r="K2413" s="222" t="str">
        <f>CATALOGO!G74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413" t="s">
        <v>5</v>
      </c>
      <c r="D2415" s="413"/>
      <c r="E2415" s="413"/>
      <c r="F2415" s="413"/>
      <c r="G2415" s="414"/>
    </row>
    <row r="2416" spans="1:16" x14ac:dyDescent="0.25">
      <c r="B2416" s="109" t="s">
        <v>6</v>
      </c>
      <c r="C2416" s="424" t="s">
        <v>1</v>
      </c>
      <c r="D2416" s="425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3" t="s">
        <v>8</v>
      </c>
      <c r="L2416" s="113" t="s">
        <v>193</v>
      </c>
      <c r="O2416" s="438"/>
      <c r="P2416" s="438"/>
    </row>
    <row r="2417" spans="2:16" ht="17.25" customHeight="1" x14ac:dyDescent="0.25">
      <c r="B2417" s="120">
        <v>1</v>
      </c>
      <c r="C2417" s="407" t="s">
        <v>312</v>
      </c>
      <c r="D2417" s="408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72">E2417*I2417</f>
        <v>20</v>
      </c>
      <c r="O2417" s="44"/>
      <c r="P2417" s="45"/>
    </row>
    <row r="2418" spans="2:16" x14ac:dyDescent="0.3">
      <c r="B2418" s="120">
        <v>2</v>
      </c>
      <c r="C2418" s="428" t="s">
        <v>213</v>
      </c>
      <c r="D2418" s="429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73">+F2418*I2418</f>
        <v>20</v>
      </c>
      <c r="L2418" s="116">
        <f t="shared" si="72"/>
        <v>20</v>
      </c>
      <c r="P2418" s="45"/>
    </row>
    <row r="2419" spans="2:16" x14ac:dyDescent="0.3">
      <c r="B2419" s="120">
        <v>3</v>
      </c>
      <c r="C2419" s="430" t="s">
        <v>72</v>
      </c>
      <c r="D2419" s="429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73"/>
        <v>50</v>
      </c>
      <c r="L2419" s="116">
        <f t="shared" si="72"/>
        <v>50</v>
      </c>
      <c r="O2419" s="48"/>
      <c r="P2419" s="49"/>
    </row>
    <row r="2420" spans="2:16" x14ac:dyDescent="0.3">
      <c r="B2420" s="120">
        <v>4</v>
      </c>
      <c r="C2420" s="430" t="s">
        <v>229</v>
      </c>
      <c r="D2420" s="429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73"/>
        <v>50</v>
      </c>
      <c r="L2420" s="116">
        <f t="shared" si="72"/>
        <v>50</v>
      </c>
      <c r="O2420" s="48"/>
      <c r="P2420" s="49"/>
    </row>
    <row r="2421" spans="2:16" x14ac:dyDescent="0.3">
      <c r="B2421" s="120">
        <v>5</v>
      </c>
      <c r="C2421" s="430" t="s">
        <v>234</v>
      </c>
      <c r="D2421" s="429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73"/>
        <v>210</v>
      </c>
      <c r="L2421" s="116">
        <f t="shared" si="72"/>
        <v>210</v>
      </c>
      <c r="O2421" s="48"/>
      <c r="P2421" s="49"/>
    </row>
    <row r="2422" spans="2:16" x14ac:dyDescent="0.3">
      <c r="B2422" s="120"/>
      <c r="C2422" s="206"/>
      <c r="D2422" s="205"/>
      <c r="E2422" s="114"/>
      <c r="F2422" s="83"/>
      <c r="G2422" s="74"/>
      <c r="I2422" s="115">
        <f>IF(C2422=0,0,VLOOKUP(C2422,Tabla1[],3,FALSE))</f>
        <v>0</v>
      </c>
      <c r="K2422" s="84">
        <f t="shared" si="73"/>
        <v>0</v>
      </c>
      <c r="L2422" s="116">
        <f t="shared" si="72"/>
        <v>0</v>
      </c>
      <c r="O2422" s="48"/>
      <c r="P2422" s="49"/>
    </row>
    <row r="2423" spans="2:16" x14ac:dyDescent="0.3">
      <c r="B2423" s="120"/>
      <c r="C2423" s="428"/>
      <c r="D2423" s="429"/>
      <c r="E2423" s="114"/>
      <c r="F2423" s="83"/>
      <c r="G2423" s="74"/>
      <c r="I2423" s="115">
        <f>IF(C2423=0,0,VLOOKUP(C2423,Tabla1[],3,FALSE))</f>
        <v>0</v>
      </c>
      <c r="K2423" s="84">
        <f t="shared" si="73"/>
        <v>0</v>
      </c>
      <c r="L2423" s="116">
        <f t="shared" si="72"/>
        <v>0</v>
      </c>
      <c r="O2423" s="48"/>
      <c r="P2423" s="49"/>
    </row>
    <row r="2424" spans="2:16" ht="17.25" thickBot="1" x14ac:dyDescent="0.35"/>
    <row r="2425" spans="2:16" ht="17.25" thickBot="1" x14ac:dyDescent="0.3">
      <c r="F2425" s="402" t="s">
        <v>9</v>
      </c>
      <c r="G2425" s="403"/>
      <c r="H2425" s="403"/>
      <c r="I2425" s="404"/>
      <c r="K2425" s="224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413" t="s">
        <v>11</v>
      </c>
      <c r="D2427" s="413"/>
      <c r="E2427" s="413"/>
      <c r="F2427" s="413"/>
      <c r="G2427" s="414"/>
    </row>
    <row r="2428" spans="2:16" x14ac:dyDescent="0.3">
      <c r="B2428" s="112" t="s">
        <v>6</v>
      </c>
      <c r="C2428" s="415" t="s">
        <v>1</v>
      </c>
      <c r="D2428" s="416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409"/>
      <c r="D2429" s="409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431"/>
      <c r="D2430" s="432"/>
      <c r="E2430" s="119"/>
      <c r="F2430" s="72"/>
      <c r="G2430" s="74"/>
      <c r="I2430" s="115">
        <f>IF(C2430=0,0,VLOOKUP(C2430,Tabla3[],3,FALSE))</f>
        <v>0</v>
      </c>
      <c r="K2430" s="84">
        <f>+F2430*I2430</f>
        <v>0</v>
      </c>
      <c r="L2430" s="116">
        <f>E2430*I2430</f>
        <v>0</v>
      </c>
    </row>
    <row r="2431" spans="2:16" x14ac:dyDescent="0.3">
      <c r="B2431" s="74"/>
      <c r="C2431" s="431"/>
      <c r="D2431" s="432"/>
      <c r="E2431" s="119"/>
      <c r="F2431" s="72"/>
      <c r="G2431" s="74"/>
      <c r="I2431" s="115">
        <f>IF(C2431=0,0,VLOOKUP(C2431,Tabla3[],3,FALSE))</f>
        <v>0</v>
      </c>
      <c r="K2431" s="84">
        <f>+F2431*I2431</f>
        <v>0</v>
      </c>
      <c r="L2431" s="116">
        <f>E2431*I2431</f>
        <v>0</v>
      </c>
    </row>
    <row r="2432" spans="2:16" x14ac:dyDescent="0.3">
      <c r="B2432" s="74"/>
      <c r="C2432" s="411"/>
      <c r="D2432" s="412"/>
      <c r="E2432" s="119"/>
      <c r="F2432" s="72"/>
      <c r="G2432" s="74"/>
      <c r="I2432" s="115">
        <f>IF(C2432=0,0,VLOOKUP(C2432,Tabla3[],3,FALSE))</f>
        <v>0</v>
      </c>
      <c r="K2432" s="84">
        <f>+F2432*I2432</f>
        <v>0</v>
      </c>
      <c r="L2432" s="116">
        <f>E2432*I2432</f>
        <v>0</v>
      </c>
    </row>
    <row r="2433" spans="2:12" ht="17.25" thickBot="1" x14ac:dyDescent="0.35"/>
    <row r="2434" spans="2:12" ht="17.25" thickBot="1" x14ac:dyDescent="0.35">
      <c r="F2434" s="402" t="s">
        <v>12</v>
      </c>
      <c r="G2434" s="403"/>
      <c r="H2434" s="403"/>
      <c r="I2434" s="404"/>
      <c r="K2434" s="224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413" t="s">
        <v>14</v>
      </c>
      <c r="D2436" s="413"/>
      <c r="E2436" s="413"/>
      <c r="F2436" s="413"/>
      <c r="G2436" s="414"/>
    </row>
    <row r="2437" spans="2:12" x14ac:dyDescent="0.3">
      <c r="B2437" s="112" t="s">
        <v>6</v>
      </c>
      <c r="C2437" s="415" t="s">
        <v>1</v>
      </c>
      <c r="D2437" s="416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409" t="s">
        <v>313</v>
      </c>
      <c r="D2438" s="409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409"/>
      <c r="D2439" s="409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417"/>
      <c r="D2440" s="418"/>
      <c r="E2440" s="122"/>
      <c r="F2440" s="123"/>
      <c r="G2440" s="74"/>
      <c r="I2440" s="115">
        <f>IF(C2440=0,0,VLOOKUP(C2440,Tabla2[],3,FALSE))</f>
        <v>0</v>
      </c>
      <c r="K2440" s="84">
        <f>+F2440*I2440</f>
        <v>0</v>
      </c>
      <c r="L2440" s="116">
        <f>E2440*I2440</f>
        <v>0</v>
      </c>
    </row>
    <row r="2441" spans="2:12" ht="17.25" thickBot="1" x14ac:dyDescent="0.35">
      <c r="B2441" s="419" t="s">
        <v>15</v>
      </c>
      <c r="C2441" s="420"/>
      <c r="D2441" s="420"/>
      <c r="E2441" s="420"/>
      <c r="F2441" s="420"/>
      <c r="G2441" s="421"/>
      <c r="I2441" s="84">
        <v>0</v>
      </c>
      <c r="K2441" s="84">
        <v>0</v>
      </c>
      <c r="L2441" s="116">
        <f>E2441*I2441</f>
        <v>0</v>
      </c>
    </row>
    <row r="2442" spans="2:12" ht="17.25" thickBot="1" x14ac:dyDescent="0.35"/>
    <row r="2443" spans="2:12" ht="17.25" thickBot="1" x14ac:dyDescent="0.35">
      <c r="F2443" s="402" t="s">
        <v>16</v>
      </c>
      <c r="G2443" s="403"/>
      <c r="H2443" s="403"/>
      <c r="I2443" s="404"/>
      <c r="K2443" s="224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413" t="s">
        <v>18</v>
      </c>
      <c r="D2445" s="413"/>
      <c r="E2445" s="413"/>
      <c r="F2445" s="413"/>
      <c r="G2445" s="414"/>
    </row>
    <row r="2446" spans="2:12" x14ac:dyDescent="0.3">
      <c r="B2446" s="112" t="s">
        <v>6</v>
      </c>
      <c r="C2446" s="415" t="s">
        <v>1</v>
      </c>
      <c r="D2446" s="416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411"/>
      <c r="D2447" s="412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411"/>
      <c r="D2448" s="412"/>
      <c r="E2448" s="125"/>
      <c r="F2448" s="72"/>
      <c r="G2448" s="74"/>
      <c r="I2448" s="84">
        <v>0</v>
      </c>
      <c r="K2448" s="84">
        <f>+F2448*I2448</f>
        <v>0</v>
      </c>
      <c r="L2448" s="116">
        <f>E2448*I2448</f>
        <v>0</v>
      </c>
    </row>
    <row r="2449" spans="2:16" x14ac:dyDescent="0.3">
      <c r="B2449" s="74"/>
      <c r="C2449" s="411"/>
      <c r="D2449" s="412"/>
      <c r="E2449" s="125"/>
      <c r="F2449" s="72"/>
      <c r="G2449" s="74"/>
      <c r="I2449" s="84">
        <v>0</v>
      </c>
      <c r="K2449" s="84">
        <f>+F2449*I2449</f>
        <v>0</v>
      </c>
      <c r="L2449" s="116">
        <f>E2449*I2449</f>
        <v>0</v>
      </c>
    </row>
    <row r="2450" spans="2:16" ht="17.25" thickBot="1" x14ac:dyDescent="0.35">
      <c r="L2450" s="116"/>
    </row>
    <row r="2451" spans="2:16" ht="17.25" thickBot="1" x14ac:dyDescent="0.35">
      <c r="F2451" s="402" t="s">
        <v>19</v>
      </c>
      <c r="G2451" s="403"/>
      <c r="H2451" s="403"/>
      <c r="I2451" s="404"/>
      <c r="K2451" s="224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127"/>
      <c r="H2452" s="128"/>
      <c r="I2452" s="106"/>
      <c r="K2452" s="225"/>
    </row>
    <row r="2453" spans="2:16" ht="15" customHeight="1" thickBot="1" x14ac:dyDescent="0.35"/>
    <row r="2454" spans="2:16" ht="17.25" thickBot="1" x14ac:dyDescent="0.35">
      <c r="F2454" s="402" t="s">
        <v>20</v>
      </c>
      <c r="G2454" s="403"/>
      <c r="H2454" s="403"/>
      <c r="I2454" s="404"/>
      <c r="K2454" s="224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402" t="s">
        <v>21</v>
      </c>
      <c r="G2456" s="403"/>
      <c r="H2456" s="403"/>
      <c r="I2456" s="404"/>
      <c r="K2456" s="224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402" t="s">
        <v>22</v>
      </c>
      <c r="G2458" s="403"/>
      <c r="H2458" s="403"/>
      <c r="I2458" s="404"/>
      <c r="K2458" s="224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127"/>
      <c r="H2459" s="128"/>
      <c r="I2459" s="106"/>
      <c r="K2459" s="226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127"/>
      <c r="H2460" s="128"/>
      <c r="I2460" s="106"/>
      <c r="K2460" s="227"/>
      <c r="L2460" s="129"/>
      <c r="M2460" s="132"/>
      <c r="N2460" s="133"/>
    </row>
    <row r="2461" spans="2:16" ht="17.25" thickBot="1" x14ac:dyDescent="0.35">
      <c r="B2461" s="405"/>
      <c r="C2461" s="405"/>
      <c r="D2461" s="405"/>
    </row>
    <row r="2462" spans="2:16" x14ac:dyDescent="0.3">
      <c r="B2462" s="406" t="s">
        <v>23</v>
      </c>
      <c r="C2462" s="406"/>
      <c r="D2462" s="406"/>
    </row>
    <row r="2463" spans="2:16" x14ac:dyDescent="0.3">
      <c r="B2463" s="155"/>
      <c r="C2463" s="155"/>
      <c r="D2463" s="155"/>
    </row>
    <row r="2464" spans="2:16" x14ac:dyDescent="0.3">
      <c r="B2464" s="155"/>
      <c r="C2464" s="155"/>
      <c r="D2464" s="155"/>
    </row>
    <row r="2465" spans="1:16" x14ac:dyDescent="0.3">
      <c r="B2465" s="103" t="s">
        <v>43</v>
      </c>
      <c r="C2465" s="104"/>
      <c r="D2465" s="422" t="s">
        <v>1</v>
      </c>
      <c r="E2465" s="422"/>
      <c r="F2465" s="422"/>
      <c r="G2465" s="422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09">
        <f>CATALOGO!B75</f>
        <v>907.05</v>
      </c>
      <c r="C2466" s="71"/>
      <c r="D2466" s="437" t="str">
        <f>CATALOGO!C75</f>
        <v>CAJA DE REGISTRO DE 0.59m X 0.59m</v>
      </c>
      <c r="E2466" s="437"/>
      <c r="F2466" s="437"/>
      <c r="G2466" s="437"/>
      <c r="H2466" s="71"/>
      <c r="I2466" s="209">
        <f>CATALOGO!D75</f>
        <v>1</v>
      </c>
      <c r="J2466" s="107"/>
      <c r="K2466" s="222" t="str">
        <f>CATALOGO!G75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413" t="s">
        <v>5</v>
      </c>
      <c r="D2468" s="413"/>
      <c r="E2468" s="413"/>
      <c r="F2468" s="413"/>
      <c r="G2468" s="414"/>
    </row>
    <row r="2469" spans="1:16" x14ac:dyDescent="0.25">
      <c r="B2469" s="109" t="s">
        <v>6</v>
      </c>
      <c r="C2469" s="424" t="s">
        <v>1</v>
      </c>
      <c r="D2469" s="425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3" t="s">
        <v>8</v>
      </c>
      <c r="L2469" s="113" t="s">
        <v>193</v>
      </c>
      <c r="O2469" s="438"/>
      <c r="P2469" s="438"/>
    </row>
    <row r="2470" spans="1:16" ht="17.25" customHeight="1" x14ac:dyDescent="0.25">
      <c r="B2470" s="120">
        <v>1</v>
      </c>
      <c r="C2470" s="407" t="s">
        <v>312</v>
      </c>
      <c r="D2470" s="408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74">E2470*I2470</f>
        <v>30</v>
      </c>
      <c r="O2470" s="44"/>
      <c r="P2470" s="45"/>
    </row>
    <row r="2471" spans="1:16" x14ac:dyDescent="0.3">
      <c r="B2471" s="120">
        <v>2</v>
      </c>
      <c r="C2471" s="428" t="s">
        <v>213</v>
      </c>
      <c r="D2471" s="429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75">+F2471*I2471</f>
        <v>40</v>
      </c>
      <c r="L2471" s="116">
        <f t="shared" si="74"/>
        <v>40</v>
      </c>
      <c r="P2471" s="45"/>
    </row>
    <row r="2472" spans="1:16" x14ac:dyDescent="0.3">
      <c r="B2472" s="120">
        <v>3</v>
      </c>
      <c r="C2472" s="430" t="s">
        <v>72</v>
      </c>
      <c r="D2472" s="429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75"/>
        <v>100</v>
      </c>
      <c r="L2472" s="116">
        <f t="shared" si="74"/>
        <v>100</v>
      </c>
      <c r="O2472" s="48"/>
      <c r="P2472" s="49"/>
    </row>
    <row r="2473" spans="1:16" x14ac:dyDescent="0.3">
      <c r="B2473" s="120">
        <v>4</v>
      </c>
      <c r="C2473" s="430" t="s">
        <v>229</v>
      </c>
      <c r="D2473" s="429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75"/>
        <v>100</v>
      </c>
      <c r="L2473" s="116">
        <f t="shared" si="74"/>
        <v>100</v>
      </c>
      <c r="O2473" s="48"/>
      <c r="P2473" s="49"/>
    </row>
    <row r="2474" spans="1:16" x14ac:dyDescent="0.3">
      <c r="B2474" s="120">
        <v>5</v>
      </c>
      <c r="C2474" s="430" t="s">
        <v>234</v>
      </c>
      <c r="D2474" s="429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75"/>
        <v>420</v>
      </c>
      <c r="L2474" s="116">
        <f t="shared" si="74"/>
        <v>420</v>
      </c>
      <c r="O2474" s="48"/>
      <c r="P2474" s="49"/>
    </row>
    <row r="2475" spans="1:16" x14ac:dyDescent="0.3">
      <c r="B2475" s="120"/>
      <c r="C2475" s="206"/>
      <c r="D2475" s="205"/>
      <c r="E2475" s="114"/>
      <c r="F2475" s="83"/>
      <c r="G2475" s="74"/>
      <c r="I2475" s="115">
        <f>IF(C2475=0,0,VLOOKUP(C2475,Tabla1[],3,FALSE))</f>
        <v>0</v>
      </c>
      <c r="K2475" s="84">
        <f t="shared" si="75"/>
        <v>0</v>
      </c>
      <c r="L2475" s="116">
        <f t="shared" si="74"/>
        <v>0</v>
      </c>
      <c r="O2475" s="48"/>
      <c r="P2475" s="49"/>
    </row>
    <row r="2476" spans="1:16" x14ac:dyDescent="0.3">
      <c r="B2476" s="120"/>
      <c r="C2476" s="428"/>
      <c r="D2476" s="429"/>
      <c r="E2476" s="114"/>
      <c r="F2476" s="83"/>
      <c r="G2476" s="74"/>
      <c r="I2476" s="115">
        <f>IF(C2476=0,0,VLOOKUP(C2476,Tabla1[],3,FALSE))</f>
        <v>0</v>
      </c>
      <c r="K2476" s="84">
        <f t="shared" si="75"/>
        <v>0</v>
      </c>
      <c r="L2476" s="116">
        <f t="shared" si="74"/>
        <v>0</v>
      </c>
      <c r="O2476" s="48"/>
      <c r="P2476" s="49"/>
    </row>
    <row r="2477" spans="1:16" x14ac:dyDescent="0.3">
      <c r="B2477" s="120"/>
      <c r="C2477" s="428"/>
      <c r="D2477" s="429"/>
      <c r="E2477" s="114"/>
      <c r="F2477" s="83"/>
      <c r="G2477" s="74"/>
      <c r="I2477" s="115">
        <f>IF(C2477=0,0,VLOOKUP(C2477,Tabla1[],3,FALSE))</f>
        <v>0</v>
      </c>
      <c r="K2477" s="84">
        <f t="shared" si="75"/>
        <v>0</v>
      </c>
      <c r="L2477" s="116">
        <f t="shared" si="74"/>
        <v>0</v>
      </c>
      <c r="O2477" s="48"/>
      <c r="P2477" s="49"/>
    </row>
    <row r="2478" spans="1:16" x14ac:dyDescent="0.3">
      <c r="B2478" s="120"/>
      <c r="C2478" s="431"/>
      <c r="D2478" s="432"/>
      <c r="E2478" s="114"/>
      <c r="F2478" s="83"/>
      <c r="G2478" s="74"/>
      <c r="I2478" s="115">
        <f>IF(C2478=0,0,VLOOKUP(C2478,Tabla1[],3,FALSE))</f>
        <v>0</v>
      </c>
      <c r="K2478" s="84">
        <f t="shared" si="75"/>
        <v>0</v>
      </c>
      <c r="L2478" s="116">
        <f t="shared" si="74"/>
        <v>0</v>
      </c>
      <c r="O2478" s="48"/>
      <c r="P2478" s="49"/>
    </row>
    <row r="2479" spans="1:16" x14ac:dyDescent="0.3">
      <c r="B2479" s="120"/>
      <c r="C2479" s="430"/>
      <c r="D2479" s="429"/>
      <c r="E2479" s="114"/>
      <c r="F2479" s="83"/>
      <c r="G2479" s="74"/>
      <c r="I2479" s="115">
        <f>IF(C2479=0,0,VLOOKUP(C2479,Tabla1[],3,FALSE))</f>
        <v>0</v>
      </c>
      <c r="K2479" s="84">
        <f t="shared" si="75"/>
        <v>0</v>
      </c>
      <c r="L2479" s="116">
        <f t="shared" si="74"/>
        <v>0</v>
      </c>
      <c r="O2479" s="48"/>
      <c r="P2479" s="49"/>
    </row>
    <row r="2480" spans="1:16" ht="17.25" thickBot="1" x14ac:dyDescent="0.35"/>
    <row r="2481" spans="2:16" ht="17.25" thickBot="1" x14ac:dyDescent="0.3">
      <c r="F2481" s="402" t="s">
        <v>9</v>
      </c>
      <c r="G2481" s="403"/>
      <c r="H2481" s="403"/>
      <c r="I2481" s="404"/>
      <c r="K2481" s="224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413" t="s">
        <v>11</v>
      </c>
      <c r="D2483" s="413"/>
      <c r="E2483" s="413"/>
      <c r="F2483" s="413"/>
      <c r="G2483" s="414"/>
    </row>
    <row r="2484" spans="2:16" x14ac:dyDescent="0.3">
      <c r="B2484" s="112" t="s">
        <v>6</v>
      </c>
      <c r="C2484" s="415" t="s">
        <v>1</v>
      </c>
      <c r="D2484" s="416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409"/>
      <c r="D2485" s="409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431"/>
      <c r="D2486" s="432"/>
      <c r="E2486" s="119"/>
      <c r="F2486" s="72"/>
      <c r="G2486" s="74"/>
      <c r="I2486" s="115">
        <f>IF(C2486=0,0,VLOOKUP(C2486,Tabla3[],3,FALSE))</f>
        <v>0</v>
      </c>
      <c r="K2486" s="84">
        <f>+F2486*I2486</f>
        <v>0</v>
      </c>
      <c r="L2486" s="116">
        <f>E2486*I2486</f>
        <v>0</v>
      </c>
    </row>
    <row r="2487" spans="2:16" x14ac:dyDescent="0.3">
      <c r="B2487" s="74"/>
      <c r="C2487" s="431"/>
      <c r="D2487" s="432"/>
      <c r="E2487" s="119"/>
      <c r="F2487" s="72"/>
      <c r="G2487" s="74"/>
      <c r="I2487" s="115">
        <f>IF(C2487=0,0,VLOOKUP(C2487,Tabla3[],3,FALSE))</f>
        <v>0</v>
      </c>
      <c r="K2487" s="84">
        <f>+F2487*I2487</f>
        <v>0</v>
      </c>
      <c r="L2487" s="116">
        <f>E2487*I2487</f>
        <v>0</v>
      </c>
    </row>
    <row r="2488" spans="2:16" x14ac:dyDescent="0.3">
      <c r="B2488" s="74"/>
      <c r="C2488" s="411"/>
      <c r="D2488" s="412"/>
      <c r="E2488" s="119"/>
      <c r="F2488" s="72"/>
      <c r="G2488" s="74"/>
      <c r="I2488" s="115">
        <f>IF(C2488=0,0,VLOOKUP(C2488,Tabla3[],3,FALSE))</f>
        <v>0</v>
      </c>
      <c r="K2488" s="84">
        <f>+F2488*I2488</f>
        <v>0</v>
      </c>
      <c r="L2488" s="116">
        <f>E2488*I2488</f>
        <v>0</v>
      </c>
    </row>
    <row r="2489" spans="2:16" ht="17.25" thickBot="1" x14ac:dyDescent="0.35"/>
    <row r="2490" spans="2:16" ht="17.25" thickBot="1" x14ac:dyDescent="0.35">
      <c r="F2490" s="402" t="s">
        <v>12</v>
      </c>
      <c r="G2490" s="403"/>
      <c r="H2490" s="403"/>
      <c r="I2490" s="404"/>
      <c r="K2490" s="224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413" t="s">
        <v>14</v>
      </c>
      <c r="D2492" s="413"/>
      <c r="E2492" s="413"/>
      <c r="F2492" s="413"/>
      <c r="G2492" s="414"/>
    </row>
    <row r="2493" spans="2:16" x14ac:dyDescent="0.3">
      <c r="B2493" s="112" t="s">
        <v>6</v>
      </c>
      <c r="C2493" s="415" t="s">
        <v>1</v>
      </c>
      <c r="D2493" s="416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409" t="s">
        <v>313</v>
      </c>
      <c r="D2494" s="409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409"/>
      <c r="D2495" s="409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417"/>
      <c r="D2496" s="418"/>
      <c r="E2496" s="122"/>
      <c r="F2496" s="123"/>
      <c r="G2496" s="74"/>
      <c r="I2496" s="115">
        <f>IF(C2496=0,0,VLOOKUP(C2496,Tabla2[],3,FALSE))</f>
        <v>0</v>
      </c>
      <c r="K2496" s="84">
        <f>+F2496*I2496</f>
        <v>0</v>
      </c>
      <c r="L2496" s="116">
        <f>E2496*I2496</f>
        <v>0</v>
      </c>
    </row>
    <row r="2497" spans="2:16" ht="17.25" thickBot="1" x14ac:dyDescent="0.35">
      <c r="B2497" s="419" t="s">
        <v>15</v>
      </c>
      <c r="C2497" s="420"/>
      <c r="D2497" s="420"/>
      <c r="E2497" s="420"/>
      <c r="F2497" s="420"/>
      <c r="G2497" s="421"/>
      <c r="I2497" s="84">
        <v>0</v>
      </c>
      <c r="K2497" s="84">
        <v>0</v>
      </c>
      <c r="L2497" s="116">
        <f>E2497*I2497</f>
        <v>0</v>
      </c>
    </row>
    <row r="2498" spans="2:16" ht="17.25" thickBot="1" x14ac:dyDescent="0.35"/>
    <row r="2499" spans="2:16" ht="17.25" thickBot="1" x14ac:dyDescent="0.35">
      <c r="F2499" s="402" t="s">
        <v>16</v>
      </c>
      <c r="G2499" s="403"/>
      <c r="H2499" s="403"/>
      <c r="I2499" s="404"/>
      <c r="K2499" s="224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413" t="s">
        <v>18</v>
      </c>
      <c r="D2501" s="413"/>
      <c r="E2501" s="413"/>
      <c r="F2501" s="413"/>
      <c r="G2501" s="414"/>
    </row>
    <row r="2502" spans="2:16" x14ac:dyDescent="0.3">
      <c r="B2502" s="112" t="s">
        <v>6</v>
      </c>
      <c r="C2502" s="415" t="s">
        <v>1</v>
      </c>
      <c r="D2502" s="416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411"/>
      <c r="D2503" s="412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411"/>
      <c r="D2504" s="412"/>
      <c r="E2504" s="125"/>
      <c r="F2504" s="72"/>
      <c r="G2504" s="74"/>
      <c r="I2504" s="84">
        <v>0</v>
      </c>
      <c r="K2504" s="84">
        <f>+F2504*I2504</f>
        <v>0</v>
      </c>
      <c r="L2504" s="116">
        <f>E2504*I2504</f>
        <v>0</v>
      </c>
    </row>
    <row r="2505" spans="2:16" x14ac:dyDescent="0.3">
      <c r="B2505" s="74"/>
      <c r="C2505" s="411"/>
      <c r="D2505" s="412"/>
      <c r="E2505" s="125"/>
      <c r="F2505" s="72"/>
      <c r="G2505" s="74"/>
      <c r="I2505" s="84">
        <v>0</v>
      </c>
      <c r="K2505" s="84">
        <f>+F2505*I2505</f>
        <v>0</v>
      </c>
      <c r="L2505" s="116">
        <f>E2505*I2505</f>
        <v>0</v>
      </c>
    </row>
    <row r="2506" spans="2:16" ht="17.25" thickBot="1" x14ac:dyDescent="0.35">
      <c r="L2506" s="116"/>
    </row>
    <row r="2507" spans="2:16" ht="17.25" thickBot="1" x14ac:dyDescent="0.35">
      <c r="F2507" s="402" t="s">
        <v>19</v>
      </c>
      <c r="G2507" s="403"/>
      <c r="H2507" s="403"/>
      <c r="I2507" s="404"/>
      <c r="K2507" s="224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127"/>
      <c r="H2508" s="128"/>
      <c r="I2508" s="106"/>
      <c r="K2508" s="225"/>
    </row>
    <row r="2509" spans="2:16" ht="15" customHeight="1" thickBot="1" x14ac:dyDescent="0.35"/>
    <row r="2510" spans="2:16" ht="17.25" thickBot="1" x14ac:dyDescent="0.35">
      <c r="F2510" s="402" t="s">
        <v>20</v>
      </c>
      <c r="G2510" s="403"/>
      <c r="H2510" s="403"/>
      <c r="I2510" s="404"/>
      <c r="K2510" s="224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402" t="s">
        <v>21</v>
      </c>
      <c r="G2512" s="403"/>
      <c r="H2512" s="403"/>
      <c r="I2512" s="404"/>
      <c r="K2512" s="224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402" t="s">
        <v>22</v>
      </c>
      <c r="G2514" s="403"/>
      <c r="H2514" s="403"/>
      <c r="I2514" s="404"/>
      <c r="K2514" s="224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127"/>
      <c r="H2515" s="128"/>
      <c r="I2515" s="106"/>
      <c r="K2515" s="226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127"/>
      <c r="H2516" s="128"/>
      <c r="I2516" s="106"/>
      <c r="K2516" s="227"/>
      <c r="L2516" s="129"/>
      <c r="M2516" s="132"/>
      <c r="N2516" s="133"/>
    </row>
    <row r="2517" spans="1:16" ht="17.25" thickBot="1" x14ac:dyDescent="0.35">
      <c r="B2517" s="405"/>
      <c r="C2517" s="405"/>
      <c r="D2517" s="405"/>
    </row>
    <row r="2518" spans="1:16" x14ac:dyDescent="0.3">
      <c r="B2518" s="406" t="s">
        <v>23</v>
      </c>
      <c r="C2518" s="406"/>
      <c r="D2518" s="406"/>
    </row>
    <row r="2519" spans="1:16" x14ac:dyDescent="0.3">
      <c r="B2519" s="155"/>
      <c r="C2519" s="155"/>
      <c r="D2519" s="155"/>
    </row>
    <row r="2520" spans="1:16" x14ac:dyDescent="0.3">
      <c r="B2520" s="155"/>
      <c r="C2520" s="155"/>
      <c r="D2520" s="155"/>
    </row>
    <row r="2521" spans="1:16" x14ac:dyDescent="0.3">
      <c r="B2521" s="103" t="s">
        <v>43</v>
      </c>
      <c r="C2521" s="104"/>
      <c r="D2521" s="422" t="s">
        <v>1</v>
      </c>
      <c r="E2521" s="422"/>
      <c r="F2521" s="422"/>
      <c r="G2521" s="422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09">
        <f>CATALOGO!B76</f>
        <v>907.14</v>
      </c>
      <c r="C2522" s="71"/>
      <c r="D2522" s="437" t="str">
        <f>CATALOGO!C76</f>
        <v>CAJA TRAMPA GRASA DE 1.30m X 0.82m</v>
      </c>
      <c r="E2522" s="437"/>
      <c r="F2522" s="437"/>
      <c r="G2522" s="437"/>
      <c r="H2522" s="71"/>
      <c r="I2522" s="209">
        <f>CATALOGO!D76</f>
        <v>1</v>
      </c>
      <c r="J2522" s="107"/>
      <c r="K2522" s="222" t="str">
        <f>CATALOGO!G76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413" t="s">
        <v>5</v>
      </c>
      <c r="D2524" s="413"/>
      <c r="E2524" s="413"/>
      <c r="F2524" s="413"/>
      <c r="G2524" s="414"/>
    </row>
    <row r="2525" spans="1:16" x14ac:dyDescent="0.25">
      <c r="B2525" s="109" t="s">
        <v>6</v>
      </c>
      <c r="C2525" s="424" t="s">
        <v>1</v>
      </c>
      <c r="D2525" s="425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3" t="s">
        <v>8</v>
      </c>
      <c r="L2525" s="113" t="s">
        <v>193</v>
      </c>
      <c r="O2525" s="438"/>
      <c r="P2525" s="438"/>
    </row>
    <row r="2526" spans="1:16" ht="17.25" customHeight="1" x14ac:dyDescent="0.25">
      <c r="B2526" s="120">
        <v>1</v>
      </c>
      <c r="C2526" s="407" t="s">
        <v>168</v>
      </c>
      <c r="D2526" s="408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76">E2526*I2526</f>
        <v>80</v>
      </c>
      <c r="O2526" s="44"/>
      <c r="P2526" s="45"/>
    </row>
    <row r="2527" spans="1:16" x14ac:dyDescent="0.3">
      <c r="B2527" s="120">
        <v>2</v>
      </c>
      <c r="C2527" s="407" t="s">
        <v>312</v>
      </c>
      <c r="D2527" s="408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77">+F2527*I2527</f>
        <v>30</v>
      </c>
      <c r="L2527" s="116">
        <f t="shared" si="76"/>
        <v>30</v>
      </c>
      <c r="P2527" s="45"/>
    </row>
    <row r="2528" spans="1:16" x14ac:dyDescent="0.3">
      <c r="B2528" s="120">
        <v>3</v>
      </c>
      <c r="C2528" s="428" t="s">
        <v>213</v>
      </c>
      <c r="D2528" s="429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77"/>
        <v>240</v>
      </c>
      <c r="L2528" s="116">
        <f t="shared" si="76"/>
        <v>240</v>
      </c>
      <c r="O2528" s="48"/>
      <c r="P2528" s="49"/>
    </row>
    <row r="2529" spans="2:16" x14ac:dyDescent="0.3">
      <c r="B2529" s="120">
        <v>4</v>
      </c>
      <c r="C2529" s="430" t="s">
        <v>72</v>
      </c>
      <c r="D2529" s="429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77"/>
        <v>25</v>
      </c>
      <c r="L2529" s="116">
        <f t="shared" si="76"/>
        <v>25</v>
      </c>
      <c r="O2529" s="48"/>
      <c r="P2529" s="49"/>
    </row>
    <row r="2530" spans="2:16" x14ac:dyDescent="0.3">
      <c r="B2530" s="120">
        <v>5</v>
      </c>
      <c r="C2530" s="430" t="s">
        <v>229</v>
      </c>
      <c r="D2530" s="429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77"/>
        <v>25</v>
      </c>
      <c r="L2530" s="116">
        <f t="shared" si="76"/>
        <v>25</v>
      </c>
      <c r="O2530" s="48"/>
      <c r="P2530" s="49"/>
    </row>
    <row r="2531" spans="2:16" x14ac:dyDescent="0.3">
      <c r="B2531" s="120">
        <v>6</v>
      </c>
      <c r="C2531" s="430" t="s">
        <v>232</v>
      </c>
      <c r="D2531" s="429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77"/>
        <v>30</v>
      </c>
      <c r="L2531" s="116">
        <f t="shared" si="76"/>
        <v>30</v>
      </c>
      <c r="O2531" s="48"/>
      <c r="P2531" s="49"/>
    </row>
    <row r="2532" spans="2:16" x14ac:dyDescent="0.3">
      <c r="B2532" s="120">
        <v>7</v>
      </c>
      <c r="C2532" s="430" t="s">
        <v>234</v>
      </c>
      <c r="D2532" s="429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77"/>
        <v>1050</v>
      </c>
      <c r="L2532" s="116">
        <f t="shared" si="76"/>
        <v>1050</v>
      </c>
      <c r="O2532" s="48"/>
      <c r="P2532" s="49"/>
    </row>
    <row r="2533" spans="2:16" x14ac:dyDescent="0.3">
      <c r="B2533" s="120"/>
      <c r="C2533" s="428"/>
      <c r="D2533" s="429"/>
      <c r="E2533" s="114"/>
      <c r="F2533" s="83"/>
      <c r="G2533" s="74"/>
      <c r="I2533" s="115">
        <f>IF(C2533=0,0,VLOOKUP(C2533,Tabla1[],3,FALSE))</f>
        <v>0</v>
      </c>
      <c r="K2533" s="84">
        <f t="shared" si="77"/>
        <v>0</v>
      </c>
      <c r="L2533" s="116">
        <f t="shared" si="76"/>
        <v>0</v>
      </c>
      <c r="O2533" s="48"/>
      <c r="P2533" s="49"/>
    </row>
    <row r="2534" spans="2:16" x14ac:dyDescent="0.3">
      <c r="B2534" s="120"/>
      <c r="C2534" s="431"/>
      <c r="D2534" s="432"/>
      <c r="E2534" s="114"/>
      <c r="F2534" s="83"/>
      <c r="G2534" s="74"/>
      <c r="I2534" s="115">
        <f>IF(C2534=0,0,VLOOKUP(C2534,Tabla1[],3,FALSE))</f>
        <v>0</v>
      </c>
      <c r="K2534" s="84">
        <f t="shared" si="77"/>
        <v>0</v>
      </c>
      <c r="L2534" s="116">
        <f t="shared" si="76"/>
        <v>0</v>
      </c>
      <c r="O2534" s="48"/>
      <c r="P2534" s="49"/>
    </row>
    <row r="2535" spans="2:16" x14ac:dyDescent="0.3">
      <c r="B2535" s="120"/>
      <c r="C2535" s="430"/>
      <c r="D2535" s="429"/>
      <c r="E2535" s="114"/>
      <c r="F2535" s="83"/>
      <c r="G2535" s="74"/>
      <c r="I2535" s="115">
        <f>IF(C2535=0,0,VLOOKUP(C2535,Tabla1[],3,FALSE))</f>
        <v>0</v>
      </c>
      <c r="K2535" s="84">
        <f t="shared" si="77"/>
        <v>0</v>
      </c>
      <c r="L2535" s="116">
        <f t="shared" si="76"/>
        <v>0</v>
      </c>
      <c r="O2535" s="48"/>
      <c r="P2535" s="49"/>
    </row>
    <row r="2536" spans="2:16" ht="17.25" thickBot="1" x14ac:dyDescent="0.35"/>
    <row r="2537" spans="2:16" ht="17.25" thickBot="1" x14ac:dyDescent="0.3">
      <c r="F2537" s="402" t="s">
        <v>9</v>
      </c>
      <c r="G2537" s="403"/>
      <c r="H2537" s="403"/>
      <c r="I2537" s="404"/>
      <c r="K2537" s="224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413" t="s">
        <v>11</v>
      </c>
      <c r="D2539" s="413"/>
      <c r="E2539" s="413"/>
      <c r="F2539" s="413"/>
      <c r="G2539" s="414"/>
    </row>
    <row r="2540" spans="2:16" x14ac:dyDescent="0.3">
      <c r="B2540" s="112" t="s">
        <v>6</v>
      </c>
      <c r="C2540" s="415" t="s">
        <v>1</v>
      </c>
      <c r="D2540" s="416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409"/>
      <c r="D2541" s="409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431"/>
      <c r="D2542" s="432"/>
      <c r="E2542" s="119"/>
      <c r="F2542" s="72"/>
      <c r="G2542" s="74"/>
      <c r="I2542" s="115">
        <f>IF(C2542=0,0,VLOOKUP(C2542,Tabla3[],3,FALSE))</f>
        <v>0</v>
      </c>
      <c r="K2542" s="84">
        <f>+F2542*I2542</f>
        <v>0</v>
      </c>
      <c r="L2542" s="116">
        <f>E2542*I2542</f>
        <v>0</v>
      </c>
    </row>
    <row r="2543" spans="2:16" x14ac:dyDescent="0.3">
      <c r="B2543" s="74"/>
      <c r="C2543" s="431"/>
      <c r="D2543" s="432"/>
      <c r="E2543" s="119"/>
      <c r="F2543" s="72"/>
      <c r="G2543" s="74"/>
      <c r="I2543" s="115">
        <f>IF(C2543=0,0,VLOOKUP(C2543,Tabla3[],3,FALSE))</f>
        <v>0</v>
      </c>
      <c r="K2543" s="84">
        <f>+F2543*I2543</f>
        <v>0</v>
      </c>
      <c r="L2543" s="116">
        <f>E2543*I2543</f>
        <v>0</v>
      </c>
    </row>
    <row r="2544" spans="2:16" x14ac:dyDescent="0.3">
      <c r="B2544" s="74"/>
      <c r="C2544" s="411"/>
      <c r="D2544" s="412"/>
      <c r="E2544" s="119"/>
      <c r="F2544" s="72"/>
      <c r="G2544" s="74"/>
      <c r="I2544" s="115">
        <f>IF(C2544=0,0,VLOOKUP(C2544,Tabla3[],3,FALSE))</f>
        <v>0</v>
      </c>
      <c r="K2544" s="84">
        <f>+F2544*I2544</f>
        <v>0</v>
      </c>
      <c r="L2544" s="116">
        <f>E2544*I2544</f>
        <v>0</v>
      </c>
    </row>
    <row r="2545" spans="2:12" ht="17.25" thickBot="1" x14ac:dyDescent="0.35"/>
    <row r="2546" spans="2:12" ht="17.25" thickBot="1" x14ac:dyDescent="0.35">
      <c r="F2546" s="402" t="s">
        <v>12</v>
      </c>
      <c r="G2546" s="403"/>
      <c r="H2546" s="403"/>
      <c r="I2546" s="404"/>
      <c r="K2546" s="224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413" t="s">
        <v>14</v>
      </c>
      <c r="D2548" s="413"/>
      <c r="E2548" s="413"/>
      <c r="F2548" s="413"/>
      <c r="G2548" s="414"/>
    </row>
    <row r="2549" spans="2:12" x14ac:dyDescent="0.3">
      <c r="B2549" s="112" t="s">
        <v>6</v>
      </c>
      <c r="C2549" s="415" t="s">
        <v>1</v>
      </c>
      <c r="D2549" s="416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409" t="s">
        <v>235</v>
      </c>
      <c r="D2550" s="409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409"/>
      <c r="D2551" s="409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417"/>
      <c r="D2552" s="418"/>
      <c r="E2552" s="122"/>
      <c r="F2552" s="123"/>
      <c r="G2552" s="74"/>
      <c r="I2552" s="115">
        <f>IF(C2552=0,0,VLOOKUP(C2552,Tabla2[],3,FALSE))</f>
        <v>0</v>
      </c>
      <c r="K2552" s="84">
        <f>+F2552*I2552</f>
        <v>0</v>
      </c>
      <c r="L2552" s="116">
        <f>E2552*I2552</f>
        <v>0</v>
      </c>
    </row>
    <row r="2553" spans="2:12" ht="17.25" thickBot="1" x14ac:dyDescent="0.35">
      <c r="B2553" s="419" t="s">
        <v>15</v>
      </c>
      <c r="C2553" s="420"/>
      <c r="D2553" s="420"/>
      <c r="E2553" s="420"/>
      <c r="F2553" s="420"/>
      <c r="G2553" s="421"/>
      <c r="I2553" s="84">
        <v>0</v>
      </c>
      <c r="K2553" s="84">
        <v>0</v>
      </c>
      <c r="L2553" s="116">
        <f>E2553*I2553</f>
        <v>0</v>
      </c>
    </row>
    <row r="2554" spans="2:12" ht="17.25" thickBot="1" x14ac:dyDescent="0.35"/>
    <row r="2555" spans="2:12" ht="17.25" thickBot="1" x14ac:dyDescent="0.35">
      <c r="F2555" s="402" t="s">
        <v>16</v>
      </c>
      <c r="G2555" s="403"/>
      <c r="H2555" s="403"/>
      <c r="I2555" s="404"/>
      <c r="K2555" s="224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413" t="s">
        <v>18</v>
      </c>
      <c r="D2557" s="413"/>
      <c r="E2557" s="413"/>
      <c r="F2557" s="413"/>
      <c r="G2557" s="414"/>
    </row>
    <row r="2558" spans="2:12" x14ac:dyDescent="0.3">
      <c r="B2558" s="112" t="s">
        <v>6</v>
      </c>
      <c r="C2558" s="415" t="s">
        <v>1</v>
      </c>
      <c r="D2558" s="416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411"/>
      <c r="D2559" s="412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411"/>
      <c r="D2560" s="412"/>
      <c r="E2560" s="125"/>
      <c r="F2560" s="72"/>
      <c r="G2560" s="74"/>
      <c r="I2560" s="84">
        <v>0</v>
      </c>
      <c r="K2560" s="84">
        <f>+F2560*I2560</f>
        <v>0</v>
      </c>
      <c r="L2560" s="116">
        <f>E2560*I2560</f>
        <v>0</v>
      </c>
    </row>
    <row r="2561" spans="2:16" x14ac:dyDescent="0.3">
      <c r="B2561" s="74"/>
      <c r="C2561" s="411"/>
      <c r="D2561" s="412"/>
      <c r="E2561" s="125"/>
      <c r="F2561" s="72"/>
      <c r="G2561" s="74"/>
      <c r="I2561" s="84">
        <v>0</v>
      </c>
      <c r="K2561" s="84">
        <f>+F2561*I2561</f>
        <v>0</v>
      </c>
      <c r="L2561" s="116">
        <f>E2561*I2561</f>
        <v>0</v>
      </c>
    </row>
    <row r="2562" spans="2:16" ht="17.25" thickBot="1" x14ac:dyDescent="0.35">
      <c r="L2562" s="116"/>
    </row>
    <row r="2563" spans="2:16" ht="17.25" thickBot="1" x14ac:dyDescent="0.35">
      <c r="F2563" s="402" t="s">
        <v>19</v>
      </c>
      <c r="G2563" s="403"/>
      <c r="H2563" s="403"/>
      <c r="I2563" s="404"/>
      <c r="K2563" s="224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127"/>
      <c r="H2564" s="128"/>
      <c r="I2564" s="106"/>
      <c r="K2564" s="225"/>
    </row>
    <row r="2565" spans="2:16" ht="15" customHeight="1" thickBot="1" x14ac:dyDescent="0.35"/>
    <row r="2566" spans="2:16" ht="17.25" thickBot="1" x14ac:dyDescent="0.35">
      <c r="F2566" s="402" t="s">
        <v>20</v>
      </c>
      <c r="G2566" s="403"/>
      <c r="H2566" s="403"/>
      <c r="I2566" s="404"/>
      <c r="K2566" s="224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402" t="s">
        <v>21</v>
      </c>
      <c r="G2568" s="403"/>
      <c r="H2568" s="403"/>
      <c r="I2568" s="404"/>
      <c r="K2568" s="224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402" t="s">
        <v>22</v>
      </c>
      <c r="G2570" s="403"/>
      <c r="H2570" s="403"/>
      <c r="I2570" s="404"/>
      <c r="K2570" s="224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127"/>
      <c r="H2571" s="128"/>
      <c r="I2571" s="106"/>
      <c r="K2571" s="226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127"/>
      <c r="H2572" s="128"/>
      <c r="I2572" s="106"/>
      <c r="K2572" s="227"/>
      <c r="L2572" s="129"/>
      <c r="M2572" s="132"/>
      <c r="N2572" s="133"/>
    </row>
    <row r="2573" spans="2:16" ht="17.25" thickBot="1" x14ac:dyDescent="0.35">
      <c r="B2573" s="405"/>
      <c r="C2573" s="405"/>
      <c r="D2573" s="405"/>
    </row>
    <row r="2574" spans="2:16" x14ac:dyDescent="0.3">
      <c r="B2574" s="406" t="s">
        <v>23</v>
      </c>
      <c r="C2574" s="406"/>
      <c r="D2574" s="406"/>
    </row>
    <row r="2575" spans="2:16" x14ac:dyDescent="0.3">
      <c r="B2575" s="155"/>
      <c r="C2575" s="155"/>
      <c r="D2575" s="155"/>
    </row>
    <row r="2576" spans="2:16" x14ac:dyDescent="0.3">
      <c r="B2576" s="155"/>
      <c r="C2576" s="155"/>
      <c r="D2576" s="155"/>
    </row>
    <row r="2577" spans="1:16" x14ac:dyDescent="0.3">
      <c r="B2577" s="103" t="s">
        <v>43</v>
      </c>
      <c r="C2577" s="104"/>
      <c r="D2577" s="422" t="s">
        <v>1</v>
      </c>
      <c r="E2577" s="422"/>
      <c r="F2577" s="422"/>
      <c r="G2577" s="422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09">
        <f>CATALOGO!B78</f>
        <v>1001.01</v>
      </c>
      <c r="C2578" s="71"/>
      <c r="D2578" s="437" t="str">
        <f>CATALOGO!C78</f>
        <v>INODORO</v>
      </c>
      <c r="E2578" s="437"/>
      <c r="F2578" s="437"/>
      <c r="G2578" s="437"/>
      <c r="H2578" s="71"/>
      <c r="I2578" s="209">
        <f>CATALOGO!D78</f>
        <v>1</v>
      </c>
      <c r="J2578" s="107"/>
      <c r="K2578" s="222" t="str">
        <f>CATALOGO!G78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413" t="s">
        <v>5</v>
      </c>
      <c r="D2580" s="413"/>
      <c r="E2580" s="413"/>
      <c r="F2580" s="413"/>
      <c r="G2580" s="414"/>
    </row>
    <row r="2581" spans="1:16" x14ac:dyDescent="0.25">
      <c r="B2581" s="109" t="s">
        <v>6</v>
      </c>
      <c r="C2581" s="424" t="s">
        <v>1</v>
      </c>
      <c r="D2581" s="425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3" t="s">
        <v>8</v>
      </c>
      <c r="L2581" s="113" t="s">
        <v>193</v>
      </c>
      <c r="O2581" s="438"/>
      <c r="P2581" s="438"/>
    </row>
    <row r="2582" spans="1:16" ht="17.25" customHeight="1" x14ac:dyDescent="0.25">
      <c r="B2582" s="120">
        <v>1</v>
      </c>
      <c r="C2582" s="407" t="s">
        <v>316</v>
      </c>
      <c r="D2582" s="408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78">E2582*I2582</f>
        <v>1265</v>
      </c>
      <c r="O2582" s="44"/>
      <c r="P2582" s="45"/>
    </row>
    <row r="2583" spans="1:16" ht="16.5" customHeight="1" x14ac:dyDescent="0.3">
      <c r="B2583" s="120">
        <v>2</v>
      </c>
      <c r="C2583" s="407" t="s">
        <v>114</v>
      </c>
      <c r="D2583" s="408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79">+F2583*I2583</f>
        <v>150</v>
      </c>
      <c r="L2583" s="116">
        <f t="shared" si="78"/>
        <v>150</v>
      </c>
      <c r="P2583" s="45"/>
    </row>
    <row r="2584" spans="1:16" x14ac:dyDescent="0.3">
      <c r="B2584" s="120"/>
      <c r="C2584" s="428"/>
      <c r="D2584" s="429"/>
      <c r="E2584" s="114"/>
      <c r="F2584" s="83"/>
      <c r="G2584" s="74"/>
      <c r="I2584" s="115">
        <f>IF(C2584=0,0,VLOOKUP(C2584,Tabla1[],3,FALSE))</f>
        <v>0</v>
      </c>
      <c r="K2584" s="84">
        <f t="shared" si="79"/>
        <v>0</v>
      </c>
      <c r="L2584" s="116">
        <f t="shared" si="78"/>
        <v>0</v>
      </c>
      <c r="O2584" s="48"/>
      <c r="P2584" s="49"/>
    </row>
    <row r="2585" spans="1:16" x14ac:dyDescent="0.3">
      <c r="B2585" s="120"/>
      <c r="C2585" s="430"/>
      <c r="D2585" s="429"/>
      <c r="E2585" s="114"/>
      <c r="F2585" s="83"/>
      <c r="G2585" s="74"/>
      <c r="I2585" s="115">
        <f>IF(C2585=0,0,VLOOKUP(C2585,Tabla1[],3,FALSE))</f>
        <v>0</v>
      </c>
      <c r="K2585" s="84">
        <f t="shared" si="79"/>
        <v>0</v>
      </c>
      <c r="L2585" s="116">
        <f t="shared" si="78"/>
        <v>0</v>
      </c>
      <c r="O2585" s="48"/>
      <c r="P2585" s="49"/>
    </row>
    <row r="2586" spans="1:16" x14ac:dyDescent="0.3">
      <c r="B2586" s="120"/>
      <c r="C2586" s="430"/>
      <c r="D2586" s="429"/>
      <c r="E2586" s="114"/>
      <c r="F2586" s="83"/>
      <c r="G2586" s="74"/>
      <c r="I2586" s="115">
        <f>IF(C2586=0,0,VLOOKUP(C2586,Tabla1[],3,FALSE))</f>
        <v>0</v>
      </c>
      <c r="K2586" s="84">
        <f t="shared" si="79"/>
        <v>0</v>
      </c>
      <c r="L2586" s="116">
        <f t="shared" si="78"/>
        <v>0</v>
      </c>
      <c r="O2586" s="48"/>
      <c r="P2586" s="49"/>
    </row>
    <row r="2587" spans="1:16" x14ac:dyDescent="0.3">
      <c r="B2587" s="120"/>
      <c r="C2587" s="430"/>
      <c r="D2587" s="429"/>
      <c r="E2587" s="114"/>
      <c r="F2587" s="83"/>
      <c r="G2587" s="74"/>
      <c r="I2587" s="115">
        <f>IF(C2587=0,0,VLOOKUP(C2587,Tabla1[],3,FALSE))</f>
        <v>0</v>
      </c>
      <c r="K2587" s="84">
        <f t="shared" si="79"/>
        <v>0</v>
      </c>
      <c r="L2587" s="116">
        <f t="shared" si="78"/>
        <v>0</v>
      </c>
      <c r="O2587" s="48"/>
      <c r="P2587" s="49"/>
    </row>
    <row r="2588" spans="1:16" x14ac:dyDescent="0.3">
      <c r="B2588" s="120"/>
      <c r="C2588" s="430"/>
      <c r="D2588" s="429"/>
      <c r="E2588" s="114"/>
      <c r="F2588" s="83"/>
      <c r="G2588" s="74"/>
      <c r="I2588" s="115">
        <f>IF(C2588=0,0,VLOOKUP(C2588,Tabla1[],3,FALSE))</f>
        <v>0</v>
      </c>
      <c r="K2588" s="84">
        <f t="shared" si="79"/>
        <v>0</v>
      </c>
      <c r="L2588" s="116">
        <f t="shared" si="78"/>
        <v>0</v>
      </c>
      <c r="O2588" s="48"/>
      <c r="P2588" s="49"/>
    </row>
    <row r="2589" spans="1:16" x14ac:dyDescent="0.3">
      <c r="B2589" s="120"/>
      <c r="C2589" s="428"/>
      <c r="D2589" s="429"/>
      <c r="E2589" s="114"/>
      <c r="F2589" s="83"/>
      <c r="G2589" s="74"/>
      <c r="I2589" s="115">
        <f>IF(C2589=0,0,VLOOKUP(C2589,Tabla1[],3,FALSE))</f>
        <v>0</v>
      </c>
      <c r="K2589" s="84">
        <f t="shared" si="79"/>
        <v>0</v>
      </c>
      <c r="L2589" s="116">
        <f t="shared" si="78"/>
        <v>0</v>
      </c>
      <c r="O2589" s="48"/>
      <c r="P2589" s="49"/>
    </row>
    <row r="2590" spans="1:16" x14ac:dyDescent="0.3">
      <c r="B2590" s="120"/>
      <c r="C2590" s="431"/>
      <c r="D2590" s="432"/>
      <c r="E2590" s="114"/>
      <c r="F2590" s="83"/>
      <c r="G2590" s="74"/>
      <c r="I2590" s="115">
        <f>IF(C2590=0,0,VLOOKUP(C2590,Tabla1[],3,FALSE))</f>
        <v>0</v>
      </c>
      <c r="K2590" s="84">
        <f t="shared" si="79"/>
        <v>0</v>
      </c>
      <c r="L2590" s="116">
        <f t="shared" si="78"/>
        <v>0</v>
      </c>
      <c r="O2590" s="48"/>
      <c r="P2590" s="49"/>
    </row>
    <row r="2591" spans="1:16" x14ac:dyDescent="0.3">
      <c r="B2591" s="120"/>
      <c r="C2591" s="430"/>
      <c r="D2591" s="429"/>
      <c r="E2591" s="114"/>
      <c r="F2591" s="83"/>
      <c r="G2591" s="74"/>
      <c r="I2591" s="115">
        <f>IF(C2591=0,0,VLOOKUP(C2591,Tabla1[],3,FALSE))</f>
        <v>0</v>
      </c>
      <c r="K2591" s="84">
        <f t="shared" si="79"/>
        <v>0</v>
      </c>
      <c r="L2591" s="116">
        <f t="shared" si="78"/>
        <v>0</v>
      </c>
      <c r="O2591" s="48"/>
      <c r="P2591" s="49"/>
    </row>
    <row r="2592" spans="1:16" ht="17.25" thickBot="1" x14ac:dyDescent="0.35"/>
    <row r="2593" spans="2:16" ht="17.25" thickBot="1" x14ac:dyDescent="0.3">
      <c r="F2593" s="402" t="s">
        <v>9</v>
      </c>
      <c r="G2593" s="403"/>
      <c r="H2593" s="403"/>
      <c r="I2593" s="404"/>
      <c r="K2593" s="224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413" t="s">
        <v>11</v>
      </c>
      <c r="D2595" s="413"/>
      <c r="E2595" s="413"/>
      <c r="F2595" s="413"/>
      <c r="G2595" s="414"/>
    </row>
    <row r="2596" spans="2:16" x14ac:dyDescent="0.3">
      <c r="B2596" s="112" t="s">
        <v>6</v>
      </c>
      <c r="C2596" s="415" t="s">
        <v>1</v>
      </c>
      <c r="D2596" s="416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409"/>
      <c r="D2597" s="409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431"/>
      <c r="D2598" s="432"/>
      <c r="E2598" s="119"/>
      <c r="F2598" s="72"/>
      <c r="G2598" s="74"/>
      <c r="I2598" s="115">
        <f>IF(C2598=0,0,VLOOKUP(C2598,Tabla3[],3,FALSE))</f>
        <v>0</v>
      </c>
      <c r="K2598" s="84">
        <f>+F2598*I2598</f>
        <v>0</v>
      </c>
      <c r="L2598" s="116">
        <f>E2598*I2598</f>
        <v>0</v>
      </c>
    </row>
    <row r="2599" spans="2:16" x14ac:dyDescent="0.3">
      <c r="B2599" s="74"/>
      <c r="C2599" s="431"/>
      <c r="D2599" s="432"/>
      <c r="E2599" s="119"/>
      <c r="F2599" s="72"/>
      <c r="G2599" s="74"/>
      <c r="I2599" s="115">
        <f>IF(C2599=0,0,VLOOKUP(C2599,Tabla3[],3,FALSE))</f>
        <v>0</v>
      </c>
      <c r="K2599" s="84">
        <f>+F2599*I2599</f>
        <v>0</v>
      </c>
      <c r="L2599" s="116">
        <f>E2599*I2599</f>
        <v>0</v>
      </c>
    </row>
    <row r="2600" spans="2:16" x14ac:dyDescent="0.3">
      <c r="B2600" s="74"/>
      <c r="C2600" s="411"/>
      <c r="D2600" s="412"/>
      <c r="E2600" s="119"/>
      <c r="F2600" s="72"/>
      <c r="G2600" s="74"/>
      <c r="I2600" s="115">
        <f>IF(C2600=0,0,VLOOKUP(C2600,Tabla3[],3,FALSE))</f>
        <v>0</v>
      </c>
      <c r="K2600" s="84">
        <f>+F2600*I2600</f>
        <v>0</v>
      </c>
      <c r="L2600" s="116">
        <f>E2600*I2600</f>
        <v>0</v>
      </c>
    </row>
    <row r="2601" spans="2:16" ht="17.25" thickBot="1" x14ac:dyDescent="0.35"/>
    <row r="2602" spans="2:16" ht="17.25" thickBot="1" x14ac:dyDescent="0.35">
      <c r="F2602" s="402" t="s">
        <v>12</v>
      </c>
      <c r="G2602" s="403"/>
      <c r="H2602" s="403"/>
      <c r="I2602" s="404"/>
      <c r="K2602" s="224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413" t="s">
        <v>14</v>
      </c>
      <c r="D2604" s="413"/>
      <c r="E2604" s="413"/>
      <c r="F2604" s="413"/>
      <c r="G2604" s="414"/>
    </row>
    <row r="2605" spans="2:16" x14ac:dyDescent="0.3">
      <c r="B2605" s="112" t="s">
        <v>6</v>
      </c>
      <c r="C2605" s="415" t="s">
        <v>1</v>
      </c>
      <c r="D2605" s="416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409" t="s">
        <v>317</v>
      </c>
      <c r="D2606" s="409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409"/>
      <c r="D2607" s="409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417"/>
      <c r="D2608" s="418"/>
      <c r="E2608" s="122"/>
      <c r="F2608" s="123"/>
      <c r="G2608" s="74"/>
      <c r="I2608" s="115">
        <f>IF(C2608=0,0,VLOOKUP(C2608,Tabla2[],3,FALSE))</f>
        <v>0</v>
      </c>
      <c r="K2608" s="84">
        <f>+F2608*I2608</f>
        <v>0</v>
      </c>
      <c r="L2608" s="116">
        <f>E2608*I2608</f>
        <v>0</v>
      </c>
    </row>
    <row r="2609" spans="2:16" ht="17.25" thickBot="1" x14ac:dyDescent="0.35">
      <c r="B2609" s="419" t="s">
        <v>15</v>
      </c>
      <c r="C2609" s="420"/>
      <c r="D2609" s="420"/>
      <c r="E2609" s="420"/>
      <c r="F2609" s="420"/>
      <c r="G2609" s="421"/>
      <c r="I2609" s="84">
        <v>0</v>
      </c>
      <c r="K2609" s="84">
        <v>0</v>
      </c>
      <c r="L2609" s="116">
        <f>E2609*I2609</f>
        <v>0</v>
      </c>
    </row>
    <row r="2610" spans="2:16" ht="17.25" thickBot="1" x14ac:dyDescent="0.35"/>
    <row r="2611" spans="2:16" ht="17.25" thickBot="1" x14ac:dyDescent="0.35">
      <c r="F2611" s="402" t="s">
        <v>16</v>
      </c>
      <c r="G2611" s="403"/>
      <c r="H2611" s="403"/>
      <c r="I2611" s="404"/>
      <c r="K2611" s="224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413" t="s">
        <v>18</v>
      </c>
      <c r="D2613" s="413"/>
      <c r="E2613" s="413"/>
      <c r="F2613" s="413"/>
      <c r="G2613" s="414"/>
    </row>
    <row r="2614" spans="2:16" x14ac:dyDescent="0.3">
      <c r="B2614" s="112" t="s">
        <v>6</v>
      </c>
      <c r="C2614" s="415" t="s">
        <v>1</v>
      </c>
      <c r="D2614" s="416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411"/>
      <c r="D2615" s="412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411"/>
      <c r="D2616" s="412"/>
      <c r="E2616" s="125"/>
      <c r="F2616" s="72"/>
      <c r="G2616" s="74"/>
      <c r="I2616" s="84">
        <v>0</v>
      </c>
      <c r="K2616" s="84">
        <f>+F2616*I2616</f>
        <v>0</v>
      </c>
      <c r="L2616" s="116">
        <f>E2616*I2616</f>
        <v>0</v>
      </c>
    </row>
    <row r="2617" spans="2:16" x14ac:dyDescent="0.3">
      <c r="B2617" s="74"/>
      <c r="C2617" s="411"/>
      <c r="D2617" s="412"/>
      <c r="E2617" s="125"/>
      <c r="F2617" s="72"/>
      <c r="G2617" s="74"/>
      <c r="I2617" s="84">
        <v>0</v>
      </c>
      <c r="K2617" s="84">
        <f>+F2617*I2617</f>
        <v>0</v>
      </c>
      <c r="L2617" s="116">
        <f>E2617*I2617</f>
        <v>0</v>
      </c>
    </row>
    <row r="2618" spans="2:16" ht="17.25" thickBot="1" x14ac:dyDescent="0.35">
      <c r="L2618" s="116"/>
    </row>
    <row r="2619" spans="2:16" ht="17.25" thickBot="1" x14ac:dyDescent="0.35">
      <c r="F2619" s="402" t="s">
        <v>19</v>
      </c>
      <c r="G2619" s="403"/>
      <c r="H2619" s="403"/>
      <c r="I2619" s="404"/>
      <c r="K2619" s="224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127"/>
      <c r="H2620" s="128"/>
      <c r="I2620" s="106"/>
      <c r="K2620" s="225"/>
    </row>
    <row r="2621" spans="2:16" ht="15" customHeight="1" thickBot="1" x14ac:dyDescent="0.35"/>
    <row r="2622" spans="2:16" ht="17.25" thickBot="1" x14ac:dyDescent="0.35">
      <c r="F2622" s="402" t="s">
        <v>20</v>
      </c>
      <c r="G2622" s="403"/>
      <c r="H2622" s="403"/>
      <c r="I2622" s="404"/>
      <c r="K2622" s="224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402" t="s">
        <v>21</v>
      </c>
      <c r="G2624" s="403"/>
      <c r="H2624" s="403"/>
      <c r="I2624" s="404"/>
      <c r="K2624" s="224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402" t="s">
        <v>22</v>
      </c>
      <c r="G2626" s="403"/>
      <c r="H2626" s="403"/>
      <c r="I2626" s="404"/>
      <c r="K2626" s="224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127"/>
      <c r="H2627" s="128"/>
      <c r="I2627" s="106"/>
      <c r="K2627" s="226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127"/>
      <c r="H2628" s="128"/>
      <c r="I2628" s="106"/>
      <c r="K2628" s="227"/>
      <c r="L2628" s="129"/>
      <c r="M2628" s="132"/>
      <c r="N2628" s="133"/>
    </row>
    <row r="2629" spans="1:16" ht="17.25" thickBot="1" x14ac:dyDescent="0.35">
      <c r="B2629" s="405"/>
      <c r="C2629" s="405"/>
      <c r="D2629" s="405"/>
    </row>
    <row r="2630" spans="1:16" x14ac:dyDescent="0.3">
      <c r="B2630" s="406" t="s">
        <v>23</v>
      </c>
      <c r="C2630" s="406"/>
      <c r="D2630" s="406"/>
    </row>
    <row r="2631" spans="1:16" x14ac:dyDescent="0.3">
      <c r="B2631" s="155"/>
      <c r="C2631" s="155"/>
      <c r="D2631" s="155"/>
    </row>
    <row r="2632" spans="1:16" x14ac:dyDescent="0.3">
      <c r="B2632" s="155"/>
      <c r="C2632" s="155"/>
      <c r="D2632" s="155"/>
    </row>
    <row r="2633" spans="1:16" x14ac:dyDescent="0.3">
      <c r="B2633" s="103" t="s">
        <v>43</v>
      </c>
      <c r="C2633" s="104"/>
      <c r="D2633" s="422" t="s">
        <v>1</v>
      </c>
      <c r="E2633" s="422"/>
      <c r="F2633" s="422"/>
      <c r="G2633" s="422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09">
        <f>CATALOGO!B79</f>
        <v>1002.01</v>
      </c>
      <c r="C2634" s="71"/>
      <c r="D2634" s="437" t="str">
        <f>CATALOGO!C79</f>
        <v>LAVAMANOS EMPOTRADO</v>
      </c>
      <c r="E2634" s="437"/>
      <c r="F2634" s="437"/>
      <c r="G2634" s="437"/>
      <c r="H2634" s="71"/>
      <c r="I2634" s="209">
        <f>CATALOGO!D79</f>
        <v>2</v>
      </c>
      <c r="J2634" s="107"/>
      <c r="K2634" s="222" t="str">
        <f>CATALOGO!G79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413" t="s">
        <v>5</v>
      </c>
      <c r="D2636" s="413"/>
      <c r="E2636" s="413"/>
      <c r="F2636" s="413"/>
      <c r="G2636" s="414"/>
    </row>
    <row r="2637" spans="1:16" x14ac:dyDescent="0.25">
      <c r="B2637" s="109" t="s">
        <v>6</v>
      </c>
      <c r="C2637" s="424" t="s">
        <v>1</v>
      </c>
      <c r="D2637" s="425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3" t="s">
        <v>8</v>
      </c>
      <c r="L2637" s="113" t="s">
        <v>193</v>
      </c>
      <c r="O2637" s="438"/>
      <c r="P2637" s="438"/>
    </row>
    <row r="2638" spans="1:16" ht="17.25" customHeight="1" x14ac:dyDescent="0.25">
      <c r="B2638" s="120">
        <v>1</v>
      </c>
      <c r="C2638" s="407" t="s">
        <v>391</v>
      </c>
      <c r="D2638" s="408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80">E2638*I2638</f>
        <v>1400</v>
      </c>
      <c r="O2638" s="44"/>
      <c r="P2638" s="45"/>
    </row>
    <row r="2639" spans="1:16" ht="16.5" customHeight="1" x14ac:dyDescent="0.3">
      <c r="B2639" s="120">
        <v>2</v>
      </c>
      <c r="C2639" s="430" t="s">
        <v>95</v>
      </c>
      <c r="D2639" s="429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81">+F2639*I2639</f>
        <v>10</v>
      </c>
      <c r="L2639" s="116">
        <f t="shared" si="80"/>
        <v>20</v>
      </c>
      <c r="P2639" s="45"/>
    </row>
    <row r="2640" spans="1:16" x14ac:dyDescent="0.3">
      <c r="B2640" s="120">
        <v>3</v>
      </c>
      <c r="C2640" s="430" t="s">
        <v>589</v>
      </c>
      <c r="D2640" s="429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81"/>
        <v>250</v>
      </c>
      <c r="L2640" s="116">
        <f t="shared" si="80"/>
        <v>500</v>
      </c>
      <c r="O2640" s="48"/>
      <c r="P2640" s="49"/>
    </row>
    <row r="2641" spans="2:16" x14ac:dyDescent="0.3">
      <c r="B2641" s="120"/>
      <c r="C2641" s="430"/>
      <c r="D2641" s="429"/>
      <c r="E2641" s="114"/>
      <c r="F2641" s="83"/>
      <c r="G2641" s="74"/>
      <c r="I2641" s="115">
        <f>IF(C2641=0,0,VLOOKUP(C2641,Tabla1[],3,FALSE))</f>
        <v>0</v>
      </c>
      <c r="K2641" s="84">
        <f t="shared" si="81"/>
        <v>0</v>
      </c>
      <c r="L2641" s="116">
        <f t="shared" si="80"/>
        <v>0</v>
      </c>
      <c r="O2641" s="48"/>
      <c r="P2641" s="49"/>
    </row>
    <row r="2642" spans="2:16" x14ac:dyDescent="0.3">
      <c r="B2642" s="120"/>
      <c r="C2642" s="430"/>
      <c r="D2642" s="429"/>
      <c r="E2642" s="114"/>
      <c r="F2642" s="83"/>
      <c r="G2642" s="74"/>
      <c r="I2642" s="115">
        <f>IF(C2642=0,0,VLOOKUP(C2642,Tabla1[],3,FALSE))</f>
        <v>0</v>
      </c>
      <c r="K2642" s="84">
        <f t="shared" si="81"/>
        <v>0</v>
      </c>
      <c r="L2642" s="116">
        <f t="shared" si="80"/>
        <v>0</v>
      </c>
      <c r="O2642" s="48"/>
      <c r="P2642" s="49"/>
    </row>
    <row r="2643" spans="2:16" x14ac:dyDescent="0.3">
      <c r="B2643" s="120"/>
      <c r="C2643" s="430"/>
      <c r="D2643" s="429"/>
      <c r="E2643" s="114"/>
      <c r="F2643" s="83"/>
      <c r="G2643" s="74"/>
      <c r="I2643" s="115">
        <f>IF(C2643=0,0,VLOOKUP(C2643,Tabla1[],3,FALSE))</f>
        <v>0</v>
      </c>
      <c r="K2643" s="84">
        <f t="shared" si="81"/>
        <v>0</v>
      </c>
      <c r="L2643" s="116">
        <f t="shared" si="80"/>
        <v>0</v>
      </c>
      <c r="O2643" s="48"/>
      <c r="P2643" s="49"/>
    </row>
    <row r="2644" spans="2:16" x14ac:dyDescent="0.3">
      <c r="B2644" s="120"/>
      <c r="C2644" s="430"/>
      <c r="D2644" s="429"/>
      <c r="E2644" s="114"/>
      <c r="F2644" s="83"/>
      <c r="G2644" s="74"/>
      <c r="I2644" s="115">
        <f>IF(C2644=0,0,VLOOKUP(C2644,Tabla1[],3,FALSE))</f>
        <v>0</v>
      </c>
      <c r="K2644" s="84">
        <f t="shared" si="81"/>
        <v>0</v>
      </c>
      <c r="L2644" s="116">
        <f t="shared" si="80"/>
        <v>0</v>
      </c>
      <c r="O2644" s="48"/>
      <c r="P2644" s="49"/>
    </row>
    <row r="2645" spans="2:16" x14ac:dyDescent="0.3">
      <c r="B2645" s="120"/>
      <c r="C2645" s="428"/>
      <c r="D2645" s="429"/>
      <c r="E2645" s="114"/>
      <c r="F2645" s="83"/>
      <c r="G2645" s="74"/>
      <c r="I2645" s="115">
        <f>IF(C2645=0,0,VLOOKUP(C2645,Tabla1[],3,FALSE))</f>
        <v>0</v>
      </c>
      <c r="K2645" s="84">
        <f t="shared" si="81"/>
        <v>0</v>
      </c>
      <c r="L2645" s="116">
        <f t="shared" si="80"/>
        <v>0</v>
      </c>
      <c r="O2645" s="48"/>
      <c r="P2645" s="49"/>
    </row>
    <row r="2646" spans="2:16" x14ac:dyDescent="0.3">
      <c r="B2646" s="120"/>
      <c r="C2646" s="431"/>
      <c r="D2646" s="432"/>
      <c r="E2646" s="114"/>
      <c r="F2646" s="83"/>
      <c r="G2646" s="74"/>
      <c r="I2646" s="115">
        <f>IF(C2646=0,0,VLOOKUP(C2646,Tabla1[],3,FALSE))</f>
        <v>0</v>
      </c>
      <c r="K2646" s="84">
        <f t="shared" si="81"/>
        <v>0</v>
      </c>
      <c r="L2646" s="116">
        <f t="shared" si="80"/>
        <v>0</v>
      </c>
      <c r="O2646" s="48"/>
      <c r="P2646" s="49"/>
    </row>
    <row r="2647" spans="2:16" x14ac:dyDescent="0.3">
      <c r="B2647" s="120"/>
      <c r="C2647" s="430"/>
      <c r="D2647" s="429"/>
      <c r="E2647" s="114"/>
      <c r="F2647" s="83"/>
      <c r="G2647" s="74"/>
      <c r="I2647" s="115">
        <f>IF(C2647=0,0,VLOOKUP(C2647,Tabla1[],3,FALSE))</f>
        <v>0</v>
      </c>
      <c r="K2647" s="84">
        <f t="shared" si="81"/>
        <v>0</v>
      </c>
      <c r="L2647" s="116">
        <f t="shared" si="80"/>
        <v>0</v>
      </c>
      <c r="O2647" s="48"/>
      <c r="P2647" s="49"/>
    </row>
    <row r="2648" spans="2:16" ht="17.25" thickBot="1" x14ac:dyDescent="0.35"/>
    <row r="2649" spans="2:16" ht="17.25" thickBot="1" x14ac:dyDescent="0.3">
      <c r="F2649" s="402" t="s">
        <v>9</v>
      </c>
      <c r="G2649" s="403"/>
      <c r="H2649" s="403"/>
      <c r="I2649" s="404"/>
      <c r="K2649" s="224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413" t="s">
        <v>11</v>
      </c>
      <c r="D2651" s="413"/>
      <c r="E2651" s="413"/>
      <c r="F2651" s="413"/>
      <c r="G2651" s="414"/>
    </row>
    <row r="2652" spans="2:16" x14ac:dyDescent="0.3">
      <c r="B2652" s="112" t="s">
        <v>6</v>
      </c>
      <c r="C2652" s="415" t="s">
        <v>1</v>
      </c>
      <c r="D2652" s="416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409"/>
      <c r="D2653" s="409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431"/>
      <c r="D2654" s="432"/>
      <c r="E2654" s="119"/>
      <c r="F2654" s="72"/>
      <c r="G2654" s="74"/>
      <c r="I2654" s="115">
        <f>IF(C2654=0,0,VLOOKUP(C2654,Tabla3[],3,FALSE))</f>
        <v>0</v>
      </c>
      <c r="K2654" s="84">
        <f>+F2654*I2654</f>
        <v>0</v>
      </c>
      <c r="L2654" s="116">
        <f>E2654*I2654</f>
        <v>0</v>
      </c>
    </row>
    <row r="2655" spans="2:16" x14ac:dyDescent="0.3">
      <c r="B2655" s="74"/>
      <c r="C2655" s="431"/>
      <c r="D2655" s="432"/>
      <c r="E2655" s="119"/>
      <c r="F2655" s="72"/>
      <c r="G2655" s="74"/>
      <c r="I2655" s="115">
        <f>IF(C2655=0,0,VLOOKUP(C2655,Tabla3[],3,FALSE))</f>
        <v>0</v>
      </c>
      <c r="K2655" s="84">
        <f>+F2655*I2655</f>
        <v>0</v>
      </c>
      <c r="L2655" s="116">
        <f>E2655*I2655</f>
        <v>0</v>
      </c>
    </row>
    <row r="2656" spans="2:16" x14ac:dyDescent="0.3">
      <c r="B2656" s="74"/>
      <c r="C2656" s="411"/>
      <c r="D2656" s="412"/>
      <c r="E2656" s="119"/>
      <c r="F2656" s="72"/>
      <c r="G2656" s="74"/>
      <c r="I2656" s="115">
        <f>IF(C2656=0,0,VLOOKUP(C2656,Tabla3[],3,FALSE))</f>
        <v>0</v>
      </c>
      <c r="K2656" s="84">
        <f>+F2656*I2656</f>
        <v>0</v>
      </c>
      <c r="L2656" s="116">
        <f>E2656*I2656</f>
        <v>0</v>
      </c>
    </row>
    <row r="2657" spans="2:12" ht="17.25" thickBot="1" x14ac:dyDescent="0.35"/>
    <row r="2658" spans="2:12" ht="17.25" thickBot="1" x14ac:dyDescent="0.35">
      <c r="F2658" s="402" t="s">
        <v>12</v>
      </c>
      <c r="G2658" s="403"/>
      <c r="H2658" s="403"/>
      <c r="I2658" s="404"/>
      <c r="K2658" s="224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413" t="s">
        <v>14</v>
      </c>
      <c r="D2660" s="413"/>
      <c r="E2660" s="413"/>
      <c r="F2660" s="413"/>
      <c r="G2660" s="414"/>
    </row>
    <row r="2661" spans="2:12" x14ac:dyDescent="0.3">
      <c r="B2661" s="112" t="s">
        <v>6</v>
      </c>
      <c r="C2661" s="415" t="s">
        <v>1</v>
      </c>
      <c r="D2661" s="416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409" t="s">
        <v>343</v>
      </c>
      <c r="D2662" s="409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409"/>
      <c r="D2663" s="409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417"/>
      <c r="D2664" s="418"/>
      <c r="E2664" s="122"/>
      <c r="F2664" s="123"/>
      <c r="G2664" s="74"/>
      <c r="I2664" s="115">
        <f>IF(C2664=0,0,VLOOKUP(C2664,Tabla2[],3,FALSE))</f>
        <v>0</v>
      </c>
      <c r="K2664" s="84">
        <f>+F2664*I2664</f>
        <v>0</v>
      </c>
      <c r="L2664" s="116">
        <f>E2664*I2664</f>
        <v>0</v>
      </c>
    </row>
    <row r="2665" spans="2:12" ht="17.25" thickBot="1" x14ac:dyDescent="0.35">
      <c r="B2665" s="419" t="s">
        <v>15</v>
      </c>
      <c r="C2665" s="420"/>
      <c r="D2665" s="420"/>
      <c r="E2665" s="420"/>
      <c r="F2665" s="420"/>
      <c r="G2665" s="421"/>
      <c r="I2665" s="84">
        <v>0</v>
      </c>
      <c r="K2665" s="84">
        <v>0</v>
      </c>
      <c r="L2665" s="116">
        <f>E2665*I2665</f>
        <v>0</v>
      </c>
    </row>
    <row r="2666" spans="2:12" ht="17.25" thickBot="1" x14ac:dyDescent="0.35"/>
    <row r="2667" spans="2:12" ht="17.25" thickBot="1" x14ac:dyDescent="0.35">
      <c r="F2667" s="402" t="s">
        <v>16</v>
      </c>
      <c r="G2667" s="403"/>
      <c r="H2667" s="403"/>
      <c r="I2667" s="404"/>
      <c r="K2667" s="224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413" t="s">
        <v>18</v>
      </c>
      <c r="D2669" s="413"/>
      <c r="E2669" s="413"/>
      <c r="F2669" s="413"/>
      <c r="G2669" s="414"/>
    </row>
    <row r="2670" spans="2:12" x14ac:dyDescent="0.3">
      <c r="B2670" s="112" t="s">
        <v>6</v>
      </c>
      <c r="C2670" s="415" t="s">
        <v>1</v>
      </c>
      <c r="D2670" s="416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411"/>
      <c r="D2671" s="412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411"/>
      <c r="D2672" s="412"/>
      <c r="E2672" s="125"/>
      <c r="F2672" s="72"/>
      <c r="G2672" s="74"/>
      <c r="I2672" s="84">
        <v>0</v>
      </c>
      <c r="K2672" s="84">
        <f>+F2672*I2672</f>
        <v>0</v>
      </c>
      <c r="L2672" s="116">
        <f>E2672*I2672</f>
        <v>0</v>
      </c>
    </row>
    <row r="2673" spans="2:16" x14ac:dyDescent="0.3">
      <c r="B2673" s="74"/>
      <c r="C2673" s="411"/>
      <c r="D2673" s="412"/>
      <c r="E2673" s="125"/>
      <c r="F2673" s="72"/>
      <c r="G2673" s="74"/>
      <c r="I2673" s="84">
        <v>0</v>
      </c>
      <c r="K2673" s="84">
        <f>+F2673*I2673</f>
        <v>0</v>
      </c>
      <c r="L2673" s="116">
        <f>E2673*I2673</f>
        <v>0</v>
      </c>
    </row>
    <row r="2674" spans="2:16" ht="17.25" thickBot="1" x14ac:dyDescent="0.35">
      <c r="L2674" s="116"/>
    </row>
    <row r="2675" spans="2:16" ht="17.25" thickBot="1" x14ac:dyDescent="0.35">
      <c r="F2675" s="402" t="s">
        <v>19</v>
      </c>
      <c r="G2675" s="403"/>
      <c r="H2675" s="403"/>
      <c r="I2675" s="404"/>
      <c r="K2675" s="224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127"/>
      <c r="H2676" s="128"/>
      <c r="I2676" s="106"/>
      <c r="K2676" s="225"/>
    </row>
    <row r="2677" spans="2:16" ht="15" customHeight="1" thickBot="1" x14ac:dyDescent="0.35"/>
    <row r="2678" spans="2:16" ht="17.25" thickBot="1" x14ac:dyDescent="0.35">
      <c r="F2678" s="402" t="s">
        <v>20</v>
      </c>
      <c r="G2678" s="403"/>
      <c r="H2678" s="403"/>
      <c r="I2678" s="404"/>
      <c r="K2678" s="224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402" t="s">
        <v>21</v>
      </c>
      <c r="G2680" s="403"/>
      <c r="H2680" s="403"/>
      <c r="I2680" s="404"/>
      <c r="K2680" s="224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402" t="s">
        <v>22</v>
      </c>
      <c r="G2682" s="403"/>
      <c r="H2682" s="403"/>
      <c r="I2682" s="404"/>
      <c r="K2682" s="224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127"/>
      <c r="H2683" s="128"/>
      <c r="I2683" s="106"/>
      <c r="K2683" s="226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127"/>
      <c r="H2684" s="128"/>
      <c r="I2684" s="106"/>
      <c r="K2684" s="227"/>
      <c r="L2684" s="129"/>
      <c r="M2684" s="132"/>
      <c r="N2684" s="133"/>
    </row>
    <row r="2685" spans="2:16" ht="17.25" thickBot="1" x14ac:dyDescent="0.35">
      <c r="B2685" s="405"/>
      <c r="C2685" s="405"/>
      <c r="D2685" s="405"/>
    </row>
    <row r="2686" spans="2:16" x14ac:dyDescent="0.3">
      <c r="B2686" s="406" t="s">
        <v>23</v>
      </c>
      <c r="C2686" s="406"/>
      <c r="D2686" s="406"/>
    </row>
    <row r="2687" spans="2:16" x14ac:dyDescent="0.3">
      <c r="B2687" s="155"/>
      <c r="C2687" s="155"/>
      <c r="D2687" s="155"/>
    </row>
    <row r="2688" spans="2:16" x14ac:dyDescent="0.3">
      <c r="B2688" s="155"/>
      <c r="C2688" s="155"/>
      <c r="D2688" s="155"/>
    </row>
    <row r="2689" spans="1:16" x14ac:dyDescent="0.3">
      <c r="B2689" s="103" t="s">
        <v>43</v>
      </c>
      <c r="C2689" s="104"/>
      <c r="D2689" s="422" t="s">
        <v>1</v>
      </c>
      <c r="E2689" s="422"/>
      <c r="F2689" s="422"/>
      <c r="G2689" s="422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09">
        <f>CATALOGO!B80</f>
        <v>1007.01</v>
      </c>
      <c r="C2690" s="71"/>
      <c r="D2690" s="437" t="str">
        <f>CATALOGO!C80</f>
        <v>ESPEJO SIN MARCO</v>
      </c>
      <c r="E2690" s="437"/>
      <c r="F2690" s="437"/>
      <c r="G2690" s="437"/>
      <c r="H2690" s="71"/>
      <c r="I2690" s="209">
        <f>CATALOGO!D80</f>
        <v>2</v>
      </c>
      <c r="J2690" s="107"/>
      <c r="K2690" s="222" t="str">
        <f>CATALOGO!G80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413" t="s">
        <v>5</v>
      </c>
      <c r="D2692" s="413"/>
      <c r="E2692" s="413"/>
      <c r="F2692" s="413"/>
      <c r="G2692" s="414"/>
    </row>
    <row r="2693" spans="1:16" x14ac:dyDescent="0.25">
      <c r="B2693" s="109" t="s">
        <v>6</v>
      </c>
      <c r="C2693" s="424" t="s">
        <v>1</v>
      </c>
      <c r="D2693" s="425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3" t="s">
        <v>8</v>
      </c>
      <c r="L2693" s="113" t="s">
        <v>193</v>
      </c>
      <c r="O2693" s="438"/>
      <c r="P2693" s="438"/>
    </row>
    <row r="2694" spans="1:16" ht="17.25" customHeight="1" x14ac:dyDescent="0.25">
      <c r="B2694" s="120">
        <v>1</v>
      </c>
      <c r="C2694" s="407" t="s">
        <v>590</v>
      </c>
      <c r="D2694" s="408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82">E2694*I2694</f>
        <v>590</v>
      </c>
      <c r="O2694" s="44"/>
      <c r="P2694" s="45"/>
    </row>
    <row r="2695" spans="1:16" ht="16.5" customHeight="1" x14ac:dyDescent="0.3">
      <c r="B2695" s="120"/>
      <c r="C2695" s="430"/>
      <c r="D2695" s="429"/>
      <c r="E2695" s="114"/>
      <c r="F2695" s="83"/>
      <c r="G2695" s="74"/>
      <c r="I2695" s="115">
        <f>IF(C2695=0,0,VLOOKUP(C2695,Tabla1[],3,FALSE))</f>
        <v>0</v>
      </c>
      <c r="K2695" s="84">
        <f t="shared" ref="K2695:K2703" si="83">+F2695*I2695</f>
        <v>0</v>
      </c>
      <c r="L2695" s="116">
        <f t="shared" si="82"/>
        <v>0</v>
      </c>
      <c r="P2695" s="45"/>
    </row>
    <row r="2696" spans="1:16" x14ac:dyDescent="0.3">
      <c r="B2696" s="120"/>
      <c r="C2696" s="430"/>
      <c r="D2696" s="429"/>
      <c r="E2696" s="114"/>
      <c r="F2696" s="83"/>
      <c r="G2696" s="74"/>
      <c r="I2696" s="115">
        <f>IF(C2696=0,0,VLOOKUP(C2696,Tabla1[],3,FALSE))</f>
        <v>0</v>
      </c>
      <c r="K2696" s="84">
        <f t="shared" si="83"/>
        <v>0</v>
      </c>
      <c r="L2696" s="116">
        <f t="shared" si="82"/>
        <v>0</v>
      </c>
      <c r="O2696" s="48"/>
      <c r="P2696" s="49"/>
    </row>
    <row r="2697" spans="1:16" x14ac:dyDescent="0.3">
      <c r="B2697" s="120"/>
      <c r="C2697" s="430"/>
      <c r="D2697" s="429"/>
      <c r="E2697" s="114"/>
      <c r="F2697" s="83"/>
      <c r="G2697" s="74"/>
      <c r="I2697" s="115">
        <f>IF(C2697=0,0,VLOOKUP(C2697,Tabla1[],3,FALSE))</f>
        <v>0</v>
      </c>
      <c r="K2697" s="84">
        <f t="shared" si="83"/>
        <v>0</v>
      </c>
      <c r="L2697" s="116">
        <f t="shared" si="82"/>
        <v>0</v>
      </c>
      <c r="O2697" s="48"/>
      <c r="P2697" s="49"/>
    </row>
    <row r="2698" spans="1:16" x14ac:dyDescent="0.3">
      <c r="B2698" s="120"/>
      <c r="C2698" s="430"/>
      <c r="D2698" s="429"/>
      <c r="E2698" s="114"/>
      <c r="F2698" s="83"/>
      <c r="G2698" s="74"/>
      <c r="I2698" s="115">
        <f>IF(C2698=0,0,VLOOKUP(C2698,Tabla1[],3,FALSE))</f>
        <v>0</v>
      </c>
      <c r="K2698" s="84">
        <f t="shared" si="83"/>
        <v>0</v>
      </c>
      <c r="L2698" s="116">
        <f t="shared" si="82"/>
        <v>0</v>
      </c>
      <c r="O2698" s="48"/>
      <c r="P2698" s="49"/>
    </row>
    <row r="2699" spans="1:16" x14ac:dyDescent="0.3">
      <c r="B2699" s="120"/>
      <c r="C2699" s="430"/>
      <c r="D2699" s="429"/>
      <c r="E2699" s="114"/>
      <c r="F2699" s="83"/>
      <c r="G2699" s="74"/>
      <c r="I2699" s="115">
        <f>IF(C2699=0,0,VLOOKUP(C2699,Tabla1[],3,FALSE))</f>
        <v>0</v>
      </c>
      <c r="K2699" s="84">
        <f t="shared" si="83"/>
        <v>0</v>
      </c>
      <c r="L2699" s="116">
        <f t="shared" si="82"/>
        <v>0</v>
      </c>
      <c r="O2699" s="48"/>
      <c r="P2699" s="49"/>
    </row>
    <row r="2700" spans="1:16" x14ac:dyDescent="0.3">
      <c r="B2700" s="120"/>
      <c r="C2700" s="430"/>
      <c r="D2700" s="429"/>
      <c r="E2700" s="114"/>
      <c r="F2700" s="83"/>
      <c r="G2700" s="74"/>
      <c r="I2700" s="115">
        <f>IF(C2700=0,0,VLOOKUP(C2700,Tabla1[],3,FALSE))</f>
        <v>0</v>
      </c>
      <c r="K2700" s="84">
        <f t="shared" si="83"/>
        <v>0</v>
      </c>
      <c r="L2700" s="116">
        <f t="shared" si="82"/>
        <v>0</v>
      </c>
      <c r="O2700" s="48"/>
      <c r="P2700" s="49"/>
    </row>
    <row r="2701" spans="1:16" x14ac:dyDescent="0.3">
      <c r="B2701" s="120"/>
      <c r="C2701" s="428"/>
      <c r="D2701" s="429"/>
      <c r="E2701" s="114"/>
      <c r="F2701" s="83"/>
      <c r="G2701" s="74"/>
      <c r="I2701" s="115">
        <f>IF(C2701=0,0,VLOOKUP(C2701,Tabla1[],3,FALSE))</f>
        <v>0</v>
      </c>
      <c r="K2701" s="84">
        <f t="shared" si="83"/>
        <v>0</v>
      </c>
      <c r="L2701" s="116">
        <f t="shared" si="82"/>
        <v>0</v>
      </c>
      <c r="O2701" s="48"/>
      <c r="P2701" s="49"/>
    </row>
    <row r="2702" spans="1:16" x14ac:dyDescent="0.3">
      <c r="B2702" s="120"/>
      <c r="C2702" s="431"/>
      <c r="D2702" s="432"/>
      <c r="E2702" s="114"/>
      <c r="F2702" s="83"/>
      <c r="G2702" s="74"/>
      <c r="I2702" s="115">
        <f>IF(C2702=0,0,VLOOKUP(C2702,Tabla1[],3,FALSE))</f>
        <v>0</v>
      </c>
      <c r="K2702" s="84">
        <f t="shared" si="83"/>
        <v>0</v>
      </c>
      <c r="L2702" s="116">
        <f t="shared" si="82"/>
        <v>0</v>
      </c>
      <c r="O2702" s="48"/>
      <c r="P2702" s="49"/>
    </row>
    <row r="2703" spans="1:16" x14ac:dyDescent="0.3">
      <c r="B2703" s="120"/>
      <c r="C2703" s="430"/>
      <c r="D2703" s="429"/>
      <c r="E2703" s="114"/>
      <c r="F2703" s="83"/>
      <c r="G2703" s="74"/>
      <c r="I2703" s="115">
        <f>IF(C2703=0,0,VLOOKUP(C2703,Tabla1[],3,FALSE))</f>
        <v>0</v>
      </c>
      <c r="K2703" s="84">
        <f t="shared" si="83"/>
        <v>0</v>
      </c>
      <c r="L2703" s="116">
        <f t="shared" si="82"/>
        <v>0</v>
      </c>
      <c r="O2703" s="48"/>
      <c r="P2703" s="49"/>
    </row>
    <row r="2704" spans="1:16" ht="17.25" thickBot="1" x14ac:dyDescent="0.35"/>
    <row r="2705" spans="2:16" ht="17.25" thickBot="1" x14ac:dyDescent="0.3">
      <c r="F2705" s="402" t="s">
        <v>9</v>
      </c>
      <c r="G2705" s="403"/>
      <c r="H2705" s="403"/>
      <c r="I2705" s="404"/>
      <c r="K2705" s="224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413" t="s">
        <v>11</v>
      </c>
      <c r="D2707" s="413"/>
      <c r="E2707" s="413"/>
      <c r="F2707" s="413"/>
      <c r="G2707" s="414"/>
    </row>
    <row r="2708" spans="2:16" x14ac:dyDescent="0.3">
      <c r="B2708" s="112" t="s">
        <v>6</v>
      </c>
      <c r="C2708" s="415" t="s">
        <v>1</v>
      </c>
      <c r="D2708" s="416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409"/>
      <c r="D2709" s="409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431"/>
      <c r="D2710" s="432"/>
      <c r="E2710" s="119"/>
      <c r="F2710" s="72"/>
      <c r="G2710" s="74"/>
      <c r="I2710" s="115">
        <f>IF(C2710=0,0,VLOOKUP(C2710,Tabla3[],3,FALSE))</f>
        <v>0</v>
      </c>
      <c r="K2710" s="84">
        <f>+F2710*I2710</f>
        <v>0</v>
      </c>
      <c r="L2710" s="116">
        <f>E2710*I2710</f>
        <v>0</v>
      </c>
    </row>
    <row r="2711" spans="2:16" x14ac:dyDescent="0.3">
      <c r="B2711" s="74"/>
      <c r="C2711" s="431"/>
      <c r="D2711" s="432"/>
      <c r="E2711" s="119"/>
      <c r="F2711" s="72"/>
      <c r="G2711" s="74"/>
      <c r="I2711" s="115">
        <f>IF(C2711=0,0,VLOOKUP(C2711,Tabla3[],3,FALSE))</f>
        <v>0</v>
      </c>
      <c r="K2711" s="84">
        <f>+F2711*I2711</f>
        <v>0</v>
      </c>
      <c r="L2711" s="116">
        <f>E2711*I2711</f>
        <v>0</v>
      </c>
    </row>
    <row r="2712" spans="2:16" x14ac:dyDescent="0.3">
      <c r="B2712" s="74"/>
      <c r="C2712" s="411"/>
      <c r="D2712" s="412"/>
      <c r="E2712" s="119"/>
      <c r="F2712" s="72"/>
      <c r="G2712" s="74"/>
      <c r="I2712" s="115">
        <f>IF(C2712=0,0,VLOOKUP(C2712,Tabla3[],3,FALSE))</f>
        <v>0</v>
      </c>
      <c r="K2712" s="84">
        <f>+F2712*I2712</f>
        <v>0</v>
      </c>
      <c r="L2712" s="116">
        <f>E2712*I2712</f>
        <v>0</v>
      </c>
    </row>
    <row r="2713" spans="2:16" ht="17.25" thickBot="1" x14ac:dyDescent="0.35"/>
    <row r="2714" spans="2:16" ht="17.25" thickBot="1" x14ac:dyDescent="0.35">
      <c r="F2714" s="402" t="s">
        <v>12</v>
      </c>
      <c r="G2714" s="403"/>
      <c r="H2714" s="403"/>
      <c r="I2714" s="404"/>
      <c r="K2714" s="224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413" t="s">
        <v>14</v>
      </c>
      <c r="D2716" s="413"/>
      <c r="E2716" s="413"/>
      <c r="F2716" s="413"/>
      <c r="G2716" s="414"/>
    </row>
    <row r="2717" spans="2:16" x14ac:dyDescent="0.3">
      <c r="B2717" s="112" t="s">
        <v>6</v>
      </c>
      <c r="C2717" s="415" t="s">
        <v>1</v>
      </c>
      <c r="D2717" s="416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409" t="s">
        <v>591</v>
      </c>
      <c r="D2718" s="409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409"/>
      <c r="D2719" s="409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417"/>
      <c r="D2720" s="418"/>
      <c r="E2720" s="122"/>
      <c r="F2720" s="123"/>
      <c r="G2720" s="74"/>
      <c r="I2720" s="115">
        <f>IF(C2720=0,0,VLOOKUP(C2720,Tabla2[],3,FALSE))</f>
        <v>0</v>
      </c>
      <c r="K2720" s="84">
        <f>+F2720*I2720</f>
        <v>0</v>
      </c>
      <c r="L2720" s="116">
        <f>E2720*I2720</f>
        <v>0</v>
      </c>
    </row>
    <row r="2721" spans="2:16" ht="17.25" thickBot="1" x14ac:dyDescent="0.35">
      <c r="B2721" s="419" t="s">
        <v>15</v>
      </c>
      <c r="C2721" s="420"/>
      <c r="D2721" s="420"/>
      <c r="E2721" s="420"/>
      <c r="F2721" s="420"/>
      <c r="G2721" s="421"/>
      <c r="I2721" s="84">
        <v>0</v>
      </c>
      <c r="K2721" s="84">
        <v>0</v>
      </c>
      <c r="L2721" s="116">
        <f>E2721*I2721</f>
        <v>0</v>
      </c>
    </row>
    <row r="2722" spans="2:16" ht="17.25" thickBot="1" x14ac:dyDescent="0.35"/>
    <row r="2723" spans="2:16" ht="17.25" thickBot="1" x14ac:dyDescent="0.35">
      <c r="F2723" s="402" t="s">
        <v>16</v>
      </c>
      <c r="G2723" s="403"/>
      <c r="H2723" s="403"/>
      <c r="I2723" s="404"/>
      <c r="K2723" s="224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413" t="s">
        <v>18</v>
      </c>
      <c r="D2725" s="413"/>
      <c r="E2725" s="413"/>
      <c r="F2725" s="413"/>
      <c r="G2725" s="414"/>
    </row>
    <row r="2726" spans="2:16" x14ac:dyDescent="0.3">
      <c r="B2726" s="112" t="s">
        <v>6</v>
      </c>
      <c r="C2726" s="415" t="s">
        <v>1</v>
      </c>
      <c r="D2726" s="416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411"/>
      <c r="D2727" s="412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411"/>
      <c r="D2728" s="412"/>
      <c r="E2728" s="125"/>
      <c r="F2728" s="72"/>
      <c r="G2728" s="74"/>
      <c r="I2728" s="84">
        <v>0</v>
      </c>
      <c r="K2728" s="84">
        <f>+F2728*I2728</f>
        <v>0</v>
      </c>
      <c r="L2728" s="116">
        <f>E2728*I2728</f>
        <v>0</v>
      </c>
    </row>
    <row r="2729" spans="2:16" x14ac:dyDescent="0.3">
      <c r="B2729" s="74"/>
      <c r="C2729" s="411"/>
      <c r="D2729" s="412"/>
      <c r="E2729" s="125"/>
      <c r="F2729" s="72"/>
      <c r="G2729" s="74"/>
      <c r="I2729" s="84">
        <v>0</v>
      </c>
      <c r="K2729" s="84">
        <f>+F2729*I2729</f>
        <v>0</v>
      </c>
      <c r="L2729" s="116">
        <f>E2729*I2729</f>
        <v>0</v>
      </c>
    </row>
    <row r="2730" spans="2:16" ht="17.25" thickBot="1" x14ac:dyDescent="0.35">
      <c r="L2730" s="116"/>
    </row>
    <row r="2731" spans="2:16" ht="17.25" thickBot="1" x14ac:dyDescent="0.35">
      <c r="F2731" s="402" t="s">
        <v>19</v>
      </c>
      <c r="G2731" s="403"/>
      <c r="H2731" s="403"/>
      <c r="I2731" s="404"/>
      <c r="K2731" s="224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127"/>
      <c r="H2732" s="128"/>
      <c r="I2732" s="106"/>
      <c r="K2732" s="225"/>
    </row>
    <row r="2733" spans="2:16" ht="15" customHeight="1" thickBot="1" x14ac:dyDescent="0.35"/>
    <row r="2734" spans="2:16" ht="17.25" thickBot="1" x14ac:dyDescent="0.35">
      <c r="F2734" s="402" t="s">
        <v>20</v>
      </c>
      <c r="G2734" s="403"/>
      <c r="H2734" s="403"/>
      <c r="I2734" s="404"/>
      <c r="K2734" s="224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402" t="s">
        <v>21</v>
      </c>
      <c r="G2736" s="403"/>
      <c r="H2736" s="403"/>
      <c r="I2736" s="404"/>
      <c r="K2736" s="224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402" t="s">
        <v>22</v>
      </c>
      <c r="G2738" s="403"/>
      <c r="H2738" s="403"/>
      <c r="I2738" s="404"/>
      <c r="K2738" s="224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127"/>
      <c r="H2739" s="128"/>
      <c r="I2739" s="106"/>
      <c r="K2739" s="226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127"/>
      <c r="H2740" s="128"/>
      <c r="I2740" s="106"/>
      <c r="K2740" s="227"/>
      <c r="L2740" s="129"/>
      <c r="M2740" s="132"/>
      <c r="N2740" s="133"/>
    </row>
    <row r="2741" spans="1:16" ht="17.25" thickBot="1" x14ac:dyDescent="0.35">
      <c r="B2741" s="405"/>
      <c r="C2741" s="405"/>
      <c r="D2741" s="405"/>
    </row>
    <row r="2742" spans="1:16" x14ac:dyDescent="0.3">
      <c r="B2742" s="406" t="s">
        <v>23</v>
      </c>
      <c r="C2742" s="406"/>
      <c r="D2742" s="406"/>
    </row>
    <row r="2743" spans="1:16" x14ac:dyDescent="0.3">
      <c r="B2743" s="155"/>
      <c r="C2743" s="155"/>
      <c r="D2743" s="155"/>
    </row>
    <row r="2744" spans="1:16" x14ac:dyDescent="0.3">
      <c r="B2744" s="155"/>
      <c r="C2744" s="155"/>
      <c r="D2744" s="155"/>
    </row>
    <row r="2745" spans="1:16" x14ac:dyDescent="0.3">
      <c r="B2745" s="103" t="s">
        <v>43</v>
      </c>
      <c r="C2745" s="104"/>
      <c r="D2745" s="422" t="s">
        <v>1</v>
      </c>
      <c r="E2745" s="422"/>
      <c r="F2745" s="422"/>
      <c r="G2745" s="422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09">
        <f>CATALOGO!B81</f>
        <v>1007.02</v>
      </c>
      <c r="C2746" s="71"/>
      <c r="D2746" s="437" t="str">
        <f>CATALOGO!C81</f>
        <v>BOTE DE BASURA PLÁSTICO 20 LITROS</v>
      </c>
      <c r="E2746" s="437"/>
      <c r="F2746" s="437"/>
      <c r="G2746" s="437"/>
      <c r="H2746" s="71"/>
      <c r="I2746" s="209">
        <f>CATALOGO!D81</f>
        <v>3</v>
      </c>
      <c r="J2746" s="107"/>
      <c r="K2746" s="222" t="str">
        <f>CATALOGO!G81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413" t="s">
        <v>5</v>
      </c>
      <c r="D2748" s="413"/>
      <c r="E2748" s="413"/>
      <c r="F2748" s="413"/>
      <c r="G2748" s="414"/>
    </row>
    <row r="2749" spans="1:16" x14ac:dyDescent="0.25">
      <c r="B2749" s="109" t="s">
        <v>6</v>
      </c>
      <c r="C2749" s="424" t="s">
        <v>1</v>
      </c>
      <c r="D2749" s="425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3" t="s">
        <v>8</v>
      </c>
      <c r="L2749" s="113" t="s">
        <v>193</v>
      </c>
      <c r="O2749" s="438"/>
      <c r="P2749" s="438"/>
    </row>
    <row r="2750" spans="1:16" ht="17.25" customHeight="1" x14ac:dyDescent="0.25">
      <c r="B2750" s="120">
        <v>1</v>
      </c>
      <c r="C2750" s="407" t="s">
        <v>318</v>
      </c>
      <c r="D2750" s="408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84">E2750*I2750</f>
        <v>75</v>
      </c>
      <c r="O2750" s="44"/>
      <c r="P2750" s="45"/>
    </row>
    <row r="2751" spans="1:16" ht="16.5" customHeight="1" x14ac:dyDescent="0.3">
      <c r="B2751" s="120"/>
      <c r="C2751" s="430"/>
      <c r="D2751" s="429"/>
      <c r="E2751" s="114"/>
      <c r="F2751" s="83"/>
      <c r="G2751" s="74"/>
      <c r="I2751" s="115">
        <f>IF(C2751=0,0,VLOOKUP(C2751,Tabla1[],3,FALSE))</f>
        <v>0</v>
      </c>
      <c r="K2751" s="84">
        <f t="shared" ref="K2751:K2759" si="85">+F2751*I2751</f>
        <v>0</v>
      </c>
      <c r="L2751" s="116">
        <f t="shared" si="84"/>
        <v>0</v>
      </c>
      <c r="P2751" s="45"/>
    </row>
    <row r="2752" spans="1:16" x14ac:dyDescent="0.3">
      <c r="B2752" s="120"/>
      <c r="C2752" s="430"/>
      <c r="D2752" s="429"/>
      <c r="E2752" s="114"/>
      <c r="F2752" s="83"/>
      <c r="G2752" s="74"/>
      <c r="I2752" s="115">
        <f>IF(C2752=0,0,VLOOKUP(C2752,Tabla1[],3,FALSE))</f>
        <v>0</v>
      </c>
      <c r="K2752" s="84">
        <f t="shared" si="85"/>
        <v>0</v>
      </c>
      <c r="L2752" s="116">
        <f t="shared" si="84"/>
        <v>0</v>
      </c>
      <c r="O2752" s="48"/>
      <c r="P2752" s="49"/>
    </row>
    <row r="2753" spans="2:16" x14ac:dyDescent="0.3">
      <c r="B2753" s="120"/>
      <c r="C2753" s="430"/>
      <c r="D2753" s="429"/>
      <c r="E2753" s="114"/>
      <c r="F2753" s="83"/>
      <c r="G2753" s="74"/>
      <c r="I2753" s="115">
        <f>IF(C2753=0,0,VLOOKUP(C2753,Tabla1[],3,FALSE))</f>
        <v>0</v>
      </c>
      <c r="K2753" s="84">
        <f t="shared" si="85"/>
        <v>0</v>
      </c>
      <c r="L2753" s="116">
        <f t="shared" si="84"/>
        <v>0</v>
      </c>
      <c r="O2753" s="48"/>
      <c r="P2753" s="49"/>
    </row>
    <row r="2754" spans="2:16" x14ac:dyDescent="0.3">
      <c r="B2754" s="120"/>
      <c r="C2754" s="430"/>
      <c r="D2754" s="429"/>
      <c r="E2754" s="114"/>
      <c r="F2754" s="83"/>
      <c r="G2754" s="74"/>
      <c r="I2754" s="115">
        <f>IF(C2754=0,0,VLOOKUP(C2754,Tabla1[],3,FALSE))</f>
        <v>0</v>
      </c>
      <c r="K2754" s="84">
        <f t="shared" si="85"/>
        <v>0</v>
      </c>
      <c r="L2754" s="116">
        <f t="shared" si="84"/>
        <v>0</v>
      </c>
      <c r="O2754" s="48"/>
      <c r="P2754" s="49"/>
    </row>
    <row r="2755" spans="2:16" x14ac:dyDescent="0.3">
      <c r="B2755" s="120"/>
      <c r="C2755" s="430"/>
      <c r="D2755" s="429"/>
      <c r="E2755" s="114"/>
      <c r="F2755" s="83"/>
      <c r="G2755" s="74"/>
      <c r="I2755" s="115">
        <f>IF(C2755=0,0,VLOOKUP(C2755,Tabla1[],3,FALSE))</f>
        <v>0</v>
      </c>
      <c r="K2755" s="84">
        <f t="shared" si="85"/>
        <v>0</v>
      </c>
      <c r="L2755" s="116">
        <f t="shared" si="84"/>
        <v>0</v>
      </c>
      <c r="O2755" s="48"/>
      <c r="P2755" s="49"/>
    </row>
    <row r="2756" spans="2:16" x14ac:dyDescent="0.3">
      <c r="B2756" s="120"/>
      <c r="C2756" s="430"/>
      <c r="D2756" s="429"/>
      <c r="E2756" s="114"/>
      <c r="F2756" s="83"/>
      <c r="G2756" s="74"/>
      <c r="I2756" s="115">
        <f>IF(C2756=0,0,VLOOKUP(C2756,Tabla1[],3,FALSE))</f>
        <v>0</v>
      </c>
      <c r="K2756" s="84">
        <f t="shared" si="85"/>
        <v>0</v>
      </c>
      <c r="L2756" s="116">
        <f t="shared" si="84"/>
        <v>0</v>
      </c>
      <c r="O2756" s="48"/>
      <c r="P2756" s="49"/>
    </row>
    <row r="2757" spans="2:16" x14ac:dyDescent="0.3">
      <c r="B2757" s="120"/>
      <c r="C2757" s="428"/>
      <c r="D2757" s="429"/>
      <c r="E2757" s="114"/>
      <c r="F2757" s="83"/>
      <c r="G2757" s="74"/>
      <c r="I2757" s="115">
        <f>IF(C2757=0,0,VLOOKUP(C2757,Tabla1[],3,FALSE))</f>
        <v>0</v>
      </c>
      <c r="K2757" s="84">
        <f t="shared" si="85"/>
        <v>0</v>
      </c>
      <c r="L2757" s="116">
        <f t="shared" si="84"/>
        <v>0</v>
      </c>
      <c r="O2757" s="48"/>
      <c r="P2757" s="49"/>
    </row>
    <row r="2758" spans="2:16" x14ac:dyDescent="0.3">
      <c r="B2758" s="120"/>
      <c r="C2758" s="431"/>
      <c r="D2758" s="432"/>
      <c r="E2758" s="114"/>
      <c r="F2758" s="83"/>
      <c r="G2758" s="74"/>
      <c r="I2758" s="115">
        <f>IF(C2758=0,0,VLOOKUP(C2758,Tabla1[],3,FALSE))</f>
        <v>0</v>
      </c>
      <c r="K2758" s="84">
        <f t="shared" si="85"/>
        <v>0</v>
      </c>
      <c r="L2758" s="116">
        <f t="shared" si="84"/>
        <v>0</v>
      </c>
      <c r="O2758" s="48"/>
      <c r="P2758" s="49"/>
    </row>
    <row r="2759" spans="2:16" x14ac:dyDescent="0.3">
      <c r="B2759" s="120"/>
      <c r="C2759" s="430"/>
      <c r="D2759" s="429"/>
      <c r="E2759" s="114"/>
      <c r="F2759" s="83"/>
      <c r="G2759" s="74"/>
      <c r="I2759" s="115">
        <f>IF(C2759=0,0,VLOOKUP(C2759,Tabla1[],3,FALSE))</f>
        <v>0</v>
      </c>
      <c r="K2759" s="84">
        <f t="shared" si="85"/>
        <v>0</v>
      </c>
      <c r="L2759" s="116">
        <f t="shared" si="84"/>
        <v>0</v>
      </c>
      <c r="O2759" s="48"/>
      <c r="P2759" s="49"/>
    </row>
    <row r="2760" spans="2:16" ht="17.25" thickBot="1" x14ac:dyDescent="0.35"/>
    <row r="2761" spans="2:16" ht="17.25" thickBot="1" x14ac:dyDescent="0.3">
      <c r="F2761" s="402" t="s">
        <v>9</v>
      </c>
      <c r="G2761" s="403"/>
      <c r="H2761" s="403"/>
      <c r="I2761" s="404"/>
      <c r="K2761" s="224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413" t="s">
        <v>11</v>
      </c>
      <c r="D2763" s="413"/>
      <c r="E2763" s="413"/>
      <c r="F2763" s="413"/>
      <c r="G2763" s="414"/>
    </row>
    <row r="2764" spans="2:16" x14ac:dyDescent="0.3">
      <c r="B2764" s="112" t="s">
        <v>6</v>
      </c>
      <c r="C2764" s="415" t="s">
        <v>1</v>
      </c>
      <c r="D2764" s="416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409"/>
      <c r="D2765" s="409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431"/>
      <c r="D2766" s="432"/>
      <c r="E2766" s="119"/>
      <c r="F2766" s="72"/>
      <c r="G2766" s="74"/>
      <c r="I2766" s="115">
        <f>IF(C2766=0,0,VLOOKUP(C2766,Tabla3[],3,FALSE))</f>
        <v>0</v>
      </c>
      <c r="K2766" s="84">
        <f>+F2766*I2766</f>
        <v>0</v>
      </c>
      <c r="L2766" s="116">
        <f>E2766*I2766</f>
        <v>0</v>
      </c>
    </row>
    <row r="2767" spans="2:16" x14ac:dyDescent="0.3">
      <c r="B2767" s="74"/>
      <c r="C2767" s="431"/>
      <c r="D2767" s="432"/>
      <c r="E2767" s="119"/>
      <c r="F2767" s="72"/>
      <c r="G2767" s="74"/>
      <c r="I2767" s="115">
        <f>IF(C2767=0,0,VLOOKUP(C2767,Tabla3[],3,FALSE))</f>
        <v>0</v>
      </c>
      <c r="K2767" s="84">
        <f>+F2767*I2767</f>
        <v>0</v>
      </c>
      <c r="L2767" s="116">
        <f>E2767*I2767</f>
        <v>0</v>
      </c>
    </row>
    <row r="2768" spans="2:16" x14ac:dyDescent="0.3">
      <c r="B2768" s="74"/>
      <c r="C2768" s="411"/>
      <c r="D2768" s="412"/>
      <c r="E2768" s="119"/>
      <c r="F2768" s="72"/>
      <c r="G2768" s="74"/>
      <c r="I2768" s="115">
        <f>IF(C2768=0,0,VLOOKUP(C2768,Tabla3[],3,FALSE))</f>
        <v>0</v>
      </c>
      <c r="K2768" s="84">
        <f>+F2768*I2768</f>
        <v>0</v>
      </c>
      <c r="L2768" s="116">
        <f>E2768*I2768</f>
        <v>0</v>
      </c>
    </row>
    <row r="2769" spans="2:12" ht="17.25" thickBot="1" x14ac:dyDescent="0.35"/>
    <row r="2770" spans="2:12" ht="17.25" thickBot="1" x14ac:dyDescent="0.35">
      <c r="F2770" s="402" t="s">
        <v>12</v>
      </c>
      <c r="G2770" s="403"/>
      <c r="H2770" s="403"/>
      <c r="I2770" s="404"/>
      <c r="K2770" s="224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413" t="s">
        <v>14</v>
      </c>
      <c r="D2772" s="413"/>
      <c r="E2772" s="413"/>
      <c r="F2772" s="413"/>
      <c r="G2772" s="414"/>
    </row>
    <row r="2773" spans="2:12" x14ac:dyDescent="0.3">
      <c r="B2773" s="112" t="s">
        <v>6</v>
      </c>
      <c r="C2773" s="415" t="s">
        <v>1</v>
      </c>
      <c r="D2773" s="416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409"/>
      <c r="D2774" s="409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409"/>
      <c r="D2775" s="409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417"/>
      <c r="D2776" s="418"/>
      <c r="E2776" s="122"/>
      <c r="F2776" s="123"/>
      <c r="G2776" s="74"/>
      <c r="I2776" s="115">
        <f>IF(C2776=0,0,VLOOKUP(C2776,Tabla2[],3,FALSE))</f>
        <v>0</v>
      </c>
      <c r="K2776" s="84">
        <f>+F2776*I2776</f>
        <v>0</v>
      </c>
      <c r="L2776" s="116">
        <f>E2776*I2776</f>
        <v>0</v>
      </c>
    </row>
    <row r="2777" spans="2:12" ht="17.25" thickBot="1" x14ac:dyDescent="0.35">
      <c r="B2777" s="419" t="s">
        <v>15</v>
      </c>
      <c r="C2777" s="420"/>
      <c r="D2777" s="420"/>
      <c r="E2777" s="420"/>
      <c r="F2777" s="420"/>
      <c r="G2777" s="421"/>
      <c r="I2777" s="84">
        <v>0</v>
      </c>
      <c r="K2777" s="84">
        <v>0</v>
      </c>
      <c r="L2777" s="116">
        <f>E2777*I2777</f>
        <v>0</v>
      </c>
    </row>
    <row r="2778" spans="2:12" ht="17.25" thickBot="1" x14ac:dyDescent="0.35"/>
    <row r="2779" spans="2:12" ht="17.25" thickBot="1" x14ac:dyDescent="0.35">
      <c r="F2779" s="402" t="s">
        <v>16</v>
      </c>
      <c r="G2779" s="403"/>
      <c r="H2779" s="403"/>
      <c r="I2779" s="404"/>
      <c r="K2779" s="224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413" t="s">
        <v>18</v>
      </c>
      <c r="D2781" s="413"/>
      <c r="E2781" s="413"/>
      <c r="F2781" s="413"/>
      <c r="G2781" s="414"/>
    </row>
    <row r="2782" spans="2:12" x14ac:dyDescent="0.3">
      <c r="B2782" s="112" t="s">
        <v>6</v>
      </c>
      <c r="C2782" s="415" t="s">
        <v>1</v>
      </c>
      <c r="D2782" s="416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411"/>
      <c r="D2783" s="412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411"/>
      <c r="D2784" s="412"/>
      <c r="E2784" s="125"/>
      <c r="F2784" s="72"/>
      <c r="G2784" s="74"/>
      <c r="I2784" s="84">
        <v>0</v>
      </c>
      <c r="K2784" s="84">
        <f>+F2784*I2784</f>
        <v>0</v>
      </c>
      <c r="L2784" s="116">
        <f>E2784*I2784</f>
        <v>0</v>
      </c>
    </row>
    <row r="2785" spans="2:16" x14ac:dyDescent="0.3">
      <c r="B2785" s="74"/>
      <c r="C2785" s="411"/>
      <c r="D2785" s="412"/>
      <c r="E2785" s="125"/>
      <c r="F2785" s="72"/>
      <c r="G2785" s="74"/>
      <c r="I2785" s="84">
        <v>0</v>
      </c>
      <c r="K2785" s="84">
        <f>+F2785*I2785</f>
        <v>0</v>
      </c>
      <c r="L2785" s="116">
        <f>E2785*I2785</f>
        <v>0</v>
      </c>
    </row>
    <row r="2786" spans="2:16" ht="17.25" thickBot="1" x14ac:dyDescent="0.35">
      <c r="L2786" s="116"/>
    </row>
    <row r="2787" spans="2:16" ht="17.25" thickBot="1" x14ac:dyDescent="0.35">
      <c r="F2787" s="402" t="s">
        <v>19</v>
      </c>
      <c r="G2787" s="403"/>
      <c r="H2787" s="403"/>
      <c r="I2787" s="404"/>
      <c r="K2787" s="224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127"/>
      <c r="H2788" s="128"/>
      <c r="I2788" s="106"/>
      <c r="K2788" s="225"/>
    </row>
    <row r="2789" spans="2:16" ht="15" customHeight="1" thickBot="1" x14ac:dyDescent="0.35"/>
    <row r="2790" spans="2:16" ht="17.25" thickBot="1" x14ac:dyDescent="0.35">
      <c r="F2790" s="402" t="s">
        <v>20</v>
      </c>
      <c r="G2790" s="403"/>
      <c r="H2790" s="403"/>
      <c r="I2790" s="404"/>
      <c r="K2790" s="224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402" t="s">
        <v>21</v>
      </c>
      <c r="G2792" s="403"/>
      <c r="H2792" s="403"/>
      <c r="I2792" s="404"/>
      <c r="K2792" s="224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402" t="s">
        <v>22</v>
      </c>
      <c r="G2794" s="403"/>
      <c r="H2794" s="403"/>
      <c r="I2794" s="404"/>
      <c r="K2794" s="224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127"/>
      <c r="H2795" s="128"/>
      <c r="I2795" s="106"/>
      <c r="K2795" s="226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127"/>
      <c r="H2796" s="128"/>
      <c r="I2796" s="106"/>
      <c r="K2796" s="227"/>
      <c r="L2796" s="129"/>
      <c r="M2796" s="132"/>
      <c r="N2796" s="133"/>
    </row>
    <row r="2797" spans="2:16" ht="17.25" thickBot="1" x14ac:dyDescent="0.35">
      <c r="B2797" s="405"/>
      <c r="C2797" s="405"/>
      <c r="D2797" s="405"/>
    </row>
    <row r="2798" spans="2:16" x14ac:dyDescent="0.3">
      <c r="B2798" s="406" t="s">
        <v>23</v>
      </c>
      <c r="C2798" s="406"/>
      <c r="D2798" s="406"/>
    </row>
    <row r="2799" spans="2:16" x14ac:dyDescent="0.3">
      <c r="B2799" s="155"/>
      <c r="C2799" s="155"/>
      <c r="D2799" s="155"/>
    </row>
    <row r="2800" spans="2:16" x14ac:dyDescent="0.3">
      <c r="B2800" s="155"/>
      <c r="C2800" s="155"/>
      <c r="D2800" s="155"/>
    </row>
    <row r="2801" spans="1:16" x14ac:dyDescent="0.3">
      <c r="B2801" s="103" t="s">
        <v>43</v>
      </c>
      <c r="C2801" s="104"/>
      <c r="D2801" s="422" t="s">
        <v>1</v>
      </c>
      <c r="E2801" s="422"/>
      <c r="F2801" s="422"/>
      <c r="G2801" s="422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09">
        <f>CATALOGO!B82</f>
        <v>1007.05</v>
      </c>
      <c r="C2802" s="71"/>
      <c r="D2802" s="437" t="str">
        <f>CATALOGO!C82</f>
        <v>DISPENSADOR PARA PAPEL HIGIÉNICO</v>
      </c>
      <c r="E2802" s="437"/>
      <c r="F2802" s="437"/>
      <c r="G2802" s="437"/>
      <c r="H2802" s="71"/>
      <c r="I2802" s="209">
        <f>CATALOGO!D82</f>
        <v>1</v>
      </c>
      <c r="J2802" s="107"/>
      <c r="K2802" s="222" t="str">
        <f>CATALOGO!G82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413" t="s">
        <v>5</v>
      </c>
      <c r="D2804" s="413"/>
      <c r="E2804" s="413"/>
      <c r="F2804" s="413"/>
      <c r="G2804" s="414"/>
    </row>
    <row r="2805" spans="1:16" x14ac:dyDescent="0.25">
      <c r="B2805" s="109" t="s">
        <v>6</v>
      </c>
      <c r="C2805" s="424" t="s">
        <v>1</v>
      </c>
      <c r="D2805" s="425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3" t="s">
        <v>8</v>
      </c>
      <c r="L2805" s="113" t="s">
        <v>193</v>
      </c>
      <c r="O2805" s="438"/>
      <c r="P2805" s="438"/>
    </row>
    <row r="2806" spans="1:16" ht="17.25" customHeight="1" x14ac:dyDescent="0.25">
      <c r="B2806" s="120">
        <v>1</v>
      </c>
      <c r="C2806" s="407" t="s">
        <v>319</v>
      </c>
      <c r="D2806" s="408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86">E2806*I2806</f>
        <v>620</v>
      </c>
      <c r="O2806" s="44"/>
      <c r="P2806" s="45"/>
    </row>
    <row r="2807" spans="1:16" ht="16.5" customHeight="1" x14ac:dyDescent="0.3">
      <c r="B2807" s="120"/>
      <c r="C2807" s="430"/>
      <c r="D2807" s="429"/>
      <c r="E2807" s="114"/>
      <c r="F2807" s="83"/>
      <c r="G2807" s="74"/>
      <c r="I2807" s="115">
        <f>IF(C2807=0,0,VLOOKUP(C2807,Tabla1[],3,FALSE))</f>
        <v>0</v>
      </c>
      <c r="K2807" s="84">
        <f t="shared" ref="K2807:K2815" si="87">+F2807*I2807</f>
        <v>0</v>
      </c>
      <c r="L2807" s="116">
        <f t="shared" si="86"/>
        <v>0</v>
      </c>
      <c r="P2807" s="45"/>
    </row>
    <row r="2808" spans="1:16" x14ac:dyDescent="0.3">
      <c r="B2808" s="120"/>
      <c r="C2808" s="430"/>
      <c r="D2808" s="429"/>
      <c r="E2808" s="114"/>
      <c r="F2808" s="83"/>
      <c r="G2808" s="74"/>
      <c r="I2808" s="115">
        <f>IF(C2808=0,0,VLOOKUP(C2808,Tabla1[],3,FALSE))</f>
        <v>0</v>
      </c>
      <c r="K2808" s="84">
        <f t="shared" si="87"/>
        <v>0</v>
      </c>
      <c r="L2808" s="116">
        <f t="shared" si="86"/>
        <v>0</v>
      </c>
      <c r="O2808" s="48"/>
      <c r="P2808" s="49"/>
    </row>
    <row r="2809" spans="1:16" x14ac:dyDescent="0.3">
      <c r="B2809" s="120"/>
      <c r="C2809" s="430"/>
      <c r="D2809" s="429"/>
      <c r="E2809" s="114"/>
      <c r="F2809" s="83"/>
      <c r="G2809" s="74"/>
      <c r="I2809" s="115">
        <f>IF(C2809=0,0,VLOOKUP(C2809,Tabla1[],3,FALSE))</f>
        <v>0</v>
      </c>
      <c r="K2809" s="84">
        <f t="shared" si="87"/>
        <v>0</v>
      </c>
      <c r="L2809" s="116">
        <f t="shared" si="86"/>
        <v>0</v>
      </c>
      <c r="O2809" s="48"/>
      <c r="P2809" s="49"/>
    </row>
    <row r="2810" spans="1:16" x14ac:dyDescent="0.3">
      <c r="B2810" s="120"/>
      <c r="C2810" s="430"/>
      <c r="D2810" s="429"/>
      <c r="E2810" s="114"/>
      <c r="F2810" s="83"/>
      <c r="G2810" s="74"/>
      <c r="I2810" s="115">
        <f>IF(C2810=0,0,VLOOKUP(C2810,Tabla1[],3,FALSE))</f>
        <v>0</v>
      </c>
      <c r="K2810" s="84">
        <f t="shared" si="87"/>
        <v>0</v>
      </c>
      <c r="L2810" s="116">
        <f t="shared" si="86"/>
        <v>0</v>
      </c>
      <c r="O2810" s="48"/>
      <c r="P2810" s="49"/>
    </row>
    <row r="2811" spans="1:16" x14ac:dyDescent="0.3">
      <c r="B2811" s="120"/>
      <c r="C2811" s="430"/>
      <c r="D2811" s="429"/>
      <c r="E2811" s="114"/>
      <c r="F2811" s="83"/>
      <c r="G2811" s="74"/>
      <c r="I2811" s="115">
        <f>IF(C2811=0,0,VLOOKUP(C2811,Tabla1[],3,FALSE))</f>
        <v>0</v>
      </c>
      <c r="K2811" s="84">
        <f t="shared" si="87"/>
        <v>0</v>
      </c>
      <c r="L2811" s="116">
        <f t="shared" si="86"/>
        <v>0</v>
      </c>
      <c r="O2811" s="48"/>
      <c r="P2811" s="49"/>
    </row>
    <row r="2812" spans="1:16" x14ac:dyDescent="0.3">
      <c r="B2812" s="120"/>
      <c r="C2812" s="430"/>
      <c r="D2812" s="429"/>
      <c r="E2812" s="114"/>
      <c r="F2812" s="83"/>
      <c r="G2812" s="74"/>
      <c r="I2812" s="115">
        <f>IF(C2812=0,0,VLOOKUP(C2812,Tabla1[],3,FALSE))</f>
        <v>0</v>
      </c>
      <c r="K2812" s="84">
        <f t="shared" si="87"/>
        <v>0</v>
      </c>
      <c r="L2812" s="116">
        <f t="shared" si="86"/>
        <v>0</v>
      </c>
      <c r="O2812" s="48"/>
      <c r="P2812" s="49"/>
    </row>
    <row r="2813" spans="1:16" x14ac:dyDescent="0.3">
      <c r="B2813" s="120"/>
      <c r="C2813" s="428"/>
      <c r="D2813" s="429"/>
      <c r="E2813" s="114"/>
      <c r="F2813" s="83"/>
      <c r="G2813" s="74"/>
      <c r="I2813" s="115">
        <f>IF(C2813=0,0,VLOOKUP(C2813,Tabla1[],3,FALSE))</f>
        <v>0</v>
      </c>
      <c r="K2813" s="84">
        <f t="shared" si="87"/>
        <v>0</v>
      </c>
      <c r="L2813" s="116">
        <f t="shared" si="86"/>
        <v>0</v>
      </c>
      <c r="O2813" s="48"/>
      <c r="P2813" s="49"/>
    </row>
    <row r="2814" spans="1:16" x14ac:dyDescent="0.3">
      <c r="B2814" s="120"/>
      <c r="C2814" s="431"/>
      <c r="D2814" s="432"/>
      <c r="E2814" s="114"/>
      <c r="F2814" s="83"/>
      <c r="G2814" s="74"/>
      <c r="I2814" s="115">
        <f>IF(C2814=0,0,VLOOKUP(C2814,Tabla1[],3,FALSE))</f>
        <v>0</v>
      </c>
      <c r="K2814" s="84">
        <f t="shared" si="87"/>
        <v>0</v>
      </c>
      <c r="L2814" s="116">
        <f t="shared" si="86"/>
        <v>0</v>
      </c>
      <c r="O2814" s="48"/>
      <c r="P2814" s="49"/>
    </row>
    <row r="2815" spans="1:16" x14ac:dyDescent="0.3">
      <c r="B2815" s="120"/>
      <c r="C2815" s="430"/>
      <c r="D2815" s="429"/>
      <c r="E2815" s="114"/>
      <c r="F2815" s="83"/>
      <c r="G2815" s="74"/>
      <c r="I2815" s="115">
        <f>IF(C2815=0,0,VLOOKUP(C2815,Tabla1[],3,FALSE))</f>
        <v>0</v>
      </c>
      <c r="K2815" s="84">
        <f t="shared" si="87"/>
        <v>0</v>
      </c>
      <c r="L2815" s="116">
        <f t="shared" si="86"/>
        <v>0</v>
      </c>
      <c r="O2815" s="48"/>
      <c r="P2815" s="49"/>
    </row>
    <row r="2816" spans="1:16" ht="17.25" thickBot="1" x14ac:dyDescent="0.35"/>
    <row r="2817" spans="2:16" ht="17.25" thickBot="1" x14ac:dyDescent="0.3">
      <c r="F2817" s="402" t="s">
        <v>9</v>
      </c>
      <c r="G2817" s="403"/>
      <c r="H2817" s="403"/>
      <c r="I2817" s="404"/>
      <c r="K2817" s="224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413" t="s">
        <v>11</v>
      </c>
      <c r="D2819" s="413"/>
      <c r="E2819" s="413"/>
      <c r="F2819" s="413"/>
      <c r="G2819" s="414"/>
    </row>
    <row r="2820" spans="2:16" x14ac:dyDescent="0.3">
      <c r="B2820" s="112" t="s">
        <v>6</v>
      </c>
      <c r="C2820" s="415" t="s">
        <v>1</v>
      </c>
      <c r="D2820" s="416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409"/>
      <c r="D2821" s="409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431"/>
      <c r="D2822" s="432"/>
      <c r="E2822" s="119"/>
      <c r="F2822" s="72"/>
      <c r="G2822" s="74"/>
      <c r="I2822" s="115">
        <f>IF(C2822=0,0,VLOOKUP(C2822,Tabla3[],3,FALSE))</f>
        <v>0</v>
      </c>
      <c r="K2822" s="84">
        <f>+F2822*I2822</f>
        <v>0</v>
      </c>
      <c r="L2822" s="116">
        <f>E2822*I2822</f>
        <v>0</v>
      </c>
    </row>
    <row r="2823" spans="2:16" x14ac:dyDescent="0.3">
      <c r="B2823" s="74"/>
      <c r="C2823" s="431"/>
      <c r="D2823" s="432"/>
      <c r="E2823" s="119"/>
      <c r="F2823" s="72"/>
      <c r="G2823" s="74"/>
      <c r="I2823" s="115">
        <f>IF(C2823=0,0,VLOOKUP(C2823,Tabla3[],3,FALSE))</f>
        <v>0</v>
      </c>
      <c r="K2823" s="84">
        <f>+F2823*I2823</f>
        <v>0</v>
      </c>
      <c r="L2823" s="116">
        <f>E2823*I2823</f>
        <v>0</v>
      </c>
    </row>
    <row r="2824" spans="2:16" x14ac:dyDescent="0.3">
      <c r="B2824" s="74"/>
      <c r="C2824" s="411"/>
      <c r="D2824" s="412"/>
      <c r="E2824" s="119"/>
      <c r="F2824" s="72"/>
      <c r="G2824" s="74"/>
      <c r="I2824" s="115">
        <f>IF(C2824=0,0,VLOOKUP(C2824,Tabla3[],3,FALSE))</f>
        <v>0</v>
      </c>
      <c r="K2824" s="84">
        <f>+F2824*I2824</f>
        <v>0</v>
      </c>
      <c r="L2824" s="116">
        <f>E2824*I2824</f>
        <v>0</v>
      </c>
    </row>
    <row r="2825" spans="2:16" ht="17.25" thickBot="1" x14ac:dyDescent="0.35"/>
    <row r="2826" spans="2:16" ht="17.25" thickBot="1" x14ac:dyDescent="0.35">
      <c r="F2826" s="402" t="s">
        <v>12</v>
      </c>
      <c r="G2826" s="403"/>
      <c r="H2826" s="403"/>
      <c r="I2826" s="404"/>
      <c r="K2826" s="224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413" t="s">
        <v>14</v>
      </c>
      <c r="D2828" s="413"/>
      <c r="E2828" s="413"/>
      <c r="F2828" s="413"/>
      <c r="G2828" s="414"/>
    </row>
    <row r="2829" spans="2:16" x14ac:dyDescent="0.3">
      <c r="B2829" s="112" t="s">
        <v>6</v>
      </c>
      <c r="C2829" s="415" t="s">
        <v>1</v>
      </c>
      <c r="D2829" s="416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409" t="s">
        <v>320</v>
      </c>
      <c r="D2830" s="409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409"/>
      <c r="D2831" s="409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417"/>
      <c r="D2832" s="418"/>
      <c r="E2832" s="122"/>
      <c r="F2832" s="123"/>
      <c r="G2832" s="74"/>
      <c r="I2832" s="115">
        <f>IF(C2832=0,0,VLOOKUP(C2832,Tabla2[],3,FALSE))</f>
        <v>0</v>
      </c>
      <c r="K2832" s="84">
        <f>+F2832*I2832</f>
        <v>0</v>
      </c>
      <c r="L2832" s="116">
        <f>E2832*I2832</f>
        <v>0</v>
      </c>
    </row>
    <row r="2833" spans="2:16" ht="17.25" thickBot="1" x14ac:dyDescent="0.35">
      <c r="B2833" s="419" t="s">
        <v>15</v>
      </c>
      <c r="C2833" s="420"/>
      <c r="D2833" s="420"/>
      <c r="E2833" s="420"/>
      <c r="F2833" s="420"/>
      <c r="G2833" s="421"/>
      <c r="I2833" s="84">
        <v>0</v>
      </c>
      <c r="K2833" s="84">
        <v>0</v>
      </c>
      <c r="L2833" s="116">
        <f>E2833*I2833</f>
        <v>0</v>
      </c>
    </row>
    <row r="2834" spans="2:16" ht="17.25" thickBot="1" x14ac:dyDescent="0.35"/>
    <row r="2835" spans="2:16" ht="17.25" thickBot="1" x14ac:dyDescent="0.35">
      <c r="F2835" s="402" t="s">
        <v>16</v>
      </c>
      <c r="G2835" s="403"/>
      <c r="H2835" s="403"/>
      <c r="I2835" s="404"/>
      <c r="K2835" s="224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413" t="s">
        <v>18</v>
      </c>
      <c r="D2837" s="413"/>
      <c r="E2837" s="413"/>
      <c r="F2837" s="413"/>
      <c r="G2837" s="414"/>
    </row>
    <row r="2838" spans="2:16" x14ac:dyDescent="0.3">
      <c r="B2838" s="112" t="s">
        <v>6</v>
      </c>
      <c r="C2838" s="415" t="s">
        <v>1</v>
      </c>
      <c r="D2838" s="416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411"/>
      <c r="D2839" s="412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411"/>
      <c r="D2840" s="412"/>
      <c r="E2840" s="125"/>
      <c r="F2840" s="72"/>
      <c r="G2840" s="74"/>
      <c r="I2840" s="84"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411"/>
      <c r="D2841" s="412"/>
      <c r="E2841" s="125"/>
      <c r="F2841" s="72"/>
      <c r="G2841" s="74"/>
      <c r="I2841" s="84">
        <v>0</v>
      </c>
      <c r="K2841" s="84">
        <f>+F2841*I2841</f>
        <v>0</v>
      </c>
      <c r="L2841" s="116">
        <f>E2841*I2841</f>
        <v>0</v>
      </c>
    </row>
    <row r="2842" spans="2:16" ht="17.25" thickBot="1" x14ac:dyDescent="0.35">
      <c r="L2842" s="116"/>
    </row>
    <row r="2843" spans="2:16" ht="17.25" thickBot="1" x14ac:dyDescent="0.35">
      <c r="F2843" s="402" t="s">
        <v>19</v>
      </c>
      <c r="G2843" s="403"/>
      <c r="H2843" s="403"/>
      <c r="I2843" s="404"/>
      <c r="K2843" s="224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127"/>
      <c r="H2844" s="128"/>
      <c r="I2844" s="106"/>
      <c r="K2844" s="225"/>
    </row>
    <row r="2845" spans="2:16" ht="15" customHeight="1" thickBot="1" x14ac:dyDescent="0.35"/>
    <row r="2846" spans="2:16" ht="17.25" thickBot="1" x14ac:dyDescent="0.35">
      <c r="F2846" s="402" t="s">
        <v>20</v>
      </c>
      <c r="G2846" s="403"/>
      <c r="H2846" s="403"/>
      <c r="I2846" s="404"/>
      <c r="K2846" s="224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402" t="s">
        <v>21</v>
      </c>
      <c r="G2848" s="403"/>
      <c r="H2848" s="403"/>
      <c r="I2848" s="404"/>
      <c r="K2848" s="224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402" t="s">
        <v>22</v>
      </c>
      <c r="G2850" s="403"/>
      <c r="H2850" s="403"/>
      <c r="I2850" s="404"/>
      <c r="K2850" s="224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127"/>
      <c r="H2851" s="128"/>
      <c r="I2851" s="106"/>
      <c r="K2851" s="226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127"/>
      <c r="H2852" s="128"/>
      <c r="I2852" s="106"/>
      <c r="K2852" s="227"/>
      <c r="L2852" s="129"/>
      <c r="M2852" s="132"/>
      <c r="N2852" s="133"/>
    </row>
    <row r="2853" spans="1:16" ht="17.25" thickBot="1" x14ac:dyDescent="0.35">
      <c r="B2853" s="405"/>
      <c r="C2853" s="405"/>
      <c r="D2853" s="405"/>
    </row>
    <row r="2854" spans="1:16" x14ac:dyDescent="0.3">
      <c r="B2854" s="406" t="s">
        <v>23</v>
      </c>
      <c r="C2854" s="406"/>
      <c r="D2854" s="406"/>
    </row>
    <row r="2855" spans="1:16" x14ac:dyDescent="0.3">
      <c r="B2855" s="155"/>
      <c r="C2855" s="155"/>
      <c r="D2855" s="155"/>
    </row>
    <row r="2856" spans="1:16" x14ac:dyDescent="0.3">
      <c r="B2856" s="155"/>
      <c r="C2856" s="155"/>
      <c r="D2856" s="155"/>
    </row>
    <row r="2857" spans="1:16" x14ac:dyDescent="0.3">
      <c r="B2857" s="103" t="s">
        <v>43</v>
      </c>
      <c r="C2857" s="104"/>
      <c r="D2857" s="422" t="s">
        <v>1</v>
      </c>
      <c r="E2857" s="422"/>
      <c r="F2857" s="422"/>
      <c r="G2857" s="422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09">
        <f>CATALOGO!B83</f>
        <v>1007.06</v>
      </c>
      <c r="C2858" s="71"/>
      <c r="D2858" s="437" t="str">
        <f>CATALOGO!C83</f>
        <v>DISPENSADOR DE PAPEL PARA MANOS</v>
      </c>
      <c r="E2858" s="437"/>
      <c r="F2858" s="437"/>
      <c r="G2858" s="437"/>
      <c r="H2858" s="71"/>
      <c r="I2858" s="209">
        <f>CATALOGO!D83</f>
        <v>1</v>
      </c>
      <c r="J2858" s="107"/>
      <c r="K2858" s="222" t="str">
        <f>CATALOGO!G83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413" t="s">
        <v>5</v>
      </c>
      <c r="D2860" s="413"/>
      <c r="E2860" s="413"/>
      <c r="F2860" s="413"/>
      <c r="G2860" s="414"/>
    </row>
    <row r="2861" spans="1:16" x14ac:dyDescent="0.25">
      <c r="B2861" s="109" t="s">
        <v>6</v>
      </c>
      <c r="C2861" s="424" t="s">
        <v>1</v>
      </c>
      <c r="D2861" s="425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3" t="s">
        <v>8</v>
      </c>
      <c r="L2861" s="113" t="s">
        <v>193</v>
      </c>
      <c r="O2861" s="438"/>
      <c r="P2861" s="438"/>
    </row>
    <row r="2862" spans="1:16" ht="17.25" customHeight="1" x14ac:dyDescent="0.25">
      <c r="B2862" s="120">
        <v>1</v>
      </c>
      <c r="C2862" s="407" t="s">
        <v>321</v>
      </c>
      <c r="D2862" s="408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88">E2862*I2862</f>
        <v>620</v>
      </c>
      <c r="O2862" s="44"/>
      <c r="P2862" s="45"/>
    </row>
    <row r="2863" spans="1:16" ht="16.5" customHeight="1" x14ac:dyDescent="0.3">
      <c r="B2863" s="120"/>
      <c r="C2863" s="430"/>
      <c r="D2863" s="429"/>
      <c r="E2863" s="114"/>
      <c r="F2863" s="83"/>
      <c r="G2863" s="74"/>
      <c r="I2863" s="115">
        <f>IF(C2863=0,0,VLOOKUP(C2863,Tabla1[],3,FALSE))</f>
        <v>0</v>
      </c>
      <c r="K2863" s="84">
        <f t="shared" ref="K2863:K2871" si="89">+F2863*I2863</f>
        <v>0</v>
      </c>
      <c r="L2863" s="116">
        <f t="shared" si="88"/>
        <v>0</v>
      </c>
      <c r="P2863" s="45"/>
    </row>
    <row r="2864" spans="1:16" x14ac:dyDescent="0.3">
      <c r="B2864" s="120"/>
      <c r="C2864" s="430"/>
      <c r="D2864" s="429"/>
      <c r="E2864" s="114"/>
      <c r="F2864" s="83"/>
      <c r="G2864" s="74"/>
      <c r="I2864" s="115">
        <f>IF(C2864=0,0,VLOOKUP(C2864,Tabla1[],3,FALSE))</f>
        <v>0</v>
      </c>
      <c r="K2864" s="84">
        <f t="shared" si="89"/>
        <v>0</v>
      </c>
      <c r="L2864" s="116">
        <f t="shared" si="88"/>
        <v>0</v>
      </c>
      <c r="O2864" s="48"/>
      <c r="P2864" s="49"/>
    </row>
    <row r="2865" spans="2:16" x14ac:dyDescent="0.3">
      <c r="B2865" s="120"/>
      <c r="C2865" s="430"/>
      <c r="D2865" s="429"/>
      <c r="E2865" s="114"/>
      <c r="F2865" s="83"/>
      <c r="G2865" s="74"/>
      <c r="I2865" s="115">
        <f>IF(C2865=0,0,VLOOKUP(C2865,Tabla1[],3,FALSE))</f>
        <v>0</v>
      </c>
      <c r="K2865" s="84">
        <f t="shared" si="89"/>
        <v>0</v>
      </c>
      <c r="L2865" s="116">
        <f t="shared" si="88"/>
        <v>0</v>
      </c>
      <c r="O2865" s="48"/>
      <c r="P2865" s="49"/>
    </row>
    <row r="2866" spans="2:16" x14ac:dyDescent="0.3">
      <c r="B2866" s="120"/>
      <c r="C2866" s="430"/>
      <c r="D2866" s="429"/>
      <c r="E2866" s="114"/>
      <c r="F2866" s="83"/>
      <c r="G2866" s="74"/>
      <c r="I2866" s="115">
        <f>IF(C2866=0,0,VLOOKUP(C2866,Tabla1[],3,FALSE))</f>
        <v>0</v>
      </c>
      <c r="K2866" s="84">
        <f t="shared" si="89"/>
        <v>0</v>
      </c>
      <c r="L2866" s="116">
        <f t="shared" si="88"/>
        <v>0</v>
      </c>
      <c r="O2866" s="48"/>
      <c r="P2866" s="49"/>
    </row>
    <row r="2867" spans="2:16" x14ac:dyDescent="0.3">
      <c r="B2867" s="120"/>
      <c r="C2867" s="430"/>
      <c r="D2867" s="429"/>
      <c r="E2867" s="114"/>
      <c r="F2867" s="83"/>
      <c r="G2867" s="74"/>
      <c r="I2867" s="115">
        <f>IF(C2867=0,0,VLOOKUP(C2867,Tabla1[],3,FALSE))</f>
        <v>0</v>
      </c>
      <c r="K2867" s="84">
        <f t="shared" si="89"/>
        <v>0</v>
      </c>
      <c r="L2867" s="116">
        <f t="shared" si="88"/>
        <v>0</v>
      </c>
      <c r="O2867" s="48"/>
      <c r="P2867" s="49"/>
    </row>
    <row r="2868" spans="2:16" x14ac:dyDescent="0.3">
      <c r="B2868" s="120"/>
      <c r="C2868" s="430"/>
      <c r="D2868" s="429"/>
      <c r="E2868" s="114"/>
      <c r="F2868" s="83"/>
      <c r="G2868" s="74"/>
      <c r="I2868" s="115">
        <f>IF(C2868=0,0,VLOOKUP(C2868,Tabla1[],3,FALSE))</f>
        <v>0</v>
      </c>
      <c r="K2868" s="84">
        <f t="shared" si="89"/>
        <v>0</v>
      </c>
      <c r="L2868" s="116">
        <f t="shared" si="88"/>
        <v>0</v>
      </c>
      <c r="O2868" s="48"/>
      <c r="P2868" s="49"/>
    </row>
    <row r="2869" spans="2:16" x14ac:dyDescent="0.3">
      <c r="B2869" s="120"/>
      <c r="C2869" s="428"/>
      <c r="D2869" s="429"/>
      <c r="E2869" s="114"/>
      <c r="F2869" s="83"/>
      <c r="G2869" s="74"/>
      <c r="I2869" s="115">
        <f>IF(C2869=0,0,VLOOKUP(C2869,Tabla1[],3,FALSE))</f>
        <v>0</v>
      </c>
      <c r="K2869" s="84">
        <f t="shared" si="89"/>
        <v>0</v>
      </c>
      <c r="L2869" s="116">
        <f t="shared" si="88"/>
        <v>0</v>
      </c>
      <c r="O2869" s="48"/>
      <c r="P2869" s="49"/>
    </row>
    <row r="2870" spans="2:16" x14ac:dyDescent="0.3">
      <c r="B2870" s="120"/>
      <c r="C2870" s="431"/>
      <c r="D2870" s="432"/>
      <c r="E2870" s="114"/>
      <c r="F2870" s="83"/>
      <c r="G2870" s="74"/>
      <c r="I2870" s="115">
        <f>IF(C2870=0,0,VLOOKUP(C2870,Tabla1[],3,FALSE))</f>
        <v>0</v>
      </c>
      <c r="K2870" s="84">
        <f t="shared" si="89"/>
        <v>0</v>
      </c>
      <c r="L2870" s="116">
        <f t="shared" si="88"/>
        <v>0</v>
      </c>
      <c r="O2870" s="48"/>
      <c r="P2870" s="49"/>
    </row>
    <row r="2871" spans="2:16" x14ac:dyDescent="0.3">
      <c r="B2871" s="120"/>
      <c r="C2871" s="430"/>
      <c r="D2871" s="429"/>
      <c r="E2871" s="114"/>
      <c r="F2871" s="83"/>
      <c r="G2871" s="74"/>
      <c r="I2871" s="115">
        <f>IF(C2871=0,0,VLOOKUP(C2871,Tabla1[],3,FALSE))</f>
        <v>0</v>
      </c>
      <c r="K2871" s="84">
        <f t="shared" si="89"/>
        <v>0</v>
      </c>
      <c r="L2871" s="116">
        <f t="shared" si="88"/>
        <v>0</v>
      </c>
      <c r="O2871" s="48"/>
      <c r="P2871" s="49"/>
    </row>
    <row r="2872" spans="2:16" ht="17.25" thickBot="1" x14ac:dyDescent="0.35"/>
    <row r="2873" spans="2:16" ht="17.25" thickBot="1" x14ac:dyDescent="0.3">
      <c r="F2873" s="402" t="s">
        <v>9</v>
      </c>
      <c r="G2873" s="403"/>
      <c r="H2873" s="403"/>
      <c r="I2873" s="404"/>
      <c r="K2873" s="224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413" t="s">
        <v>11</v>
      </c>
      <c r="D2875" s="413"/>
      <c r="E2875" s="413"/>
      <c r="F2875" s="413"/>
      <c r="G2875" s="414"/>
    </row>
    <row r="2876" spans="2:16" x14ac:dyDescent="0.3">
      <c r="B2876" s="112" t="s">
        <v>6</v>
      </c>
      <c r="C2876" s="415" t="s">
        <v>1</v>
      </c>
      <c r="D2876" s="416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409"/>
      <c r="D2877" s="409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431"/>
      <c r="D2878" s="432"/>
      <c r="E2878" s="119"/>
      <c r="F2878" s="72"/>
      <c r="G2878" s="74"/>
      <c r="I2878" s="115">
        <f>IF(C2878=0,0,VLOOKUP(C2878,Tabla3[],3,FALSE))</f>
        <v>0</v>
      </c>
      <c r="K2878" s="84">
        <f>+F2878*I2878</f>
        <v>0</v>
      </c>
      <c r="L2878" s="116">
        <f>E2878*I2878</f>
        <v>0</v>
      </c>
    </row>
    <row r="2879" spans="2:16" x14ac:dyDescent="0.3">
      <c r="B2879" s="74"/>
      <c r="C2879" s="431"/>
      <c r="D2879" s="432"/>
      <c r="E2879" s="119"/>
      <c r="F2879" s="72"/>
      <c r="G2879" s="74"/>
      <c r="I2879" s="115">
        <f>IF(C2879=0,0,VLOOKUP(C2879,Tabla3[],3,FALSE))</f>
        <v>0</v>
      </c>
      <c r="K2879" s="84">
        <f>+F2879*I2879</f>
        <v>0</v>
      </c>
      <c r="L2879" s="116">
        <f>E2879*I2879</f>
        <v>0</v>
      </c>
    </row>
    <row r="2880" spans="2:16" x14ac:dyDescent="0.3">
      <c r="B2880" s="74"/>
      <c r="C2880" s="411"/>
      <c r="D2880" s="412"/>
      <c r="E2880" s="119"/>
      <c r="F2880" s="72"/>
      <c r="G2880" s="74"/>
      <c r="I2880" s="115">
        <f>IF(C2880=0,0,VLOOKUP(C2880,Tabla3[],3,FALSE))</f>
        <v>0</v>
      </c>
      <c r="K2880" s="84">
        <f>+F2880*I2880</f>
        <v>0</v>
      </c>
      <c r="L2880" s="116">
        <f>E2880*I2880</f>
        <v>0</v>
      </c>
    </row>
    <row r="2881" spans="2:12" ht="17.25" thickBot="1" x14ac:dyDescent="0.35"/>
    <row r="2882" spans="2:12" ht="17.25" thickBot="1" x14ac:dyDescent="0.35">
      <c r="F2882" s="402" t="s">
        <v>12</v>
      </c>
      <c r="G2882" s="403"/>
      <c r="H2882" s="403"/>
      <c r="I2882" s="404"/>
      <c r="K2882" s="224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413" t="s">
        <v>14</v>
      </c>
      <c r="D2884" s="413"/>
      <c r="E2884" s="413"/>
      <c r="F2884" s="413"/>
      <c r="G2884" s="414"/>
    </row>
    <row r="2885" spans="2:12" x14ac:dyDescent="0.3">
      <c r="B2885" s="112" t="s">
        <v>6</v>
      </c>
      <c r="C2885" s="415" t="s">
        <v>1</v>
      </c>
      <c r="D2885" s="416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409" t="s">
        <v>320</v>
      </c>
      <c r="D2886" s="409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409"/>
      <c r="D2887" s="409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417"/>
      <c r="D2888" s="418"/>
      <c r="E2888" s="122"/>
      <c r="F2888" s="123"/>
      <c r="G2888" s="74"/>
      <c r="I2888" s="115">
        <f>IF(C2888=0,0,VLOOKUP(C2888,Tabla2[],3,FALSE))</f>
        <v>0</v>
      </c>
      <c r="K2888" s="84">
        <f>+F2888*I2888</f>
        <v>0</v>
      </c>
      <c r="L2888" s="116">
        <f>E2888*I2888</f>
        <v>0</v>
      </c>
    </row>
    <row r="2889" spans="2:12" ht="17.25" thickBot="1" x14ac:dyDescent="0.35">
      <c r="B2889" s="419" t="s">
        <v>15</v>
      </c>
      <c r="C2889" s="420"/>
      <c r="D2889" s="420"/>
      <c r="E2889" s="420"/>
      <c r="F2889" s="420"/>
      <c r="G2889" s="421"/>
      <c r="I2889" s="84">
        <v>0</v>
      </c>
      <c r="K2889" s="84">
        <v>0</v>
      </c>
      <c r="L2889" s="116">
        <f>E2889*I2889</f>
        <v>0</v>
      </c>
    </row>
    <row r="2890" spans="2:12" ht="17.25" thickBot="1" x14ac:dyDescent="0.35"/>
    <row r="2891" spans="2:12" ht="17.25" thickBot="1" x14ac:dyDescent="0.35">
      <c r="F2891" s="402" t="s">
        <v>16</v>
      </c>
      <c r="G2891" s="403"/>
      <c r="H2891" s="403"/>
      <c r="I2891" s="404"/>
      <c r="K2891" s="224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413" t="s">
        <v>18</v>
      </c>
      <c r="D2893" s="413"/>
      <c r="E2893" s="413"/>
      <c r="F2893" s="413"/>
      <c r="G2893" s="414"/>
    </row>
    <row r="2894" spans="2:12" x14ac:dyDescent="0.3">
      <c r="B2894" s="112" t="s">
        <v>6</v>
      </c>
      <c r="C2894" s="415" t="s">
        <v>1</v>
      </c>
      <c r="D2894" s="416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411"/>
      <c r="D2895" s="412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411"/>
      <c r="D2896" s="412"/>
      <c r="E2896" s="125"/>
      <c r="F2896" s="72"/>
      <c r="G2896" s="74"/>
      <c r="I2896" s="84">
        <v>0</v>
      </c>
      <c r="K2896" s="84">
        <f>+F2896*I2896</f>
        <v>0</v>
      </c>
      <c r="L2896" s="116">
        <f>E2896*I2896</f>
        <v>0</v>
      </c>
    </row>
    <row r="2897" spans="2:16" x14ac:dyDescent="0.3">
      <c r="B2897" s="74"/>
      <c r="C2897" s="411"/>
      <c r="D2897" s="412"/>
      <c r="E2897" s="125"/>
      <c r="F2897" s="72"/>
      <c r="G2897" s="74"/>
      <c r="I2897" s="84">
        <v>0</v>
      </c>
      <c r="K2897" s="84">
        <f>+F2897*I2897</f>
        <v>0</v>
      </c>
      <c r="L2897" s="116">
        <f>E2897*I2897</f>
        <v>0</v>
      </c>
    </row>
    <row r="2898" spans="2:16" ht="17.25" thickBot="1" x14ac:dyDescent="0.35">
      <c r="L2898" s="116"/>
    </row>
    <row r="2899" spans="2:16" ht="17.25" thickBot="1" x14ac:dyDescent="0.35">
      <c r="F2899" s="402" t="s">
        <v>19</v>
      </c>
      <c r="G2899" s="403"/>
      <c r="H2899" s="403"/>
      <c r="I2899" s="404"/>
      <c r="K2899" s="224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127"/>
      <c r="H2900" s="128"/>
      <c r="I2900" s="106"/>
      <c r="K2900" s="225"/>
    </row>
    <row r="2901" spans="2:16" ht="15" customHeight="1" thickBot="1" x14ac:dyDescent="0.35"/>
    <row r="2902" spans="2:16" ht="17.25" thickBot="1" x14ac:dyDescent="0.35">
      <c r="F2902" s="402" t="s">
        <v>20</v>
      </c>
      <c r="G2902" s="403"/>
      <c r="H2902" s="403"/>
      <c r="I2902" s="404"/>
      <c r="K2902" s="224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402" t="s">
        <v>21</v>
      </c>
      <c r="G2904" s="403"/>
      <c r="H2904" s="403"/>
      <c r="I2904" s="404"/>
      <c r="K2904" s="224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402" t="s">
        <v>22</v>
      </c>
      <c r="G2906" s="403"/>
      <c r="H2906" s="403"/>
      <c r="I2906" s="404"/>
      <c r="K2906" s="224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127"/>
      <c r="H2907" s="128"/>
      <c r="I2907" s="106"/>
      <c r="K2907" s="226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127"/>
      <c r="H2908" s="128"/>
      <c r="I2908" s="106"/>
      <c r="K2908" s="227"/>
      <c r="L2908" s="129"/>
      <c r="M2908" s="132"/>
      <c r="N2908" s="133"/>
    </row>
    <row r="2909" spans="2:16" ht="17.25" thickBot="1" x14ac:dyDescent="0.35">
      <c r="B2909" s="405"/>
      <c r="C2909" s="405"/>
      <c r="D2909" s="405"/>
    </row>
    <row r="2910" spans="2:16" x14ac:dyDescent="0.3">
      <c r="B2910" s="406" t="s">
        <v>23</v>
      </c>
      <c r="C2910" s="406"/>
      <c r="D2910" s="406"/>
    </row>
    <row r="2911" spans="2:16" x14ac:dyDescent="0.3">
      <c r="B2911" s="155"/>
      <c r="C2911" s="155"/>
      <c r="D2911" s="155"/>
    </row>
    <row r="2912" spans="2:16" x14ac:dyDescent="0.3">
      <c r="B2912" s="155"/>
      <c r="C2912" s="155"/>
      <c r="D2912" s="155"/>
    </row>
    <row r="2913" spans="1:16" x14ac:dyDescent="0.3">
      <c r="B2913" s="103" t="s">
        <v>43</v>
      </c>
      <c r="C2913" s="104"/>
      <c r="D2913" s="422" t="s">
        <v>1</v>
      </c>
      <c r="E2913" s="422"/>
      <c r="F2913" s="422"/>
      <c r="G2913" s="422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09">
        <f>CATALOGO!B84</f>
        <v>1007.08</v>
      </c>
      <c r="C2914" s="71"/>
      <c r="D2914" s="437" t="str">
        <f>CATALOGO!C84</f>
        <v>DISPENSADOR PARA JABÓN LÍQUIDO ACERO INOXIDABLE</v>
      </c>
      <c r="E2914" s="437"/>
      <c r="F2914" s="437"/>
      <c r="G2914" s="437"/>
      <c r="H2914" s="71"/>
      <c r="I2914" s="209">
        <f>CATALOGO!D84</f>
        <v>1</v>
      </c>
      <c r="J2914" s="107"/>
      <c r="K2914" s="222" t="str">
        <f>CATALOGO!G84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413" t="s">
        <v>5</v>
      </c>
      <c r="D2916" s="413"/>
      <c r="E2916" s="413"/>
      <c r="F2916" s="413"/>
      <c r="G2916" s="414"/>
    </row>
    <row r="2917" spans="1:16" x14ac:dyDescent="0.25">
      <c r="B2917" s="109" t="s">
        <v>6</v>
      </c>
      <c r="C2917" s="424" t="s">
        <v>1</v>
      </c>
      <c r="D2917" s="425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3" t="s">
        <v>8</v>
      </c>
      <c r="L2917" s="113" t="s">
        <v>193</v>
      </c>
      <c r="O2917" s="438"/>
      <c r="P2917" s="438"/>
    </row>
    <row r="2918" spans="1:16" ht="17.25" customHeight="1" x14ac:dyDescent="0.25">
      <c r="B2918" s="120">
        <v>1</v>
      </c>
      <c r="C2918" s="407" t="s">
        <v>322</v>
      </c>
      <c r="D2918" s="408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90">E2918*I2918</f>
        <v>1040</v>
      </c>
      <c r="O2918" s="44"/>
      <c r="P2918" s="45"/>
    </row>
    <row r="2919" spans="1:16" ht="16.5" customHeight="1" x14ac:dyDescent="0.3">
      <c r="B2919" s="120"/>
      <c r="C2919" s="430"/>
      <c r="D2919" s="429"/>
      <c r="E2919" s="114"/>
      <c r="F2919" s="83"/>
      <c r="G2919" s="74"/>
      <c r="I2919" s="115">
        <f>IF(C2919=0,0,VLOOKUP(C2919,Tabla1[],3,FALSE))</f>
        <v>0</v>
      </c>
      <c r="K2919" s="84">
        <f t="shared" ref="K2919:K2927" si="91">+F2919*I2919</f>
        <v>0</v>
      </c>
      <c r="L2919" s="116">
        <f t="shared" si="90"/>
        <v>0</v>
      </c>
      <c r="P2919" s="45"/>
    </row>
    <row r="2920" spans="1:16" x14ac:dyDescent="0.3">
      <c r="B2920" s="120"/>
      <c r="C2920" s="430"/>
      <c r="D2920" s="429"/>
      <c r="E2920" s="114"/>
      <c r="F2920" s="83"/>
      <c r="G2920" s="74"/>
      <c r="I2920" s="115">
        <f>IF(C2920=0,0,VLOOKUP(C2920,Tabla1[],3,FALSE))</f>
        <v>0</v>
      </c>
      <c r="K2920" s="84">
        <f t="shared" si="91"/>
        <v>0</v>
      </c>
      <c r="L2920" s="116">
        <f t="shared" si="90"/>
        <v>0</v>
      </c>
      <c r="O2920" s="48"/>
      <c r="P2920" s="49"/>
    </row>
    <row r="2921" spans="1:16" x14ac:dyDescent="0.3">
      <c r="B2921" s="120"/>
      <c r="C2921" s="430"/>
      <c r="D2921" s="429"/>
      <c r="E2921" s="114"/>
      <c r="F2921" s="83"/>
      <c r="G2921" s="74"/>
      <c r="I2921" s="115">
        <f>IF(C2921=0,0,VLOOKUP(C2921,Tabla1[],3,FALSE))</f>
        <v>0</v>
      </c>
      <c r="K2921" s="84">
        <f t="shared" si="91"/>
        <v>0</v>
      </c>
      <c r="L2921" s="116">
        <f t="shared" si="90"/>
        <v>0</v>
      </c>
      <c r="O2921" s="48"/>
      <c r="P2921" s="49"/>
    </row>
    <row r="2922" spans="1:16" x14ac:dyDescent="0.3">
      <c r="B2922" s="120"/>
      <c r="C2922" s="430"/>
      <c r="D2922" s="429"/>
      <c r="E2922" s="114"/>
      <c r="F2922" s="83"/>
      <c r="G2922" s="74"/>
      <c r="I2922" s="115">
        <f>IF(C2922=0,0,VLOOKUP(C2922,Tabla1[],3,FALSE))</f>
        <v>0</v>
      </c>
      <c r="K2922" s="84">
        <f t="shared" si="91"/>
        <v>0</v>
      </c>
      <c r="L2922" s="116">
        <f t="shared" si="90"/>
        <v>0</v>
      </c>
      <c r="O2922" s="48"/>
      <c r="P2922" s="49"/>
    </row>
    <row r="2923" spans="1:16" x14ac:dyDescent="0.3">
      <c r="B2923" s="120"/>
      <c r="C2923" s="430"/>
      <c r="D2923" s="429"/>
      <c r="E2923" s="114"/>
      <c r="F2923" s="83"/>
      <c r="G2923" s="74"/>
      <c r="I2923" s="115">
        <f>IF(C2923=0,0,VLOOKUP(C2923,Tabla1[],3,FALSE))</f>
        <v>0</v>
      </c>
      <c r="K2923" s="84">
        <f t="shared" si="91"/>
        <v>0</v>
      </c>
      <c r="L2923" s="116">
        <f t="shared" si="90"/>
        <v>0</v>
      </c>
      <c r="O2923" s="48"/>
      <c r="P2923" s="49"/>
    </row>
    <row r="2924" spans="1:16" x14ac:dyDescent="0.3">
      <c r="B2924" s="120"/>
      <c r="C2924" s="430"/>
      <c r="D2924" s="429"/>
      <c r="E2924" s="114"/>
      <c r="F2924" s="83"/>
      <c r="G2924" s="74"/>
      <c r="I2924" s="115">
        <f>IF(C2924=0,0,VLOOKUP(C2924,Tabla1[],3,FALSE))</f>
        <v>0</v>
      </c>
      <c r="K2924" s="84">
        <f t="shared" si="91"/>
        <v>0</v>
      </c>
      <c r="L2924" s="116">
        <f t="shared" si="90"/>
        <v>0</v>
      </c>
      <c r="O2924" s="48"/>
      <c r="P2924" s="49"/>
    </row>
    <row r="2925" spans="1:16" x14ac:dyDescent="0.3">
      <c r="B2925" s="120"/>
      <c r="C2925" s="428"/>
      <c r="D2925" s="429"/>
      <c r="E2925" s="114"/>
      <c r="F2925" s="83"/>
      <c r="G2925" s="74"/>
      <c r="I2925" s="115">
        <f>IF(C2925=0,0,VLOOKUP(C2925,Tabla1[],3,FALSE))</f>
        <v>0</v>
      </c>
      <c r="K2925" s="84">
        <f t="shared" si="91"/>
        <v>0</v>
      </c>
      <c r="L2925" s="116">
        <f t="shared" si="90"/>
        <v>0</v>
      </c>
      <c r="O2925" s="48"/>
      <c r="P2925" s="49"/>
    </row>
    <row r="2926" spans="1:16" x14ac:dyDescent="0.3">
      <c r="B2926" s="120"/>
      <c r="C2926" s="431"/>
      <c r="D2926" s="432"/>
      <c r="E2926" s="114"/>
      <c r="F2926" s="83"/>
      <c r="G2926" s="74"/>
      <c r="I2926" s="115">
        <f>IF(C2926=0,0,VLOOKUP(C2926,Tabla1[],3,FALSE))</f>
        <v>0</v>
      </c>
      <c r="K2926" s="84">
        <f t="shared" si="91"/>
        <v>0</v>
      </c>
      <c r="L2926" s="116">
        <f t="shared" si="90"/>
        <v>0</v>
      </c>
      <c r="O2926" s="48"/>
      <c r="P2926" s="49"/>
    </row>
    <row r="2927" spans="1:16" x14ac:dyDescent="0.3">
      <c r="B2927" s="120"/>
      <c r="C2927" s="430"/>
      <c r="D2927" s="429"/>
      <c r="E2927" s="114"/>
      <c r="F2927" s="83"/>
      <c r="G2927" s="74"/>
      <c r="I2927" s="115">
        <f>IF(C2927=0,0,VLOOKUP(C2927,Tabla1[],3,FALSE))</f>
        <v>0</v>
      </c>
      <c r="K2927" s="84">
        <f t="shared" si="91"/>
        <v>0</v>
      </c>
      <c r="L2927" s="116">
        <f t="shared" si="90"/>
        <v>0</v>
      </c>
      <c r="O2927" s="48"/>
      <c r="P2927" s="49"/>
    </row>
    <row r="2928" spans="1:16" ht="17.25" thickBot="1" x14ac:dyDescent="0.35"/>
    <row r="2929" spans="2:16" ht="17.25" thickBot="1" x14ac:dyDescent="0.3">
      <c r="F2929" s="402" t="s">
        <v>9</v>
      </c>
      <c r="G2929" s="403"/>
      <c r="H2929" s="403"/>
      <c r="I2929" s="404"/>
      <c r="K2929" s="224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413" t="s">
        <v>11</v>
      </c>
      <c r="D2931" s="413"/>
      <c r="E2931" s="413"/>
      <c r="F2931" s="413"/>
      <c r="G2931" s="414"/>
    </row>
    <row r="2932" spans="2:16" x14ac:dyDescent="0.3">
      <c r="B2932" s="112" t="s">
        <v>6</v>
      </c>
      <c r="C2932" s="415" t="s">
        <v>1</v>
      </c>
      <c r="D2932" s="416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409"/>
      <c r="D2933" s="409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431"/>
      <c r="D2934" s="432"/>
      <c r="E2934" s="119"/>
      <c r="F2934" s="72"/>
      <c r="G2934" s="74"/>
      <c r="I2934" s="115">
        <f>IF(C2934=0,0,VLOOKUP(C2934,Tabla3[],3,FALSE))</f>
        <v>0</v>
      </c>
      <c r="K2934" s="84">
        <f>+F2934*I2934</f>
        <v>0</v>
      </c>
      <c r="L2934" s="116">
        <f>E2934*I2934</f>
        <v>0</v>
      </c>
    </row>
    <row r="2935" spans="2:16" x14ac:dyDescent="0.3">
      <c r="B2935" s="74"/>
      <c r="C2935" s="431"/>
      <c r="D2935" s="432"/>
      <c r="E2935" s="119"/>
      <c r="F2935" s="72"/>
      <c r="G2935" s="74"/>
      <c r="I2935" s="115">
        <f>IF(C2935=0,0,VLOOKUP(C2935,Tabla3[],3,FALSE))</f>
        <v>0</v>
      </c>
      <c r="K2935" s="84">
        <f>+F2935*I2935</f>
        <v>0</v>
      </c>
      <c r="L2935" s="116">
        <f>E2935*I2935</f>
        <v>0</v>
      </c>
    </row>
    <row r="2936" spans="2:16" x14ac:dyDescent="0.3">
      <c r="B2936" s="74"/>
      <c r="C2936" s="411"/>
      <c r="D2936" s="412"/>
      <c r="E2936" s="119"/>
      <c r="F2936" s="72"/>
      <c r="G2936" s="74"/>
      <c r="I2936" s="115">
        <f>IF(C2936=0,0,VLOOKUP(C2936,Tabla3[],3,FALSE))</f>
        <v>0</v>
      </c>
      <c r="K2936" s="84">
        <f>+F2936*I2936</f>
        <v>0</v>
      </c>
      <c r="L2936" s="116">
        <f>E2936*I2936</f>
        <v>0</v>
      </c>
    </row>
    <row r="2937" spans="2:16" ht="17.25" thickBot="1" x14ac:dyDescent="0.35"/>
    <row r="2938" spans="2:16" ht="17.25" thickBot="1" x14ac:dyDescent="0.35">
      <c r="F2938" s="402" t="s">
        <v>12</v>
      </c>
      <c r="G2938" s="403"/>
      <c r="H2938" s="403"/>
      <c r="I2938" s="404"/>
      <c r="K2938" s="224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413" t="s">
        <v>14</v>
      </c>
      <c r="D2940" s="413"/>
      <c r="E2940" s="413"/>
      <c r="F2940" s="413"/>
      <c r="G2940" s="414"/>
    </row>
    <row r="2941" spans="2:16" x14ac:dyDescent="0.3">
      <c r="B2941" s="112" t="s">
        <v>6</v>
      </c>
      <c r="C2941" s="415" t="s">
        <v>1</v>
      </c>
      <c r="D2941" s="416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409" t="s">
        <v>323</v>
      </c>
      <c r="D2942" s="409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409"/>
      <c r="D2943" s="409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417"/>
      <c r="D2944" s="418"/>
      <c r="E2944" s="122"/>
      <c r="F2944" s="123"/>
      <c r="G2944" s="74"/>
      <c r="I2944" s="115">
        <f>IF(C2944=0,0,VLOOKUP(C2944,Tabla2[],3,FALSE))</f>
        <v>0</v>
      </c>
      <c r="K2944" s="84">
        <f>+F2944*I2944</f>
        <v>0</v>
      </c>
      <c r="L2944" s="116">
        <f>E2944*I2944</f>
        <v>0</v>
      </c>
    </row>
    <row r="2945" spans="2:16" ht="17.25" thickBot="1" x14ac:dyDescent="0.35">
      <c r="B2945" s="419" t="s">
        <v>15</v>
      </c>
      <c r="C2945" s="420"/>
      <c r="D2945" s="420"/>
      <c r="E2945" s="420"/>
      <c r="F2945" s="420"/>
      <c r="G2945" s="421"/>
      <c r="I2945" s="84">
        <v>0</v>
      </c>
      <c r="K2945" s="84">
        <v>0</v>
      </c>
      <c r="L2945" s="116">
        <f>E2945*I2945</f>
        <v>0</v>
      </c>
    </row>
    <row r="2946" spans="2:16" ht="17.25" thickBot="1" x14ac:dyDescent="0.35"/>
    <row r="2947" spans="2:16" ht="17.25" thickBot="1" x14ac:dyDescent="0.35">
      <c r="F2947" s="402" t="s">
        <v>16</v>
      </c>
      <c r="G2947" s="403"/>
      <c r="H2947" s="403"/>
      <c r="I2947" s="404"/>
      <c r="K2947" s="224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413" t="s">
        <v>18</v>
      </c>
      <c r="D2949" s="413"/>
      <c r="E2949" s="413"/>
      <c r="F2949" s="413"/>
      <c r="G2949" s="414"/>
    </row>
    <row r="2950" spans="2:16" x14ac:dyDescent="0.3">
      <c r="B2950" s="112" t="s">
        <v>6</v>
      </c>
      <c r="C2950" s="415" t="s">
        <v>1</v>
      </c>
      <c r="D2950" s="416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411"/>
      <c r="D2951" s="412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411"/>
      <c r="D2952" s="412"/>
      <c r="E2952" s="125"/>
      <c r="F2952" s="72"/>
      <c r="G2952" s="74"/>
      <c r="I2952" s="84">
        <v>0</v>
      </c>
      <c r="K2952" s="84">
        <f>+F2952*I2952</f>
        <v>0</v>
      </c>
      <c r="L2952" s="116">
        <f>E2952*I2952</f>
        <v>0</v>
      </c>
    </row>
    <row r="2953" spans="2:16" x14ac:dyDescent="0.3">
      <c r="B2953" s="74"/>
      <c r="C2953" s="411"/>
      <c r="D2953" s="412"/>
      <c r="E2953" s="125"/>
      <c r="F2953" s="72"/>
      <c r="G2953" s="74"/>
      <c r="I2953" s="84">
        <v>0</v>
      </c>
      <c r="K2953" s="84">
        <f>+F2953*I2953</f>
        <v>0</v>
      </c>
      <c r="L2953" s="116">
        <f>E2953*I2953</f>
        <v>0</v>
      </c>
    </row>
    <row r="2954" spans="2:16" ht="17.25" thickBot="1" x14ac:dyDescent="0.35">
      <c r="L2954" s="116"/>
    </row>
    <row r="2955" spans="2:16" ht="17.25" thickBot="1" x14ac:dyDescent="0.35">
      <c r="F2955" s="402" t="s">
        <v>19</v>
      </c>
      <c r="G2955" s="403"/>
      <c r="H2955" s="403"/>
      <c r="I2955" s="404"/>
      <c r="K2955" s="224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127"/>
      <c r="H2956" s="128"/>
      <c r="I2956" s="106"/>
      <c r="K2956" s="225"/>
    </row>
    <row r="2957" spans="2:16" ht="15" customHeight="1" thickBot="1" x14ac:dyDescent="0.35"/>
    <row r="2958" spans="2:16" ht="17.25" thickBot="1" x14ac:dyDescent="0.35">
      <c r="F2958" s="402" t="s">
        <v>20</v>
      </c>
      <c r="G2958" s="403"/>
      <c r="H2958" s="403"/>
      <c r="I2958" s="404"/>
      <c r="K2958" s="224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402" t="s">
        <v>21</v>
      </c>
      <c r="G2960" s="403"/>
      <c r="H2960" s="403"/>
      <c r="I2960" s="404"/>
      <c r="K2960" s="224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402" t="s">
        <v>22</v>
      </c>
      <c r="G2962" s="403"/>
      <c r="H2962" s="403"/>
      <c r="I2962" s="404"/>
      <c r="K2962" s="224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127"/>
      <c r="H2963" s="128"/>
      <c r="I2963" s="106"/>
      <c r="K2963" s="226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127"/>
      <c r="H2964" s="128"/>
      <c r="I2964" s="106"/>
      <c r="K2964" s="227"/>
      <c r="L2964" s="129"/>
      <c r="M2964" s="132"/>
      <c r="N2964" s="133"/>
    </row>
    <row r="2965" spans="1:16" ht="17.25" thickBot="1" x14ac:dyDescent="0.35">
      <c r="B2965" s="405"/>
      <c r="C2965" s="405"/>
      <c r="D2965" s="405"/>
    </row>
    <row r="2966" spans="1:16" x14ac:dyDescent="0.3">
      <c r="B2966" s="406" t="s">
        <v>23</v>
      </c>
      <c r="C2966" s="406"/>
      <c r="D2966" s="406"/>
    </row>
    <row r="2967" spans="1:16" x14ac:dyDescent="0.3">
      <c r="B2967" s="155"/>
      <c r="C2967" s="155"/>
      <c r="D2967" s="155"/>
    </row>
    <row r="2968" spans="1:16" x14ac:dyDescent="0.3">
      <c r="B2968" s="155"/>
      <c r="C2968" s="155"/>
      <c r="D2968" s="155"/>
    </row>
    <row r="2969" spans="1:16" x14ac:dyDescent="0.3">
      <c r="B2969" s="103" t="s">
        <v>43</v>
      </c>
      <c r="C2969" s="104"/>
      <c r="D2969" s="422" t="s">
        <v>1</v>
      </c>
      <c r="E2969" s="422"/>
      <c r="F2969" s="422"/>
      <c r="G2969" s="422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09">
        <f>CATALOGO!B85</f>
        <v>1007.09</v>
      </c>
      <c r="C2970" s="71"/>
      <c r="D2970" s="437" t="str">
        <f>CATALOGO!C85</f>
        <v>DISPENSADOR DE ALCOHOL EN GEL (400ml)</v>
      </c>
      <c r="E2970" s="437"/>
      <c r="F2970" s="437"/>
      <c r="G2970" s="437"/>
      <c r="H2970" s="71"/>
      <c r="I2970" s="209">
        <f>CATALOGO!D85</f>
        <v>2</v>
      </c>
      <c r="J2970" s="107"/>
      <c r="K2970" s="222" t="str">
        <f>CATALOGO!G85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413" t="s">
        <v>5</v>
      </c>
      <c r="D2972" s="413"/>
      <c r="E2972" s="413"/>
      <c r="F2972" s="413"/>
      <c r="G2972" s="414"/>
    </row>
    <row r="2973" spans="1:16" x14ac:dyDescent="0.25">
      <c r="B2973" s="109" t="s">
        <v>6</v>
      </c>
      <c r="C2973" s="424" t="s">
        <v>1</v>
      </c>
      <c r="D2973" s="425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3" t="s">
        <v>8</v>
      </c>
      <c r="L2973" s="113" t="s">
        <v>193</v>
      </c>
      <c r="O2973" s="438"/>
      <c r="P2973" s="438"/>
    </row>
    <row r="2974" spans="1:16" ht="17.25" customHeight="1" x14ac:dyDescent="0.25">
      <c r="B2974" s="120">
        <v>1</v>
      </c>
      <c r="C2974" s="407" t="s">
        <v>91</v>
      </c>
      <c r="D2974" s="408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92">E2974*I2974</f>
        <v>450</v>
      </c>
      <c r="O2974" s="44"/>
      <c r="P2974" s="45"/>
    </row>
    <row r="2975" spans="1:16" ht="16.5" customHeight="1" x14ac:dyDescent="0.3">
      <c r="B2975" s="120"/>
      <c r="C2975" s="430"/>
      <c r="D2975" s="429"/>
      <c r="E2975" s="114"/>
      <c r="F2975" s="83"/>
      <c r="G2975" s="74"/>
      <c r="I2975" s="115">
        <f>IF(C2975=0,0,VLOOKUP(C2975,Tabla1[],3,FALSE))</f>
        <v>0</v>
      </c>
      <c r="K2975" s="84">
        <f t="shared" ref="K2975:K2983" si="93">+F2975*I2975</f>
        <v>0</v>
      </c>
      <c r="L2975" s="116">
        <f t="shared" si="92"/>
        <v>0</v>
      </c>
      <c r="P2975" s="45"/>
    </row>
    <row r="2976" spans="1:16" x14ac:dyDescent="0.3">
      <c r="B2976" s="120"/>
      <c r="C2976" s="430"/>
      <c r="D2976" s="429"/>
      <c r="E2976" s="114"/>
      <c r="F2976" s="83"/>
      <c r="G2976" s="74"/>
      <c r="I2976" s="115">
        <f>IF(C2976=0,0,VLOOKUP(C2976,Tabla1[],3,FALSE))</f>
        <v>0</v>
      </c>
      <c r="K2976" s="84">
        <f t="shared" si="93"/>
        <v>0</v>
      </c>
      <c r="L2976" s="116">
        <f t="shared" si="92"/>
        <v>0</v>
      </c>
      <c r="O2976" s="48"/>
      <c r="P2976" s="49"/>
    </row>
    <row r="2977" spans="2:16" x14ac:dyDescent="0.3">
      <c r="B2977" s="120"/>
      <c r="C2977" s="430"/>
      <c r="D2977" s="429"/>
      <c r="E2977" s="114"/>
      <c r="F2977" s="83"/>
      <c r="G2977" s="74"/>
      <c r="I2977" s="115">
        <f>IF(C2977=0,0,VLOOKUP(C2977,Tabla1[],3,FALSE))</f>
        <v>0</v>
      </c>
      <c r="K2977" s="84">
        <f t="shared" si="93"/>
        <v>0</v>
      </c>
      <c r="L2977" s="116">
        <f t="shared" si="92"/>
        <v>0</v>
      </c>
      <c r="O2977" s="48"/>
      <c r="P2977" s="49"/>
    </row>
    <row r="2978" spans="2:16" x14ac:dyDescent="0.3">
      <c r="B2978" s="120"/>
      <c r="C2978" s="430"/>
      <c r="D2978" s="429"/>
      <c r="E2978" s="114"/>
      <c r="F2978" s="83"/>
      <c r="G2978" s="74"/>
      <c r="I2978" s="115">
        <f>IF(C2978=0,0,VLOOKUP(C2978,Tabla1[],3,FALSE))</f>
        <v>0</v>
      </c>
      <c r="K2978" s="84">
        <f t="shared" si="93"/>
        <v>0</v>
      </c>
      <c r="L2978" s="116">
        <f t="shared" si="92"/>
        <v>0</v>
      </c>
      <c r="O2978" s="48"/>
      <c r="P2978" s="49"/>
    </row>
    <row r="2979" spans="2:16" x14ac:dyDescent="0.3">
      <c r="B2979" s="120"/>
      <c r="C2979" s="430"/>
      <c r="D2979" s="429"/>
      <c r="E2979" s="114"/>
      <c r="F2979" s="83"/>
      <c r="G2979" s="74"/>
      <c r="I2979" s="115">
        <f>IF(C2979=0,0,VLOOKUP(C2979,Tabla1[],3,FALSE))</f>
        <v>0</v>
      </c>
      <c r="K2979" s="84">
        <f t="shared" si="93"/>
        <v>0</v>
      </c>
      <c r="L2979" s="116">
        <f t="shared" si="92"/>
        <v>0</v>
      </c>
      <c r="O2979" s="48"/>
      <c r="P2979" s="49"/>
    </row>
    <row r="2980" spans="2:16" x14ac:dyDescent="0.3">
      <c r="B2980" s="120"/>
      <c r="C2980" s="430"/>
      <c r="D2980" s="429"/>
      <c r="E2980" s="114"/>
      <c r="F2980" s="83"/>
      <c r="G2980" s="74"/>
      <c r="I2980" s="115">
        <f>IF(C2980=0,0,VLOOKUP(C2980,Tabla1[],3,FALSE))</f>
        <v>0</v>
      </c>
      <c r="K2980" s="84">
        <f t="shared" si="93"/>
        <v>0</v>
      </c>
      <c r="L2980" s="116">
        <f t="shared" si="92"/>
        <v>0</v>
      </c>
      <c r="O2980" s="48"/>
      <c r="P2980" s="49"/>
    </row>
    <row r="2981" spans="2:16" x14ac:dyDescent="0.3">
      <c r="B2981" s="120"/>
      <c r="C2981" s="428"/>
      <c r="D2981" s="429"/>
      <c r="E2981" s="114"/>
      <c r="F2981" s="83"/>
      <c r="G2981" s="74"/>
      <c r="I2981" s="115">
        <f>IF(C2981=0,0,VLOOKUP(C2981,Tabla1[],3,FALSE))</f>
        <v>0</v>
      </c>
      <c r="K2981" s="84">
        <f t="shared" si="93"/>
        <v>0</v>
      </c>
      <c r="L2981" s="116">
        <f t="shared" si="92"/>
        <v>0</v>
      </c>
      <c r="O2981" s="48"/>
      <c r="P2981" s="49"/>
    </row>
    <row r="2982" spans="2:16" x14ac:dyDescent="0.3">
      <c r="B2982" s="120"/>
      <c r="C2982" s="431"/>
      <c r="D2982" s="432"/>
      <c r="E2982" s="114"/>
      <c r="F2982" s="83"/>
      <c r="G2982" s="74"/>
      <c r="I2982" s="115">
        <f>IF(C2982=0,0,VLOOKUP(C2982,Tabla1[],3,FALSE))</f>
        <v>0</v>
      </c>
      <c r="K2982" s="84">
        <f t="shared" si="93"/>
        <v>0</v>
      </c>
      <c r="L2982" s="116">
        <f t="shared" si="92"/>
        <v>0</v>
      </c>
      <c r="O2982" s="48"/>
      <c r="P2982" s="49"/>
    </row>
    <row r="2983" spans="2:16" x14ac:dyDescent="0.3">
      <c r="B2983" s="120"/>
      <c r="C2983" s="430"/>
      <c r="D2983" s="429"/>
      <c r="E2983" s="114"/>
      <c r="F2983" s="83"/>
      <c r="G2983" s="74"/>
      <c r="I2983" s="115">
        <f>IF(C2983=0,0,VLOOKUP(C2983,Tabla1[],3,FALSE))</f>
        <v>0</v>
      </c>
      <c r="K2983" s="84">
        <f t="shared" si="93"/>
        <v>0</v>
      </c>
      <c r="L2983" s="116">
        <f t="shared" si="92"/>
        <v>0</v>
      </c>
      <c r="O2983" s="48"/>
      <c r="P2983" s="49"/>
    </row>
    <row r="2984" spans="2:16" ht="17.25" thickBot="1" x14ac:dyDescent="0.35"/>
    <row r="2985" spans="2:16" ht="17.25" thickBot="1" x14ac:dyDescent="0.3">
      <c r="F2985" s="402" t="s">
        <v>9</v>
      </c>
      <c r="G2985" s="403"/>
      <c r="H2985" s="403"/>
      <c r="I2985" s="404"/>
      <c r="K2985" s="224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413" t="s">
        <v>11</v>
      </c>
      <c r="D2987" s="413"/>
      <c r="E2987" s="413"/>
      <c r="F2987" s="413"/>
      <c r="G2987" s="414"/>
    </row>
    <row r="2988" spans="2:16" x14ac:dyDescent="0.3">
      <c r="B2988" s="112" t="s">
        <v>6</v>
      </c>
      <c r="C2988" s="415" t="s">
        <v>1</v>
      </c>
      <c r="D2988" s="416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409"/>
      <c r="D2989" s="409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431"/>
      <c r="D2990" s="432"/>
      <c r="E2990" s="119"/>
      <c r="F2990" s="72"/>
      <c r="G2990" s="74"/>
      <c r="I2990" s="115">
        <f>IF(C2990=0,0,VLOOKUP(C2990,Tabla3[],3,FALSE))</f>
        <v>0</v>
      </c>
      <c r="K2990" s="84">
        <f>+F2990*I2990</f>
        <v>0</v>
      </c>
      <c r="L2990" s="116">
        <f>E2990*I2990</f>
        <v>0</v>
      </c>
    </row>
    <row r="2991" spans="2:16" x14ac:dyDescent="0.3">
      <c r="B2991" s="74"/>
      <c r="C2991" s="431"/>
      <c r="D2991" s="432"/>
      <c r="E2991" s="119"/>
      <c r="F2991" s="72"/>
      <c r="G2991" s="74"/>
      <c r="I2991" s="115">
        <f>IF(C2991=0,0,VLOOKUP(C2991,Tabla3[],3,FALSE))</f>
        <v>0</v>
      </c>
      <c r="K2991" s="84">
        <f>+F2991*I2991</f>
        <v>0</v>
      </c>
      <c r="L2991" s="116">
        <f>E2991*I2991</f>
        <v>0</v>
      </c>
    </row>
    <row r="2992" spans="2:16" x14ac:dyDescent="0.3">
      <c r="B2992" s="74"/>
      <c r="C2992" s="411"/>
      <c r="D2992" s="412"/>
      <c r="E2992" s="119"/>
      <c r="F2992" s="72"/>
      <c r="G2992" s="74"/>
      <c r="I2992" s="115">
        <f>IF(C2992=0,0,VLOOKUP(C2992,Tabla3[],3,FALSE))</f>
        <v>0</v>
      </c>
      <c r="K2992" s="84">
        <f>+F2992*I2992</f>
        <v>0</v>
      </c>
      <c r="L2992" s="116">
        <f>E2992*I2992</f>
        <v>0</v>
      </c>
    </row>
    <row r="2993" spans="2:12" ht="17.25" thickBot="1" x14ac:dyDescent="0.35"/>
    <row r="2994" spans="2:12" ht="17.25" thickBot="1" x14ac:dyDescent="0.35">
      <c r="F2994" s="402" t="s">
        <v>12</v>
      </c>
      <c r="G2994" s="403"/>
      <c r="H2994" s="403"/>
      <c r="I2994" s="404"/>
      <c r="K2994" s="224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413" t="s">
        <v>14</v>
      </c>
      <c r="D2996" s="413"/>
      <c r="E2996" s="413"/>
      <c r="F2996" s="413"/>
      <c r="G2996" s="414"/>
    </row>
    <row r="2997" spans="2:12" x14ac:dyDescent="0.3">
      <c r="B2997" s="112" t="s">
        <v>6</v>
      </c>
      <c r="C2997" s="415" t="s">
        <v>1</v>
      </c>
      <c r="D2997" s="416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409" t="s">
        <v>92</v>
      </c>
      <c r="D2998" s="409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409"/>
      <c r="D2999" s="409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417"/>
      <c r="D3000" s="418"/>
      <c r="E3000" s="122"/>
      <c r="F3000" s="123"/>
      <c r="G3000" s="74"/>
      <c r="I3000" s="115">
        <f>IF(C3000=0,0,VLOOKUP(C3000,Tabla2[],3,FALSE))</f>
        <v>0</v>
      </c>
      <c r="K3000" s="84">
        <f>+F3000*I3000</f>
        <v>0</v>
      </c>
      <c r="L3000" s="116">
        <f>E3000*I3000</f>
        <v>0</v>
      </c>
    </row>
    <row r="3001" spans="2:12" ht="17.25" thickBot="1" x14ac:dyDescent="0.35">
      <c r="B3001" s="419" t="s">
        <v>15</v>
      </c>
      <c r="C3001" s="420"/>
      <c r="D3001" s="420"/>
      <c r="E3001" s="420"/>
      <c r="F3001" s="420"/>
      <c r="G3001" s="421"/>
      <c r="I3001" s="84">
        <v>0</v>
      </c>
      <c r="K3001" s="84">
        <v>0</v>
      </c>
      <c r="L3001" s="116">
        <f>E3001*I3001</f>
        <v>0</v>
      </c>
    </row>
    <row r="3002" spans="2:12" ht="17.25" thickBot="1" x14ac:dyDescent="0.35"/>
    <row r="3003" spans="2:12" ht="17.25" thickBot="1" x14ac:dyDescent="0.35">
      <c r="F3003" s="402" t="s">
        <v>16</v>
      </c>
      <c r="G3003" s="403"/>
      <c r="H3003" s="403"/>
      <c r="I3003" s="404"/>
      <c r="K3003" s="224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413" t="s">
        <v>18</v>
      </c>
      <c r="D3005" s="413"/>
      <c r="E3005" s="413"/>
      <c r="F3005" s="413"/>
      <c r="G3005" s="414"/>
    </row>
    <row r="3006" spans="2:12" x14ac:dyDescent="0.3">
      <c r="B3006" s="112" t="s">
        <v>6</v>
      </c>
      <c r="C3006" s="415" t="s">
        <v>1</v>
      </c>
      <c r="D3006" s="416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411"/>
      <c r="D3007" s="412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411"/>
      <c r="D3008" s="412"/>
      <c r="E3008" s="125"/>
      <c r="F3008" s="72"/>
      <c r="G3008" s="74"/>
      <c r="I3008" s="84">
        <v>0</v>
      </c>
      <c r="K3008" s="84">
        <f>+F3008*I3008</f>
        <v>0</v>
      </c>
      <c r="L3008" s="116">
        <f>E3008*I3008</f>
        <v>0</v>
      </c>
    </row>
    <row r="3009" spans="2:16" x14ac:dyDescent="0.3">
      <c r="B3009" s="74"/>
      <c r="C3009" s="411"/>
      <c r="D3009" s="412"/>
      <c r="E3009" s="125"/>
      <c r="F3009" s="72"/>
      <c r="G3009" s="74"/>
      <c r="I3009" s="84">
        <v>0</v>
      </c>
      <c r="K3009" s="84">
        <f>+F3009*I3009</f>
        <v>0</v>
      </c>
      <c r="L3009" s="116">
        <f>E3009*I3009</f>
        <v>0</v>
      </c>
    </row>
    <row r="3010" spans="2:16" ht="17.25" thickBot="1" x14ac:dyDescent="0.35">
      <c r="L3010" s="116"/>
    </row>
    <row r="3011" spans="2:16" ht="17.25" thickBot="1" x14ac:dyDescent="0.35">
      <c r="F3011" s="402" t="s">
        <v>19</v>
      </c>
      <c r="G3011" s="403"/>
      <c r="H3011" s="403"/>
      <c r="I3011" s="404"/>
      <c r="K3011" s="224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127"/>
      <c r="H3012" s="128"/>
      <c r="I3012" s="106"/>
      <c r="K3012" s="225"/>
    </row>
    <row r="3013" spans="2:16" ht="15" customHeight="1" thickBot="1" x14ac:dyDescent="0.35"/>
    <row r="3014" spans="2:16" ht="17.25" thickBot="1" x14ac:dyDescent="0.35">
      <c r="F3014" s="402" t="s">
        <v>20</v>
      </c>
      <c r="G3014" s="403"/>
      <c r="H3014" s="403"/>
      <c r="I3014" s="404"/>
      <c r="K3014" s="224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402" t="s">
        <v>21</v>
      </c>
      <c r="G3016" s="403"/>
      <c r="H3016" s="403"/>
      <c r="I3016" s="404"/>
      <c r="K3016" s="224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402" t="s">
        <v>22</v>
      </c>
      <c r="G3018" s="403"/>
      <c r="H3018" s="403"/>
      <c r="I3018" s="404"/>
      <c r="K3018" s="224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127"/>
      <c r="H3019" s="128"/>
      <c r="I3019" s="106"/>
      <c r="K3019" s="226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127"/>
      <c r="H3020" s="128"/>
      <c r="I3020" s="106"/>
      <c r="K3020" s="227"/>
      <c r="L3020" s="129"/>
      <c r="M3020" s="132"/>
      <c r="N3020" s="133"/>
    </row>
    <row r="3021" spans="2:16" ht="17.25" thickBot="1" x14ac:dyDescent="0.35">
      <c r="B3021" s="405"/>
      <c r="C3021" s="405"/>
      <c r="D3021" s="405"/>
    </row>
    <row r="3022" spans="2:16" x14ac:dyDescent="0.3">
      <c r="B3022" s="406" t="s">
        <v>23</v>
      </c>
      <c r="C3022" s="406"/>
      <c r="D3022" s="406"/>
    </row>
    <row r="3023" spans="2:16" x14ac:dyDescent="0.3">
      <c r="B3023" s="155"/>
      <c r="C3023" s="155"/>
      <c r="D3023" s="155"/>
    </row>
    <row r="3025" spans="1:16" x14ac:dyDescent="0.3">
      <c r="B3025" s="103" t="s">
        <v>43</v>
      </c>
      <c r="C3025" s="104"/>
      <c r="D3025" s="422" t="s">
        <v>1</v>
      </c>
      <c r="E3025" s="422"/>
      <c r="F3025" s="422"/>
      <c r="G3025" s="422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09">
        <f>CATALOGO!B87</f>
        <v>1005.03</v>
      </c>
      <c r="C3026" s="71"/>
      <c r="D3026" s="437" t="str">
        <f>CATALOGO!C87</f>
        <v>TABLERO ELÉCTRICO (08 POLOS)</v>
      </c>
      <c r="E3026" s="437"/>
      <c r="F3026" s="437"/>
      <c r="G3026" s="437"/>
      <c r="H3026" s="71"/>
      <c r="I3026" s="209">
        <f>CATALOGO!D87</f>
        <v>1</v>
      </c>
      <c r="J3026" s="107"/>
      <c r="K3026" s="222" t="str">
        <f>CATALOGO!G87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413" t="s">
        <v>5</v>
      </c>
      <c r="D3028" s="413"/>
      <c r="E3028" s="413"/>
      <c r="F3028" s="413"/>
      <c r="G3028" s="414"/>
    </row>
    <row r="3029" spans="1:16" x14ac:dyDescent="0.25">
      <c r="B3029" s="109" t="s">
        <v>6</v>
      </c>
      <c r="C3029" s="424" t="s">
        <v>1</v>
      </c>
      <c r="D3029" s="425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3" t="s">
        <v>8</v>
      </c>
      <c r="L3029" s="113" t="s">
        <v>193</v>
      </c>
      <c r="O3029" s="438"/>
      <c r="P3029" s="438"/>
    </row>
    <row r="3030" spans="1:16" x14ac:dyDescent="0.25">
      <c r="B3030" s="120">
        <v>1</v>
      </c>
      <c r="C3030" s="407" t="s">
        <v>122</v>
      </c>
      <c r="D3030" s="408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94">E3030*I3030</f>
        <v>350</v>
      </c>
      <c r="O3030" s="44"/>
      <c r="P3030" s="45"/>
    </row>
    <row r="3031" spans="1:16" x14ac:dyDescent="0.25">
      <c r="B3031" s="120">
        <v>2</v>
      </c>
      <c r="C3031" s="407" t="s">
        <v>243</v>
      </c>
      <c r="D3031" s="408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94"/>
        <v>400</v>
      </c>
      <c r="O3031" s="44"/>
      <c r="P3031" s="45"/>
    </row>
    <row r="3032" spans="1:16" x14ac:dyDescent="0.25">
      <c r="B3032" s="120">
        <v>3</v>
      </c>
      <c r="C3032" s="430" t="s">
        <v>251</v>
      </c>
      <c r="D3032" s="429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>+F3032*I3032</f>
        <v>315</v>
      </c>
      <c r="L3032" s="116">
        <f t="shared" si="94"/>
        <v>315</v>
      </c>
      <c r="O3032" s="44"/>
      <c r="P3032" s="46"/>
    </row>
    <row r="3033" spans="1:16" x14ac:dyDescent="0.25">
      <c r="B3033" s="120">
        <v>4</v>
      </c>
      <c r="C3033" s="430" t="s">
        <v>254</v>
      </c>
      <c r="D3033" s="429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>+F3033*I3033</f>
        <v>50</v>
      </c>
      <c r="L3033" s="116">
        <f t="shared" si="94"/>
        <v>50</v>
      </c>
      <c r="O3033" s="44"/>
      <c r="P3033" s="46"/>
    </row>
    <row r="3034" spans="1:16" x14ac:dyDescent="0.3">
      <c r="B3034" s="120">
        <v>5</v>
      </c>
      <c r="C3034" s="430" t="s">
        <v>253</v>
      </c>
      <c r="D3034" s="429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>+F3034*I3034</f>
        <v>100</v>
      </c>
      <c r="L3034" s="116">
        <f t="shared" si="94"/>
        <v>100</v>
      </c>
      <c r="O3034" s="48"/>
      <c r="P3034" s="49"/>
    </row>
    <row r="3035" spans="1:16" x14ac:dyDescent="0.3">
      <c r="B3035" s="120">
        <v>6</v>
      </c>
      <c r="C3035" s="430" t="s">
        <v>255</v>
      </c>
      <c r="D3035" s="429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>+F3035*I3035</f>
        <v>10</v>
      </c>
      <c r="L3035" s="116">
        <f t="shared" si="94"/>
        <v>10</v>
      </c>
      <c r="O3035" s="48"/>
      <c r="P3035" s="49"/>
    </row>
    <row r="3036" spans="1:16" x14ac:dyDescent="0.3">
      <c r="B3036" s="120">
        <v>7</v>
      </c>
      <c r="C3036" s="430" t="s">
        <v>256</v>
      </c>
      <c r="D3036" s="429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>+F3036*I3036</f>
        <v>60</v>
      </c>
      <c r="L3036" s="116">
        <f t="shared" si="94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402" t="s">
        <v>9</v>
      </c>
      <c r="G3038" s="403"/>
      <c r="H3038" s="403"/>
      <c r="I3038" s="404"/>
      <c r="K3038" s="224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413" t="s">
        <v>11</v>
      </c>
      <c r="D3040" s="413"/>
      <c r="E3040" s="413"/>
      <c r="F3040" s="413"/>
      <c r="G3040" s="414"/>
    </row>
    <row r="3041" spans="2:12" x14ac:dyDescent="0.3">
      <c r="B3041" s="112" t="s">
        <v>6</v>
      </c>
      <c r="C3041" s="415" t="s">
        <v>1</v>
      </c>
      <c r="D3041" s="416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409"/>
      <c r="D3042" s="409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431"/>
      <c r="D3043" s="432"/>
      <c r="E3043" s="119"/>
      <c r="F3043" s="72"/>
      <c r="G3043" s="74"/>
      <c r="I3043" s="115">
        <f>IF(C3043=0,0,VLOOKUP(C3043,Tabla3[],3,FALSE))</f>
        <v>0</v>
      </c>
      <c r="K3043" s="84">
        <f>+F3043*I3043</f>
        <v>0</v>
      </c>
      <c r="L3043" s="116">
        <f>E3043*I3043</f>
        <v>0</v>
      </c>
    </row>
    <row r="3044" spans="2:12" x14ac:dyDescent="0.3">
      <c r="B3044" s="74"/>
      <c r="C3044" s="431"/>
      <c r="D3044" s="432"/>
      <c r="E3044" s="119"/>
      <c r="F3044" s="72"/>
      <c r="G3044" s="74"/>
      <c r="I3044" s="115">
        <f>IF(C3044=0,0,VLOOKUP(C3044,Tabla3[],3,FALSE))</f>
        <v>0</v>
      </c>
      <c r="K3044" s="84">
        <f>+F3044*I3044</f>
        <v>0</v>
      </c>
      <c r="L3044" s="116">
        <f>E3044*I3044</f>
        <v>0</v>
      </c>
    </row>
    <row r="3045" spans="2:12" x14ac:dyDescent="0.3">
      <c r="B3045" s="74"/>
      <c r="C3045" s="411"/>
      <c r="D3045" s="412"/>
      <c r="E3045" s="119"/>
      <c r="F3045" s="72"/>
      <c r="G3045" s="74"/>
      <c r="I3045" s="115">
        <f>IF(C3045=0,0,VLOOKUP(C3045,Tabla3[],3,FALSE))</f>
        <v>0</v>
      </c>
      <c r="K3045" s="84">
        <f>+F3045*I3045</f>
        <v>0</v>
      </c>
      <c r="L3045" s="116">
        <f>E3045*I3045</f>
        <v>0</v>
      </c>
    </row>
    <row r="3046" spans="2:12" ht="17.25" thickBot="1" x14ac:dyDescent="0.35"/>
    <row r="3047" spans="2:12" ht="17.25" thickBot="1" x14ac:dyDescent="0.35">
      <c r="F3047" s="402" t="s">
        <v>12</v>
      </c>
      <c r="G3047" s="403"/>
      <c r="H3047" s="403"/>
      <c r="I3047" s="404"/>
      <c r="K3047" s="224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413" t="s">
        <v>14</v>
      </c>
      <c r="D3049" s="413"/>
      <c r="E3049" s="413"/>
      <c r="F3049" s="413"/>
      <c r="G3049" s="414"/>
    </row>
    <row r="3050" spans="2:12" x14ac:dyDescent="0.3">
      <c r="B3050" s="112" t="s">
        <v>6</v>
      </c>
      <c r="C3050" s="415" t="s">
        <v>1</v>
      </c>
      <c r="D3050" s="416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409" t="s">
        <v>252</v>
      </c>
      <c r="D3051" s="409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409"/>
      <c r="D3052" s="409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417"/>
      <c r="D3053" s="418"/>
      <c r="E3053" s="122"/>
      <c r="F3053" s="123"/>
      <c r="G3053" s="74"/>
      <c r="I3053" s="115">
        <f>IF(C3053=0,0,VLOOKUP(C3053,Tabla2[],3,FALSE))</f>
        <v>0</v>
      </c>
      <c r="K3053" s="84">
        <f>+F3053*I3053</f>
        <v>0</v>
      </c>
      <c r="L3053" s="116">
        <f>E3053*I3053</f>
        <v>0</v>
      </c>
    </row>
    <row r="3054" spans="2:12" ht="17.25" thickBot="1" x14ac:dyDescent="0.35">
      <c r="B3054" s="419" t="s">
        <v>15</v>
      </c>
      <c r="C3054" s="420"/>
      <c r="D3054" s="420"/>
      <c r="E3054" s="420"/>
      <c r="F3054" s="420"/>
      <c r="G3054" s="421"/>
      <c r="I3054" s="84">
        <v>0</v>
      </c>
      <c r="K3054" s="84">
        <v>0</v>
      </c>
      <c r="L3054" s="116">
        <f>E3054*I3054</f>
        <v>0</v>
      </c>
    </row>
    <row r="3055" spans="2:12" ht="17.25" thickBot="1" x14ac:dyDescent="0.35"/>
    <row r="3056" spans="2:12" ht="17.25" thickBot="1" x14ac:dyDescent="0.35">
      <c r="F3056" s="402" t="s">
        <v>16</v>
      </c>
      <c r="G3056" s="403"/>
      <c r="H3056" s="403"/>
      <c r="I3056" s="404"/>
      <c r="K3056" s="224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413" t="s">
        <v>18</v>
      </c>
      <c r="D3058" s="413"/>
      <c r="E3058" s="413"/>
      <c r="F3058" s="413"/>
      <c r="G3058" s="414"/>
    </row>
    <row r="3059" spans="2:16" x14ac:dyDescent="0.3">
      <c r="B3059" s="112" t="s">
        <v>6</v>
      </c>
      <c r="C3059" s="415" t="s">
        <v>1</v>
      </c>
      <c r="D3059" s="416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411"/>
      <c r="D3060" s="412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411"/>
      <c r="D3061" s="412"/>
      <c r="E3061" s="125"/>
      <c r="F3061" s="72"/>
      <c r="G3061" s="74"/>
      <c r="I3061" s="84">
        <v>0</v>
      </c>
      <c r="K3061" s="84">
        <f>+F3061*I3061</f>
        <v>0</v>
      </c>
      <c r="L3061" s="116">
        <f>E3061*I3061</f>
        <v>0</v>
      </c>
    </row>
    <row r="3062" spans="2:16" x14ac:dyDescent="0.3">
      <c r="B3062" s="74"/>
      <c r="C3062" s="411"/>
      <c r="D3062" s="412"/>
      <c r="E3062" s="125"/>
      <c r="F3062" s="72"/>
      <c r="G3062" s="74"/>
      <c r="I3062" s="84">
        <v>0</v>
      </c>
      <c r="K3062" s="84">
        <f>+F3062*I3062</f>
        <v>0</v>
      </c>
      <c r="L3062" s="116">
        <f>E3062*I3062</f>
        <v>0</v>
      </c>
    </row>
    <row r="3063" spans="2:16" ht="17.25" thickBot="1" x14ac:dyDescent="0.35">
      <c r="L3063" s="116"/>
    </row>
    <row r="3064" spans="2:16" ht="17.25" thickBot="1" x14ac:dyDescent="0.35">
      <c r="F3064" s="402" t="s">
        <v>19</v>
      </c>
      <c r="G3064" s="403"/>
      <c r="H3064" s="403"/>
      <c r="I3064" s="404"/>
      <c r="K3064" s="224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127"/>
      <c r="H3065" s="128"/>
      <c r="I3065" s="106"/>
      <c r="K3065" s="225"/>
    </row>
    <row r="3066" spans="2:16" ht="15" customHeight="1" thickBot="1" x14ac:dyDescent="0.35"/>
    <row r="3067" spans="2:16" ht="17.25" thickBot="1" x14ac:dyDescent="0.35">
      <c r="F3067" s="402" t="s">
        <v>20</v>
      </c>
      <c r="G3067" s="403"/>
      <c r="H3067" s="403"/>
      <c r="I3067" s="404"/>
      <c r="K3067" s="224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402" t="s">
        <v>21</v>
      </c>
      <c r="G3069" s="403"/>
      <c r="H3069" s="403"/>
      <c r="I3069" s="404"/>
      <c r="K3069" s="224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402" t="s">
        <v>22</v>
      </c>
      <c r="G3071" s="403"/>
      <c r="H3071" s="403"/>
      <c r="I3071" s="404"/>
      <c r="K3071" s="224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127"/>
      <c r="H3072" s="128"/>
      <c r="I3072" s="106"/>
      <c r="K3072" s="226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127"/>
      <c r="H3073" s="128"/>
      <c r="I3073" s="106"/>
      <c r="K3073" s="227"/>
      <c r="L3073" s="129"/>
      <c r="M3073" s="132"/>
      <c r="N3073" s="133"/>
    </row>
    <row r="3074" spans="1:16" ht="17.25" thickBot="1" x14ac:dyDescent="0.35">
      <c r="B3074" s="405"/>
      <c r="C3074" s="405"/>
      <c r="D3074" s="405"/>
    </row>
    <row r="3075" spans="1:16" x14ac:dyDescent="0.3">
      <c r="B3075" s="406" t="s">
        <v>23</v>
      </c>
      <c r="C3075" s="406"/>
      <c r="D3075" s="406"/>
    </row>
    <row r="3076" spans="1:16" x14ac:dyDescent="0.3">
      <c r="B3076" s="155"/>
      <c r="C3076" s="155"/>
      <c r="D3076" s="155"/>
    </row>
    <row r="3078" spans="1:16" x14ac:dyDescent="0.3">
      <c r="B3078" s="103" t="s">
        <v>43</v>
      </c>
      <c r="C3078" s="104"/>
      <c r="D3078" s="422" t="s">
        <v>1</v>
      </c>
      <c r="E3078" s="422"/>
      <c r="F3078" s="422"/>
      <c r="G3078" s="422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09">
        <f>CATALOGO!B88</f>
        <v>1009.03</v>
      </c>
      <c r="C3079" s="71"/>
      <c r="D3079" s="436" t="str">
        <f>CATALOGO!C88</f>
        <v>LÁMPARA LED TIPO LISTON 2 TUBOS (18 WATS)</v>
      </c>
      <c r="E3079" s="436"/>
      <c r="F3079" s="436"/>
      <c r="G3079" s="436"/>
      <c r="H3079" s="71"/>
      <c r="I3079" s="209">
        <f>CATALOGO!D88</f>
        <v>7</v>
      </c>
      <c r="J3079" s="107"/>
      <c r="K3079" s="222" t="str">
        <f>CATALOGO!G88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413" t="s">
        <v>5</v>
      </c>
      <c r="D3081" s="413"/>
      <c r="E3081" s="413"/>
      <c r="F3081" s="413"/>
      <c r="G3081" s="414"/>
    </row>
    <row r="3082" spans="1:16" x14ac:dyDescent="0.25">
      <c r="B3082" s="109" t="s">
        <v>6</v>
      </c>
      <c r="C3082" s="424" t="s">
        <v>1</v>
      </c>
      <c r="D3082" s="425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3" t="s">
        <v>8</v>
      </c>
      <c r="L3082" s="113" t="s">
        <v>193</v>
      </c>
      <c r="O3082" s="438"/>
      <c r="P3082" s="438"/>
    </row>
    <row r="3083" spans="1:16" ht="17.25" customHeight="1" x14ac:dyDescent="0.25">
      <c r="B3083" s="120">
        <v>1</v>
      </c>
      <c r="C3083" s="407" t="s">
        <v>257</v>
      </c>
      <c r="D3083" s="408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95">E3083*I3083</f>
        <v>525</v>
      </c>
      <c r="O3083" s="44"/>
      <c r="P3083" s="45"/>
    </row>
    <row r="3084" spans="1:16" ht="17.25" customHeight="1" x14ac:dyDescent="0.25">
      <c r="B3084" s="120">
        <v>2</v>
      </c>
      <c r="C3084" s="407" t="s">
        <v>258</v>
      </c>
      <c r="D3084" s="408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95"/>
        <v>560</v>
      </c>
      <c r="O3084" s="44"/>
      <c r="P3084" s="45"/>
    </row>
    <row r="3085" spans="1:16" x14ac:dyDescent="0.25">
      <c r="B3085" s="120">
        <v>3</v>
      </c>
      <c r="C3085" s="430" t="s">
        <v>249</v>
      </c>
      <c r="D3085" s="429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>+F3085*I3085</f>
        <v>225</v>
      </c>
      <c r="L3085" s="116">
        <f t="shared" si="95"/>
        <v>1575</v>
      </c>
      <c r="O3085" s="44"/>
      <c r="P3085" s="46"/>
    </row>
    <row r="3086" spans="1:16" x14ac:dyDescent="0.25">
      <c r="B3086" s="120">
        <v>4</v>
      </c>
      <c r="C3086" s="430" t="s">
        <v>254</v>
      </c>
      <c r="D3086" s="429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>+F3086*I3086</f>
        <v>5</v>
      </c>
      <c r="L3086" s="116">
        <f t="shared" si="95"/>
        <v>35</v>
      </c>
      <c r="O3086" s="44"/>
      <c r="P3086" s="46"/>
    </row>
    <row r="3087" spans="1:16" x14ac:dyDescent="0.3">
      <c r="B3087" s="120">
        <v>5</v>
      </c>
      <c r="C3087" s="430" t="s">
        <v>253</v>
      </c>
      <c r="D3087" s="429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>+F3087*I3087</f>
        <v>50</v>
      </c>
      <c r="L3087" s="116">
        <f t="shared" si="95"/>
        <v>350</v>
      </c>
      <c r="O3087" s="48"/>
      <c r="P3087" s="49"/>
    </row>
    <row r="3088" spans="1:16" x14ac:dyDescent="0.3">
      <c r="B3088" s="120">
        <v>6</v>
      </c>
      <c r="C3088" s="430" t="s">
        <v>259</v>
      </c>
      <c r="D3088" s="429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>+F3088*I3088</f>
        <v>30</v>
      </c>
      <c r="L3088" s="116">
        <f t="shared" si="95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402" t="s">
        <v>9</v>
      </c>
      <c r="G3090" s="403"/>
      <c r="H3090" s="403"/>
      <c r="I3090" s="404"/>
      <c r="K3090" s="224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413" t="s">
        <v>11</v>
      </c>
      <c r="D3092" s="413"/>
      <c r="E3092" s="413"/>
      <c r="F3092" s="413"/>
      <c r="G3092" s="414"/>
    </row>
    <row r="3093" spans="2:16" x14ac:dyDescent="0.3">
      <c r="B3093" s="112" t="s">
        <v>6</v>
      </c>
      <c r="C3093" s="415" t="s">
        <v>1</v>
      </c>
      <c r="D3093" s="416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409"/>
      <c r="D3094" s="409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431"/>
      <c r="D3095" s="432"/>
      <c r="E3095" s="119"/>
      <c r="F3095" s="72"/>
      <c r="G3095" s="74"/>
      <c r="I3095" s="115">
        <f>IF(C3095=0,0,VLOOKUP(C3095,Tabla3[],3,FALSE))</f>
        <v>0</v>
      </c>
      <c r="K3095" s="84">
        <f>+F3095*I3095</f>
        <v>0</v>
      </c>
      <c r="L3095" s="116">
        <f>E3095*I3095</f>
        <v>0</v>
      </c>
    </row>
    <row r="3096" spans="2:16" x14ac:dyDescent="0.3">
      <c r="B3096" s="74"/>
      <c r="C3096" s="431"/>
      <c r="D3096" s="432"/>
      <c r="E3096" s="119"/>
      <c r="F3096" s="72"/>
      <c r="G3096" s="74"/>
      <c r="I3096" s="115">
        <f>IF(C3096=0,0,VLOOKUP(C3096,Tabla3[],3,FALSE))</f>
        <v>0</v>
      </c>
      <c r="K3096" s="84">
        <f>+F3096*I3096</f>
        <v>0</v>
      </c>
      <c r="L3096" s="116">
        <f>E3096*I3096</f>
        <v>0</v>
      </c>
    </row>
    <row r="3097" spans="2:16" x14ac:dyDescent="0.3">
      <c r="B3097" s="74"/>
      <c r="C3097" s="411"/>
      <c r="D3097" s="412"/>
      <c r="E3097" s="119"/>
      <c r="F3097" s="72"/>
      <c r="G3097" s="74"/>
      <c r="I3097" s="115">
        <f>IF(C3097=0,0,VLOOKUP(C3097,Tabla3[],3,FALSE))</f>
        <v>0</v>
      </c>
      <c r="K3097" s="84">
        <f>+F3097*I3097</f>
        <v>0</v>
      </c>
      <c r="L3097" s="116">
        <f>E3097*I3097</f>
        <v>0</v>
      </c>
    </row>
    <row r="3098" spans="2:16" ht="17.25" thickBot="1" x14ac:dyDescent="0.35"/>
    <row r="3099" spans="2:16" ht="17.25" thickBot="1" x14ac:dyDescent="0.35">
      <c r="F3099" s="402" t="s">
        <v>12</v>
      </c>
      <c r="G3099" s="403"/>
      <c r="H3099" s="403"/>
      <c r="I3099" s="404"/>
      <c r="K3099" s="224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413" t="s">
        <v>14</v>
      </c>
      <c r="D3101" s="413"/>
      <c r="E3101" s="413"/>
      <c r="F3101" s="413"/>
      <c r="G3101" s="414"/>
    </row>
    <row r="3102" spans="2:16" x14ac:dyDescent="0.3">
      <c r="B3102" s="112" t="s">
        <v>6</v>
      </c>
      <c r="C3102" s="415" t="s">
        <v>1</v>
      </c>
      <c r="D3102" s="416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409" t="s">
        <v>85</v>
      </c>
      <c r="D3103" s="409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409"/>
      <c r="D3104" s="409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417"/>
      <c r="D3105" s="418"/>
      <c r="E3105" s="122"/>
      <c r="F3105" s="123"/>
      <c r="G3105" s="74"/>
      <c r="I3105" s="115">
        <f>IF(C3105=0,0,VLOOKUP(C3105,Tabla2[],3,FALSE))</f>
        <v>0</v>
      </c>
      <c r="K3105" s="84">
        <f>+F3105*I3105</f>
        <v>0</v>
      </c>
      <c r="L3105" s="116">
        <f>E3105*I3105</f>
        <v>0</v>
      </c>
    </row>
    <row r="3106" spans="2:16" ht="17.25" thickBot="1" x14ac:dyDescent="0.35">
      <c r="B3106" s="419" t="s">
        <v>15</v>
      </c>
      <c r="C3106" s="420"/>
      <c r="D3106" s="420"/>
      <c r="E3106" s="420"/>
      <c r="F3106" s="420"/>
      <c r="G3106" s="421"/>
      <c r="I3106" s="84">
        <v>0</v>
      </c>
      <c r="K3106" s="84">
        <v>0</v>
      </c>
      <c r="L3106" s="116">
        <f>E3106*I3106</f>
        <v>0</v>
      </c>
    </row>
    <row r="3107" spans="2:16" ht="17.25" thickBot="1" x14ac:dyDescent="0.35"/>
    <row r="3108" spans="2:16" ht="17.25" thickBot="1" x14ac:dyDescent="0.35">
      <c r="F3108" s="402" t="s">
        <v>16</v>
      </c>
      <c r="G3108" s="403"/>
      <c r="H3108" s="403"/>
      <c r="I3108" s="404"/>
      <c r="K3108" s="224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413" t="s">
        <v>18</v>
      </c>
      <c r="D3110" s="413"/>
      <c r="E3110" s="413"/>
      <c r="F3110" s="413"/>
      <c r="G3110" s="414"/>
    </row>
    <row r="3111" spans="2:16" x14ac:dyDescent="0.3">
      <c r="B3111" s="112" t="s">
        <v>6</v>
      </c>
      <c r="C3111" s="415" t="s">
        <v>1</v>
      </c>
      <c r="D3111" s="416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411"/>
      <c r="D3112" s="412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411"/>
      <c r="D3113" s="412"/>
      <c r="E3113" s="125"/>
      <c r="F3113" s="72"/>
      <c r="G3113" s="74"/>
      <c r="I3113" s="84">
        <v>0</v>
      </c>
      <c r="K3113" s="84">
        <f>+F3113*I3113</f>
        <v>0</v>
      </c>
      <c r="L3113" s="116">
        <f>E3113*I3113</f>
        <v>0</v>
      </c>
    </row>
    <row r="3114" spans="2:16" x14ac:dyDescent="0.3">
      <c r="B3114" s="74"/>
      <c r="C3114" s="411"/>
      <c r="D3114" s="412"/>
      <c r="E3114" s="125"/>
      <c r="F3114" s="72"/>
      <c r="G3114" s="74"/>
      <c r="I3114" s="84">
        <v>0</v>
      </c>
      <c r="K3114" s="84">
        <f>+F3114*I3114</f>
        <v>0</v>
      </c>
      <c r="L3114" s="116">
        <f>E3114*I3114</f>
        <v>0</v>
      </c>
    </row>
    <row r="3115" spans="2:16" ht="17.25" thickBot="1" x14ac:dyDescent="0.35">
      <c r="L3115" s="116"/>
    </row>
    <row r="3116" spans="2:16" ht="17.25" thickBot="1" x14ac:dyDescent="0.35">
      <c r="F3116" s="402" t="s">
        <v>19</v>
      </c>
      <c r="G3116" s="403"/>
      <c r="H3116" s="403"/>
      <c r="I3116" s="404"/>
      <c r="K3116" s="224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127"/>
      <c r="H3117" s="128"/>
      <c r="I3117" s="106"/>
      <c r="K3117" s="225"/>
    </row>
    <row r="3118" spans="2:16" ht="15" customHeight="1" thickBot="1" x14ac:dyDescent="0.35"/>
    <row r="3119" spans="2:16" ht="17.25" thickBot="1" x14ac:dyDescent="0.35">
      <c r="F3119" s="402" t="s">
        <v>20</v>
      </c>
      <c r="G3119" s="403"/>
      <c r="H3119" s="403"/>
      <c r="I3119" s="404"/>
      <c r="K3119" s="224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402" t="s">
        <v>21</v>
      </c>
      <c r="G3121" s="403"/>
      <c r="H3121" s="403"/>
      <c r="I3121" s="404"/>
      <c r="K3121" s="224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402" t="s">
        <v>22</v>
      </c>
      <c r="G3123" s="403"/>
      <c r="H3123" s="403"/>
      <c r="I3123" s="404"/>
      <c r="K3123" s="224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127"/>
      <c r="H3124" s="128"/>
      <c r="I3124" s="106"/>
      <c r="K3124" s="226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127"/>
      <c r="H3125" s="128"/>
      <c r="I3125" s="106"/>
      <c r="K3125" s="227"/>
      <c r="L3125" s="129"/>
      <c r="M3125" s="132"/>
      <c r="N3125" s="133"/>
    </row>
    <row r="3126" spans="1:16" ht="17.25" thickBot="1" x14ac:dyDescent="0.35">
      <c r="B3126" s="405"/>
      <c r="C3126" s="405"/>
      <c r="D3126" s="405"/>
    </row>
    <row r="3127" spans="1:16" x14ac:dyDescent="0.3">
      <c r="B3127" s="406" t="s">
        <v>23</v>
      </c>
      <c r="C3127" s="406"/>
      <c r="D3127" s="406"/>
    </row>
    <row r="3128" spans="1:16" x14ac:dyDescent="0.3">
      <c r="B3128" s="155"/>
      <c r="C3128" s="155"/>
      <c r="D3128" s="155"/>
    </row>
    <row r="3130" spans="1:16" x14ac:dyDescent="0.3">
      <c r="B3130" s="103" t="s">
        <v>43</v>
      </c>
      <c r="C3130" s="104"/>
      <c r="D3130" s="422" t="s">
        <v>1</v>
      </c>
      <c r="E3130" s="422"/>
      <c r="F3130" s="422"/>
      <c r="G3130" s="422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09">
        <f>CATALOGO!B89</f>
        <v>1011.01</v>
      </c>
      <c r="C3131" s="71"/>
      <c r="D3131" s="437" t="str">
        <f>CATALOGO!C89</f>
        <v>INTERRUPTOR SENCILLO</v>
      </c>
      <c r="E3131" s="437"/>
      <c r="F3131" s="437"/>
      <c r="G3131" s="437"/>
      <c r="H3131" s="71"/>
      <c r="I3131" s="209">
        <f>CATALOGO!D89</f>
        <v>2</v>
      </c>
      <c r="J3131" s="107"/>
      <c r="K3131" s="222" t="str">
        <f>CATALOGO!G89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413" t="s">
        <v>5</v>
      </c>
      <c r="D3133" s="413"/>
      <c r="E3133" s="413"/>
      <c r="F3133" s="413"/>
      <c r="G3133" s="414"/>
    </row>
    <row r="3134" spans="1:16" x14ac:dyDescent="0.25">
      <c r="B3134" s="109" t="s">
        <v>6</v>
      </c>
      <c r="C3134" s="424" t="s">
        <v>1</v>
      </c>
      <c r="D3134" s="425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3" t="s">
        <v>8</v>
      </c>
      <c r="L3134" s="113" t="s">
        <v>193</v>
      </c>
      <c r="O3134" s="438"/>
      <c r="P3134" s="438"/>
    </row>
    <row r="3135" spans="1:16" ht="16.5" customHeight="1" x14ac:dyDescent="0.25">
      <c r="B3135" s="120">
        <v>1</v>
      </c>
      <c r="C3135" s="407" t="s">
        <v>280</v>
      </c>
      <c r="D3135" s="408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>E3135*I3135</f>
        <v>80</v>
      </c>
      <c r="O3135" s="44"/>
      <c r="P3135" s="45"/>
    </row>
    <row r="3136" spans="1:16" ht="16.5" customHeight="1" x14ac:dyDescent="0.25">
      <c r="B3136" s="120">
        <v>2</v>
      </c>
      <c r="C3136" s="407" t="s">
        <v>86</v>
      </c>
      <c r="D3136" s="408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>E3136*I3136</f>
        <v>20</v>
      </c>
      <c r="O3136" s="44"/>
      <c r="P3136" s="45"/>
    </row>
    <row r="3137" spans="2:16" x14ac:dyDescent="0.3">
      <c r="B3137" s="120">
        <v>3</v>
      </c>
      <c r="C3137" s="428" t="s">
        <v>268</v>
      </c>
      <c r="D3137" s="429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>+F3137*I3137</f>
        <v>50</v>
      </c>
      <c r="L3137" s="116">
        <f>E3137*I3137</f>
        <v>100</v>
      </c>
      <c r="P3137" s="45"/>
    </row>
    <row r="3138" spans="2:16" ht="17.25" thickBot="1" x14ac:dyDescent="0.35"/>
    <row r="3139" spans="2:16" ht="17.25" thickBot="1" x14ac:dyDescent="0.3">
      <c r="F3139" s="402" t="s">
        <v>9</v>
      </c>
      <c r="G3139" s="403"/>
      <c r="H3139" s="403"/>
      <c r="I3139" s="404"/>
      <c r="K3139" s="224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413" t="s">
        <v>11</v>
      </c>
      <c r="D3141" s="413"/>
      <c r="E3141" s="413"/>
      <c r="F3141" s="413"/>
      <c r="G3141" s="414"/>
    </row>
    <row r="3142" spans="2:16" x14ac:dyDescent="0.3">
      <c r="B3142" s="112" t="s">
        <v>6</v>
      </c>
      <c r="C3142" s="415" t="s">
        <v>1</v>
      </c>
      <c r="D3142" s="416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409"/>
      <c r="D3143" s="409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431"/>
      <c r="D3144" s="432"/>
      <c r="E3144" s="119"/>
      <c r="F3144" s="72"/>
      <c r="G3144" s="74"/>
      <c r="I3144" s="115">
        <f>IF(C3144=0,0,VLOOKUP(C3144,Tabla3[],3,FALSE))</f>
        <v>0</v>
      </c>
      <c r="K3144" s="84">
        <f>+F3144*I3144</f>
        <v>0</v>
      </c>
      <c r="L3144" s="116">
        <f>E3144*I3144</f>
        <v>0</v>
      </c>
    </row>
    <row r="3145" spans="2:16" x14ac:dyDescent="0.3">
      <c r="B3145" s="74"/>
      <c r="C3145" s="431"/>
      <c r="D3145" s="432"/>
      <c r="E3145" s="119"/>
      <c r="F3145" s="72"/>
      <c r="G3145" s="74"/>
      <c r="I3145" s="115">
        <f>IF(C3145=0,0,VLOOKUP(C3145,Tabla3[],3,FALSE))</f>
        <v>0</v>
      </c>
      <c r="K3145" s="84">
        <f>+F3145*I3145</f>
        <v>0</v>
      </c>
      <c r="L3145" s="116">
        <f>E3145*I3145</f>
        <v>0</v>
      </c>
    </row>
    <row r="3146" spans="2:16" x14ac:dyDescent="0.3">
      <c r="B3146" s="74"/>
      <c r="C3146" s="411"/>
      <c r="D3146" s="412"/>
      <c r="E3146" s="119"/>
      <c r="F3146" s="72"/>
      <c r="G3146" s="74"/>
      <c r="I3146" s="115">
        <f>IF(C3146=0,0,VLOOKUP(C3146,Tabla3[],3,FALSE))</f>
        <v>0</v>
      </c>
      <c r="K3146" s="84">
        <f>+F3146*I3146</f>
        <v>0</v>
      </c>
      <c r="L3146" s="116">
        <f>E3146*I3146</f>
        <v>0</v>
      </c>
    </row>
    <row r="3147" spans="2:16" ht="17.25" thickBot="1" x14ac:dyDescent="0.35"/>
    <row r="3148" spans="2:16" ht="17.25" thickBot="1" x14ac:dyDescent="0.35">
      <c r="F3148" s="402" t="s">
        <v>12</v>
      </c>
      <c r="G3148" s="403"/>
      <c r="H3148" s="403"/>
      <c r="I3148" s="404"/>
      <c r="K3148" s="224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413" t="s">
        <v>14</v>
      </c>
      <c r="D3150" s="413"/>
      <c r="E3150" s="413"/>
      <c r="F3150" s="413"/>
      <c r="G3150" s="414"/>
    </row>
    <row r="3151" spans="2:16" x14ac:dyDescent="0.3">
      <c r="B3151" s="112" t="s">
        <v>6</v>
      </c>
      <c r="C3151" s="415" t="s">
        <v>1</v>
      </c>
      <c r="D3151" s="416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409" t="s">
        <v>266</v>
      </c>
      <c r="D3152" s="409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409"/>
      <c r="D3153" s="409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417"/>
      <c r="D3154" s="418"/>
      <c r="E3154" s="122"/>
      <c r="F3154" s="123"/>
      <c r="G3154" s="74"/>
      <c r="I3154" s="115">
        <f>IF(C3154=0,0,VLOOKUP(C3154,Tabla2[],3,FALSE))</f>
        <v>0</v>
      </c>
      <c r="K3154" s="84">
        <f>+F3154*I3154</f>
        <v>0</v>
      </c>
      <c r="L3154" s="116">
        <f>E3154*I3154</f>
        <v>0</v>
      </c>
    </row>
    <row r="3155" spans="2:16" ht="17.25" thickBot="1" x14ac:dyDescent="0.35">
      <c r="B3155" s="419" t="s">
        <v>15</v>
      </c>
      <c r="C3155" s="420"/>
      <c r="D3155" s="420"/>
      <c r="E3155" s="420"/>
      <c r="F3155" s="420"/>
      <c r="G3155" s="421"/>
      <c r="I3155" s="84">
        <v>0</v>
      </c>
      <c r="K3155" s="84">
        <v>0</v>
      </c>
      <c r="L3155" s="116">
        <f>E3155*I3155</f>
        <v>0</v>
      </c>
    </row>
    <row r="3156" spans="2:16" ht="17.25" thickBot="1" x14ac:dyDescent="0.35"/>
    <row r="3157" spans="2:16" ht="17.25" thickBot="1" x14ac:dyDescent="0.35">
      <c r="F3157" s="402" t="s">
        <v>16</v>
      </c>
      <c r="G3157" s="403"/>
      <c r="H3157" s="403"/>
      <c r="I3157" s="404"/>
      <c r="K3157" s="224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413" t="s">
        <v>18</v>
      </c>
      <c r="D3159" s="413"/>
      <c r="E3159" s="413"/>
      <c r="F3159" s="413"/>
      <c r="G3159" s="414"/>
    </row>
    <row r="3160" spans="2:16" x14ac:dyDescent="0.3">
      <c r="B3160" s="112" t="s">
        <v>6</v>
      </c>
      <c r="C3160" s="415" t="s">
        <v>1</v>
      </c>
      <c r="D3160" s="416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411"/>
      <c r="D3161" s="412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411"/>
      <c r="D3162" s="412"/>
      <c r="E3162" s="125"/>
      <c r="F3162" s="72"/>
      <c r="G3162" s="74"/>
      <c r="I3162" s="84"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411"/>
      <c r="D3163" s="412"/>
      <c r="E3163" s="125"/>
      <c r="F3163" s="72"/>
      <c r="G3163" s="74"/>
      <c r="I3163" s="84"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>
      <c r="L3164" s="116"/>
    </row>
    <row r="3165" spans="2:16" ht="17.25" thickBot="1" x14ac:dyDescent="0.35">
      <c r="F3165" s="402" t="s">
        <v>19</v>
      </c>
      <c r="G3165" s="403"/>
      <c r="H3165" s="403"/>
      <c r="I3165" s="404"/>
      <c r="K3165" s="224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127"/>
      <c r="H3166" s="128"/>
      <c r="I3166" s="106"/>
      <c r="K3166" s="225"/>
    </row>
    <row r="3167" spans="2:16" ht="15" customHeight="1" thickBot="1" x14ac:dyDescent="0.35"/>
    <row r="3168" spans="2:16" ht="17.25" thickBot="1" x14ac:dyDescent="0.35">
      <c r="F3168" s="402" t="s">
        <v>20</v>
      </c>
      <c r="G3168" s="403"/>
      <c r="H3168" s="403"/>
      <c r="I3168" s="404"/>
      <c r="K3168" s="224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402" t="s">
        <v>21</v>
      </c>
      <c r="G3170" s="403"/>
      <c r="H3170" s="403"/>
      <c r="I3170" s="404"/>
      <c r="K3170" s="224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402" t="s">
        <v>22</v>
      </c>
      <c r="G3172" s="403"/>
      <c r="H3172" s="403"/>
      <c r="I3172" s="404"/>
      <c r="K3172" s="224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127"/>
      <c r="H3173" s="128"/>
      <c r="I3173" s="106"/>
      <c r="K3173" s="226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127"/>
      <c r="H3174" s="128"/>
      <c r="I3174" s="106"/>
      <c r="K3174" s="227"/>
      <c r="L3174" s="129"/>
      <c r="M3174" s="132"/>
      <c r="N3174" s="133"/>
    </row>
    <row r="3175" spans="1:16" ht="17.25" thickBot="1" x14ac:dyDescent="0.35">
      <c r="B3175" s="405"/>
      <c r="C3175" s="405"/>
      <c r="D3175" s="405"/>
    </row>
    <row r="3176" spans="1:16" x14ac:dyDescent="0.3">
      <c r="B3176" s="406" t="s">
        <v>23</v>
      </c>
      <c r="C3176" s="406"/>
      <c r="D3176" s="406"/>
    </row>
    <row r="3177" spans="1:16" x14ac:dyDescent="0.3">
      <c r="B3177" s="155"/>
      <c r="C3177" s="155"/>
      <c r="D3177" s="155"/>
    </row>
    <row r="3179" spans="1:16" x14ac:dyDescent="0.3">
      <c r="B3179" s="103" t="s">
        <v>43</v>
      </c>
      <c r="C3179" s="104"/>
      <c r="D3179" s="422" t="s">
        <v>1</v>
      </c>
      <c r="E3179" s="422"/>
      <c r="F3179" s="422"/>
      <c r="G3179" s="422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09">
        <f>CATALOGO!B90</f>
        <v>1011.02</v>
      </c>
      <c r="C3180" s="71"/>
      <c r="D3180" s="437" t="str">
        <f>CATALOGO!C90</f>
        <v>INTERRUPTOR DOBLE</v>
      </c>
      <c r="E3180" s="437"/>
      <c r="F3180" s="437"/>
      <c r="G3180" s="437"/>
      <c r="H3180" s="71"/>
      <c r="I3180" s="209">
        <f>CATALOGO!D90</f>
        <v>1</v>
      </c>
      <c r="J3180" s="107"/>
      <c r="K3180" s="222" t="str">
        <f>CATALOGO!G90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413" t="s">
        <v>5</v>
      </c>
      <c r="D3182" s="413"/>
      <c r="E3182" s="413"/>
      <c r="F3182" s="413"/>
      <c r="G3182" s="414"/>
    </row>
    <row r="3183" spans="1:16" x14ac:dyDescent="0.25">
      <c r="B3183" s="109" t="s">
        <v>6</v>
      </c>
      <c r="C3183" s="424" t="s">
        <v>1</v>
      </c>
      <c r="D3183" s="425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3" t="s">
        <v>8</v>
      </c>
      <c r="L3183" s="113" t="s">
        <v>193</v>
      </c>
      <c r="O3183" s="438"/>
      <c r="P3183" s="438"/>
    </row>
    <row r="3184" spans="1:16" ht="16.5" customHeight="1" x14ac:dyDescent="0.25">
      <c r="B3184" s="120">
        <v>1</v>
      </c>
      <c r="C3184" s="407" t="s">
        <v>280</v>
      </c>
      <c r="D3184" s="408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>E3184*I3184</f>
        <v>40</v>
      </c>
      <c r="O3184" s="44"/>
      <c r="P3184" s="45"/>
    </row>
    <row r="3185" spans="2:16" ht="16.5" customHeight="1" x14ac:dyDescent="0.25">
      <c r="B3185" s="120">
        <v>2</v>
      </c>
      <c r="C3185" s="407" t="s">
        <v>86</v>
      </c>
      <c r="D3185" s="408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>E3185*I3185</f>
        <v>10</v>
      </c>
      <c r="O3185" s="44"/>
      <c r="P3185" s="45"/>
    </row>
    <row r="3186" spans="2:16" x14ac:dyDescent="0.3">
      <c r="B3186" s="120">
        <v>3</v>
      </c>
      <c r="C3186" s="428" t="s">
        <v>268</v>
      </c>
      <c r="D3186" s="429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>+F3186*I3186</f>
        <v>100</v>
      </c>
      <c r="L3186" s="116">
        <f>E3186*I3186</f>
        <v>100</v>
      </c>
      <c r="P3186" s="45"/>
    </row>
    <row r="3187" spans="2:16" ht="17.25" thickBot="1" x14ac:dyDescent="0.35"/>
    <row r="3188" spans="2:16" ht="17.25" thickBot="1" x14ac:dyDescent="0.3">
      <c r="F3188" s="402" t="s">
        <v>9</v>
      </c>
      <c r="G3188" s="403"/>
      <c r="H3188" s="403"/>
      <c r="I3188" s="404"/>
      <c r="K3188" s="224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413" t="s">
        <v>11</v>
      </c>
      <c r="D3190" s="413"/>
      <c r="E3190" s="413"/>
      <c r="F3190" s="413"/>
      <c r="G3190" s="414"/>
    </row>
    <row r="3191" spans="2:16" x14ac:dyDescent="0.3">
      <c r="B3191" s="112" t="s">
        <v>6</v>
      </c>
      <c r="C3191" s="415" t="s">
        <v>1</v>
      </c>
      <c r="D3191" s="416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409"/>
      <c r="D3192" s="409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431"/>
      <c r="D3193" s="432"/>
      <c r="E3193" s="119"/>
      <c r="F3193" s="72"/>
      <c r="G3193" s="74"/>
      <c r="I3193" s="115">
        <f>IF(C3193=0,0,VLOOKUP(C3193,Tabla3[],3,FALSE))</f>
        <v>0</v>
      </c>
      <c r="K3193" s="84">
        <f>+F3193*I3193</f>
        <v>0</v>
      </c>
      <c r="L3193" s="116">
        <f>E3193*I3193</f>
        <v>0</v>
      </c>
    </row>
    <row r="3194" spans="2:16" x14ac:dyDescent="0.3">
      <c r="B3194" s="74"/>
      <c r="C3194" s="431"/>
      <c r="D3194" s="432"/>
      <c r="E3194" s="119"/>
      <c r="F3194" s="72"/>
      <c r="G3194" s="74"/>
      <c r="I3194" s="115">
        <f>IF(C3194=0,0,VLOOKUP(C3194,Tabla3[],3,FALSE))</f>
        <v>0</v>
      </c>
      <c r="K3194" s="84">
        <f>+F3194*I3194</f>
        <v>0</v>
      </c>
      <c r="L3194" s="116">
        <f>E3194*I3194</f>
        <v>0</v>
      </c>
    </row>
    <row r="3195" spans="2:16" x14ac:dyDescent="0.3">
      <c r="B3195" s="74"/>
      <c r="C3195" s="411"/>
      <c r="D3195" s="412"/>
      <c r="E3195" s="119"/>
      <c r="F3195" s="72"/>
      <c r="G3195" s="74"/>
      <c r="I3195" s="115">
        <f>IF(C3195=0,0,VLOOKUP(C3195,Tabla3[],3,FALSE))</f>
        <v>0</v>
      </c>
      <c r="K3195" s="84">
        <f>+F3195*I3195</f>
        <v>0</v>
      </c>
      <c r="L3195" s="116">
        <f>E3195*I3195</f>
        <v>0</v>
      </c>
    </row>
    <row r="3196" spans="2:16" ht="17.25" thickBot="1" x14ac:dyDescent="0.35"/>
    <row r="3197" spans="2:16" ht="17.25" thickBot="1" x14ac:dyDescent="0.35">
      <c r="F3197" s="402" t="s">
        <v>12</v>
      </c>
      <c r="G3197" s="403"/>
      <c r="H3197" s="403"/>
      <c r="I3197" s="404"/>
      <c r="K3197" s="224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413" t="s">
        <v>14</v>
      </c>
      <c r="D3199" s="413"/>
      <c r="E3199" s="413"/>
      <c r="F3199" s="413"/>
      <c r="G3199" s="414"/>
    </row>
    <row r="3200" spans="2:16" x14ac:dyDescent="0.3">
      <c r="B3200" s="112" t="s">
        <v>6</v>
      </c>
      <c r="C3200" s="415" t="s">
        <v>1</v>
      </c>
      <c r="D3200" s="416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409" t="s">
        <v>266</v>
      </c>
      <c r="D3201" s="409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409"/>
      <c r="D3202" s="409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417"/>
      <c r="D3203" s="418"/>
      <c r="E3203" s="122"/>
      <c r="F3203" s="123"/>
      <c r="G3203" s="74"/>
      <c r="I3203" s="115">
        <f>IF(C3203=0,0,VLOOKUP(C3203,Tabla2[],3,FALSE))</f>
        <v>0</v>
      </c>
      <c r="K3203" s="84">
        <f>+F3203*I3203</f>
        <v>0</v>
      </c>
      <c r="L3203" s="116">
        <f>E3203*I3203</f>
        <v>0</v>
      </c>
    </row>
    <row r="3204" spans="2:12" ht="17.25" thickBot="1" x14ac:dyDescent="0.35">
      <c r="B3204" s="419" t="s">
        <v>15</v>
      </c>
      <c r="C3204" s="420"/>
      <c r="D3204" s="420"/>
      <c r="E3204" s="420"/>
      <c r="F3204" s="420"/>
      <c r="G3204" s="421"/>
      <c r="I3204" s="84">
        <v>0</v>
      </c>
      <c r="K3204" s="84">
        <v>0</v>
      </c>
      <c r="L3204" s="116">
        <f>E3204*I3204</f>
        <v>0</v>
      </c>
    </row>
    <row r="3205" spans="2:12" ht="17.25" thickBot="1" x14ac:dyDescent="0.35"/>
    <row r="3206" spans="2:12" ht="17.25" thickBot="1" x14ac:dyDescent="0.35">
      <c r="F3206" s="402" t="s">
        <v>16</v>
      </c>
      <c r="G3206" s="403"/>
      <c r="H3206" s="403"/>
      <c r="I3206" s="404"/>
      <c r="K3206" s="224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413" t="s">
        <v>18</v>
      </c>
      <c r="D3208" s="413"/>
      <c r="E3208" s="413"/>
      <c r="F3208" s="413"/>
      <c r="G3208" s="414"/>
    </row>
    <row r="3209" spans="2:12" x14ac:dyDescent="0.3">
      <c r="B3209" s="112" t="s">
        <v>6</v>
      </c>
      <c r="C3209" s="415" t="s">
        <v>1</v>
      </c>
      <c r="D3209" s="416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411"/>
      <c r="D3210" s="412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411"/>
      <c r="D3211" s="412"/>
      <c r="E3211" s="125"/>
      <c r="F3211" s="72"/>
      <c r="G3211" s="74"/>
      <c r="I3211" s="84">
        <v>0</v>
      </c>
      <c r="K3211" s="84">
        <f>+F3211*I3211</f>
        <v>0</v>
      </c>
      <c r="L3211" s="116">
        <f>E3211*I3211</f>
        <v>0</v>
      </c>
    </row>
    <row r="3212" spans="2:12" x14ac:dyDescent="0.3">
      <c r="B3212" s="74"/>
      <c r="C3212" s="411"/>
      <c r="D3212" s="412"/>
      <c r="E3212" s="125"/>
      <c r="F3212" s="72"/>
      <c r="G3212" s="74"/>
      <c r="I3212" s="84">
        <v>0</v>
      </c>
      <c r="K3212" s="84">
        <f>+F3212*I3212</f>
        <v>0</v>
      </c>
      <c r="L3212" s="116">
        <f>E3212*I3212</f>
        <v>0</v>
      </c>
    </row>
    <row r="3213" spans="2:12" ht="17.25" thickBot="1" x14ac:dyDescent="0.35">
      <c r="L3213" s="116"/>
    </row>
    <row r="3214" spans="2:12" ht="17.25" thickBot="1" x14ac:dyDescent="0.35">
      <c r="F3214" s="402" t="s">
        <v>19</v>
      </c>
      <c r="G3214" s="403"/>
      <c r="H3214" s="403"/>
      <c r="I3214" s="404"/>
      <c r="K3214" s="224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127"/>
      <c r="H3215" s="128"/>
      <c r="I3215" s="106"/>
      <c r="K3215" s="225"/>
    </row>
    <row r="3216" spans="2:12" ht="15" customHeight="1" thickBot="1" x14ac:dyDescent="0.35"/>
    <row r="3217" spans="1:16" ht="17.25" thickBot="1" x14ac:dyDescent="0.35">
      <c r="F3217" s="402" t="s">
        <v>20</v>
      </c>
      <c r="G3217" s="403"/>
      <c r="H3217" s="403"/>
      <c r="I3217" s="404"/>
      <c r="K3217" s="224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402" t="s">
        <v>21</v>
      </c>
      <c r="G3219" s="403"/>
      <c r="H3219" s="403"/>
      <c r="I3219" s="404"/>
      <c r="K3219" s="224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402" t="s">
        <v>22</v>
      </c>
      <c r="G3221" s="403"/>
      <c r="H3221" s="403"/>
      <c r="I3221" s="404"/>
      <c r="K3221" s="224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127"/>
      <c r="H3222" s="128"/>
      <c r="I3222" s="106"/>
      <c r="K3222" s="226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127"/>
      <c r="H3223" s="128"/>
      <c r="I3223" s="106"/>
      <c r="K3223" s="227"/>
      <c r="L3223" s="129"/>
      <c r="M3223" s="132"/>
      <c r="N3223" s="133"/>
    </row>
    <row r="3224" spans="1:16" ht="17.25" thickBot="1" x14ac:dyDescent="0.35">
      <c r="B3224" s="405"/>
      <c r="C3224" s="405"/>
      <c r="D3224" s="405"/>
    </row>
    <row r="3225" spans="1:16" x14ac:dyDescent="0.3">
      <c r="B3225" s="406" t="s">
        <v>23</v>
      </c>
      <c r="C3225" s="406"/>
      <c r="D3225" s="406"/>
    </row>
    <row r="3226" spans="1:16" x14ac:dyDescent="0.3">
      <c r="B3226" s="155"/>
      <c r="C3226" s="155"/>
      <c r="D3226" s="155"/>
    </row>
    <row r="3228" spans="1:16" x14ac:dyDescent="0.3">
      <c r="B3228" s="103" t="s">
        <v>43</v>
      </c>
      <c r="C3228" s="104"/>
      <c r="D3228" s="422" t="s">
        <v>1</v>
      </c>
      <c r="E3228" s="422"/>
      <c r="F3228" s="422"/>
      <c r="G3228" s="422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09">
        <f>CATALOGO!B91</f>
        <v>1012.02</v>
      </c>
      <c r="C3229" s="71"/>
      <c r="D3229" s="437" t="str">
        <f>CATALOGO!C91</f>
        <v>TOMACORRIENTE DOBLE 120V, 15A. (ALAMBRADO)</v>
      </c>
      <c r="E3229" s="437"/>
      <c r="F3229" s="437"/>
      <c r="G3229" s="437"/>
      <c r="H3229" s="71"/>
      <c r="I3229" s="209">
        <f>CATALOGO!D91</f>
        <v>7</v>
      </c>
      <c r="J3229" s="107"/>
      <c r="K3229" s="222" t="str">
        <f>CATALOGO!G91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413" t="s">
        <v>5</v>
      </c>
      <c r="D3231" s="413"/>
      <c r="E3231" s="413"/>
      <c r="F3231" s="413"/>
      <c r="G3231" s="414"/>
    </row>
    <row r="3232" spans="1:16" x14ac:dyDescent="0.25">
      <c r="B3232" s="109" t="s">
        <v>6</v>
      </c>
      <c r="C3232" s="424" t="s">
        <v>1</v>
      </c>
      <c r="D3232" s="425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3" t="s">
        <v>8</v>
      </c>
      <c r="L3232" s="113" t="s">
        <v>193</v>
      </c>
      <c r="O3232" s="438"/>
      <c r="P3232" s="438"/>
    </row>
    <row r="3233" spans="2:16" x14ac:dyDescent="0.25">
      <c r="B3233" s="120">
        <v>1</v>
      </c>
      <c r="C3233" s="407" t="s">
        <v>265</v>
      </c>
      <c r="D3233" s="408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>E3233*I3233</f>
        <v>280</v>
      </c>
      <c r="O3233" s="44"/>
      <c r="P3233" s="45"/>
    </row>
    <row r="3234" spans="2:16" x14ac:dyDescent="0.25">
      <c r="B3234" s="120">
        <v>2</v>
      </c>
      <c r="C3234" s="407" t="s">
        <v>86</v>
      </c>
      <c r="D3234" s="408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>E3234*I3234</f>
        <v>70</v>
      </c>
      <c r="O3234" s="44"/>
      <c r="P3234" s="45"/>
    </row>
    <row r="3235" spans="2:16" x14ac:dyDescent="0.25">
      <c r="B3235" s="120">
        <v>3</v>
      </c>
      <c r="C3235" s="430" t="s">
        <v>249</v>
      </c>
      <c r="D3235" s="429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>+F3235*I3235</f>
        <v>60</v>
      </c>
      <c r="L3235" s="116">
        <f>E3235*I3235</f>
        <v>420</v>
      </c>
      <c r="O3235" s="44"/>
      <c r="P3235" s="46"/>
    </row>
    <row r="3236" spans="2:16" x14ac:dyDescent="0.3">
      <c r="B3236" s="120">
        <v>4</v>
      </c>
      <c r="C3236" s="428" t="s">
        <v>269</v>
      </c>
      <c r="D3236" s="429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>+F3236*I3236</f>
        <v>40</v>
      </c>
      <c r="L3236" s="116">
        <f>E3236*I3236</f>
        <v>280</v>
      </c>
      <c r="P3236" s="45"/>
    </row>
    <row r="3237" spans="2:16" ht="17.25" thickBot="1" x14ac:dyDescent="0.35"/>
    <row r="3238" spans="2:16" ht="17.25" thickBot="1" x14ac:dyDescent="0.3">
      <c r="F3238" s="402" t="s">
        <v>9</v>
      </c>
      <c r="G3238" s="403"/>
      <c r="H3238" s="403"/>
      <c r="I3238" s="404"/>
      <c r="K3238" s="224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413" t="s">
        <v>11</v>
      </c>
      <c r="D3240" s="413"/>
      <c r="E3240" s="413"/>
      <c r="F3240" s="413"/>
      <c r="G3240" s="414"/>
    </row>
    <row r="3241" spans="2:16" x14ac:dyDescent="0.3">
      <c r="B3241" s="112" t="s">
        <v>6</v>
      </c>
      <c r="C3241" s="415" t="s">
        <v>1</v>
      </c>
      <c r="D3241" s="416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409"/>
      <c r="D3242" s="409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431"/>
      <c r="D3243" s="432"/>
      <c r="E3243" s="119"/>
      <c r="F3243" s="72"/>
      <c r="G3243" s="74"/>
      <c r="I3243" s="115">
        <f>IF(C3243=0,0,VLOOKUP(C3243,Tabla3[],3,FALSE))</f>
        <v>0</v>
      </c>
      <c r="K3243" s="84">
        <f>+F3243*I3243</f>
        <v>0</v>
      </c>
      <c r="L3243" s="116">
        <f>E3243*I3243</f>
        <v>0</v>
      </c>
    </row>
    <row r="3244" spans="2:16" x14ac:dyDescent="0.3">
      <c r="B3244" s="74"/>
      <c r="C3244" s="431"/>
      <c r="D3244" s="432"/>
      <c r="E3244" s="119"/>
      <c r="F3244" s="72"/>
      <c r="G3244" s="74"/>
      <c r="I3244" s="115">
        <f>IF(C3244=0,0,VLOOKUP(C3244,Tabla3[],3,FALSE))</f>
        <v>0</v>
      </c>
      <c r="K3244" s="84">
        <f>+F3244*I3244</f>
        <v>0</v>
      </c>
      <c r="L3244" s="116">
        <f>E3244*I3244</f>
        <v>0</v>
      </c>
    </row>
    <row r="3245" spans="2:16" x14ac:dyDescent="0.3">
      <c r="B3245" s="74"/>
      <c r="C3245" s="411"/>
      <c r="D3245" s="412"/>
      <c r="E3245" s="119"/>
      <c r="F3245" s="72"/>
      <c r="G3245" s="74"/>
      <c r="I3245" s="115">
        <f>IF(C3245=0,0,VLOOKUP(C3245,Tabla3[],3,FALSE))</f>
        <v>0</v>
      </c>
      <c r="K3245" s="84">
        <f>+F3245*I3245</f>
        <v>0</v>
      </c>
      <c r="L3245" s="116">
        <f>E3245*I3245</f>
        <v>0</v>
      </c>
    </row>
    <row r="3246" spans="2:16" ht="17.25" thickBot="1" x14ac:dyDescent="0.35"/>
    <row r="3247" spans="2:16" ht="17.25" thickBot="1" x14ac:dyDescent="0.35">
      <c r="F3247" s="402" t="s">
        <v>12</v>
      </c>
      <c r="G3247" s="403"/>
      <c r="H3247" s="403"/>
      <c r="I3247" s="404"/>
      <c r="K3247" s="224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413" t="s">
        <v>14</v>
      </c>
      <c r="D3249" s="413"/>
      <c r="E3249" s="413"/>
      <c r="F3249" s="413"/>
      <c r="G3249" s="414"/>
    </row>
    <row r="3250" spans="2:12" x14ac:dyDescent="0.3">
      <c r="B3250" s="112" t="s">
        <v>6</v>
      </c>
      <c r="C3250" s="415" t="s">
        <v>1</v>
      </c>
      <c r="D3250" s="416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409" t="s">
        <v>267</v>
      </c>
      <c r="D3251" s="409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409"/>
      <c r="D3252" s="409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417"/>
      <c r="D3253" s="418"/>
      <c r="E3253" s="122"/>
      <c r="F3253" s="123"/>
      <c r="G3253" s="74"/>
      <c r="I3253" s="115">
        <f>IF(C3253=0,0,VLOOKUP(C3253,Tabla2[],3,FALSE))</f>
        <v>0</v>
      </c>
      <c r="K3253" s="84">
        <f>+F3253*I3253</f>
        <v>0</v>
      </c>
      <c r="L3253" s="116">
        <f>E3253*I3253</f>
        <v>0</v>
      </c>
    </row>
    <row r="3254" spans="2:12" ht="17.25" thickBot="1" x14ac:dyDescent="0.35">
      <c r="B3254" s="419" t="s">
        <v>15</v>
      </c>
      <c r="C3254" s="420"/>
      <c r="D3254" s="420"/>
      <c r="E3254" s="420"/>
      <c r="F3254" s="420"/>
      <c r="G3254" s="421"/>
      <c r="I3254" s="84">
        <v>0</v>
      </c>
      <c r="K3254" s="84">
        <v>0</v>
      </c>
      <c r="L3254" s="116">
        <f>E3254*I3254</f>
        <v>0</v>
      </c>
    </row>
    <row r="3255" spans="2:12" ht="17.25" thickBot="1" x14ac:dyDescent="0.35"/>
    <row r="3256" spans="2:12" ht="17.25" thickBot="1" x14ac:dyDescent="0.35">
      <c r="F3256" s="402" t="s">
        <v>16</v>
      </c>
      <c r="G3256" s="403"/>
      <c r="H3256" s="403"/>
      <c r="I3256" s="404"/>
      <c r="K3256" s="224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413" t="s">
        <v>18</v>
      </c>
      <c r="D3258" s="413"/>
      <c r="E3258" s="413"/>
      <c r="F3258" s="413"/>
      <c r="G3258" s="414"/>
    </row>
    <row r="3259" spans="2:12" x14ac:dyDescent="0.3">
      <c r="B3259" s="112" t="s">
        <v>6</v>
      </c>
      <c r="C3259" s="415" t="s">
        <v>1</v>
      </c>
      <c r="D3259" s="416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411"/>
      <c r="D3260" s="412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411"/>
      <c r="D3261" s="412"/>
      <c r="E3261" s="125"/>
      <c r="F3261" s="72"/>
      <c r="G3261" s="74"/>
      <c r="I3261" s="84">
        <v>0</v>
      </c>
      <c r="K3261" s="84">
        <f>+F3261*I3261</f>
        <v>0</v>
      </c>
      <c r="L3261" s="116">
        <f>E3261*I3261</f>
        <v>0</v>
      </c>
    </row>
    <row r="3262" spans="2:12" x14ac:dyDescent="0.3">
      <c r="B3262" s="74"/>
      <c r="C3262" s="411"/>
      <c r="D3262" s="412"/>
      <c r="E3262" s="125"/>
      <c r="F3262" s="72"/>
      <c r="G3262" s="74"/>
      <c r="I3262" s="84">
        <v>0</v>
      </c>
      <c r="K3262" s="84">
        <f>+F3262*I3262</f>
        <v>0</v>
      </c>
      <c r="L3262" s="116">
        <f>E3262*I3262</f>
        <v>0</v>
      </c>
    </row>
    <row r="3263" spans="2:12" ht="17.25" thickBot="1" x14ac:dyDescent="0.35">
      <c r="L3263" s="116"/>
    </row>
    <row r="3264" spans="2:12" ht="17.25" thickBot="1" x14ac:dyDescent="0.35">
      <c r="F3264" s="402" t="s">
        <v>19</v>
      </c>
      <c r="G3264" s="403"/>
      <c r="H3264" s="403"/>
      <c r="I3264" s="404"/>
      <c r="K3264" s="224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127"/>
      <c r="H3265" s="128"/>
      <c r="I3265" s="106"/>
      <c r="K3265" s="225"/>
    </row>
    <row r="3266" spans="1:16" ht="15" customHeight="1" thickBot="1" x14ac:dyDescent="0.35"/>
    <row r="3267" spans="1:16" ht="17.25" thickBot="1" x14ac:dyDescent="0.35">
      <c r="F3267" s="402" t="s">
        <v>20</v>
      </c>
      <c r="G3267" s="403"/>
      <c r="H3267" s="403"/>
      <c r="I3267" s="404"/>
      <c r="K3267" s="224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402" t="s">
        <v>21</v>
      </c>
      <c r="G3269" s="403"/>
      <c r="H3269" s="403"/>
      <c r="I3269" s="404"/>
      <c r="K3269" s="224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402" t="s">
        <v>22</v>
      </c>
      <c r="G3271" s="403"/>
      <c r="H3271" s="403"/>
      <c r="I3271" s="404"/>
      <c r="K3271" s="224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127"/>
      <c r="H3272" s="128"/>
      <c r="I3272" s="106"/>
      <c r="K3272" s="226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127"/>
      <c r="H3273" s="128"/>
      <c r="I3273" s="106"/>
      <c r="K3273" s="227"/>
      <c r="L3273" s="129"/>
      <c r="M3273" s="132"/>
      <c r="N3273" s="133"/>
    </row>
    <row r="3274" spans="1:16" ht="17.25" thickBot="1" x14ac:dyDescent="0.35">
      <c r="B3274" s="405"/>
      <c r="C3274" s="405"/>
      <c r="D3274" s="405"/>
    </row>
    <row r="3275" spans="1:16" x14ac:dyDescent="0.3">
      <c r="B3275" s="406" t="s">
        <v>23</v>
      </c>
      <c r="C3275" s="406"/>
      <c r="D3275" s="406"/>
    </row>
    <row r="3276" spans="1:16" x14ac:dyDescent="0.3">
      <c r="B3276" s="155"/>
      <c r="C3276" s="155"/>
      <c r="D3276" s="155"/>
    </row>
    <row r="3278" spans="1:16" x14ac:dyDescent="0.3">
      <c r="B3278" s="103" t="s">
        <v>43</v>
      </c>
      <c r="C3278" s="104"/>
      <c r="D3278" s="422" t="s">
        <v>1</v>
      </c>
      <c r="E3278" s="422"/>
      <c r="F3278" s="422"/>
      <c r="G3278" s="422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09">
        <f>CATALOGO!B93</f>
        <v>1207.01</v>
      </c>
      <c r="C3279" s="71"/>
      <c r="D3279" s="437" t="str">
        <f>CATALOGO!C93</f>
        <v>EXTINTOR DE FUEGO DE 20 Lb</v>
      </c>
      <c r="E3279" s="437"/>
      <c r="F3279" s="437"/>
      <c r="G3279" s="437"/>
      <c r="H3279" s="71"/>
      <c r="I3279" s="209">
        <f>CATALOGO!D93</f>
        <v>1</v>
      </c>
      <c r="J3279" s="107"/>
      <c r="K3279" s="222" t="str">
        <f>CATALOGO!G93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413" t="s">
        <v>5</v>
      </c>
      <c r="D3281" s="413"/>
      <c r="E3281" s="413"/>
      <c r="F3281" s="413"/>
      <c r="G3281" s="414"/>
    </row>
    <row r="3282" spans="2:16" x14ac:dyDescent="0.25">
      <c r="B3282" s="109" t="s">
        <v>6</v>
      </c>
      <c r="C3282" s="424" t="s">
        <v>1</v>
      </c>
      <c r="D3282" s="425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3" t="s">
        <v>8</v>
      </c>
      <c r="L3282" s="113" t="s">
        <v>193</v>
      </c>
      <c r="O3282" s="438"/>
      <c r="P3282" s="438"/>
    </row>
    <row r="3283" spans="2:16" x14ac:dyDescent="0.25">
      <c r="B3283" s="120">
        <v>1</v>
      </c>
      <c r="C3283" s="407" t="s">
        <v>90</v>
      </c>
      <c r="D3283" s="408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>E3283*I3283</f>
        <v>1324.55</v>
      </c>
      <c r="O3283" s="44"/>
      <c r="P3283" s="45"/>
    </row>
    <row r="3284" spans="2:16" x14ac:dyDescent="0.25">
      <c r="B3284" s="120"/>
      <c r="C3284" s="407"/>
      <c r="D3284" s="408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>E3284*I3284</f>
        <v>0</v>
      </c>
      <c r="O3284" s="44"/>
      <c r="P3284" s="45"/>
    </row>
    <row r="3285" spans="2:16" x14ac:dyDescent="0.25">
      <c r="B3285" s="120"/>
      <c r="C3285" s="430"/>
      <c r="D3285" s="429"/>
      <c r="E3285" s="114"/>
      <c r="F3285" s="83"/>
      <c r="G3285" s="74"/>
      <c r="I3285" s="115">
        <f>IF(C3285=0,0,VLOOKUP(C3285,Tabla1[],3,FALSE))</f>
        <v>0</v>
      </c>
      <c r="K3285" s="84">
        <f>+F3285*I3285</f>
        <v>0</v>
      </c>
      <c r="L3285" s="116">
        <f>E3285*I3285</f>
        <v>0</v>
      </c>
      <c r="O3285" s="44"/>
      <c r="P3285" s="46"/>
    </row>
    <row r="3286" spans="2:16" x14ac:dyDescent="0.3">
      <c r="B3286" s="120"/>
      <c r="C3286" s="428"/>
      <c r="D3286" s="429"/>
      <c r="E3286" s="114"/>
      <c r="F3286" s="83"/>
      <c r="G3286" s="74"/>
      <c r="I3286" s="115">
        <f>IF(C3286=0,0,VLOOKUP(C3286,Tabla1[],3,FALSE))</f>
        <v>0</v>
      </c>
      <c r="K3286" s="84">
        <f>+F3286*I3286</f>
        <v>0</v>
      </c>
      <c r="L3286" s="116">
        <f>E3286*I3286</f>
        <v>0</v>
      </c>
      <c r="P3286" s="45"/>
    </row>
    <row r="3287" spans="2:16" ht="17.25" thickBot="1" x14ac:dyDescent="0.35"/>
    <row r="3288" spans="2:16" ht="17.25" thickBot="1" x14ac:dyDescent="0.3">
      <c r="F3288" s="402" t="s">
        <v>9</v>
      </c>
      <c r="G3288" s="403"/>
      <c r="H3288" s="403"/>
      <c r="I3288" s="404"/>
      <c r="K3288" s="224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413" t="s">
        <v>11</v>
      </c>
      <c r="D3290" s="413"/>
      <c r="E3290" s="413"/>
      <c r="F3290" s="413"/>
      <c r="G3290" s="414"/>
    </row>
    <row r="3291" spans="2:16" x14ac:dyDescent="0.3">
      <c r="B3291" s="112" t="s">
        <v>6</v>
      </c>
      <c r="C3291" s="415" t="s">
        <v>1</v>
      </c>
      <c r="D3291" s="416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409"/>
      <c r="D3292" s="409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431"/>
      <c r="D3293" s="432"/>
      <c r="E3293" s="119"/>
      <c r="F3293" s="72"/>
      <c r="G3293" s="74"/>
      <c r="I3293" s="115">
        <f>IF(C3293=0,0,VLOOKUP(C3293,Tabla3[],3,FALSE))</f>
        <v>0</v>
      </c>
      <c r="K3293" s="84">
        <f>+F3293*I3293</f>
        <v>0</v>
      </c>
      <c r="L3293" s="116">
        <f>E3293*I3293</f>
        <v>0</v>
      </c>
    </row>
    <row r="3294" spans="2:16" x14ac:dyDescent="0.3">
      <c r="B3294" s="74"/>
      <c r="C3294" s="431"/>
      <c r="D3294" s="432"/>
      <c r="E3294" s="119"/>
      <c r="F3294" s="72"/>
      <c r="G3294" s="74"/>
      <c r="I3294" s="115">
        <f>IF(C3294=0,0,VLOOKUP(C3294,Tabla3[],3,FALSE))</f>
        <v>0</v>
      </c>
      <c r="K3294" s="84">
        <f>+F3294*I3294</f>
        <v>0</v>
      </c>
      <c r="L3294" s="116">
        <f>E3294*I3294</f>
        <v>0</v>
      </c>
    </row>
    <row r="3295" spans="2:16" x14ac:dyDescent="0.3">
      <c r="B3295" s="74"/>
      <c r="C3295" s="411"/>
      <c r="D3295" s="412"/>
      <c r="E3295" s="119"/>
      <c r="F3295" s="72"/>
      <c r="G3295" s="74"/>
      <c r="I3295" s="115">
        <f>IF(C3295=0,0,VLOOKUP(C3295,Tabla3[],3,FALSE))</f>
        <v>0</v>
      </c>
      <c r="K3295" s="84">
        <f>+F3295*I3295</f>
        <v>0</v>
      </c>
      <c r="L3295" s="116">
        <f>E3295*I3295</f>
        <v>0</v>
      </c>
    </row>
    <row r="3296" spans="2:16" ht="17.25" thickBot="1" x14ac:dyDescent="0.35"/>
    <row r="3297" spans="2:12" ht="17.25" thickBot="1" x14ac:dyDescent="0.35">
      <c r="F3297" s="402" t="s">
        <v>12</v>
      </c>
      <c r="G3297" s="403"/>
      <c r="H3297" s="403"/>
      <c r="I3297" s="404"/>
      <c r="K3297" s="224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413" t="s">
        <v>14</v>
      </c>
      <c r="D3299" s="413"/>
      <c r="E3299" s="413"/>
      <c r="F3299" s="413"/>
      <c r="G3299" s="414"/>
    </row>
    <row r="3300" spans="2:12" x14ac:dyDescent="0.3">
      <c r="B3300" s="112" t="s">
        <v>6</v>
      </c>
      <c r="C3300" s="415" t="s">
        <v>1</v>
      </c>
      <c r="D3300" s="416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409" t="s">
        <v>271</v>
      </c>
      <c r="D3301" s="409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409"/>
      <c r="D3302" s="409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417"/>
      <c r="D3303" s="418"/>
      <c r="E3303" s="122"/>
      <c r="F3303" s="123"/>
      <c r="G3303" s="74"/>
      <c r="I3303" s="115">
        <f>IF(C3303=0,0,VLOOKUP(C3303,Tabla2[],3,FALSE))</f>
        <v>0</v>
      </c>
      <c r="K3303" s="84">
        <f>+F3303*I3303</f>
        <v>0</v>
      </c>
      <c r="L3303" s="116">
        <f>E3303*I3303</f>
        <v>0</v>
      </c>
    </row>
    <row r="3304" spans="2:12" ht="17.25" thickBot="1" x14ac:dyDescent="0.35">
      <c r="B3304" s="419" t="s">
        <v>15</v>
      </c>
      <c r="C3304" s="420"/>
      <c r="D3304" s="420"/>
      <c r="E3304" s="420"/>
      <c r="F3304" s="420"/>
      <c r="G3304" s="421"/>
      <c r="I3304" s="84">
        <v>0</v>
      </c>
      <c r="K3304" s="84">
        <v>0</v>
      </c>
      <c r="L3304" s="116">
        <f>E3304*I3304</f>
        <v>0</v>
      </c>
    </row>
    <row r="3305" spans="2:12" ht="17.25" thickBot="1" x14ac:dyDescent="0.35"/>
    <row r="3306" spans="2:12" ht="17.25" thickBot="1" x14ac:dyDescent="0.35">
      <c r="F3306" s="402" t="s">
        <v>16</v>
      </c>
      <c r="G3306" s="403"/>
      <c r="H3306" s="403"/>
      <c r="I3306" s="404"/>
      <c r="K3306" s="224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413" t="s">
        <v>18</v>
      </c>
      <c r="D3308" s="413"/>
      <c r="E3308" s="413"/>
      <c r="F3308" s="413"/>
      <c r="G3308" s="414"/>
    </row>
    <row r="3309" spans="2:12" x14ac:dyDescent="0.3">
      <c r="B3309" s="112" t="s">
        <v>6</v>
      </c>
      <c r="C3309" s="415" t="s">
        <v>1</v>
      </c>
      <c r="D3309" s="416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411"/>
      <c r="D3310" s="412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411"/>
      <c r="D3311" s="412"/>
      <c r="E3311" s="125"/>
      <c r="F3311" s="72"/>
      <c r="G3311" s="74"/>
      <c r="I3311" s="84">
        <v>0</v>
      </c>
      <c r="K3311" s="84">
        <f>+F3311*I3311</f>
        <v>0</v>
      </c>
      <c r="L3311" s="116">
        <f>E3311*I3311</f>
        <v>0</v>
      </c>
    </row>
    <row r="3312" spans="2:12" x14ac:dyDescent="0.3">
      <c r="B3312" s="74"/>
      <c r="C3312" s="411"/>
      <c r="D3312" s="412"/>
      <c r="E3312" s="125"/>
      <c r="F3312" s="72"/>
      <c r="G3312" s="74"/>
      <c r="I3312" s="84">
        <v>0</v>
      </c>
      <c r="K3312" s="84">
        <f>+F3312*I3312</f>
        <v>0</v>
      </c>
      <c r="L3312" s="116">
        <f>E3312*I3312</f>
        <v>0</v>
      </c>
    </row>
    <row r="3313" spans="2:16" ht="17.25" thickBot="1" x14ac:dyDescent="0.35">
      <c r="L3313" s="116"/>
    </row>
    <row r="3314" spans="2:16" ht="17.25" thickBot="1" x14ac:dyDescent="0.35">
      <c r="F3314" s="402" t="s">
        <v>19</v>
      </c>
      <c r="G3314" s="403"/>
      <c r="H3314" s="403"/>
      <c r="I3314" s="404"/>
      <c r="K3314" s="224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127"/>
      <c r="H3315" s="128"/>
      <c r="I3315" s="106"/>
      <c r="K3315" s="225"/>
    </row>
    <row r="3316" spans="2:16" ht="15" customHeight="1" thickBot="1" x14ac:dyDescent="0.35"/>
    <row r="3317" spans="2:16" ht="17.25" thickBot="1" x14ac:dyDescent="0.35">
      <c r="F3317" s="402" t="s">
        <v>20</v>
      </c>
      <c r="G3317" s="403"/>
      <c r="H3317" s="403"/>
      <c r="I3317" s="404"/>
      <c r="K3317" s="224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402" t="s">
        <v>21</v>
      </c>
      <c r="G3319" s="403"/>
      <c r="H3319" s="403"/>
      <c r="I3319" s="404"/>
      <c r="K3319" s="224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402" t="s">
        <v>22</v>
      </c>
      <c r="G3321" s="403"/>
      <c r="H3321" s="403"/>
      <c r="I3321" s="404"/>
      <c r="K3321" s="224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127"/>
      <c r="H3322" s="128"/>
      <c r="I3322" s="106"/>
      <c r="K3322" s="226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127"/>
      <c r="H3323" s="128"/>
      <c r="I3323" s="106"/>
      <c r="K3323" s="227"/>
      <c r="L3323" s="129"/>
      <c r="M3323" s="132"/>
      <c r="N3323" s="133"/>
    </row>
    <row r="3324" spans="2:16" ht="17.25" thickBot="1" x14ac:dyDescent="0.35">
      <c r="B3324" s="405"/>
      <c r="C3324" s="405"/>
      <c r="D3324" s="405"/>
    </row>
    <row r="3325" spans="2:16" x14ac:dyDescent="0.3">
      <c r="B3325" s="406" t="s">
        <v>23</v>
      </c>
      <c r="C3325" s="406"/>
      <c r="D3325" s="406"/>
    </row>
    <row r="3326" spans="2:16" x14ac:dyDescent="0.3">
      <c r="B3326" s="155"/>
      <c r="C3326" s="155"/>
      <c r="D3326" s="155"/>
    </row>
    <row r="3328" spans="2:16" x14ac:dyDescent="0.3">
      <c r="B3328" s="103" t="s">
        <v>43</v>
      </c>
      <c r="C3328" s="104"/>
      <c r="D3328" s="422" t="s">
        <v>1</v>
      </c>
      <c r="E3328" s="422"/>
      <c r="F3328" s="422"/>
      <c r="G3328" s="422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09">
        <f>CATALOGO!B94</f>
        <v>1207.03</v>
      </c>
      <c r="C3329" s="71"/>
      <c r="D3329" s="437" t="str">
        <f>CATALOGO!C94</f>
        <v>GABINETE METÁLICO PARA EXTINTOR EMPOTRADO</v>
      </c>
      <c r="E3329" s="437"/>
      <c r="F3329" s="437"/>
      <c r="G3329" s="437"/>
      <c r="H3329" s="71"/>
      <c r="I3329" s="209">
        <f>CATALOGO!D94</f>
        <v>1</v>
      </c>
      <c r="J3329" s="107"/>
      <c r="K3329" s="222" t="str">
        <f>CATALOGO!G94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413" t="s">
        <v>5</v>
      </c>
      <c r="D3331" s="413"/>
      <c r="E3331" s="413"/>
      <c r="F3331" s="413"/>
      <c r="G3331" s="414"/>
    </row>
    <row r="3332" spans="1:16" x14ac:dyDescent="0.25">
      <c r="B3332" s="109" t="s">
        <v>6</v>
      </c>
      <c r="C3332" s="424" t="s">
        <v>1</v>
      </c>
      <c r="D3332" s="425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3" t="s">
        <v>8</v>
      </c>
      <c r="L3332" s="113" t="s">
        <v>193</v>
      </c>
      <c r="O3332" s="438"/>
      <c r="P3332" s="438"/>
    </row>
    <row r="3333" spans="1:16" x14ac:dyDescent="0.25">
      <c r="B3333" s="120">
        <v>1</v>
      </c>
      <c r="C3333" s="407" t="s">
        <v>592</v>
      </c>
      <c r="D3333" s="408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>E3333*I3333</f>
        <v>1110</v>
      </c>
      <c r="O3333" s="44"/>
      <c r="P3333" s="45"/>
    </row>
    <row r="3334" spans="1:16" x14ac:dyDescent="0.25">
      <c r="B3334" s="120"/>
      <c r="C3334" s="407"/>
      <c r="D3334" s="408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>E3334*I3334</f>
        <v>0</v>
      </c>
      <c r="O3334" s="44"/>
      <c r="P3334" s="45"/>
    </row>
    <row r="3335" spans="1:16" x14ac:dyDescent="0.25">
      <c r="B3335" s="120"/>
      <c r="C3335" s="430"/>
      <c r="D3335" s="429"/>
      <c r="E3335" s="114"/>
      <c r="F3335" s="83"/>
      <c r="G3335" s="74"/>
      <c r="I3335" s="115">
        <f>IF(C3335=0,0,VLOOKUP(C3335,Tabla1[],3,FALSE))</f>
        <v>0</v>
      </c>
      <c r="K3335" s="84">
        <f>+F3335*I3335</f>
        <v>0</v>
      </c>
      <c r="L3335" s="116">
        <f>E3335*I3335</f>
        <v>0</v>
      </c>
      <c r="O3335" s="44"/>
      <c r="P3335" s="46"/>
    </row>
    <row r="3336" spans="1:16" x14ac:dyDescent="0.3">
      <c r="B3336" s="120"/>
      <c r="C3336" s="428"/>
      <c r="D3336" s="429"/>
      <c r="E3336" s="114"/>
      <c r="F3336" s="83"/>
      <c r="G3336" s="74"/>
      <c r="I3336" s="115">
        <f>IF(C3336=0,0,VLOOKUP(C3336,Tabla1[],3,FALSE))</f>
        <v>0</v>
      </c>
      <c r="K3336" s="84">
        <f>+F3336*I3336</f>
        <v>0</v>
      </c>
      <c r="L3336" s="116">
        <f>E3336*I3336</f>
        <v>0</v>
      </c>
      <c r="P3336" s="45"/>
    </row>
    <row r="3337" spans="1:16" ht="17.25" thickBot="1" x14ac:dyDescent="0.35"/>
    <row r="3338" spans="1:16" ht="17.25" thickBot="1" x14ac:dyDescent="0.3">
      <c r="F3338" s="402" t="s">
        <v>9</v>
      </c>
      <c r="G3338" s="403"/>
      <c r="H3338" s="403"/>
      <c r="I3338" s="404"/>
      <c r="K3338" s="224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413" t="s">
        <v>11</v>
      </c>
      <c r="D3340" s="413"/>
      <c r="E3340" s="413"/>
      <c r="F3340" s="413"/>
      <c r="G3340" s="414"/>
    </row>
    <row r="3341" spans="1:16" x14ac:dyDescent="0.3">
      <c r="B3341" s="112" t="s">
        <v>6</v>
      </c>
      <c r="C3341" s="415" t="s">
        <v>1</v>
      </c>
      <c r="D3341" s="416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409"/>
      <c r="D3342" s="409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431"/>
      <c r="D3343" s="432"/>
      <c r="E3343" s="119"/>
      <c r="F3343" s="72"/>
      <c r="G3343" s="74"/>
      <c r="I3343" s="115">
        <f>IF(C3343=0,0,VLOOKUP(C3343,Tabla3[],3,FALSE))</f>
        <v>0</v>
      </c>
      <c r="K3343" s="84">
        <f>+F3343*I3343</f>
        <v>0</v>
      </c>
      <c r="L3343" s="116">
        <f>E3343*I3343</f>
        <v>0</v>
      </c>
    </row>
    <row r="3344" spans="1:16" x14ac:dyDescent="0.3">
      <c r="B3344" s="74"/>
      <c r="C3344" s="431"/>
      <c r="D3344" s="432"/>
      <c r="E3344" s="119"/>
      <c r="F3344" s="72"/>
      <c r="G3344" s="74"/>
      <c r="I3344" s="115">
        <f>IF(C3344=0,0,VLOOKUP(C3344,Tabla3[],3,FALSE))</f>
        <v>0</v>
      </c>
      <c r="K3344" s="84">
        <f>+F3344*I3344</f>
        <v>0</v>
      </c>
      <c r="L3344" s="116">
        <f>E3344*I3344</f>
        <v>0</v>
      </c>
    </row>
    <row r="3345" spans="2:12" x14ac:dyDescent="0.3">
      <c r="B3345" s="74"/>
      <c r="C3345" s="411"/>
      <c r="D3345" s="412"/>
      <c r="E3345" s="119"/>
      <c r="F3345" s="72"/>
      <c r="G3345" s="74"/>
      <c r="I3345" s="115">
        <f>IF(C3345=0,0,VLOOKUP(C3345,Tabla3[],3,FALSE))</f>
        <v>0</v>
      </c>
      <c r="K3345" s="84">
        <f>+F3345*I3345</f>
        <v>0</v>
      </c>
      <c r="L3345" s="116">
        <f>E3345*I3345</f>
        <v>0</v>
      </c>
    </row>
    <row r="3346" spans="2:12" ht="17.25" thickBot="1" x14ac:dyDescent="0.35"/>
    <row r="3347" spans="2:12" ht="17.25" thickBot="1" x14ac:dyDescent="0.35">
      <c r="F3347" s="402" t="s">
        <v>12</v>
      </c>
      <c r="G3347" s="403"/>
      <c r="H3347" s="403"/>
      <c r="I3347" s="404"/>
      <c r="K3347" s="224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413" t="s">
        <v>14</v>
      </c>
      <c r="D3349" s="413"/>
      <c r="E3349" s="413"/>
      <c r="F3349" s="413"/>
      <c r="G3349" s="414"/>
    </row>
    <row r="3350" spans="2:12" x14ac:dyDescent="0.3">
      <c r="B3350" s="112" t="s">
        <v>6</v>
      </c>
      <c r="C3350" s="415" t="s">
        <v>1</v>
      </c>
      <c r="D3350" s="416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409" t="s">
        <v>593</v>
      </c>
      <c r="D3351" s="409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409"/>
      <c r="D3352" s="409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417"/>
      <c r="D3353" s="418"/>
      <c r="E3353" s="122"/>
      <c r="F3353" s="123"/>
      <c r="G3353" s="74"/>
      <c r="I3353" s="115">
        <f>IF(C3353=0,0,VLOOKUP(C3353,Tabla2[],3,FALSE))</f>
        <v>0</v>
      </c>
      <c r="K3353" s="84">
        <f>+F3353*I3353</f>
        <v>0</v>
      </c>
      <c r="L3353" s="116">
        <f>E3353*I3353</f>
        <v>0</v>
      </c>
    </row>
    <row r="3354" spans="2:12" ht="17.25" thickBot="1" x14ac:dyDescent="0.35">
      <c r="B3354" s="419" t="s">
        <v>15</v>
      </c>
      <c r="C3354" s="420"/>
      <c r="D3354" s="420"/>
      <c r="E3354" s="420"/>
      <c r="F3354" s="420"/>
      <c r="G3354" s="421"/>
      <c r="I3354" s="84">
        <v>0</v>
      </c>
      <c r="K3354" s="84">
        <v>0</v>
      </c>
      <c r="L3354" s="116">
        <f>E3354*I3354</f>
        <v>0</v>
      </c>
    </row>
    <row r="3355" spans="2:12" ht="17.25" thickBot="1" x14ac:dyDescent="0.35"/>
    <row r="3356" spans="2:12" ht="17.25" thickBot="1" x14ac:dyDescent="0.35">
      <c r="F3356" s="402" t="s">
        <v>16</v>
      </c>
      <c r="G3356" s="403"/>
      <c r="H3356" s="403"/>
      <c r="I3356" s="404"/>
      <c r="K3356" s="224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413" t="s">
        <v>18</v>
      </c>
      <c r="D3358" s="413"/>
      <c r="E3358" s="413"/>
      <c r="F3358" s="413"/>
      <c r="G3358" s="414"/>
    </row>
    <row r="3359" spans="2:12" x14ac:dyDescent="0.3">
      <c r="B3359" s="112" t="s">
        <v>6</v>
      </c>
      <c r="C3359" s="415" t="s">
        <v>1</v>
      </c>
      <c r="D3359" s="416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411"/>
      <c r="D3360" s="412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411"/>
      <c r="D3361" s="412"/>
      <c r="E3361" s="125"/>
      <c r="F3361" s="72"/>
      <c r="G3361" s="74"/>
      <c r="I3361" s="84">
        <v>0</v>
      </c>
      <c r="K3361" s="84">
        <f>+F3361*I3361</f>
        <v>0</v>
      </c>
      <c r="L3361" s="116">
        <f>E3361*I3361</f>
        <v>0</v>
      </c>
    </row>
    <row r="3362" spans="2:16" x14ac:dyDescent="0.3">
      <c r="B3362" s="74"/>
      <c r="C3362" s="411"/>
      <c r="D3362" s="412"/>
      <c r="E3362" s="125"/>
      <c r="F3362" s="72"/>
      <c r="G3362" s="74"/>
      <c r="I3362" s="84">
        <v>0</v>
      </c>
      <c r="K3362" s="84">
        <f>+F3362*I3362</f>
        <v>0</v>
      </c>
      <c r="L3362" s="116">
        <f>E3362*I3362</f>
        <v>0</v>
      </c>
    </row>
    <row r="3363" spans="2:16" ht="17.25" thickBot="1" x14ac:dyDescent="0.35">
      <c r="L3363" s="116"/>
    </row>
    <row r="3364" spans="2:16" ht="17.25" thickBot="1" x14ac:dyDescent="0.35">
      <c r="F3364" s="402" t="s">
        <v>19</v>
      </c>
      <c r="G3364" s="403"/>
      <c r="H3364" s="403"/>
      <c r="I3364" s="404"/>
      <c r="K3364" s="224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127"/>
      <c r="H3365" s="128"/>
      <c r="I3365" s="106"/>
      <c r="K3365" s="225"/>
    </row>
    <row r="3366" spans="2:16" ht="15" customHeight="1" thickBot="1" x14ac:dyDescent="0.35"/>
    <row r="3367" spans="2:16" ht="17.25" thickBot="1" x14ac:dyDescent="0.35">
      <c r="F3367" s="402" t="s">
        <v>20</v>
      </c>
      <c r="G3367" s="403"/>
      <c r="H3367" s="403"/>
      <c r="I3367" s="404"/>
      <c r="K3367" s="224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402" t="s">
        <v>21</v>
      </c>
      <c r="G3369" s="403"/>
      <c r="H3369" s="403"/>
      <c r="I3369" s="404"/>
      <c r="K3369" s="224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402" t="s">
        <v>22</v>
      </c>
      <c r="G3371" s="403"/>
      <c r="H3371" s="403"/>
      <c r="I3371" s="404"/>
      <c r="K3371" s="224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127"/>
      <c r="H3372" s="128"/>
      <c r="I3372" s="106"/>
      <c r="K3372" s="226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127"/>
      <c r="H3373" s="128"/>
      <c r="I3373" s="106"/>
      <c r="K3373" s="227"/>
      <c r="L3373" s="129"/>
      <c r="M3373" s="132"/>
      <c r="N3373" s="133"/>
    </row>
    <row r="3374" spans="2:16" ht="17.25" thickBot="1" x14ac:dyDescent="0.35">
      <c r="B3374" s="405"/>
      <c r="C3374" s="405"/>
      <c r="D3374" s="405"/>
    </row>
    <row r="3375" spans="2:16" x14ac:dyDescent="0.3">
      <c r="B3375" s="406" t="s">
        <v>23</v>
      </c>
      <c r="C3375" s="406"/>
      <c r="D3375" s="406"/>
    </row>
    <row r="3376" spans="2:16" x14ac:dyDescent="0.3">
      <c r="B3376" s="155"/>
      <c r="C3376" s="155"/>
      <c r="D3376" s="155"/>
    </row>
    <row r="3378" spans="1:16" x14ac:dyDescent="0.3">
      <c r="B3378" s="103" t="s">
        <v>43</v>
      </c>
      <c r="C3378" s="104"/>
      <c r="D3378" s="422" t="s">
        <v>1</v>
      </c>
      <c r="E3378" s="422"/>
      <c r="F3378" s="422"/>
      <c r="G3378" s="422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09">
        <f>CATALOGO!B95</f>
        <v>1208.02</v>
      </c>
      <c r="C3379" s="71"/>
      <c r="D3379" s="437" t="str">
        <f>CATALOGO!C95</f>
        <v>CAMPANA DE LÁMINA NEGRA 3/64" PARA ESTUFA</v>
      </c>
      <c r="E3379" s="437"/>
      <c r="F3379" s="437"/>
      <c r="G3379" s="437"/>
      <c r="H3379" s="71"/>
      <c r="I3379" s="209">
        <f>CATALOGO!D95</f>
        <v>1</v>
      </c>
      <c r="J3379" s="107"/>
      <c r="K3379" s="222" t="str">
        <f>CATALOGO!G95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413" t="s">
        <v>5</v>
      </c>
      <c r="D3381" s="413"/>
      <c r="E3381" s="413"/>
      <c r="F3381" s="413"/>
      <c r="G3381" s="414"/>
    </row>
    <row r="3382" spans="1:16" x14ac:dyDescent="0.25">
      <c r="B3382" s="109" t="s">
        <v>6</v>
      </c>
      <c r="C3382" s="424" t="s">
        <v>1</v>
      </c>
      <c r="D3382" s="425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3" t="s">
        <v>8</v>
      </c>
      <c r="L3382" s="113" t="s">
        <v>193</v>
      </c>
      <c r="O3382" s="438"/>
      <c r="P3382" s="438"/>
    </row>
    <row r="3383" spans="1:16" x14ac:dyDescent="0.25">
      <c r="B3383" s="120">
        <v>1</v>
      </c>
      <c r="C3383" s="407" t="s">
        <v>56</v>
      </c>
      <c r="D3383" s="408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>E3383*I3383</f>
        <v>2000</v>
      </c>
      <c r="O3383" s="44"/>
      <c r="P3383" s="45"/>
    </row>
    <row r="3384" spans="1:16" x14ac:dyDescent="0.25">
      <c r="B3384" s="120"/>
      <c r="C3384" s="407"/>
      <c r="D3384" s="408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>E3384*I3384</f>
        <v>0</v>
      </c>
      <c r="O3384" s="44"/>
      <c r="P3384" s="45"/>
    </row>
    <row r="3385" spans="1:16" x14ac:dyDescent="0.25">
      <c r="B3385" s="120"/>
      <c r="C3385" s="430"/>
      <c r="D3385" s="429"/>
      <c r="E3385" s="114"/>
      <c r="F3385" s="83"/>
      <c r="G3385" s="74"/>
      <c r="I3385" s="115">
        <f>IF(C3385=0,0,VLOOKUP(C3385,Tabla1[],3,FALSE))</f>
        <v>0</v>
      </c>
      <c r="K3385" s="84">
        <f>+F3385*I3385</f>
        <v>0</v>
      </c>
      <c r="L3385" s="116">
        <f>E3385*I3385</f>
        <v>0</v>
      </c>
      <c r="O3385" s="44"/>
      <c r="P3385" s="46"/>
    </row>
    <row r="3386" spans="1:16" x14ac:dyDescent="0.3">
      <c r="B3386" s="120"/>
      <c r="C3386" s="428"/>
      <c r="D3386" s="429"/>
      <c r="E3386" s="114"/>
      <c r="F3386" s="83"/>
      <c r="G3386" s="74"/>
      <c r="I3386" s="115">
        <f>IF(C3386=0,0,VLOOKUP(C3386,Tabla1[],3,FALSE))</f>
        <v>0</v>
      </c>
      <c r="K3386" s="84">
        <f>+F3386*I3386</f>
        <v>0</v>
      </c>
      <c r="L3386" s="116">
        <f>E3386*I3386</f>
        <v>0</v>
      </c>
      <c r="P3386" s="45"/>
    </row>
    <row r="3387" spans="1:16" ht="17.25" thickBot="1" x14ac:dyDescent="0.35"/>
    <row r="3388" spans="1:16" ht="17.25" thickBot="1" x14ac:dyDescent="0.3">
      <c r="F3388" s="402" t="s">
        <v>9</v>
      </c>
      <c r="G3388" s="403"/>
      <c r="H3388" s="403"/>
      <c r="I3388" s="404"/>
      <c r="K3388" s="224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413" t="s">
        <v>11</v>
      </c>
      <c r="D3390" s="413"/>
      <c r="E3390" s="413"/>
      <c r="F3390" s="413"/>
      <c r="G3390" s="414"/>
    </row>
    <row r="3391" spans="1:16" x14ac:dyDescent="0.3">
      <c r="B3391" s="112" t="s">
        <v>6</v>
      </c>
      <c r="C3391" s="415" t="s">
        <v>1</v>
      </c>
      <c r="D3391" s="416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409"/>
      <c r="D3392" s="409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431"/>
      <c r="D3393" s="432"/>
      <c r="E3393" s="119"/>
      <c r="F3393" s="72"/>
      <c r="G3393" s="74"/>
      <c r="I3393" s="115">
        <f>IF(C3393=0,0,VLOOKUP(C3393,Tabla3[],3,FALSE))</f>
        <v>0</v>
      </c>
      <c r="K3393" s="84">
        <f>+F3393*I3393</f>
        <v>0</v>
      </c>
      <c r="L3393" s="116">
        <f>E3393*I3393</f>
        <v>0</v>
      </c>
    </row>
    <row r="3394" spans="2:12" x14ac:dyDescent="0.3">
      <c r="B3394" s="74"/>
      <c r="C3394" s="431"/>
      <c r="D3394" s="432"/>
      <c r="E3394" s="119"/>
      <c r="F3394" s="72"/>
      <c r="G3394" s="74"/>
      <c r="I3394" s="115">
        <f>IF(C3394=0,0,VLOOKUP(C3394,Tabla3[],3,FALSE))</f>
        <v>0</v>
      </c>
      <c r="K3394" s="84">
        <f>+F3394*I3394</f>
        <v>0</v>
      </c>
      <c r="L3394" s="116">
        <f>E3394*I3394</f>
        <v>0</v>
      </c>
    </row>
    <row r="3395" spans="2:12" x14ac:dyDescent="0.3">
      <c r="B3395" s="74"/>
      <c r="C3395" s="411"/>
      <c r="D3395" s="412"/>
      <c r="E3395" s="119"/>
      <c r="F3395" s="72"/>
      <c r="G3395" s="74"/>
      <c r="I3395" s="115">
        <f>IF(C3395=0,0,VLOOKUP(C3395,Tabla3[],3,FALSE))</f>
        <v>0</v>
      </c>
      <c r="K3395" s="84">
        <f>+F3395*I3395</f>
        <v>0</v>
      </c>
      <c r="L3395" s="116">
        <f>E3395*I3395</f>
        <v>0</v>
      </c>
    </row>
    <row r="3396" spans="2:12" ht="17.25" thickBot="1" x14ac:dyDescent="0.35"/>
    <row r="3397" spans="2:12" ht="17.25" thickBot="1" x14ac:dyDescent="0.35">
      <c r="F3397" s="402" t="s">
        <v>12</v>
      </c>
      <c r="G3397" s="403"/>
      <c r="H3397" s="403"/>
      <c r="I3397" s="404"/>
      <c r="K3397" s="224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413" t="s">
        <v>14</v>
      </c>
      <c r="D3399" s="413"/>
      <c r="E3399" s="413"/>
      <c r="F3399" s="413"/>
      <c r="G3399" s="414"/>
    </row>
    <row r="3400" spans="2:12" x14ac:dyDescent="0.3">
      <c r="B3400" s="112" t="s">
        <v>6</v>
      </c>
      <c r="C3400" s="415" t="s">
        <v>1</v>
      </c>
      <c r="D3400" s="416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409" t="s">
        <v>185</v>
      </c>
      <c r="D3401" s="409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409"/>
      <c r="D3402" s="409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417"/>
      <c r="D3403" s="418"/>
      <c r="E3403" s="122"/>
      <c r="F3403" s="123"/>
      <c r="G3403" s="74"/>
      <c r="I3403" s="115">
        <f>IF(C3403=0,0,VLOOKUP(C3403,Tabla2[],3,FALSE))</f>
        <v>0</v>
      </c>
      <c r="K3403" s="84">
        <f>+F3403*I3403</f>
        <v>0</v>
      </c>
      <c r="L3403" s="116">
        <f>E3403*I3403</f>
        <v>0</v>
      </c>
    </row>
    <row r="3404" spans="2:12" ht="17.25" thickBot="1" x14ac:dyDescent="0.35">
      <c r="B3404" s="419" t="s">
        <v>15</v>
      </c>
      <c r="C3404" s="420"/>
      <c r="D3404" s="420"/>
      <c r="E3404" s="420"/>
      <c r="F3404" s="420"/>
      <c r="G3404" s="421"/>
      <c r="I3404" s="84">
        <v>0</v>
      </c>
      <c r="K3404" s="84">
        <v>0</v>
      </c>
      <c r="L3404" s="116">
        <f>E3404*I3404</f>
        <v>0</v>
      </c>
    </row>
    <row r="3405" spans="2:12" ht="17.25" thickBot="1" x14ac:dyDescent="0.35"/>
    <row r="3406" spans="2:12" ht="17.25" thickBot="1" x14ac:dyDescent="0.35">
      <c r="F3406" s="402" t="s">
        <v>16</v>
      </c>
      <c r="G3406" s="403"/>
      <c r="H3406" s="403"/>
      <c r="I3406" s="404"/>
      <c r="K3406" s="224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413" t="s">
        <v>18</v>
      </c>
      <c r="D3408" s="413"/>
      <c r="E3408" s="413"/>
      <c r="F3408" s="413"/>
      <c r="G3408" s="414"/>
    </row>
    <row r="3409" spans="2:16" x14ac:dyDescent="0.3">
      <c r="B3409" s="112" t="s">
        <v>6</v>
      </c>
      <c r="C3409" s="415" t="s">
        <v>1</v>
      </c>
      <c r="D3409" s="416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411"/>
      <c r="D3410" s="412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411"/>
      <c r="D3411" s="412"/>
      <c r="E3411" s="125"/>
      <c r="F3411" s="72"/>
      <c r="G3411" s="74"/>
      <c r="I3411" s="84">
        <v>0</v>
      </c>
      <c r="K3411" s="84">
        <f>+F3411*I3411</f>
        <v>0</v>
      </c>
      <c r="L3411" s="116">
        <f>E3411*I3411</f>
        <v>0</v>
      </c>
    </row>
    <row r="3412" spans="2:16" x14ac:dyDescent="0.3">
      <c r="B3412" s="74"/>
      <c r="C3412" s="411"/>
      <c r="D3412" s="412"/>
      <c r="E3412" s="125"/>
      <c r="F3412" s="72"/>
      <c r="G3412" s="74"/>
      <c r="I3412" s="84">
        <v>0</v>
      </c>
      <c r="K3412" s="84">
        <f>+F3412*I3412</f>
        <v>0</v>
      </c>
      <c r="L3412" s="116">
        <f>E3412*I3412</f>
        <v>0</v>
      </c>
    </row>
    <row r="3413" spans="2:16" ht="17.25" thickBot="1" x14ac:dyDescent="0.35">
      <c r="L3413" s="116"/>
    </row>
    <row r="3414" spans="2:16" ht="17.25" thickBot="1" x14ac:dyDescent="0.35">
      <c r="F3414" s="402" t="s">
        <v>19</v>
      </c>
      <c r="G3414" s="403"/>
      <c r="H3414" s="403"/>
      <c r="I3414" s="404"/>
      <c r="K3414" s="224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127"/>
      <c r="H3415" s="128"/>
      <c r="I3415" s="106"/>
      <c r="K3415" s="225"/>
    </row>
    <row r="3416" spans="2:16" ht="15" customHeight="1" thickBot="1" x14ac:dyDescent="0.35"/>
    <row r="3417" spans="2:16" ht="17.25" thickBot="1" x14ac:dyDescent="0.35">
      <c r="F3417" s="402" t="s">
        <v>20</v>
      </c>
      <c r="G3417" s="403"/>
      <c r="H3417" s="403"/>
      <c r="I3417" s="404"/>
      <c r="K3417" s="224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402" t="s">
        <v>21</v>
      </c>
      <c r="G3419" s="403"/>
      <c r="H3419" s="403"/>
      <c r="I3419" s="404"/>
      <c r="K3419" s="224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402" t="s">
        <v>22</v>
      </c>
      <c r="G3421" s="403"/>
      <c r="H3421" s="403"/>
      <c r="I3421" s="404"/>
      <c r="K3421" s="224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127"/>
      <c r="H3422" s="128"/>
      <c r="I3422" s="106"/>
      <c r="K3422" s="226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127"/>
      <c r="H3423" s="128"/>
      <c r="I3423" s="106"/>
      <c r="K3423" s="227"/>
      <c r="L3423" s="129"/>
      <c r="M3423" s="132"/>
      <c r="N3423" s="133"/>
    </row>
    <row r="3424" spans="2:16" ht="17.25" thickBot="1" x14ac:dyDescent="0.35">
      <c r="B3424" s="405"/>
      <c r="C3424" s="405"/>
      <c r="D3424" s="405"/>
    </row>
    <row r="3425" spans="1:16" x14ac:dyDescent="0.3">
      <c r="B3425" s="406" t="s">
        <v>23</v>
      </c>
      <c r="C3425" s="406"/>
      <c r="D3425" s="406"/>
    </row>
    <row r="3426" spans="1:16" x14ac:dyDescent="0.3">
      <c r="B3426" s="155"/>
      <c r="C3426" s="155"/>
      <c r="D3426" s="155"/>
    </row>
    <row r="3428" spans="1:16" x14ac:dyDescent="0.3">
      <c r="B3428" s="103" t="s">
        <v>43</v>
      </c>
      <c r="C3428" s="104"/>
      <c r="D3428" s="422" t="s">
        <v>1</v>
      </c>
      <c r="E3428" s="422"/>
      <c r="F3428" s="422"/>
      <c r="G3428" s="422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09">
        <f>CATALOGO!B97</f>
        <v>1304.02</v>
      </c>
      <c r="C3429" s="71"/>
      <c r="D3429" s="437" t="str">
        <f>CATALOGO!C97</f>
        <v>TOP DE CONCRETO (SOLO LOSA)</v>
      </c>
      <c r="E3429" s="437"/>
      <c r="F3429" s="437"/>
      <c r="G3429" s="437"/>
      <c r="H3429" s="71"/>
      <c r="I3429" s="209">
        <f>CATALOGO!D97</f>
        <v>3.39</v>
      </c>
      <c r="J3429" s="107"/>
      <c r="K3429" s="222" t="str">
        <f>CATALOGO!G97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413" t="s">
        <v>5</v>
      </c>
      <c r="D3431" s="413"/>
      <c r="E3431" s="413"/>
      <c r="F3431" s="413"/>
      <c r="G3431" s="414"/>
    </row>
    <row r="3432" spans="1:16" x14ac:dyDescent="0.25">
      <c r="B3432" s="109" t="s">
        <v>6</v>
      </c>
      <c r="C3432" s="424" t="s">
        <v>1</v>
      </c>
      <c r="D3432" s="425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3" t="s">
        <v>8</v>
      </c>
      <c r="L3432" s="113" t="s">
        <v>193</v>
      </c>
      <c r="O3432" s="438"/>
      <c r="P3432" s="438"/>
    </row>
    <row r="3433" spans="1:16" ht="17.25" customHeight="1" x14ac:dyDescent="0.25">
      <c r="B3433" s="149">
        <v>1</v>
      </c>
      <c r="C3433" s="459" t="s">
        <v>229</v>
      </c>
      <c r="D3433" s="460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96">E3433*I3433</f>
        <v>67.8</v>
      </c>
      <c r="O3433" s="44"/>
      <c r="P3433" s="45"/>
    </row>
    <row r="3434" spans="1:16" ht="17.25" customHeight="1" x14ac:dyDescent="0.25">
      <c r="B3434" s="149">
        <v>2</v>
      </c>
      <c r="C3434" s="459" t="s">
        <v>72</v>
      </c>
      <c r="D3434" s="460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96"/>
        <v>84.75</v>
      </c>
      <c r="O3434" s="44"/>
      <c r="P3434" s="45"/>
    </row>
    <row r="3435" spans="1:16" ht="16.5" customHeight="1" x14ac:dyDescent="0.25">
      <c r="B3435" s="149">
        <v>3</v>
      </c>
      <c r="C3435" s="459" t="s">
        <v>213</v>
      </c>
      <c r="D3435" s="460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97">+F3435*I3435</f>
        <v>480</v>
      </c>
      <c r="L3435" s="116">
        <f t="shared" si="96"/>
        <v>1627.2</v>
      </c>
      <c r="O3435" s="44"/>
      <c r="P3435" s="46"/>
    </row>
    <row r="3436" spans="1:16" ht="16.5" customHeight="1" x14ac:dyDescent="0.25">
      <c r="B3436" s="149"/>
      <c r="C3436" s="459"/>
      <c r="D3436" s="460"/>
      <c r="E3436" s="150"/>
      <c r="F3436" s="83"/>
      <c r="G3436" s="74"/>
      <c r="I3436" s="115">
        <f>IF(C3436=0,0,VLOOKUP(C3436,Tabla1[],3,FALSE))</f>
        <v>0</v>
      </c>
      <c r="K3436" s="84">
        <f t="shared" si="97"/>
        <v>0</v>
      </c>
      <c r="L3436" s="116">
        <f t="shared" si="96"/>
        <v>0</v>
      </c>
      <c r="O3436" s="44"/>
      <c r="P3436" s="46"/>
    </row>
    <row r="3437" spans="1:16" ht="16.5" customHeight="1" x14ac:dyDescent="0.25">
      <c r="B3437" s="149"/>
      <c r="C3437" s="459"/>
      <c r="D3437" s="460"/>
      <c r="E3437" s="150"/>
      <c r="F3437" s="83"/>
      <c r="G3437" s="74"/>
      <c r="I3437" s="115">
        <f>IF(C3437=0,0,VLOOKUP(C3437,Tabla1[],3,FALSE))</f>
        <v>0</v>
      </c>
      <c r="K3437" s="84">
        <f t="shared" si="97"/>
        <v>0</v>
      </c>
      <c r="L3437" s="116">
        <f t="shared" si="96"/>
        <v>0</v>
      </c>
      <c r="O3437" s="44"/>
      <c r="P3437" s="46"/>
    </row>
    <row r="3438" spans="1:16" ht="16.5" customHeight="1" x14ac:dyDescent="0.25">
      <c r="B3438" s="149"/>
      <c r="C3438" s="459"/>
      <c r="D3438" s="460"/>
      <c r="E3438" s="150"/>
      <c r="F3438" s="83"/>
      <c r="G3438" s="74"/>
      <c r="I3438" s="115">
        <f>IF(C3438=0,0,VLOOKUP(C3438,Tabla1[],3,FALSE))</f>
        <v>0</v>
      </c>
      <c r="K3438" s="84">
        <f t="shared" si="97"/>
        <v>0</v>
      </c>
      <c r="L3438" s="116">
        <f t="shared" si="96"/>
        <v>0</v>
      </c>
      <c r="O3438" s="44"/>
      <c r="P3438" s="46"/>
    </row>
    <row r="3439" spans="1:16" x14ac:dyDescent="0.25">
      <c r="B3439" s="149"/>
      <c r="C3439" s="459"/>
      <c r="D3439" s="460"/>
      <c r="E3439" s="150"/>
      <c r="F3439" s="83"/>
      <c r="G3439" s="74"/>
      <c r="I3439" s="115">
        <f>IF(C3439=0,0,VLOOKUP(C3439,Tabla1[],3,FALSE))</f>
        <v>0</v>
      </c>
      <c r="K3439" s="84">
        <f t="shared" si="97"/>
        <v>0</v>
      </c>
      <c r="L3439" s="116">
        <f t="shared" si="96"/>
        <v>0</v>
      </c>
      <c r="O3439" s="44"/>
      <c r="P3439" s="46"/>
    </row>
    <row r="3440" spans="1:16" ht="16.5" customHeight="1" x14ac:dyDescent="0.25">
      <c r="B3440" s="149"/>
      <c r="C3440" s="459"/>
      <c r="D3440" s="460"/>
      <c r="E3440" s="150"/>
      <c r="F3440" s="83"/>
      <c r="G3440" s="74"/>
      <c r="I3440" s="115">
        <f>IF(C3440=0,0,VLOOKUP(C3440,Tabla1[],3,FALSE))</f>
        <v>0</v>
      </c>
      <c r="K3440" s="84">
        <f t="shared" si="97"/>
        <v>0</v>
      </c>
      <c r="L3440" s="116">
        <f t="shared" si="96"/>
        <v>0</v>
      </c>
      <c r="O3440" s="44"/>
      <c r="P3440" s="45"/>
    </row>
    <row r="3441" spans="2:16" x14ac:dyDescent="0.3">
      <c r="B3441" s="149"/>
      <c r="C3441" s="459"/>
      <c r="D3441" s="460"/>
      <c r="E3441" s="150"/>
      <c r="F3441" s="83"/>
      <c r="G3441" s="74"/>
      <c r="I3441" s="115">
        <f>IF(C3441=0,0,VLOOKUP(C3441,Tabla1[],3,FALSE))</f>
        <v>0</v>
      </c>
      <c r="K3441" s="84">
        <f t="shared" si="97"/>
        <v>0</v>
      </c>
      <c r="L3441" s="116">
        <f t="shared" si="96"/>
        <v>0</v>
      </c>
      <c r="P3441" s="45"/>
    </row>
    <row r="3442" spans="2:16" ht="17.25" thickBot="1" x14ac:dyDescent="0.35"/>
    <row r="3443" spans="2:16" ht="17.25" thickBot="1" x14ac:dyDescent="0.3">
      <c r="F3443" s="402" t="s">
        <v>9</v>
      </c>
      <c r="G3443" s="403"/>
      <c r="H3443" s="403"/>
      <c r="I3443" s="404"/>
      <c r="K3443" s="224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413" t="s">
        <v>11</v>
      </c>
      <c r="D3445" s="413"/>
      <c r="E3445" s="413"/>
      <c r="F3445" s="413"/>
      <c r="G3445" s="414"/>
    </row>
    <row r="3446" spans="2:16" x14ac:dyDescent="0.3">
      <c r="B3446" s="112" t="s">
        <v>6</v>
      </c>
      <c r="C3446" s="415" t="s">
        <v>1</v>
      </c>
      <c r="D3446" s="416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409"/>
      <c r="D3447" s="409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431"/>
      <c r="D3448" s="432"/>
      <c r="E3448" s="119"/>
      <c r="F3448" s="72"/>
      <c r="G3448" s="74"/>
      <c r="I3448" s="115">
        <f>IF(C3448=0,0,VLOOKUP(C3448,Tabla3[],3,FALSE))</f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431"/>
      <c r="D3449" s="432"/>
      <c r="E3449" s="119"/>
      <c r="F3449" s="72"/>
      <c r="G3449" s="74"/>
      <c r="I3449" s="115">
        <f>IF(C3449=0,0,VLOOKUP(C3449,Tabla3[],3,FALSE))</f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411"/>
      <c r="D3450" s="412"/>
      <c r="E3450" s="119"/>
      <c r="F3450" s="72"/>
      <c r="G3450" s="74"/>
      <c r="I3450" s="115">
        <f>IF(C3450=0,0,VLOOKUP(C3450,Tabla3[],3,FALSE))</f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/>
    <row r="3452" spans="2:16" ht="17.25" thickBot="1" x14ac:dyDescent="0.35">
      <c r="F3452" s="402" t="s">
        <v>12</v>
      </c>
      <c r="G3452" s="403"/>
      <c r="H3452" s="403"/>
      <c r="I3452" s="404"/>
      <c r="K3452" s="224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413" t="s">
        <v>14</v>
      </c>
      <c r="D3454" s="413"/>
      <c r="E3454" s="413"/>
      <c r="F3454" s="413"/>
      <c r="G3454" s="414"/>
    </row>
    <row r="3455" spans="2:16" x14ac:dyDescent="0.3">
      <c r="B3455" s="112" t="s">
        <v>6</v>
      </c>
      <c r="C3455" s="415" t="s">
        <v>1</v>
      </c>
      <c r="D3455" s="416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409" t="s">
        <v>367</v>
      </c>
      <c r="D3456" s="409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409"/>
      <c r="D3457" s="409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417"/>
      <c r="D3458" s="418"/>
      <c r="E3458" s="122"/>
      <c r="F3458" s="123"/>
      <c r="G3458" s="74"/>
      <c r="I3458" s="115">
        <f>IF(C3458=0,0,VLOOKUP(C3458,Tabla2[],3,FALSE))</f>
        <v>0</v>
      </c>
      <c r="K3458" s="84">
        <f>+F3458*I3458</f>
        <v>0</v>
      </c>
      <c r="L3458" s="116">
        <f>E3458*I3458</f>
        <v>0</v>
      </c>
    </row>
    <row r="3459" spans="2:16" ht="17.25" thickBot="1" x14ac:dyDescent="0.35">
      <c r="B3459" s="419" t="s">
        <v>15</v>
      </c>
      <c r="C3459" s="420"/>
      <c r="D3459" s="420"/>
      <c r="E3459" s="420"/>
      <c r="F3459" s="420"/>
      <c r="G3459" s="421"/>
      <c r="I3459" s="84">
        <v>0</v>
      </c>
      <c r="K3459" s="84">
        <v>0</v>
      </c>
      <c r="L3459" s="116">
        <f>E3459*I3459</f>
        <v>0</v>
      </c>
    </row>
    <row r="3460" spans="2:16" ht="17.25" thickBot="1" x14ac:dyDescent="0.35"/>
    <row r="3461" spans="2:16" ht="17.25" thickBot="1" x14ac:dyDescent="0.35">
      <c r="F3461" s="402" t="s">
        <v>16</v>
      </c>
      <c r="G3461" s="403"/>
      <c r="H3461" s="403"/>
      <c r="I3461" s="404"/>
      <c r="K3461" s="224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413" t="s">
        <v>18</v>
      </c>
      <c r="D3463" s="413"/>
      <c r="E3463" s="413"/>
      <c r="F3463" s="413"/>
      <c r="G3463" s="414"/>
    </row>
    <row r="3464" spans="2:16" x14ac:dyDescent="0.3">
      <c r="B3464" s="112" t="s">
        <v>6</v>
      </c>
      <c r="C3464" s="415" t="s">
        <v>1</v>
      </c>
      <c r="D3464" s="416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411"/>
      <c r="D3465" s="412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411"/>
      <c r="D3466" s="412"/>
      <c r="E3466" s="125"/>
      <c r="F3466" s="72"/>
      <c r="G3466" s="74"/>
      <c r="I3466" s="84">
        <v>0</v>
      </c>
      <c r="K3466" s="84">
        <f>+F3466*I3466</f>
        <v>0</v>
      </c>
      <c r="L3466" s="116">
        <f>E3466*I3466</f>
        <v>0</v>
      </c>
    </row>
    <row r="3467" spans="2:16" x14ac:dyDescent="0.3">
      <c r="B3467" s="74"/>
      <c r="C3467" s="411"/>
      <c r="D3467" s="412"/>
      <c r="E3467" s="125"/>
      <c r="F3467" s="72"/>
      <c r="G3467" s="74"/>
      <c r="I3467" s="84">
        <v>0</v>
      </c>
      <c r="K3467" s="84">
        <f>+F3467*I3467</f>
        <v>0</v>
      </c>
      <c r="L3467" s="116">
        <f>E3467*I3467</f>
        <v>0</v>
      </c>
    </row>
    <row r="3468" spans="2:16" ht="17.25" thickBot="1" x14ac:dyDescent="0.35">
      <c r="L3468" s="116"/>
    </row>
    <row r="3469" spans="2:16" ht="17.25" thickBot="1" x14ac:dyDescent="0.35">
      <c r="F3469" s="402" t="s">
        <v>19</v>
      </c>
      <c r="G3469" s="403"/>
      <c r="H3469" s="403"/>
      <c r="I3469" s="404"/>
      <c r="K3469" s="224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127"/>
      <c r="H3470" s="128"/>
      <c r="I3470" s="106"/>
      <c r="K3470" s="225"/>
    </row>
    <row r="3471" spans="2:16" ht="15" customHeight="1" thickBot="1" x14ac:dyDescent="0.35"/>
    <row r="3472" spans="2:16" ht="17.25" thickBot="1" x14ac:dyDescent="0.35">
      <c r="F3472" s="402" t="s">
        <v>20</v>
      </c>
      <c r="G3472" s="403"/>
      <c r="H3472" s="403"/>
      <c r="I3472" s="404"/>
      <c r="K3472" s="224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402" t="s">
        <v>21</v>
      </c>
      <c r="G3474" s="403"/>
      <c r="H3474" s="403"/>
      <c r="I3474" s="404"/>
      <c r="K3474" s="224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402" t="s">
        <v>22</v>
      </c>
      <c r="G3476" s="403"/>
      <c r="H3476" s="403"/>
      <c r="I3476" s="404"/>
      <c r="K3476" s="224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127"/>
      <c r="H3477" s="128"/>
      <c r="I3477" s="106"/>
      <c r="K3477" s="226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127"/>
      <c r="H3478" s="128"/>
      <c r="I3478" s="106"/>
      <c r="K3478" s="227"/>
      <c r="L3478" s="129"/>
      <c r="M3478" s="132"/>
      <c r="N3478" s="133"/>
    </row>
    <row r="3479" spans="1:16" ht="17.25" thickBot="1" x14ac:dyDescent="0.35">
      <c r="B3479" s="405"/>
      <c r="C3479" s="405"/>
      <c r="D3479" s="405"/>
    </row>
    <row r="3480" spans="1:16" x14ac:dyDescent="0.3">
      <c r="B3480" s="406" t="s">
        <v>23</v>
      </c>
      <c r="C3480" s="406"/>
      <c r="D3480" s="406"/>
    </row>
    <row r="3481" spans="1:16" x14ac:dyDescent="0.3">
      <c r="B3481" s="155"/>
      <c r="C3481" s="155"/>
      <c r="D3481" s="155"/>
    </row>
    <row r="3483" spans="1:16" x14ac:dyDescent="0.3">
      <c r="B3483" s="103" t="s">
        <v>43</v>
      </c>
      <c r="C3483" s="104"/>
      <c r="D3483" s="422" t="s">
        <v>1</v>
      </c>
      <c r="E3483" s="422"/>
      <c r="F3483" s="422"/>
      <c r="G3483" s="422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09">
        <f>CATALOGO!B98</f>
        <v>1304.0139999999999</v>
      </c>
      <c r="C3484" s="71"/>
      <c r="D3484" s="437" t="str">
        <f>CATALOGO!C98</f>
        <v>MUEBLE FIJO + LAVATRASTOS DE ACERO INOXIDABLE</v>
      </c>
      <c r="E3484" s="437"/>
      <c r="F3484" s="437"/>
      <c r="G3484" s="437"/>
      <c r="H3484" s="71"/>
      <c r="I3484" s="209">
        <f>CATALOGO!D98</f>
        <v>1</v>
      </c>
      <c r="J3484" s="107"/>
      <c r="K3484" s="222" t="str">
        <f>CATALOGO!G98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413" t="s">
        <v>5</v>
      </c>
      <c r="D3486" s="413"/>
      <c r="E3486" s="413"/>
      <c r="F3486" s="413"/>
      <c r="G3486" s="414"/>
    </row>
    <row r="3487" spans="1:16" x14ac:dyDescent="0.25">
      <c r="B3487" s="109" t="s">
        <v>6</v>
      </c>
      <c r="C3487" s="424" t="s">
        <v>1</v>
      </c>
      <c r="D3487" s="425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3" t="s">
        <v>8</v>
      </c>
      <c r="L3487" s="113" t="s">
        <v>193</v>
      </c>
      <c r="O3487" s="438"/>
      <c r="P3487" s="438"/>
    </row>
    <row r="3488" spans="1:16" ht="17.25" customHeight="1" x14ac:dyDescent="0.25">
      <c r="B3488" s="149">
        <v>1</v>
      </c>
      <c r="C3488" s="459" t="s">
        <v>469</v>
      </c>
      <c r="D3488" s="460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98">E3488*I3488</f>
        <v>480</v>
      </c>
      <c r="O3488" s="44"/>
      <c r="P3488" s="45"/>
    </row>
    <row r="3489" spans="2:16" ht="17.25" customHeight="1" x14ac:dyDescent="0.25">
      <c r="B3489" s="149">
        <v>2</v>
      </c>
      <c r="C3489" s="459" t="s">
        <v>211</v>
      </c>
      <c r="D3489" s="460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98"/>
        <v>350</v>
      </c>
      <c r="O3489" s="44"/>
      <c r="P3489" s="45"/>
    </row>
    <row r="3490" spans="2:16" ht="16.5" customHeight="1" x14ac:dyDescent="0.25">
      <c r="B3490" s="149">
        <v>3</v>
      </c>
      <c r="C3490" s="459" t="s">
        <v>168</v>
      </c>
      <c r="D3490" s="460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99">+F3490*I3490</f>
        <v>240</v>
      </c>
      <c r="L3490" s="116">
        <f t="shared" si="98"/>
        <v>240</v>
      </c>
      <c r="O3490" s="44"/>
      <c r="P3490" s="46"/>
    </row>
    <row r="3491" spans="2:16" ht="16.5" customHeight="1" x14ac:dyDescent="0.25">
      <c r="B3491" s="149">
        <v>4</v>
      </c>
      <c r="C3491" s="459" t="s">
        <v>213</v>
      </c>
      <c r="D3491" s="460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99"/>
        <v>320</v>
      </c>
      <c r="L3491" s="116">
        <f t="shared" si="98"/>
        <v>320</v>
      </c>
      <c r="O3491" s="44"/>
      <c r="P3491" s="46"/>
    </row>
    <row r="3492" spans="2:16" ht="16.5" customHeight="1" x14ac:dyDescent="0.25">
      <c r="B3492" s="149">
        <v>5</v>
      </c>
      <c r="C3492" s="459" t="s">
        <v>72</v>
      </c>
      <c r="D3492" s="460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99"/>
        <v>50</v>
      </c>
      <c r="L3492" s="116">
        <f t="shared" si="98"/>
        <v>40</v>
      </c>
      <c r="O3492" s="44"/>
      <c r="P3492" s="46"/>
    </row>
    <row r="3493" spans="2:16" ht="16.5" customHeight="1" x14ac:dyDescent="0.25">
      <c r="B3493" s="149">
        <v>6</v>
      </c>
      <c r="C3493" s="459" t="s">
        <v>229</v>
      </c>
      <c r="D3493" s="460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99"/>
        <v>25</v>
      </c>
      <c r="L3493" s="116">
        <f t="shared" si="98"/>
        <v>35</v>
      </c>
      <c r="O3493" s="44"/>
      <c r="P3493" s="46"/>
    </row>
    <row r="3494" spans="2:16" x14ac:dyDescent="0.25">
      <c r="B3494" s="149">
        <v>7</v>
      </c>
      <c r="C3494" s="459" t="s">
        <v>63</v>
      </c>
      <c r="D3494" s="460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99"/>
        <v>100</v>
      </c>
      <c r="L3494" s="116">
        <f t="shared" si="98"/>
        <v>100</v>
      </c>
      <c r="O3494" s="44"/>
      <c r="P3494" s="46"/>
    </row>
    <row r="3495" spans="2:16" ht="16.5" customHeight="1" x14ac:dyDescent="0.25">
      <c r="B3495" s="149">
        <v>8</v>
      </c>
      <c r="C3495" s="459" t="s">
        <v>93</v>
      </c>
      <c r="D3495" s="460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99"/>
        <v>2000</v>
      </c>
      <c r="L3495" s="116">
        <f t="shared" si="98"/>
        <v>2000</v>
      </c>
      <c r="O3495" s="44"/>
      <c r="P3495" s="45"/>
    </row>
    <row r="3496" spans="2:16" x14ac:dyDescent="0.3">
      <c r="B3496" s="149">
        <v>9</v>
      </c>
      <c r="C3496" s="459" t="s">
        <v>273</v>
      </c>
      <c r="D3496" s="460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99"/>
        <v>1500</v>
      </c>
      <c r="L3496" s="116">
        <f t="shared" si="98"/>
        <v>1500</v>
      </c>
      <c r="P3496" s="45"/>
    </row>
    <row r="3497" spans="2:16" ht="17.25" thickBot="1" x14ac:dyDescent="0.35"/>
    <row r="3498" spans="2:16" ht="17.25" thickBot="1" x14ac:dyDescent="0.3">
      <c r="F3498" s="402" t="s">
        <v>9</v>
      </c>
      <c r="G3498" s="403"/>
      <c r="H3498" s="403"/>
      <c r="I3498" s="404"/>
      <c r="K3498" s="224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413" t="s">
        <v>11</v>
      </c>
      <c r="D3500" s="413"/>
      <c r="E3500" s="413"/>
      <c r="F3500" s="413"/>
      <c r="G3500" s="414"/>
    </row>
    <row r="3501" spans="2:16" x14ac:dyDescent="0.3">
      <c r="B3501" s="112" t="s">
        <v>6</v>
      </c>
      <c r="C3501" s="415" t="s">
        <v>1</v>
      </c>
      <c r="D3501" s="416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409"/>
      <c r="D3502" s="409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431"/>
      <c r="D3503" s="432"/>
      <c r="E3503" s="119"/>
      <c r="F3503" s="72"/>
      <c r="G3503" s="74"/>
      <c r="I3503" s="115">
        <f>IF(C3503=0,0,VLOOKUP(C3503,Tabla3[],3,FALSE))</f>
        <v>0</v>
      </c>
      <c r="K3503" s="84">
        <f>+F3503*I3503</f>
        <v>0</v>
      </c>
      <c r="L3503" s="116">
        <f>E3503*I3503</f>
        <v>0</v>
      </c>
    </row>
    <row r="3504" spans="2:16" x14ac:dyDescent="0.3">
      <c r="B3504" s="74"/>
      <c r="C3504" s="431"/>
      <c r="D3504" s="432"/>
      <c r="E3504" s="119"/>
      <c r="F3504" s="72"/>
      <c r="G3504" s="74"/>
      <c r="I3504" s="115">
        <f>IF(C3504=0,0,VLOOKUP(C3504,Tabla3[],3,FALSE))</f>
        <v>0</v>
      </c>
      <c r="K3504" s="84">
        <f>+F3504*I3504</f>
        <v>0</v>
      </c>
      <c r="L3504" s="116">
        <f>E3504*I3504</f>
        <v>0</v>
      </c>
    </row>
    <row r="3505" spans="2:12" x14ac:dyDescent="0.3">
      <c r="B3505" s="74"/>
      <c r="C3505" s="411"/>
      <c r="D3505" s="412"/>
      <c r="E3505" s="119"/>
      <c r="F3505" s="72"/>
      <c r="G3505" s="74"/>
      <c r="I3505" s="115">
        <f>IF(C3505=0,0,VLOOKUP(C3505,Tabla3[],3,FALSE))</f>
        <v>0</v>
      </c>
      <c r="K3505" s="84">
        <f>+F3505*I3505</f>
        <v>0</v>
      </c>
      <c r="L3505" s="116">
        <f>E3505*I3505</f>
        <v>0</v>
      </c>
    </row>
    <row r="3506" spans="2:12" ht="17.25" thickBot="1" x14ac:dyDescent="0.35"/>
    <row r="3507" spans="2:12" ht="17.25" thickBot="1" x14ac:dyDescent="0.35">
      <c r="F3507" s="402" t="s">
        <v>12</v>
      </c>
      <c r="G3507" s="403"/>
      <c r="H3507" s="403"/>
      <c r="I3507" s="404"/>
      <c r="K3507" s="224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413" t="s">
        <v>14</v>
      </c>
      <c r="D3509" s="413"/>
      <c r="E3509" s="413"/>
      <c r="F3509" s="413"/>
      <c r="G3509" s="414"/>
    </row>
    <row r="3510" spans="2:12" x14ac:dyDescent="0.3">
      <c r="B3510" s="112" t="s">
        <v>6</v>
      </c>
      <c r="C3510" s="415" t="s">
        <v>1</v>
      </c>
      <c r="D3510" s="416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409" t="s">
        <v>272</v>
      </c>
      <c r="D3511" s="409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409"/>
      <c r="D3512" s="409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417"/>
      <c r="D3513" s="418"/>
      <c r="E3513" s="122"/>
      <c r="F3513" s="123"/>
      <c r="G3513" s="74"/>
      <c r="I3513" s="115">
        <f>IF(C3513=0,0,VLOOKUP(C3513,Tabla2[],3,FALSE))</f>
        <v>0</v>
      </c>
      <c r="K3513" s="84">
        <f>+F3513*I3513</f>
        <v>0</v>
      </c>
      <c r="L3513" s="116">
        <f>E3513*I3513</f>
        <v>0</v>
      </c>
    </row>
    <row r="3514" spans="2:12" ht="17.25" thickBot="1" x14ac:dyDescent="0.35">
      <c r="B3514" s="419" t="s">
        <v>15</v>
      </c>
      <c r="C3514" s="420"/>
      <c r="D3514" s="420"/>
      <c r="E3514" s="420"/>
      <c r="F3514" s="420"/>
      <c r="G3514" s="421"/>
      <c r="I3514" s="84">
        <v>0</v>
      </c>
      <c r="K3514" s="84">
        <v>0</v>
      </c>
      <c r="L3514" s="116">
        <f>E3514*I3514</f>
        <v>0</v>
      </c>
    </row>
    <row r="3515" spans="2:12" ht="17.25" thickBot="1" x14ac:dyDescent="0.35"/>
    <row r="3516" spans="2:12" ht="17.25" thickBot="1" x14ac:dyDescent="0.35">
      <c r="F3516" s="402" t="s">
        <v>16</v>
      </c>
      <c r="G3516" s="403"/>
      <c r="H3516" s="403"/>
      <c r="I3516" s="404"/>
      <c r="K3516" s="224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413" t="s">
        <v>18</v>
      </c>
      <c r="D3518" s="413"/>
      <c r="E3518" s="413"/>
      <c r="F3518" s="413"/>
      <c r="G3518" s="414"/>
    </row>
    <row r="3519" spans="2:12" x14ac:dyDescent="0.3">
      <c r="B3519" s="112" t="s">
        <v>6</v>
      </c>
      <c r="C3519" s="415" t="s">
        <v>1</v>
      </c>
      <c r="D3519" s="416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411"/>
      <c r="D3520" s="412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411"/>
      <c r="D3521" s="412"/>
      <c r="E3521" s="125"/>
      <c r="F3521" s="72"/>
      <c r="G3521" s="74"/>
      <c r="I3521" s="84">
        <v>0</v>
      </c>
      <c r="K3521" s="84">
        <f>+F3521*I3521</f>
        <v>0</v>
      </c>
      <c r="L3521" s="116">
        <f>E3521*I3521</f>
        <v>0</v>
      </c>
    </row>
    <row r="3522" spans="2:16" x14ac:dyDescent="0.3">
      <c r="B3522" s="74"/>
      <c r="C3522" s="411"/>
      <c r="D3522" s="412"/>
      <c r="E3522" s="125"/>
      <c r="F3522" s="72"/>
      <c r="G3522" s="74"/>
      <c r="I3522" s="84">
        <v>0</v>
      </c>
      <c r="K3522" s="84">
        <f>+F3522*I3522</f>
        <v>0</v>
      </c>
      <c r="L3522" s="116">
        <f>E3522*I3522</f>
        <v>0</v>
      </c>
    </row>
    <row r="3523" spans="2:16" ht="17.25" thickBot="1" x14ac:dyDescent="0.35">
      <c r="L3523" s="116"/>
    </row>
    <row r="3524" spans="2:16" ht="17.25" thickBot="1" x14ac:dyDescent="0.35">
      <c r="F3524" s="402" t="s">
        <v>19</v>
      </c>
      <c r="G3524" s="403"/>
      <c r="H3524" s="403"/>
      <c r="I3524" s="404"/>
      <c r="K3524" s="224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127"/>
      <c r="H3525" s="128"/>
      <c r="I3525" s="106"/>
      <c r="K3525" s="225"/>
    </row>
    <row r="3526" spans="2:16" ht="15" customHeight="1" thickBot="1" x14ac:dyDescent="0.35"/>
    <row r="3527" spans="2:16" ht="17.25" thickBot="1" x14ac:dyDescent="0.35">
      <c r="F3527" s="402" t="s">
        <v>20</v>
      </c>
      <c r="G3527" s="403"/>
      <c r="H3527" s="403"/>
      <c r="I3527" s="404"/>
      <c r="K3527" s="224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402" t="s">
        <v>21</v>
      </c>
      <c r="G3529" s="403"/>
      <c r="H3529" s="403"/>
      <c r="I3529" s="404"/>
      <c r="K3529" s="224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402" t="s">
        <v>22</v>
      </c>
      <c r="G3531" s="403"/>
      <c r="H3531" s="403"/>
      <c r="I3531" s="404"/>
      <c r="K3531" s="224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127"/>
      <c r="H3532" s="128"/>
      <c r="I3532" s="106"/>
      <c r="K3532" s="226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127"/>
      <c r="H3533" s="128"/>
      <c r="I3533" s="106"/>
      <c r="K3533" s="227"/>
      <c r="L3533" s="129"/>
      <c r="M3533" s="132"/>
      <c r="N3533" s="133"/>
    </row>
    <row r="3534" spans="2:16" ht="17.25" thickBot="1" x14ac:dyDescent="0.35">
      <c r="B3534" s="405"/>
      <c r="C3534" s="405"/>
      <c r="D3534" s="405"/>
    </row>
    <row r="3535" spans="2:16" x14ac:dyDescent="0.3">
      <c r="B3535" s="406" t="s">
        <v>23</v>
      </c>
      <c r="C3535" s="406"/>
      <c r="D3535" s="406"/>
    </row>
    <row r="3536" spans="2:16" x14ac:dyDescent="0.3">
      <c r="B3536" s="155"/>
      <c r="C3536" s="155"/>
      <c r="D3536" s="155"/>
    </row>
    <row r="3538" spans="1:16" x14ac:dyDescent="0.3">
      <c r="B3538" s="103" t="s">
        <v>43</v>
      </c>
      <c r="C3538" s="104"/>
      <c r="D3538" s="422" t="s">
        <v>1</v>
      </c>
      <c r="E3538" s="422"/>
      <c r="F3538" s="422"/>
      <c r="G3538" s="422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09">
        <f>CATALOGO!B100</f>
        <v>1410.05</v>
      </c>
      <c r="C3539" s="71"/>
      <c r="D3539" s="437" t="str">
        <f>CATALOGO!C100</f>
        <v>ESTUFA RURAL</v>
      </c>
      <c r="E3539" s="437"/>
      <c r="F3539" s="437"/>
      <c r="G3539" s="437"/>
      <c r="H3539" s="71"/>
      <c r="I3539" s="209">
        <f>CATALOGO!D100</f>
        <v>1</v>
      </c>
      <c r="J3539" s="107"/>
      <c r="K3539" s="222" t="str">
        <f>CATALOGO!G100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413" t="s">
        <v>5</v>
      </c>
      <c r="D3541" s="413"/>
      <c r="E3541" s="413"/>
      <c r="F3541" s="413"/>
      <c r="G3541" s="414"/>
    </row>
    <row r="3542" spans="1:16" x14ac:dyDescent="0.25">
      <c r="B3542" s="109" t="s">
        <v>6</v>
      </c>
      <c r="C3542" s="424" t="s">
        <v>1</v>
      </c>
      <c r="D3542" s="425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3" t="s">
        <v>8</v>
      </c>
      <c r="L3542" s="113" t="s">
        <v>193</v>
      </c>
      <c r="O3542" s="438"/>
      <c r="P3542" s="438"/>
    </row>
    <row r="3543" spans="1:16" ht="17.25" customHeight="1" x14ac:dyDescent="0.25">
      <c r="B3543" s="149">
        <v>1</v>
      </c>
      <c r="C3543" s="459" t="s">
        <v>274</v>
      </c>
      <c r="D3543" s="460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100">E3543*I3543</f>
        <v>80</v>
      </c>
      <c r="O3543" s="44"/>
      <c r="P3543" s="45"/>
    </row>
    <row r="3544" spans="1:16" ht="17.25" customHeight="1" x14ac:dyDescent="0.25">
      <c r="B3544" s="149">
        <v>2</v>
      </c>
      <c r="C3544" s="459" t="s">
        <v>214</v>
      </c>
      <c r="D3544" s="460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100"/>
        <v>50</v>
      </c>
      <c r="O3544" s="44"/>
      <c r="P3544" s="45"/>
    </row>
    <row r="3545" spans="1:16" ht="16.5" customHeight="1" x14ac:dyDescent="0.25">
      <c r="B3545" s="149">
        <v>3</v>
      </c>
      <c r="C3545" s="459" t="s">
        <v>234</v>
      </c>
      <c r="D3545" s="460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101">+F3545*I3545</f>
        <v>770</v>
      </c>
      <c r="L3545" s="116">
        <f t="shared" si="100"/>
        <v>770</v>
      </c>
      <c r="O3545" s="44"/>
      <c r="P3545" s="46"/>
    </row>
    <row r="3546" spans="1:16" ht="16.5" customHeight="1" x14ac:dyDescent="0.25">
      <c r="B3546" s="149">
        <v>4</v>
      </c>
      <c r="C3546" s="459" t="s">
        <v>213</v>
      </c>
      <c r="D3546" s="460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101"/>
        <v>80</v>
      </c>
      <c r="L3546" s="116">
        <f t="shared" si="100"/>
        <v>80</v>
      </c>
      <c r="O3546" s="44"/>
      <c r="P3546" s="46"/>
    </row>
    <row r="3547" spans="1:16" ht="16.5" customHeight="1" x14ac:dyDescent="0.25">
      <c r="B3547" s="149">
        <v>5</v>
      </c>
      <c r="C3547" s="459" t="s">
        <v>72</v>
      </c>
      <c r="D3547" s="460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101"/>
        <v>5</v>
      </c>
      <c r="L3547" s="116">
        <f t="shared" si="100"/>
        <v>5</v>
      </c>
      <c r="O3547" s="44"/>
      <c r="P3547" s="46"/>
    </row>
    <row r="3548" spans="1:16" ht="16.5" customHeight="1" x14ac:dyDescent="0.25">
      <c r="B3548" s="149">
        <v>6</v>
      </c>
      <c r="C3548" s="459" t="s">
        <v>229</v>
      </c>
      <c r="D3548" s="460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101"/>
        <v>5</v>
      </c>
      <c r="L3548" s="116">
        <f t="shared" si="100"/>
        <v>5</v>
      </c>
      <c r="O3548" s="44"/>
      <c r="P3548" s="46"/>
    </row>
    <row r="3549" spans="1:16" x14ac:dyDescent="0.25">
      <c r="B3549" s="149">
        <v>7</v>
      </c>
      <c r="C3549" s="459" t="s">
        <v>102</v>
      </c>
      <c r="D3549" s="460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101"/>
        <v>1730</v>
      </c>
      <c r="L3549" s="116">
        <f t="shared" si="100"/>
        <v>1730</v>
      </c>
      <c r="O3549" s="44"/>
      <c r="P3549" s="46"/>
    </row>
    <row r="3550" spans="1:16" ht="16.5" customHeight="1" x14ac:dyDescent="0.25">
      <c r="B3550" s="149"/>
      <c r="C3550" s="459"/>
      <c r="D3550" s="460"/>
      <c r="E3550" s="150"/>
      <c r="F3550" s="83"/>
      <c r="G3550" s="74"/>
      <c r="I3550" s="115">
        <f>IF(C3550=0,0,VLOOKUP(C3550,Tabla1[],3,FALSE))</f>
        <v>0</v>
      </c>
      <c r="K3550" s="84">
        <f t="shared" si="101"/>
        <v>0</v>
      </c>
      <c r="L3550" s="116">
        <f t="shared" si="100"/>
        <v>0</v>
      </c>
      <c r="O3550" s="44"/>
      <c r="P3550" s="45"/>
    </row>
    <row r="3551" spans="1:16" x14ac:dyDescent="0.3">
      <c r="B3551" s="149"/>
      <c r="C3551" s="459"/>
      <c r="D3551" s="460"/>
      <c r="E3551" s="150"/>
      <c r="F3551" s="83"/>
      <c r="G3551" s="74"/>
      <c r="I3551" s="115">
        <f>IF(C3551=0,0,VLOOKUP(C3551,Tabla1[],3,FALSE))</f>
        <v>0</v>
      </c>
      <c r="K3551" s="84">
        <f t="shared" si="101"/>
        <v>0</v>
      </c>
      <c r="L3551" s="116">
        <f t="shared" si="100"/>
        <v>0</v>
      </c>
      <c r="P3551" s="45"/>
    </row>
    <row r="3552" spans="1:16" ht="17.25" thickBot="1" x14ac:dyDescent="0.35"/>
    <row r="3553" spans="2:16" ht="17.25" thickBot="1" x14ac:dyDescent="0.3">
      <c r="F3553" s="402" t="s">
        <v>9</v>
      </c>
      <c r="G3553" s="403"/>
      <c r="H3553" s="403"/>
      <c r="I3553" s="404"/>
      <c r="K3553" s="224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413" t="s">
        <v>11</v>
      </c>
      <c r="D3555" s="413"/>
      <c r="E3555" s="413"/>
      <c r="F3555" s="413"/>
      <c r="G3555" s="414"/>
    </row>
    <row r="3556" spans="2:16" x14ac:dyDescent="0.3">
      <c r="B3556" s="112" t="s">
        <v>6</v>
      </c>
      <c r="C3556" s="415" t="s">
        <v>1</v>
      </c>
      <c r="D3556" s="416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409"/>
      <c r="D3557" s="409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431"/>
      <c r="D3558" s="432"/>
      <c r="E3558" s="119"/>
      <c r="F3558" s="72"/>
      <c r="G3558" s="74"/>
      <c r="I3558" s="115">
        <f>IF(C3558=0,0,VLOOKUP(C3558,Tabla3[],3,FALSE))</f>
        <v>0</v>
      </c>
      <c r="K3558" s="84">
        <f>+F3558*I3558</f>
        <v>0</v>
      </c>
      <c r="L3558" s="116">
        <f>E3558*I3558</f>
        <v>0</v>
      </c>
    </row>
    <row r="3559" spans="2:16" x14ac:dyDescent="0.3">
      <c r="B3559" s="74"/>
      <c r="C3559" s="431"/>
      <c r="D3559" s="432"/>
      <c r="E3559" s="119"/>
      <c r="F3559" s="72"/>
      <c r="G3559" s="74"/>
      <c r="I3559" s="115">
        <f>IF(C3559=0,0,VLOOKUP(C3559,Tabla3[],3,FALSE))</f>
        <v>0</v>
      </c>
      <c r="K3559" s="84">
        <f>+F3559*I3559</f>
        <v>0</v>
      </c>
      <c r="L3559" s="116">
        <f>E3559*I3559</f>
        <v>0</v>
      </c>
    </row>
    <row r="3560" spans="2:16" x14ac:dyDescent="0.3">
      <c r="B3560" s="74"/>
      <c r="C3560" s="411"/>
      <c r="D3560" s="412"/>
      <c r="E3560" s="119"/>
      <c r="F3560" s="72"/>
      <c r="G3560" s="74"/>
      <c r="I3560" s="115">
        <f>IF(C3560=0,0,VLOOKUP(C3560,Tabla3[],3,FALSE))</f>
        <v>0</v>
      </c>
      <c r="K3560" s="84">
        <f>+F3560*I3560</f>
        <v>0</v>
      </c>
      <c r="L3560" s="116">
        <f>E3560*I3560</f>
        <v>0</v>
      </c>
    </row>
    <row r="3561" spans="2:16" ht="17.25" thickBot="1" x14ac:dyDescent="0.35"/>
    <row r="3562" spans="2:16" ht="17.25" thickBot="1" x14ac:dyDescent="0.35">
      <c r="F3562" s="402" t="s">
        <v>12</v>
      </c>
      <c r="G3562" s="403"/>
      <c r="H3562" s="403"/>
      <c r="I3562" s="404"/>
      <c r="K3562" s="224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413" t="s">
        <v>14</v>
      </c>
      <c r="D3564" s="413"/>
      <c r="E3564" s="413"/>
      <c r="F3564" s="413"/>
      <c r="G3564" s="414"/>
    </row>
    <row r="3565" spans="2:16" x14ac:dyDescent="0.3">
      <c r="B3565" s="112" t="s">
        <v>6</v>
      </c>
      <c r="C3565" s="415" t="s">
        <v>1</v>
      </c>
      <c r="D3565" s="416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409" t="s">
        <v>275</v>
      </c>
      <c r="D3566" s="409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409"/>
      <c r="D3567" s="409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417"/>
      <c r="D3568" s="418"/>
      <c r="E3568" s="122"/>
      <c r="F3568" s="123"/>
      <c r="G3568" s="74"/>
      <c r="I3568" s="115">
        <f>IF(C3568=0,0,VLOOKUP(C3568,Tabla2[],3,FALSE))</f>
        <v>0</v>
      </c>
      <c r="K3568" s="84">
        <f>+F3568*I3568</f>
        <v>0</v>
      </c>
      <c r="L3568" s="116">
        <f>E3568*I3568</f>
        <v>0</v>
      </c>
    </row>
    <row r="3569" spans="2:16" ht="17.25" thickBot="1" x14ac:dyDescent="0.35">
      <c r="B3569" s="419" t="s">
        <v>15</v>
      </c>
      <c r="C3569" s="420"/>
      <c r="D3569" s="420"/>
      <c r="E3569" s="420"/>
      <c r="F3569" s="420"/>
      <c r="G3569" s="421"/>
      <c r="I3569" s="84">
        <v>0</v>
      </c>
      <c r="K3569" s="84">
        <v>0</v>
      </c>
      <c r="L3569" s="116">
        <f>E3569*I3569</f>
        <v>0</v>
      </c>
    </row>
    <row r="3570" spans="2:16" ht="17.25" thickBot="1" x14ac:dyDescent="0.35"/>
    <row r="3571" spans="2:16" ht="17.25" thickBot="1" x14ac:dyDescent="0.35">
      <c r="F3571" s="402" t="s">
        <v>16</v>
      </c>
      <c r="G3571" s="403"/>
      <c r="H3571" s="403"/>
      <c r="I3571" s="404"/>
      <c r="K3571" s="224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413" t="s">
        <v>18</v>
      </c>
      <c r="D3573" s="413"/>
      <c r="E3573" s="413"/>
      <c r="F3573" s="413"/>
      <c r="G3573" s="414"/>
    </row>
    <row r="3574" spans="2:16" x14ac:dyDescent="0.3">
      <c r="B3574" s="112" t="s">
        <v>6</v>
      </c>
      <c r="C3574" s="415" t="s">
        <v>1</v>
      </c>
      <c r="D3574" s="416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411"/>
      <c r="D3575" s="412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411"/>
      <c r="D3576" s="412"/>
      <c r="E3576" s="125"/>
      <c r="F3576" s="72"/>
      <c r="G3576" s="74"/>
      <c r="I3576" s="84">
        <v>0</v>
      </c>
      <c r="K3576" s="84">
        <f>+F3576*I3576</f>
        <v>0</v>
      </c>
      <c r="L3576" s="116">
        <f>E3576*I3576</f>
        <v>0</v>
      </c>
    </row>
    <row r="3577" spans="2:16" x14ac:dyDescent="0.3">
      <c r="B3577" s="74"/>
      <c r="C3577" s="411"/>
      <c r="D3577" s="412"/>
      <c r="E3577" s="125"/>
      <c r="F3577" s="72"/>
      <c r="G3577" s="74"/>
      <c r="I3577" s="84">
        <v>0</v>
      </c>
      <c r="K3577" s="84">
        <f>+F3577*I3577</f>
        <v>0</v>
      </c>
      <c r="L3577" s="116">
        <f>E3577*I3577</f>
        <v>0</v>
      </c>
    </row>
    <row r="3578" spans="2:16" ht="17.25" thickBot="1" x14ac:dyDescent="0.35">
      <c r="L3578" s="116"/>
    </row>
    <row r="3579" spans="2:16" ht="17.25" thickBot="1" x14ac:dyDescent="0.35">
      <c r="F3579" s="402" t="s">
        <v>19</v>
      </c>
      <c r="G3579" s="403"/>
      <c r="H3579" s="403"/>
      <c r="I3579" s="404"/>
      <c r="K3579" s="224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127"/>
      <c r="H3580" s="128"/>
      <c r="I3580" s="106"/>
      <c r="K3580" s="225"/>
    </row>
    <row r="3581" spans="2:16" ht="15" customHeight="1" thickBot="1" x14ac:dyDescent="0.35"/>
    <row r="3582" spans="2:16" ht="17.25" thickBot="1" x14ac:dyDescent="0.35">
      <c r="F3582" s="402" t="s">
        <v>20</v>
      </c>
      <c r="G3582" s="403"/>
      <c r="H3582" s="403"/>
      <c r="I3582" s="404"/>
      <c r="K3582" s="224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402" t="s">
        <v>21</v>
      </c>
      <c r="G3584" s="403"/>
      <c r="H3584" s="403"/>
      <c r="I3584" s="404"/>
      <c r="K3584" s="224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402" t="s">
        <v>22</v>
      </c>
      <c r="G3586" s="403"/>
      <c r="H3586" s="403"/>
      <c r="I3586" s="404"/>
      <c r="K3586" s="224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127"/>
      <c r="H3587" s="128"/>
      <c r="I3587" s="106"/>
      <c r="K3587" s="226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127"/>
      <c r="H3588" s="128"/>
      <c r="I3588" s="106"/>
      <c r="K3588" s="227"/>
      <c r="L3588" s="129"/>
      <c r="M3588" s="132"/>
      <c r="N3588" s="133"/>
    </row>
    <row r="3589" spans="1:16" ht="17.25" thickBot="1" x14ac:dyDescent="0.35">
      <c r="B3589" s="405"/>
      <c r="C3589" s="405"/>
      <c r="D3589" s="405"/>
    </row>
    <row r="3590" spans="1:16" x14ac:dyDescent="0.3">
      <c r="B3590" s="406" t="s">
        <v>23</v>
      </c>
      <c r="C3590" s="406"/>
      <c r="D3590" s="406"/>
    </row>
    <row r="3591" spans="1:16" x14ac:dyDescent="0.3">
      <c r="B3591" s="155"/>
      <c r="C3591" s="155"/>
      <c r="D3591" s="155"/>
    </row>
    <row r="3593" spans="1:16" x14ac:dyDescent="0.3">
      <c r="B3593" s="103" t="s">
        <v>43</v>
      </c>
      <c r="C3593" s="104"/>
      <c r="D3593" s="422" t="s">
        <v>1</v>
      </c>
      <c r="E3593" s="422"/>
      <c r="F3593" s="422"/>
      <c r="G3593" s="422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09">
        <f>CATALOGO!B103</f>
        <v>101.07</v>
      </c>
      <c r="C3594" s="71"/>
      <c r="D3594" s="437" t="str">
        <f>CATALOGO!C103</f>
        <v>PREPARACIÓN DE ÁREA DE TRABAJO EN REMOZAMIENTO</v>
      </c>
      <c r="E3594" s="437"/>
      <c r="F3594" s="437"/>
      <c r="G3594" s="437"/>
      <c r="H3594" s="71"/>
      <c r="I3594" s="209">
        <f>CATALOGO!D103</f>
        <v>29</v>
      </c>
      <c r="J3594" s="107"/>
      <c r="K3594" s="222" t="str">
        <f>CATALOGO!G103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413" t="s">
        <v>5</v>
      </c>
      <c r="D3596" s="413"/>
      <c r="E3596" s="413"/>
      <c r="F3596" s="413"/>
      <c r="G3596" s="414"/>
    </row>
    <row r="3597" spans="1:16" x14ac:dyDescent="0.25">
      <c r="B3597" s="109" t="s">
        <v>6</v>
      </c>
      <c r="C3597" s="424" t="s">
        <v>1</v>
      </c>
      <c r="D3597" s="425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3" t="s">
        <v>8</v>
      </c>
      <c r="L3597" s="113" t="s">
        <v>193</v>
      </c>
      <c r="O3597" s="438"/>
      <c r="P3597" s="438"/>
    </row>
    <row r="3598" spans="1:16" ht="16.5" customHeight="1" x14ac:dyDescent="0.25">
      <c r="B3598" s="120"/>
      <c r="C3598" s="407"/>
      <c r="D3598" s="408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102">E3598*I3598</f>
        <v>0</v>
      </c>
      <c r="O3598" s="44"/>
      <c r="P3598" s="45"/>
    </row>
    <row r="3599" spans="1:16" x14ac:dyDescent="0.25">
      <c r="B3599" s="120"/>
      <c r="C3599" s="407"/>
      <c r="D3599" s="408"/>
      <c r="E3599" s="114"/>
      <c r="F3599" s="83"/>
      <c r="G3599" s="74"/>
      <c r="I3599" s="115">
        <f>IF(C3599=0,0,VLOOKUP(C3599,Tabla1[],3,FALSE))</f>
        <v>0</v>
      </c>
      <c r="K3599" s="84">
        <f>+F3599*I3599</f>
        <v>0</v>
      </c>
      <c r="L3599" s="116">
        <f t="shared" si="102"/>
        <v>0</v>
      </c>
      <c r="O3599" s="44"/>
      <c r="P3599" s="47"/>
    </row>
    <row r="3600" spans="1:16" x14ac:dyDescent="0.3">
      <c r="B3600" s="120"/>
      <c r="C3600" s="407"/>
      <c r="D3600" s="408"/>
      <c r="E3600" s="114"/>
      <c r="F3600" s="83"/>
      <c r="G3600" s="74"/>
      <c r="I3600" s="115">
        <f>IF(C3600=0,0,VLOOKUP(C3600,Tabla1[],3,FALSE))</f>
        <v>0</v>
      </c>
      <c r="K3600" s="84">
        <f>+F3600*I3600</f>
        <v>0</v>
      </c>
      <c r="L3600" s="116">
        <f t="shared" si="102"/>
        <v>0</v>
      </c>
      <c r="O3600" s="48"/>
      <c r="P3600" s="49"/>
    </row>
    <row r="3601" spans="2:16" ht="16.5" customHeight="1" x14ac:dyDescent="0.25">
      <c r="B3601" s="120"/>
      <c r="C3601" s="407"/>
      <c r="D3601" s="408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102"/>
        <v>0</v>
      </c>
      <c r="O3601" s="44"/>
      <c r="P3601" s="45"/>
    </row>
    <row r="3602" spans="2:16" ht="16.5" customHeight="1" x14ac:dyDescent="0.25">
      <c r="B3602" s="120"/>
      <c r="C3602" s="407"/>
      <c r="D3602" s="408"/>
      <c r="E3602" s="114"/>
      <c r="F3602" s="83"/>
      <c r="G3602" s="74"/>
      <c r="I3602" s="115">
        <f>IF(C3602=0,0,VLOOKUP(C3602,Tabla1[],3,FALSE))</f>
        <v>0</v>
      </c>
      <c r="K3602" s="84">
        <f t="shared" ref="K3602:K3607" si="103">+F3602*I3602</f>
        <v>0</v>
      </c>
      <c r="L3602" s="116">
        <f t="shared" si="102"/>
        <v>0</v>
      </c>
      <c r="O3602" s="44"/>
      <c r="P3602" s="46"/>
    </row>
    <row r="3603" spans="2:16" x14ac:dyDescent="0.25">
      <c r="B3603" s="120"/>
      <c r="C3603" s="407"/>
      <c r="D3603" s="408"/>
      <c r="E3603" s="114"/>
      <c r="F3603" s="83"/>
      <c r="G3603" s="74"/>
      <c r="I3603" s="115">
        <f>IF(C3603=0,0,VLOOKUP(C3603,Tabla1[],3,FALSE))</f>
        <v>0</v>
      </c>
      <c r="K3603" s="84">
        <f t="shared" si="103"/>
        <v>0</v>
      </c>
      <c r="L3603" s="116">
        <f t="shared" si="102"/>
        <v>0</v>
      </c>
      <c r="O3603" s="44"/>
      <c r="P3603" s="46"/>
    </row>
    <row r="3604" spans="2:16" x14ac:dyDescent="0.3">
      <c r="B3604" s="120"/>
      <c r="C3604" s="407"/>
      <c r="D3604" s="408"/>
      <c r="E3604" s="114"/>
      <c r="F3604" s="83"/>
      <c r="G3604" s="74"/>
      <c r="I3604" s="115">
        <f>IF(C3604=0,0,VLOOKUP(C3604,Tabla1[],3,FALSE))</f>
        <v>0</v>
      </c>
      <c r="K3604" s="84">
        <f t="shared" si="103"/>
        <v>0</v>
      </c>
      <c r="L3604" s="116">
        <f t="shared" si="102"/>
        <v>0</v>
      </c>
      <c r="O3604" s="48"/>
      <c r="P3604" s="49"/>
    </row>
    <row r="3605" spans="2:16" x14ac:dyDescent="0.3">
      <c r="B3605" s="120"/>
      <c r="C3605" s="430"/>
      <c r="D3605" s="429"/>
      <c r="E3605" s="114"/>
      <c r="F3605" s="83"/>
      <c r="G3605" s="74"/>
      <c r="I3605" s="115">
        <f>IF(C3605=0,0,VLOOKUP(C3605,Tabla1[],3,FALSE))</f>
        <v>0</v>
      </c>
      <c r="K3605" s="84">
        <f t="shared" si="103"/>
        <v>0</v>
      </c>
      <c r="L3605" s="116">
        <f t="shared" si="102"/>
        <v>0</v>
      </c>
      <c r="O3605" s="48"/>
      <c r="P3605" s="49"/>
    </row>
    <row r="3606" spans="2:16" x14ac:dyDescent="0.3">
      <c r="B3606" s="120"/>
      <c r="C3606" s="430"/>
      <c r="D3606" s="429"/>
      <c r="E3606" s="114"/>
      <c r="F3606" s="83"/>
      <c r="G3606" s="74"/>
      <c r="I3606" s="115">
        <f>IF(C3606=0,0,VLOOKUP(C3606,Tabla1[],3,FALSE))</f>
        <v>0</v>
      </c>
      <c r="K3606" s="84">
        <f t="shared" si="103"/>
        <v>0</v>
      </c>
      <c r="L3606" s="116">
        <f t="shared" si="102"/>
        <v>0</v>
      </c>
      <c r="O3606" s="48"/>
      <c r="P3606" s="49"/>
    </row>
    <row r="3607" spans="2:16" x14ac:dyDescent="0.3">
      <c r="B3607" s="120"/>
      <c r="C3607" s="430"/>
      <c r="D3607" s="429"/>
      <c r="E3607" s="114"/>
      <c r="F3607" s="83"/>
      <c r="G3607" s="74"/>
      <c r="I3607" s="115">
        <f>IF(C3607=0,0,VLOOKUP(C3607,Tabla1[],3,FALSE))</f>
        <v>0</v>
      </c>
      <c r="K3607" s="84">
        <f t="shared" si="103"/>
        <v>0</v>
      </c>
      <c r="L3607" s="116">
        <f t="shared" si="102"/>
        <v>0</v>
      </c>
      <c r="O3607" s="48"/>
      <c r="P3607" s="49"/>
    </row>
    <row r="3608" spans="2:16" ht="17.25" thickBot="1" x14ac:dyDescent="0.35"/>
    <row r="3609" spans="2:16" ht="17.25" thickBot="1" x14ac:dyDescent="0.3">
      <c r="F3609" s="402" t="s">
        <v>9</v>
      </c>
      <c r="G3609" s="403"/>
      <c r="H3609" s="403"/>
      <c r="I3609" s="404"/>
      <c r="K3609" s="224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413" t="s">
        <v>11</v>
      </c>
      <c r="D3611" s="413"/>
      <c r="E3611" s="413"/>
      <c r="F3611" s="413"/>
      <c r="G3611" s="414"/>
    </row>
    <row r="3612" spans="2:16" x14ac:dyDescent="0.3">
      <c r="B3612" s="112" t="s">
        <v>6</v>
      </c>
      <c r="C3612" s="415" t="s">
        <v>1</v>
      </c>
      <c r="D3612" s="416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409" t="s">
        <v>189</v>
      </c>
      <c r="D3613" s="409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431"/>
      <c r="D3614" s="432"/>
      <c r="E3614" s="119"/>
      <c r="F3614" s="72"/>
      <c r="G3614" s="74"/>
      <c r="I3614" s="115">
        <f>IF(C3614=0,0,VLOOKUP(C3614,Tabla3[],3,FALSE))</f>
        <v>0</v>
      </c>
      <c r="K3614" s="84">
        <f>+F3614*I3614</f>
        <v>0</v>
      </c>
      <c r="L3614" s="116">
        <f>E3614*I3614</f>
        <v>0</v>
      </c>
    </row>
    <row r="3615" spans="2:16" x14ac:dyDescent="0.3">
      <c r="B3615" s="74"/>
      <c r="C3615" s="431"/>
      <c r="D3615" s="432"/>
      <c r="E3615" s="119"/>
      <c r="F3615" s="72"/>
      <c r="G3615" s="74"/>
      <c r="I3615" s="115">
        <f>IF(C3615=0,0,VLOOKUP(C3615,Tabla3[],3,FALSE))</f>
        <v>0</v>
      </c>
      <c r="K3615" s="84">
        <f>+F3615*I3615</f>
        <v>0</v>
      </c>
      <c r="L3615" s="116">
        <f>E3615*I3615</f>
        <v>0</v>
      </c>
    </row>
    <row r="3616" spans="2:16" x14ac:dyDescent="0.3">
      <c r="B3616" s="74"/>
      <c r="C3616" s="411"/>
      <c r="D3616" s="412"/>
      <c r="E3616" s="119"/>
      <c r="F3616" s="72"/>
      <c r="G3616" s="74"/>
      <c r="I3616" s="115">
        <f>IF(C3616=0,0,VLOOKUP(C3616,Tabla3[],3,FALSE))</f>
        <v>0</v>
      </c>
      <c r="K3616" s="84">
        <f>+F3616*I3616</f>
        <v>0</v>
      </c>
      <c r="L3616" s="116">
        <f>E3616*I3616</f>
        <v>0</v>
      </c>
    </row>
    <row r="3617" spans="2:12" ht="17.25" thickBot="1" x14ac:dyDescent="0.35"/>
    <row r="3618" spans="2:12" ht="17.25" thickBot="1" x14ac:dyDescent="0.35">
      <c r="F3618" s="402" t="s">
        <v>12</v>
      </c>
      <c r="G3618" s="403"/>
      <c r="H3618" s="403"/>
      <c r="I3618" s="404"/>
      <c r="K3618" s="224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413" t="s">
        <v>14</v>
      </c>
      <c r="D3620" s="413"/>
      <c r="E3620" s="413"/>
      <c r="F3620" s="413"/>
      <c r="G3620" s="414"/>
    </row>
    <row r="3621" spans="2:12" x14ac:dyDescent="0.3">
      <c r="B3621" s="112" t="s">
        <v>6</v>
      </c>
      <c r="C3621" s="415" t="s">
        <v>1</v>
      </c>
      <c r="D3621" s="416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409"/>
      <c r="D3622" s="409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409"/>
      <c r="D3623" s="409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417"/>
      <c r="D3624" s="418"/>
      <c r="E3624" s="122"/>
      <c r="F3624" s="123"/>
      <c r="G3624" s="74"/>
      <c r="I3624" s="115">
        <f>IF(C3624=0,0,VLOOKUP(C3624,Tabla3[],3,FALSE))</f>
        <v>0</v>
      </c>
      <c r="K3624" s="84">
        <f>+F3624*I3624</f>
        <v>0</v>
      </c>
      <c r="L3624" s="116">
        <f>E3624*I3624</f>
        <v>0</v>
      </c>
    </row>
    <row r="3625" spans="2:12" ht="17.25" thickBot="1" x14ac:dyDescent="0.35">
      <c r="B3625" s="419" t="s">
        <v>15</v>
      </c>
      <c r="C3625" s="420"/>
      <c r="D3625" s="420"/>
      <c r="E3625" s="420"/>
      <c r="F3625" s="420"/>
      <c r="G3625" s="421"/>
      <c r="I3625" s="115">
        <f>IF(C3625=0,0,VLOOKUP(C3625,Tabla3[],3,FALSE))</f>
        <v>0</v>
      </c>
      <c r="K3625" s="84">
        <v>0</v>
      </c>
      <c r="L3625" s="116">
        <f>E3625*I3625</f>
        <v>0</v>
      </c>
    </row>
    <row r="3626" spans="2:12" ht="17.25" thickBot="1" x14ac:dyDescent="0.35"/>
    <row r="3627" spans="2:12" ht="17.25" thickBot="1" x14ac:dyDescent="0.35">
      <c r="F3627" s="402" t="s">
        <v>16</v>
      </c>
      <c r="G3627" s="403"/>
      <c r="H3627" s="403"/>
      <c r="I3627" s="404"/>
      <c r="K3627" s="224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413" t="s">
        <v>18</v>
      </c>
      <c r="D3629" s="413"/>
      <c r="E3629" s="413"/>
      <c r="F3629" s="413"/>
      <c r="G3629" s="414"/>
    </row>
    <row r="3630" spans="2:12" x14ac:dyDescent="0.3">
      <c r="B3630" s="112" t="s">
        <v>6</v>
      </c>
      <c r="C3630" s="415" t="s">
        <v>1</v>
      </c>
      <c r="D3630" s="416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411"/>
      <c r="D3631" s="412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411"/>
      <c r="D3632" s="412"/>
      <c r="E3632" s="125"/>
      <c r="F3632" s="72"/>
      <c r="G3632" s="74"/>
      <c r="I3632" s="84">
        <v>0</v>
      </c>
      <c r="K3632" s="84">
        <f>+F3632*I3632</f>
        <v>0</v>
      </c>
      <c r="L3632" s="116">
        <f>E3632*I3632</f>
        <v>0</v>
      </c>
    </row>
    <row r="3633" spans="2:16" x14ac:dyDescent="0.3">
      <c r="B3633" s="74"/>
      <c r="C3633" s="411"/>
      <c r="D3633" s="412"/>
      <c r="E3633" s="125"/>
      <c r="F3633" s="72"/>
      <c r="G3633" s="74"/>
      <c r="I3633" s="84">
        <v>0</v>
      </c>
      <c r="K3633" s="84">
        <f>+F3633*I3633</f>
        <v>0</v>
      </c>
      <c r="L3633" s="116">
        <f>E3633*I3633</f>
        <v>0</v>
      </c>
    </row>
    <row r="3634" spans="2:16" ht="17.25" thickBot="1" x14ac:dyDescent="0.35">
      <c r="L3634" s="116"/>
    </row>
    <row r="3635" spans="2:16" ht="17.25" thickBot="1" x14ac:dyDescent="0.35">
      <c r="F3635" s="402" t="s">
        <v>19</v>
      </c>
      <c r="G3635" s="403"/>
      <c r="H3635" s="403"/>
      <c r="I3635" s="404"/>
      <c r="K3635" s="224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127"/>
      <c r="H3636" s="128"/>
      <c r="I3636" s="106"/>
      <c r="K3636" s="225"/>
    </row>
    <row r="3637" spans="2:16" ht="15" customHeight="1" thickBot="1" x14ac:dyDescent="0.35"/>
    <row r="3638" spans="2:16" ht="17.25" thickBot="1" x14ac:dyDescent="0.35">
      <c r="F3638" s="402" t="s">
        <v>20</v>
      </c>
      <c r="G3638" s="403"/>
      <c r="H3638" s="403"/>
      <c r="I3638" s="404"/>
      <c r="K3638" s="224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402" t="s">
        <v>21</v>
      </c>
      <c r="G3640" s="403"/>
      <c r="H3640" s="403"/>
      <c r="I3640" s="404"/>
      <c r="K3640" s="224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402" t="s">
        <v>22</v>
      </c>
      <c r="G3642" s="403"/>
      <c r="H3642" s="403"/>
      <c r="I3642" s="404"/>
      <c r="K3642" s="224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127"/>
      <c r="H3643" s="128"/>
      <c r="I3643" s="106"/>
      <c r="K3643" s="226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127"/>
      <c r="H3644" s="128"/>
      <c r="I3644" s="106"/>
      <c r="K3644" s="227"/>
      <c r="L3644" s="129"/>
      <c r="M3644" s="132"/>
      <c r="N3644" s="133"/>
    </row>
    <row r="3645" spans="2:16" ht="17.25" thickBot="1" x14ac:dyDescent="0.35">
      <c r="B3645" s="405"/>
      <c r="C3645" s="405"/>
      <c r="D3645" s="405"/>
    </row>
    <row r="3646" spans="2:16" x14ac:dyDescent="0.3">
      <c r="B3646" s="406" t="s">
        <v>23</v>
      </c>
      <c r="C3646" s="406"/>
      <c r="D3646" s="406"/>
    </row>
    <row r="3647" spans="2:16" x14ac:dyDescent="0.3">
      <c r="B3647" s="155"/>
      <c r="C3647" s="155"/>
      <c r="D3647" s="155"/>
    </row>
    <row r="3649" spans="1:16" x14ac:dyDescent="0.3">
      <c r="B3649" s="103" t="s">
        <v>43</v>
      </c>
      <c r="C3649" s="104"/>
      <c r="D3649" s="422" t="s">
        <v>1</v>
      </c>
      <c r="E3649" s="422"/>
      <c r="F3649" s="422"/>
      <c r="G3649" s="422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09">
        <f>CATALOGO!B107</f>
        <v>115.02</v>
      </c>
      <c r="C3650" s="71"/>
      <c r="D3650" s="437" t="str">
        <f>CATALOGO!C107</f>
        <v>DESMONTAJE DE PUERTA DE METAL (UNA HOJA)</v>
      </c>
      <c r="E3650" s="437"/>
      <c r="F3650" s="437"/>
      <c r="G3650" s="437"/>
      <c r="H3650" s="71"/>
      <c r="I3650" s="209">
        <f>CATALOGO!D107</f>
        <v>3</v>
      </c>
      <c r="J3650" s="107"/>
      <c r="K3650" s="222" t="str">
        <f>CATALOGO!G107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413" t="s">
        <v>5</v>
      </c>
      <c r="D3652" s="413"/>
      <c r="E3652" s="413"/>
      <c r="F3652" s="413"/>
      <c r="G3652" s="414"/>
    </row>
    <row r="3653" spans="1:16" x14ac:dyDescent="0.25">
      <c r="B3653" s="109" t="s">
        <v>6</v>
      </c>
      <c r="C3653" s="424" t="s">
        <v>1</v>
      </c>
      <c r="D3653" s="425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3" t="s">
        <v>8</v>
      </c>
      <c r="L3653" s="113" t="s">
        <v>193</v>
      </c>
      <c r="O3653" s="438"/>
      <c r="P3653" s="438"/>
    </row>
    <row r="3654" spans="1:16" ht="16.5" customHeight="1" x14ac:dyDescent="0.25">
      <c r="B3654" s="120"/>
      <c r="C3654" s="407"/>
      <c r="D3654" s="408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104">E3654*I3654</f>
        <v>0</v>
      </c>
      <c r="O3654" s="44"/>
      <c r="P3654" s="45"/>
    </row>
    <row r="3655" spans="1:16" x14ac:dyDescent="0.25">
      <c r="B3655" s="120"/>
      <c r="C3655" s="407"/>
      <c r="D3655" s="408"/>
      <c r="E3655" s="114"/>
      <c r="F3655" s="83"/>
      <c r="G3655" s="74"/>
      <c r="I3655" s="115">
        <f>IF(C3655=0,0,VLOOKUP(C3655,Tabla1[],3,FALSE))</f>
        <v>0</v>
      </c>
      <c r="K3655" s="84">
        <f>+F3655*I3655</f>
        <v>0</v>
      </c>
      <c r="L3655" s="116">
        <f t="shared" si="104"/>
        <v>0</v>
      </c>
      <c r="O3655" s="44"/>
      <c r="P3655" s="47"/>
    </row>
    <row r="3656" spans="1:16" x14ac:dyDescent="0.3">
      <c r="B3656" s="120"/>
      <c r="C3656" s="407"/>
      <c r="D3656" s="408"/>
      <c r="E3656" s="114"/>
      <c r="F3656" s="83"/>
      <c r="G3656" s="74"/>
      <c r="I3656" s="115">
        <f>IF(C3656=0,0,VLOOKUP(C3656,Tabla1[],3,FALSE))</f>
        <v>0</v>
      </c>
      <c r="K3656" s="84">
        <f>+F3656*I3656</f>
        <v>0</v>
      </c>
      <c r="L3656" s="116">
        <f t="shared" si="104"/>
        <v>0</v>
      </c>
      <c r="O3656" s="48"/>
      <c r="P3656" s="49"/>
    </row>
    <row r="3657" spans="1:16" ht="16.5" customHeight="1" x14ac:dyDescent="0.25">
      <c r="B3657" s="120"/>
      <c r="C3657" s="407"/>
      <c r="D3657" s="408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104"/>
        <v>0</v>
      </c>
      <c r="O3657" s="44"/>
      <c r="P3657" s="45"/>
    </row>
    <row r="3658" spans="1:16" ht="16.5" customHeight="1" x14ac:dyDescent="0.25">
      <c r="B3658" s="120"/>
      <c r="C3658" s="407"/>
      <c r="D3658" s="408"/>
      <c r="E3658" s="114"/>
      <c r="F3658" s="83"/>
      <c r="G3658" s="74"/>
      <c r="I3658" s="115">
        <f>IF(C3658=0,0,VLOOKUP(C3658,Tabla1[],3,FALSE))</f>
        <v>0</v>
      </c>
      <c r="K3658" s="84">
        <f t="shared" ref="K3658:K3663" si="105">+F3658*I3658</f>
        <v>0</v>
      </c>
      <c r="L3658" s="116">
        <f t="shared" si="104"/>
        <v>0</v>
      </c>
      <c r="O3658" s="44"/>
      <c r="P3658" s="46"/>
    </row>
    <row r="3659" spans="1:16" x14ac:dyDescent="0.25">
      <c r="B3659" s="120"/>
      <c r="C3659" s="407"/>
      <c r="D3659" s="408"/>
      <c r="E3659" s="114"/>
      <c r="F3659" s="83"/>
      <c r="G3659" s="74"/>
      <c r="I3659" s="115">
        <f>IF(C3659=0,0,VLOOKUP(C3659,Tabla1[],3,FALSE))</f>
        <v>0</v>
      </c>
      <c r="K3659" s="84">
        <f t="shared" si="105"/>
        <v>0</v>
      </c>
      <c r="L3659" s="116">
        <f t="shared" si="104"/>
        <v>0</v>
      </c>
      <c r="O3659" s="44"/>
      <c r="P3659" s="46"/>
    </row>
    <row r="3660" spans="1:16" x14ac:dyDescent="0.3">
      <c r="B3660" s="120"/>
      <c r="C3660" s="407"/>
      <c r="D3660" s="408"/>
      <c r="E3660" s="114"/>
      <c r="F3660" s="83"/>
      <c r="G3660" s="74"/>
      <c r="I3660" s="115">
        <f>IF(C3660=0,0,VLOOKUP(C3660,Tabla1[],3,FALSE))</f>
        <v>0</v>
      </c>
      <c r="K3660" s="84">
        <f t="shared" si="105"/>
        <v>0</v>
      </c>
      <c r="L3660" s="116">
        <f t="shared" si="104"/>
        <v>0</v>
      </c>
      <c r="O3660" s="48"/>
      <c r="P3660" s="49"/>
    </row>
    <row r="3661" spans="1:16" x14ac:dyDescent="0.3">
      <c r="B3661" s="120"/>
      <c r="C3661" s="430"/>
      <c r="D3661" s="429"/>
      <c r="E3661" s="114"/>
      <c r="F3661" s="83"/>
      <c r="G3661" s="74"/>
      <c r="I3661" s="115">
        <f>IF(C3661=0,0,VLOOKUP(C3661,Tabla1[],3,FALSE))</f>
        <v>0</v>
      </c>
      <c r="K3661" s="84">
        <f t="shared" si="105"/>
        <v>0</v>
      </c>
      <c r="L3661" s="116">
        <f t="shared" si="104"/>
        <v>0</v>
      </c>
      <c r="O3661" s="48"/>
      <c r="P3661" s="49"/>
    </row>
    <row r="3662" spans="1:16" x14ac:dyDescent="0.3">
      <c r="B3662" s="120"/>
      <c r="C3662" s="430"/>
      <c r="D3662" s="429"/>
      <c r="E3662" s="114"/>
      <c r="F3662" s="83"/>
      <c r="G3662" s="74"/>
      <c r="I3662" s="115">
        <f>IF(C3662=0,0,VLOOKUP(C3662,Tabla1[],3,FALSE))</f>
        <v>0</v>
      </c>
      <c r="K3662" s="84">
        <f t="shared" si="105"/>
        <v>0</v>
      </c>
      <c r="L3662" s="116">
        <f t="shared" si="104"/>
        <v>0</v>
      </c>
      <c r="O3662" s="48"/>
      <c r="P3662" s="49"/>
    </row>
    <row r="3663" spans="1:16" x14ac:dyDescent="0.3">
      <c r="B3663" s="120"/>
      <c r="C3663" s="430"/>
      <c r="D3663" s="429"/>
      <c r="E3663" s="114"/>
      <c r="F3663" s="83"/>
      <c r="G3663" s="74"/>
      <c r="I3663" s="115">
        <f>IF(C3663=0,0,VLOOKUP(C3663,Tabla1[],3,FALSE))</f>
        <v>0</v>
      </c>
      <c r="K3663" s="84">
        <f t="shared" si="105"/>
        <v>0</v>
      </c>
      <c r="L3663" s="116">
        <f t="shared" si="104"/>
        <v>0</v>
      </c>
      <c r="O3663" s="48"/>
      <c r="P3663" s="49"/>
    </row>
    <row r="3664" spans="1:16" ht="17.25" thickBot="1" x14ac:dyDescent="0.35"/>
    <row r="3665" spans="2:16" ht="17.25" thickBot="1" x14ac:dyDescent="0.3">
      <c r="F3665" s="402" t="s">
        <v>9</v>
      </c>
      <c r="G3665" s="403"/>
      <c r="H3665" s="403"/>
      <c r="I3665" s="404"/>
      <c r="K3665" s="224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413" t="s">
        <v>11</v>
      </c>
      <c r="D3667" s="413"/>
      <c r="E3667" s="413"/>
      <c r="F3667" s="413"/>
      <c r="G3667" s="414"/>
    </row>
    <row r="3668" spans="2:16" x14ac:dyDescent="0.3">
      <c r="B3668" s="112" t="s">
        <v>6</v>
      </c>
      <c r="C3668" s="415" t="s">
        <v>1</v>
      </c>
      <c r="D3668" s="416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409"/>
      <c r="D3669" s="409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431"/>
      <c r="D3670" s="432"/>
      <c r="E3670" s="119"/>
      <c r="F3670" s="72"/>
      <c r="G3670" s="74"/>
      <c r="I3670" s="115">
        <f>IF(C3670=0,0,VLOOKUP(C3670,Tabla1[],3,FALSE))</f>
        <v>0</v>
      </c>
      <c r="K3670" s="84">
        <f>+F3670*I3670</f>
        <v>0</v>
      </c>
      <c r="L3670" s="116">
        <f>E3670*I3670</f>
        <v>0</v>
      </c>
    </row>
    <row r="3671" spans="2:16" x14ac:dyDescent="0.3">
      <c r="B3671" s="74"/>
      <c r="C3671" s="431"/>
      <c r="D3671" s="432"/>
      <c r="E3671" s="119"/>
      <c r="F3671" s="72"/>
      <c r="G3671" s="74"/>
      <c r="I3671" s="115">
        <f>IF(C3671=0,0,VLOOKUP(C3671,Tabla1[],3,FALSE))</f>
        <v>0</v>
      </c>
      <c r="K3671" s="84">
        <f>+F3671*I3671</f>
        <v>0</v>
      </c>
      <c r="L3671" s="116">
        <f>E3671*I3671</f>
        <v>0</v>
      </c>
    </row>
    <row r="3672" spans="2:16" x14ac:dyDescent="0.3">
      <c r="B3672" s="74"/>
      <c r="C3672" s="411"/>
      <c r="D3672" s="412"/>
      <c r="E3672" s="119"/>
      <c r="F3672" s="72"/>
      <c r="G3672" s="74"/>
      <c r="I3672" s="115">
        <f>IF(C3672=0,0,VLOOKUP(C3672,Tabla1[],3,FALSE))</f>
        <v>0</v>
      </c>
      <c r="K3672" s="84">
        <f>+F3672*I3672</f>
        <v>0</v>
      </c>
      <c r="L3672" s="116">
        <f>E3672*I3672</f>
        <v>0</v>
      </c>
    </row>
    <row r="3673" spans="2:16" ht="17.25" thickBot="1" x14ac:dyDescent="0.35"/>
    <row r="3674" spans="2:16" ht="17.25" thickBot="1" x14ac:dyDescent="0.35">
      <c r="F3674" s="402" t="s">
        <v>12</v>
      </c>
      <c r="G3674" s="403"/>
      <c r="H3674" s="403"/>
      <c r="I3674" s="404"/>
      <c r="K3674" s="224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413" t="s">
        <v>14</v>
      </c>
      <c r="D3676" s="413"/>
      <c r="E3676" s="413"/>
      <c r="F3676" s="413"/>
      <c r="G3676" s="414"/>
    </row>
    <row r="3677" spans="2:16" x14ac:dyDescent="0.3">
      <c r="B3677" s="112" t="s">
        <v>6</v>
      </c>
      <c r="C3677" s="415" t="s">
        <v>1</v>
      </c>
      <c r="D3677" s="416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409" t="s">
        <v>393</v>
      </c>
      <c r="D3678" s="409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409"/>
      <c r="D3679" s="409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417"/>
      <c r="D3680" s="418"/>
      <c r="E3680" s="122"/>
      <c r="F3680" s="123"/>
      <c r="G3680" s="74"/>
      <c r="I3680" s="115">
        <f>IF(C3680=0,0,VLOOKUP(C3680,Tabla2[],3,FALSE))</f>
        <v>0</v>
      </c>
      <c r="K3680" s="84">
        <f>+F3680*I3680</f>
        <v>0</v>
      </c>
      <c r="L3680" s="116">
        <f>E3680*I3680</f>
        <v>0</v>
      </c>
    </row>
    <row r="3681" spans="2:16" ht="17.25" thickBot="1" x14ac:dyDescent="0.35">
      <c r="B3681" s="419" t="s">
        <v>15</v>
      </c>
      <c r="C3681" s="420"/>
      <c r="D3681" s="420"/>
      <c r="E3681" s="420"/>
      <c r="F3681" s="420"/>
      <c r="G3681" s="421"/>
      <c r="I3681" s="115">
        <f>IF(C3681=0,0,VLOOKUP(C3681,Tabla2[],3,FALSE))</f>
        <v>0</v>
      </c>
      <c r="K3681" s="84">
        <v>0</v>
      </c>
      <c r="L3681" s="116">
        <f>E3681*I3681</f>
        <v>0</v>
      </c>
    </row>
    <row r="3682" spans="2:16" ht="17.25" thickBot="1" x14ac:dyDescent="0.35"/>
    <row r="3683" spans="2:16" ht="17.25" thickBot="1" x14ac:dyDescent="0.35">
      <c r="F3683" s="402" t="s">
        <v>16</v>
      </c>
      <c r="G3683" s="403"/>
      <c r="H3683" s="403"/>
      <c r="I3683" s="404"/>
      <c r="K3683" s="224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413" t="s">
        <v>18</v>
      </c>
      <c r="D3685" s="413"/>
      <c r="E3685" s="413"/>
      <c r="F3685" s="413"/>
      <c r="G3685" s="414"/>
    </row>
    <row r="3686" spans="2:16" x14ac:dyDescent="0.3">
      <c r="B3686" s="112" t="s">
        <v>6</v>
      </c>
      <c r="C3686" s="415" t="s">
        <v>1</v>
      </c>
      <c r="D3686" s="416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411"/>
      <c r="D3687" s="412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411"/>
      <c r="D3688" s="412"/>
      <c r="E3688" s="125"/>
      <c r="F3688" s="72"/>
      <c r="G3688" s="74"/>
      <c r="I3688" s="84">
        <v>0</v>
      </c>
      <c r="K3688" s="84">
        <f>+F3688*I3688</f>
        <v>0</v>
      </c>
      <c r="L3688" s="116">
        <f>E3688*I3688</f>
        <v>0</v>
      </c>
    </row>
    <row r="3689" spans="2:16" x14ac:dyDescent="0.3">
      <c r="B3689" s="74"/>
      <c r="C3689" s="411"/>
      <c r="D3689" s="412"/>
      <c r="E3689" s="125"/>
      <c r="F3689" s="72"/>
      <c r="G3689" s="74"/>
      <c r="I3689" s="84">
        <v>0</v>
      </c>
      <c r="K3689" s="84">
        <f>+F3689*I3689</f>
        <v>0</v>
      </c>
      <c r="L3689" s="116">
        <f>E3689*I3689</f>
        <v>0</v>
      </c>
    </row>
    <row r="3690" spans="2:16" ht="17.25" thickBot="1" x14ac:dyDescent="0.35">
      <c r="L3690" s="116"/>
    </row>
    <row r="3691" spans="2:16" ht="17.25" thickBot="1" x14ac:dyDescent="0.35">
      <c r="F3691" s="402" t="s">
        <v>19</v>
      </c>
      <c r="G3691" s="403"/>
      <c r="H3691" s="403"/>
      <c r="I3691" s="404"/>
      <c r="K3691" s="224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127"/>
      <c r="H3692" s="128"/>
      <c r="I3692" s="106"/>
      <c r="K3692" s="225"/>
    </row>
    <row r="3693" spans="2:16" ht="15" customHeight="1" thickBot="1" x14ac:dyDescent="0.35"/>
    <row r="3694" spans="2:16" ht="17.25" thickBot="1" x14ac:dyDescent="0.35">
      <c r="F3694" s="402" t="s">
        <v>20</v>
      </c>
      <c r="G3694" s="403"/>
      <c r="H3694" s="403"/>
      <c r="I3694" s="404"/>
      <c r="K3694" s="224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402" t="s">
        <v>21</v>
      </c>
      <c r="G3696" s="403"/>
      <c r="H3696" s="403"/>
      <c r="I3696" s="404"/>
      <c r="K3696" s="224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402" t="s">
        <v>22</v>
      </c>
      <c r="G3698" s="403"/>
      <c r="H3698" s="403"/>
      <c r="I3698" s="404"/>
      <c r="K3698" s="224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127"/>
      <c r="H3699" s="128"/>
      <c r="I3699" s="106"/>
      <c r="K3699" s="226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127"/>
      <c r="H3700" s="128"/>
      <c r="I3700" s="106"/>
      <c r="K3700" s="227"/>
      <c r="L3700" s="129"/>
      <c r="M3700" s="132"/>
      <c r="N3700" s="133"/>
    </row>
    <row r="3701" spans="1:16" ht="17.25" thickBot="1" x14ac:dyDescent="0.35">
      <c r="B3701" s="405"/>
      <c r="C3701" s="405"/>
      <c r="D3701" s="405"/>
    </row>
    <row r="3702" spans="1:16" x14ac:dyDescent="0.3">
      <c r="B3702" s="406" t="s">
        <v>23</v>
      </c>
      <c r="C3702" s="406"/>
      <c r="D3702" s="406"/>
    </row>
    <row r="3705" spans="1:16" x14ac:dyDescent="0.3">
      <c r="B3705" s="103" t="s">
        <v>43</v>
      </c>
      <c r="C3705" s="104"/>
      <c r="D3705" s="422" t="s">
        <v>1</v>
      </c>
      <c r="E3705" s="422"/>
      <c r="F3705" s="422"/>
      <c r="G3705" s="422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09">
        <f>CATALOGO!B109</f>
        <v>508.01</v>
      </c>
      <c r="C3706" s="71"/>
      <c r="D3706" s="437" t="str">
        <f>CATALOGO!C109</f>
        <v>CUBIERTA TIPO PANEL SÁDWICH (T=1.5", LÁMINA CAL 26)</v>
      </c>
      <c r="E3706" s="437"/>
      <c r="F3706" s="437"/>
      <c r="G3706" s="437"/>
      <c r="H3706" s="71"/>
      <c r="I3706" s="209">
        <f>CATALOGO!D109</f>
        <v>21</v>
      </c>
      <c r="J3706" s="107"/>
      <c r="K3706" s="222" t="str">
        <f>CATALOGO!G109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413" t="s">
        <v>5</v>
      </c>
      <c r="D3708" s="413"/>
      <c r="E3708" s="413"/>
      <c r="F3708" s="413"/>
      <c r="G3708" s="414"/>
    </row>
    <row r="3709" spans="1:16" x14ac:dyDescent="0.25">
      <c r="B3709" s="109" t="s">
        <v>6</v>
      </c>
      <c r="C3709" s="424" t="s">
        <v>1</v>
      </c>
      <c r="D3709" s="425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3" t="s">
        <v>8</v>
      </c>
      <c r="L3709" s="113" t="s">
        <v>193</v>
      </c>
      <c r="O3709" s="438"/>
      <c r="P3709" s="438"/>
    </row>
    <row r="3710" spans="1:16" ht="16.5" customHeight="1" x14ac:dyDescent="0.25">
      <c r="B3710" s="120">
        <v>1</v>
      </c>
      <c r="C3710" s="407" t="s">
        <v>594</v>
      </c>
      <c r="D3710" s="408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106">E3710*I3710</f>
        <v>4725.0000000000009</v>
      </c>
      <c r="O3710" s="44"/>
      <c r="P3710" s="45"/>
    </row>
    <row r="3711" spans="1:16" x14ac:dyDescent="0.25">
      <c r="B3711" s="120">
        <v>2</v>
      </c>
      <c r="C3711" s="407" t="s">
        <v>595</v>
      </c>
      <c r="D3711" s="408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>+F3711*I3711</f>
        <v>23.400000000000002</v>
      </c>
      <c r="L3711" s="116">
        <f t="shared" si="106"/>
        <v>491.4</v>
      </c>
      <c r="O3711" s="44"/>
      <c r="P3711" s="47"/>
    </row>
    <row r="3712" spans="1:16" x14ac:dyDescent="0.3">
      <c r="B3712" s="120">
        <v>3</v>
      </c>
      <c r="C3712" s="407" t="s">
        <v>596</v>
      </c>
      <c r="D3712" s="408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>+F3712*I3712</f>
        <v>1.6</v>
      </c>
      <c r="L3712" s="116">
        <f t="shared" si="106"/>
        <v>33.6</v>
      </c>
      <c r="O3712" s="48"/>
      <c r="P3712" s="49"/>
    </row>
    <row r="3713" spans="2:16" ht="16.5" customHeight="1" x14ac:dyDescent="0.25">
      <c r="B3713" s="120"/>
      <c r="C3713" s="407"/>
      <c r="D3713" s="408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106"/>
        <v>0</v>
      </c>
      <c r="O3713" s="44"/>
      <c r="P3713" s="45"/>
    </row>
    <row r="3714" spans="2:16" ht="16.5" customHeight="1" x14ac:dyDescent="0.25">
      <c r="B3714" s="120"/>
      <c r="C3714" s="407"/>
      <c r="D3714" s="408"/>
      <c r="E3714" s="114"/>
      <c r="F3714" s="83"/>
      <c r="G3714" s="74"/>
      <c r="I3714" s="115">
        <f>IF(C3714=0,0,VLOOKUP(C3714,Tabla1[],3,FALSE))</f>
        <v>0</v>
      </c>
      <c r="K3714" s="84">
        <f t="shared" ref="K3714:K3719" si="107">+F3714*I3714</f>
        <v>0</v>
      </c>
      <c r="L3714" s="116">
        <f t="shared" si="106"/>
        <v>0</v>
      </c>
      <c r="O3714" s="44"/>
      <c r="P3714" s="46"/>
    </row>
    <row r="3715" spans="2:16" x14ac:dyDescent="0.25">
      <c r="B3715" s="120"/>
      <c r="C3715" s="407"/>
      <c r="D3715" s="408"/>
      <c r="E3715" s="114"/>
      <c r="F3715" s="83"/>
      <c r="G3715" s="74"/>
      <c r="I3715" s="115">
        <f>IF(C3715=0,0,VLOOKUP(C3715,Tabla1[],3,FALSE))</f>
        <v>0</v>
      </c>
      <c r="K3715" s="84">
        <f t="shared" si="107"/>
        <v>0</v>
      </c>
      <c r="L3715" s="116">
        <f t="shared" si="106"/>
        <v>0</v>
      </c>
      <c r="O3715" s="44"/>
      <c r="P3715" s="46"/>
    </row>
    <row r="3716" spans="2:16" x14ac:dyDescent="0.3">
      <c r="B3716" s="120"/>
      <c r="C3716" s="407"/>
      <c r="D3716" s="408"/>
      <c r="E3716" s="114"/>
      <c r="F3716" s="83"/>
      <c r="G3716" s="74"/>
      <c r="I3716" s="115">
        <f>IF(C3716=0,0,VLOOKUP(C3716,Tabla1[],3,FALSE))</f>
        <v>0</v>
      </c>
      <c r="K3716" s="84">
        <f t="shared" si="107"/>
        <v>0</v>
      </c>
      <c r="L3716" s="116">
        <f t="shared" si="106"/>
        <v>0</v>
      </c>
      <c r="O3716" s="48"/>
      <c r="P3716" s="49"/>
    </row>
    <row r="3717" spans="2:16" x14ac:dyDescent="0.3">
      <c r="B3717" s="120"/>
      <c r="C3717" s="430"/>
      <c r="D3717" s="429"/>
      <c r="E3717" s="114"/>
      <c r="F3717" s="83"/>
      <c r="G3717" s="74"/>
      <c r="I3717" s="115">
        <f>IF(C3717=0,0,VLOOKUP(C3717,Tabla1[],3,FALSE))</f>
        <v>0</v>
      </c>
      <c r="K3717" s="84">
        <f t="shared" si="107"/>
        <v>0</v>
      </c>
      <c r="L3717" s="116">
        <f t="shared" si="106"/>
        <v>0</v>
      </c>
      <c r="O3717" s="48"/>
      <c r="P3717" s="49"/>
    </row>
    <row r="3718" spans="2:16" x14ac:dyDescent="0.3">
      <c r="B3718" s="120"/>
      <c r="C3718" s="430"/>
      <c r="D3718" s="429"/>
      <c r="E3718" s="114"/>
      <c r="F3718" s="83"/>
      <c r="G3718" s="74"/>
      <c r="I3718" s="115">
        <f>IF(C3718=0,0,VLOOKUP(C3718,Tabla1[],3,FALSE))</f>
        <v>0</v>
      </c>
      <c r="K3718" s="84">
        <f t="shared" si="107"/>
        <v>0</v>
      </c>
      <c r="L3718" s="116">
        <f t="shared" si="106"/>
        <v>0</v>
      </c>
      <c r="O3718" s="48"/>
      <c r="P3718" s="49"/>
    </row>
    <row r="3719" spans="2:16" x14ac:dyDescent="0.3">
      <c r="B3719" s="120"/>
      <c r="C3719" s="430"/>
      <c r="D3719" s="429"/>
      <c r="E3719" s="114"/>
      <c r="F3719" s="83"/>
      <c r="G3719" s="74"/>
      <c r="I3719" s="115">
        <f>IF(C3719=0,0,VLOOKUP(C3719,Tabla1[],3,FALSE))</f>
        <v>0</v>
      </c>
      <c r="K3719" s="84">
        <f t="shared" si="107"/>
        <v>0</v>
      </c>
      <c r="L3719" s="116">
        <f t="shared" si="106"/>
        <v>0</v>
      </c>
      <c r="O3719" s="48"/>
      <c r="P3719" s="49"/>
    </row>
    <row r="3720" spans="2:16" ht="17.25" thickBot="1" x14ac:dyDescent="0.35"/>
    <row r="3721" spans="2:16" ht="17.25" thickBot="1" x14ac:dyDescent="0.3">
      <c r="F3721" s="402" t="s">
        <v>9</v>
      </c>
      <c r="G3721" s="403"/>
      <c r="H3721" s="403"/>
      <c r="I3721" s="404"/>
      <c r="K3721" s="224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413" t="s">
        <v>11</v>
      </c>
      <c r="D3723" s="413"/>
      <c r="E3723" s="413"/>
      <c r="F3723" s="413"/>
      <c r="G3723" s="414"/>
    </row>
    <row r="3724" spans="2:16" x14ac:dyDescent="0.3">
      <c r="B3724" s="112" t="s">
        <v>6</v>
      </c>
      <c r="C3724" s="415" t="s">
        <v>1</v>
      </c>
      <c r="D3724" s="416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409"/>
      <c r="D3725" s="409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431"/>
      <c r="D3726" s="432"/>
      <c r="E3726" s="119"/>
      <c r="F3726" s="72"/>
      <c r="G3726" s="74"/>
      <c r="I3726" s="115">
        <f>IF(C3726=0,0,VLOOKUP(C3726,Tabla1[],3,FALSE))</f>
        <v>0</v>
      </c>
      <c r="K3726" s="84">
        <f>+F3726*I3726</f>
        <v>0</v>
      </c>
      <c r="L3726" s="116">
        <f>E3726*I3726</f>
        <v>0</v>
      </c>
    </row>
    <row r="3727" spans="2:16" x14ac:dyDescent="0.3">
      <c r="B3727" s="74"/>
      <c r="C3727" s="431"/>
      <c r="D3727" s="432"/>
      <c r="E3727" s="119"/>
      <c r="F3727" s="72"/>
      <c r="G3727" s="74"/>
      <c r="I3727" s="115">
        <f>IF(C3727=0,0,VLOOKUP(C3727,Tabla1[],3,FALSE))</f>
        <v>0</v>
      </c>
      <c r="K3727" s="84">
        <f>+F3727*I3727</f>
        <v>0</v>
      </c>
      <c r="L3727" s="116">
        <f>E3727*I3727</f>
        <v>0</v>
      </c>
    </row>
    <row r="3728" spans="2:16" x14ac:dyDescent="0.3">
      <c r="B3728" s="74"/>
      <c r="C3728" s="411"/>
      <c r="D3728" s="412"/>
      <c r="E3728" s="119"/>
      <c r="F3728" s="72"/>
      <c r="G3728" s="74"/>
      <c r="I3728" s="115">
        <f>IF(C3728=0,0,VLOOKUP(C3728,Tabla1[],3,FALSE))</f>
        <v>0</v>
      </c>
      <c r="K3728" s="84">
        <f>+F3728*I3728</f>
        <v>0</v>
      </c>
      <c r="L3728" s="116">
        <f>E3728*I3728</f>
        <v>0</v>
      </c>
    </row>
    <row r="3729" spans="2:12" ht="17.25" thickBot="1" x14ac:dyDescent="0.35"/>
    <row r="3730" spans="2:12" ht="17.25" thickBot="1" x14ac:dyDescent="0.35">
      <c r="F3730" s="402" t="s">
        <v>12</v>
      </c>
      <c r="G3730" s="403"/>
      <c r="H3730" s="403"/>
      <c r="I3730" s="404"/>
      <c r="K3730" s="224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413" t="s">
        <v>14</v>
      </c>
      <c r="D3732" s="413"/>
      <c r="E3732" s="413"/>
      <c r="F3732" s="413"/>
      <c r="G3732" s="414"/>
    </row>
    <row r="3733" spans="2:12" x14ac:dyDescent="0.3">
      <c r="B3733" s="112" t="s">
        <v>6</v>
      </c>
      <c r="C3733" s="415" t="s">
        <v>1</v>
      </c>
      <c r="D3733" s="416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409" t="s">
        <v>597</v>
      </c>
      <c r="D3734" s="409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409"/>
      <c r="D3735" s="409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417"/>
      <c r="D3736" s="418"/>
      <c r="E3736" s="122"/>
      <c r="F3736" s="123"/>
      <c r="G3736" s="74"/>
      <c r="I3736" s="115">
        <f>IF(C3736=0,0,VLOOKUP(C3736,Tabla2[],3,FALSE))</f>
        <v>0</v>
      </c>
      <c r="K3736" s="84">
        <f>+F3736*I3736</f>
        <v>0</v>
      </c>
      <c r="L3736" s="116">
        <f>E3736*I3736</f>
        <v>0</v>
      </c>
    </row>
    <row r="3737" spans="2:12" ht="17.25" thickBot="1" x14ac:dyDescent="0.35">
      <c r="B3737" s="419" t="s">
        <v>15</v>
      </c>
      <c r="C3737" s="420"/>
      <c r="D3737" s="420"/>
      <c r="E3737" s="420"/>
      <c r="F3737" s="420"/>
      <c r="G3737" s="421"/>
      <c r="I3737" s="115">
        <f>IF(C3737=0,0,VLOOKUP(C3737,Tabla2[],3,FALSE))</f>
        <v>0</v>
      </c>
      <c r="K3737" s="84">
        <v>0</v>
      </c>
      <c r="L3737" s="116">
        <f>E3737*I3737</f>
        <v>0</v>
      </c>
    </row>
    <row r="3738" spans="2:12" ht="17.25" thickBot="1" x14ac:dyDescent="0.35"/>
    <row r="3739" spans="2:12" ht="17.25" thickBot="1" x14ac:dyDescent="0.35">
      <c r="F3739" s="402" t="s">
        <v>16</v>
      </c>
      <c r="G3739" s="403"/>
      <c r="H3739" s="403"/>
      <c r="I3739" s="404"/>
      <c r="K3739" s="224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413" t="s">
        <v>18</v>
      </c>
      <c r="D3741" s="413"/>
      <c r="E3741" s="413"/>
      <c r="F3741" s="413"/>
      <c r="G3741" s="414"/>
    </row>
    <row r="3742" spans="2:12" x14ac:dyDescent="0.3">
      <c r="B3742" s="112" t="s">
        <v>6</v>
      </c>
      <c r="C3742" s="415" t="s">
        <v>1</v>
      </c>
      <c r="D3742" s="416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411"/>
      <c r="D3743" s="412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411"/>
      <c r="D3744" s="412"/>
      <c r="E3744" s="125"/>
      <c r="F3744" s="72"/>
      <c r="G3744" s="74"/>
      <c r="I3744" s="84">
        <v>0</v>
      </c>
      <c r="K3744" s="84">
        <f>+F3744*I3744</f>
        <v>0</v>
      </c>
      <c r="L3744" s="116">
        <f>E3744*I3744</f>
        <v>0</v>
      </c>
    </row>
    <row r="3745" spans="2:16" x14ac:dyDescent="0.3">
      <c r="B3745" s="74"/>
      <c r="C3745" s="411"/>
      <c r="D3745" s="412"/>
      <c r="E3745" s="125"/>
      <c r="F3745" s="72"/>
      <c r="G3745" s="74"/>
      <c r="I3745" s="84">
        <v>0</v>
      </c>
      <c r="K3745" s="84">
        <f>+F3745*I3745</f>
        <v>0</v>
      </c>
      <c r="L3745" s="116">
        <f>E3745*I3745</f>
        <v>0</v>
      </c>
    </row>
    <row r="3746" spans="2:16" ht="17.25" thickBot="1" x14ac:dyDescent="0.35">
      <c r="L3746" s="116"/>
    </row>
    <row r="3747" spans="2:16" ht="17.25" thickBot="1" x14ac:dyDescent="0.35">
      <c r="F3747" s="402" t="s">
        <v>19</v>
      </c>
      <c r="G3747" s="403"/>
      <c r="H3747" s="403"/>
      <c r="I3747" s="404"/>
      <c r="K3747" s="224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127"/>
      <c r="H3748" s="128"/>
      <c r="I3748" s="106"/>
      <c r="K3748" s="225"/>
    </row>
    <row r="3749" spans="2:16" ht="15" customHeight="1" thickBot="1" x14ac:dyDescent="0.35"/>
    <row r="3750" spans="2:16" ht="17.25" thickBot="1" x14ac:dyDescent="0.35">
      <c r="F3750" s="402" t="s">
        <v>20</v>
      </c>
      <c r="G3750" s="403"/>
      <c r="H3750" s="403"/>
      <c r="I3750" s="404"/>
      <c r="K3750" s="224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402" t="s">
        <v>21</v>
      </c>
      <c r="G3752" s="403"/>
      <c r="H3752" s="403"/>
      <c r="I3752" s="404"/>
      <c r="K3752" s="224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402" t="s">
        <v>22</v>
      </c>
      <c r="G3754" s="403"/>
      <c r="H3754" s="403"/>
      <c r="I3754" s="404"/>
      <c r="K3754" s="224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127"/>
      <c r="H3755" s="128"/>
      <c r="I3755" s="106"/>
      <c r="K3755" s="226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127"/>
      <c r="H3756" s="128"/>
      <c r="I3756" s="106"/>
      <c r="K3756" s="227"/>
      <c r="L3756" s="129"/>
      <c r="M3756" s="132"/>
      <c r="N3756" s="133"/>
    </row>
    <row r="3757" spans="2:16" ht="17.25" thickBot="1" x14ac:dyDescent="0.35">
      <c r="B3757" s="405"/>
      <c r="C3757" s="405"/>
      <c r="D3757" s="405"/>
    </row>
    <row r="3758" spans="2:16" x14ac:dyDescent="0.3">
      <c r="B3758" s="406" t="s">
        <v>23</v>
      </c>
      <c r="C3758" s="406"/>
      <c r="D3758" s="406"/>
    </row>
    <row r="3761" spans="1:16" x14ac:dyDescent="0.3">
      <c r="B3761" s="103" t="s">
        <v>43</v>
      </c>
      <c r="C3761" s="104"/>
      <c r="D3761" s="422" t="s">
        <v>1</v>
      </c>
      <c r="E3761" s="422"/>
      <c r="F3761" s="422"/>
      <c r="G3761" s="422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09">
        <f>CATALOGO!B111</f>
        <v>605.01</v>
      </c>
      <c r="C3762" s="71"/>
      <c r="D3762" s="437" t="str">
        <f>CATALOGO!C111</f>
        <v>PISO CERÁMICO</v>
      </c>
      <c r="E3762" s="437"/>
      <c r="F3762" s="437"/>
      <c r="G3762" s="437"/>
      <c r="H3762" s="71"/>
      <c r="I3762" s="209">
        <f>CATALOGO!D111</f>
        <v>29</v>
      </c>
      <c r="J3762" s="107"/>
      <c r="K3762" s="222" t="str">
        <f>CATALOGO!G111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413" t="s">
        <v>5</v>
      </c>
      <c r="D3764" s="413"/>
      <c r="E3764" s="413"/>
      <c r="F3764" s="413"/>
      <c r="G3764" s="414"/>
    </row>
    <row r="3765" spans="1:16" x14ac:dyDescent="0.25">
      <c r="B3765" s="109" t="s">
        <v>6</v>
      </c>
      <c r="C3765" s="424" t="s">
        <v>1</v>
      </c>
      <c r="D3765" s="425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3" t="s">
        <v>8</v>
      </c>
      <c r="L3765" s="113" t="s">
        <v>193</v>
      </c>
      <c r="O3765" s="438"/>
      <c r="P3765" s="438"/>
    </row>
    <row r="3766" spans="1:16" ht="16.5" customHeight="1" x14ac:dyDescent="0.25">
      <c r="B3766" s="120">
        <v>1</v>
      </c>
      <c r="C3766" s="428" t="s">
        <v>213</v>
      </c>
      <c r="D3766" s="429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>E3766*I3766</f>
        <v>1623.9999999999998</v>
      </c>
      <c r="O3766" s="44"/>
      <c r="P3766" s="45"/>
    </row>
    <row r="3767" spans="1:16" x14ac:dyDescent="0.25">
      <c r="B3767" s="120">
        <v>2</v>
      </c>
      <c r="C3767" s="430" t="s">
        <v>72</v>
      </c>
      <c r="D3767" s="429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>+F3767*I3767</f>
        <v>5</v>
      </c>
      <c r="L3767" s="116">
        <f>E3767*I3767</f>
        <v>145</v>
      </c>
      <c r="O3767" s="44"/>
      <c r="P3767" s="47"/>
    </row>
    <row r="3768" spans="1:16" x14ac:dyDescent="0.3">
      <c r="B3768" s="120">
        <v>3</v>
      </c>
      <c r="C3768" s="430" t="s">
        <v>214</v>
      </c>
      <c r="D3768" s="429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>+F3768*I3768</f>
        <v>1</v>
      </c>
      <c r="L3768" s="116">
        <f>E3768*I3768</f>
        <v>28.999999999999996</v>
      </c>
      <c r="O3768" s="48"/>
      <c r="P3768" s="49"/>
    </row>
    <row r="3769" spans="1:16" ht="16.5" customHeight="1" x14ac:dyDescent="0.25">
      <c r="B3769" s="120">
        <v>4</v>
      </c>
      <c r="C3769" s="407" t="s">
        <v>598</v>
      </c>
      <c r="D3769" s="408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>+F3769*I3769</f>
        <v>62.999999999999993</v>
      </c>
      <c r="L3769" s="116">
        <f>E3769*I3769</f>
        <v>1826.9999999999998</v>
      </c>
      <c r="O3769" s="44"/>
      <c r="P3769" s="45"/>
    </row>
    <row r="3770" spans="1:16" x14ac:dyDescent="0.3">
      <c r="B3770" s="120"/>
      <c r="C3770" s="430"/>
      <c r="D3770" s="429"/>
      <c r="E3770" s="114"/>
      <c r="F3770" s="83"/>
      <c r="G3770" s="74"/>
      <c r="I3770" s="115">
        <f>IF(C3770=0,0,VLOOKUP(C3770,Tabla1[],3,FALSE))</f>
        <v>0</v>
      </c>
      <c r="K3770" s="84">
        <f>+F3770*I3770</f>
        <v>0</v>
      </c>
      <c r="L3770" s="116">
        <f>E3770*I3770</f>
        <v>0</v>
      </c>
      <c r="O3770" s="48"/>
      <c r="P3770" s="49"/>
    </row>
    <row r="3771" spans="1:16" ht="17.25" thickBot="1" x14ac:dyDescent="0.35"/>
    <row r="3772" spans="1:16" ht="17.25" thickBot="1" x14ac:dyDescent="0.3">
      <c r="F3772" s="402" t="s">
        <v>9</v>
      </c>
      <c r="G3772" s="403"/>
      <c r="H3772" s="403"/>
      <c r="I3772" s="404"/>
      <c r="K3772" s="224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413" t="s">
        <v>11</v>
      </c>
      <c r="D3774" s="413"/>
      <c r="E3774" s="413"/>
      <c r="F3774" s="413"/>
      <c r="G3774" s="414"/>
    </row>
    <row r="3775" spans="1:16" x14ac:dyDescent="0.3">
      <c r="B3775" s="112" t="s">
        <v>6</v>
      </c>
      <c r="C3775" s="415" t="s">
        <v>1</v>
      </c>
      <c r="D3775" s="416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409"/>
      <c r="D3776" s="409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431"/>
      <c r="D3777" s="432"/>
      <c r="E3777" s="119"/>
      <c r="F3777" s="72"/>
      <c r="G3777" s="74"/>
      <c r="I3777" s="115">
        <f>IF(C3777=0,0,VLOOKUP(C3777,Tabla3[],3,FALSE))</f>
        <v>0</v>
      </c>
      <c r="K3777" s="84">
        <f>+F3777*I3777</f>
        <v>0</v>
      </c>
      <c r="L3777" s="116">
        <f>E3777*I3777</f>
        <v>0</v>
      </c>
    </row>
    <row r="3778" spans="2:12" x14ac:dyDescent="0.3">
      <c r="B3778" s="74"/>
      <c r="C3778" s="431"/>
      <c r="D3778" s="432"/>
      <c r="E3778" s="119"/>
      <c r="F3778" s="72"/>
      <c r="G3778" s="74"/>
      <c r="I3778" s="115">
        <f>IF(C3778=0,0,VLOOKUP(C3778,Tabla3[],3,FALSE))</f>
        <v>0</v>
      </c>
      <c r="K3778" s="84">
        <f>+F3778*I3778</f>
        <v>0</v>
      </c>
      <c r="L3778" s="116">
        <f>E3778*I3778</f>
        <v>0</v>
      </c>
    </row>
    <row r="3779" spans="2:12" x14ac:dyDescent="0.3">
      <c r="B3779" s="74"/>
      <c r="C3779" s="411"/>
      <c r="D3779" s="412"/>
      <c r="E3779" s="119"/>
      <c r="F3779" s="72"/>
      <c r="G3779" s="74"/>
      <c r="I3779" s="115">
        <f>IF(C3779=0,0,VLOOKUP(C3779,Tabla3[],3,FALSE))</f>
        <v>0</v>
      </c>
      <c r="K3779" s="84">
        <f>+F3779*I3779</f>
        <v>0</v>
      </c>
      <c r="L3779" s="116">
        <f>E3779*I3779</f>
        <v>0</v>
      </c>
    </row>
    <row r="3780" spans="2:12" ht="17.25" thickBot="1" x14ac:dyDescent="0.35"/>
    <row r="3781" spans="2:12" ht="17.25" thickBot="1" x14ac:dyDescent="0.35">
      <c r="F3781" s="402" t="s">
        <v>12</v>
      </c>
      <c r="G3781" s="403"/>
      <c r="H3781" s="403"/>
      <c r="I3781" s="404"/>
      <c r="K3781" s="224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413" t="s">
        <v>14</v>
      </c>
      <c r="D3783" s="413"/>
      <c r="E3783" s="413"/>
      <c r="F3783" s="413"/>
      <c r="G3783" s="414"/>
    </row>
    <row r="3784" spans="2:12" x14ac:dyDescent="0.3">
      <c r="B3784" s="112" t="s">
        <v>6</v>
      </c>
      <c r="C3784" s="415" t="s">
        <v>1</v>
      </c>
      <c r="D3784" s="416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409" t="s">
        <v>215</v>
      </c>
      <c r="D3785" s="409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409"/>
      <c r="D3786" s="409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417"/>
      <c r="D3787" s="418"/>
      <c r="E3787" s="122"/>
      <c r="F3787" s="123"/>
      <c r="G3787" s="74"/>
      <c r="I3787" s="115">
        <f>IF(C3787=0,0,VLOOKUP(C3787,Tabla2[],3,FALSE))</f>
        <v>0</v>
      </c>
      <c r="K3787" s="84">
        <f>+F3787*I3787</f>
        <v>0</v>
      </c>
      <c r="L3787" s="116">
        <f>E3787*I3787</f>
        <v>0</v>
      </c>
    </row>
    <row r="3788" spans="2:12" ht="17.25" thickBot="1" x14ac:dyDescent="0.35">
      <c r="B3788" s="419" t="s">
        <v>15</v>
      </c>
      <c r="C3788" s="420"/>
      <c r="D3788" s="420"/>
      <c r="E3788" s="420"/>
      <c r="F3788" s="420"/>
      <c r="G3788" s="421"/>
      <c r="I3788" s="115">
        <f>IF(C3788=0,0,VLOOKUP(C3788,Tabla2[],3,FALSE))</f>
        <v>0</v>
      </c>
      <c r="K3788" s="84">
        <v>0</v>
      </c>
      <c r="L3788" s="116">
        <f>E3788*I3788</f>
        <v>0</v>
      </c>
    </row>
    <row r="3789" spans="2:12" ht="17.25" thickBot="1" x14ac:dyDescent="0.35"/>
    <row r="3790" spans="2:12" ht="17.25" thickBot="1" x14ac:dyDescent="0.35">
      <c r="F3790" s="402" t="s">
        <v>16</v>
      </c>
      <c r="G3790" s="403"/>
      <c r="H3790" s="403"/>
      <c r="I3790" s="404"/>
      <c r="K3790" s="224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413" t="s">
        <v>18</v>
      </c>
      <c r="D3792" s="413"/>
      <c r="E3792" s="413"/>
      <c r="F3792" s="413"/>
      <c r="G3792" s="414"/>
    </row>
    <row r="3793" spans="2:16" x14ac:dyDescent="0.3">
      <c r="B3793" s="112" t="s">
        <v>6</v>
      </c>
      <c r="C3793" s="415" t="s">
        <v>1</v>
      </c>
      <c r="D3793" s="416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411"/>
      <c r="D3794" s="412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411"/>
      <c r="D3795" s="412"/>
      <c r="E3795" s="125"/>
      <c r="F3795" s="72"/>
      <c r="G3795" s="74"/>
      <c r="I3795" s="84">
        <v>0</v>
      </c>
      <c r="K3795" s="84">
        <f>+F3795*I3795</f>
        <v>0</v>
      </c>
      <c r="L3795" s="116">
        <f>E3795*I3795</f>
        <v>0</v>
      </c>
    </row>
    <row r="3796" spans="2:16" x14ac:dyDescent="0.3">
      <c r="B3796" s="74"/>
      <c r="C3796" s="411"/>
      <c r="D3796" s="412"/>
      <c r="E3796" s="125"/>
      <c r="F3796" s="72"/>
      <c r="G3796" s="74"/>
      <c r="I3796" s="84">
        <v>0</v>
      </c>
      <c r="K3796" s="84">
        <f>+F3796*I3796</f>
        <v>0</v>
      </c>
      <c r="L3796" s="116">
        <f>E3796*I3796</f>
        <v>0</v>
      </c>
    </row>
    <row r="3797" spans="2:16" ht="17.25" thickBot="1" x14ac:dyDescent="0.35">
      <c r="L3797" s="116"/>
    </row>
    <row r="3798" spans="2:16" ht="17.25" thickBot="1" x14ac:dyDescent="0.35">
      <c r="F3798" s="402" t="s">
        <v>19</v>
      </c>
      <c r="G3798" s="403"/>
      <c r="H3798" s="403"/>
      <c r="I3798" s="404"/>
      <c r="K3798" s="224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127"/>
      <c r="H3799" s="128"/>
      <c r="I3799" s="106"/>
      <c r="K3799" s="225"/>
    </row>
    <row r="3800" spans="2:16" ht="15" customHeight="1" thickBot="1" x14ac:dyDescent="0.35"/>
    <row r="3801" spans="2:16" ht="17.25" thickBot="1" x14ac:dyDescent="0.35">
      <c r="F3801" s="402" t="s">
        <v>20</v>
      </c>
      <c r="G3801" s="403"/>
      <c r="H3801" s="403"/>
      <c r="I3801" s="404"/>
      <c r="K3801" s="224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402" t="s">
        <v>21</v>
      </c>
      <c r="G3803" s="403"/>
      <c r="H3803" s="403"/>
      <c r="I3803" s="404"/>
      <c r="K3803" s="224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402" t="s">
        <v>22</v>
      </c>
      <c r="G3805" s="403"/>
      <c r="H3805" s="403"/>
      <c r="I3805" s="404"/>
      <c r="K3805" s="224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127"/>
      <c r="H3806" s="128"/>
      <c r="I3806" s="106"/>
      <c r="K3806" s="226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127"/>
      <c r="H3807" s="128"/>
      <c r="I3807" s="106"/>
      <c r="K3807" s="227"/>
      <c r="L3807" s="129"/>
      <c r="M3807" s="132"/>
      <c r="N3807" s="133"/>
    </row>
    <row r="3808" spans="2:16" ht="17.25" thickBot="1" x14ac:dyDescent="0.35">
      <c r="B3808" s="405"/>
      <c r="C3808" s="405"/>
      <c r="D3808" s="405"/>
    </row>
    <row r="3809" spans="1:16" x14ac:dyDescent="0.3">
      <c r="B3809" s="406" t="s">
        <v>23</v>
      </c>
      <c r="C3809" s="406"/>
      <c r="D3809" s="406"/>
    </row>
    <row r="3810" spans="1:16" x14ac:dyDescent="0.3">
      <c r="B3810" s="155"/>
      <c r="C3810" s="155"/>
      <c r="D3810" s="155"/>
    </row>
    <row r="3812" spans="1:16" x14ac:dyDescent="0.3">
      <c r="B3812" s="103" t="s">
        <v>43</v>
      </c>
      <c r="C3812" s="104"/>
      <c r="D3812" s="422" t="s">
        <v>1</v>
      </c>
      <c r="E3812" s="422"/>
      <c r="F3812" s="422"/>
      <c r="G3812" s="422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09">
        <f>CATALOGO!B112</f>
        <v>605.08000000000004</v>
      </c>
      <c r="C3813" s="71"/>
      <c r="D3813" s="437" t="str">
        <f>CATALOGO!C112</f>
        <v>PISO CERÁMICO ANTIDESLIZANTE</v>
      </c>
      <c r="E3813" s="437"/>
      <c r="F3813" s="437"/>
      <c r="G3813" s="437"/>
      <c r="H3813" s="71"/>
      <c r="I3813" s="209">
        <f>CATALOGO!D112</f>
        <v>8</v>
      </c>
      <c r="J3813" s="107"/>
      <c r="K3813" s="222" t="str">
        <f>CATALOGO!G112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413" t="s">
        <v>5</v>
      </c>
      <c r="D3815" s="413"/>
      <c r="E3815" s="413"/>
      <c r="F3815" s="413"/>
      <c r="G3815" s="414"/>
    </row>
    <row r="3816" spans="1:16" x14ac:dyDescent="0.25">
      <c r="B3816" s="109" t="s">
        <v>6</v>
      </c>
      <c r="C3816" s="424" t="s">
        <v>1</v>
      </c>
      <c r="D3816" s="425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3" t="s">
        <v>8</v>
      </c>
      <c r="L3816" s="113" t="s">
        <v>193</v>
      </c>
      <c r="O3816" s="438"/>
      <c r="P3816" s="438"/>
    </row>
    <row r="3817" spans="1:16" ht="16.5" customHeight="1" x14ac:dyDescent="0.25">
      <c r="B3817" s="120">
        <v>1</v>
      </c>
      <c r="C3817" s="428" t="s">
        <v>213</v>
      </c>
      <c r="D3817" s="429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>E3817*I3817</f>
        <v>448</v>
      </c>
      <c r="O3817" s="44"/>
      <c r="P3817" s="45"/>
    </row>
    <row r="3818" spans="1:16" x14ac:dyDescent="0.25">
      <c r="B3818" s="120">
        <v>2</v>
      </c>
      <c r="C3818" s="430" t="s">
        <v>72</v>
      </c>
      <c r="D3818" s="429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>+F3818*I3818</f>
        <v>5</v>
      </c>
      <c r="L3818" s="116">
        <f>E3818*I3818</f>
        <v>40</v>
      </c>
      <c r="O3818" s="44"/>
      <c r="P3818" s="47"/>
    </row>
    <row r="3819" spans="1:16" x14ac:dyDescent="0.3">
      <c r="B3819" s="120">
        <v>3</v>
      </c>
      <c r="C3819" s="430" t="s">
        <v>214</v>
      </c>
      <c r="D3819" s="429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>+F3819*I3819</f>
        <v>1.5</v>
      </c>
      <c r="L3819" s="116">
        <f>E3819*I3819</f>
        <v>12</v>
      </c>
      <c r="O3819" s="48"/>
      <c r="P3819" s="49"/>
    </row>
    <row r="3820" spans="1:16" ht="16.5" customHeight="1" x14ac:dyDescent="0.25">
      <c r="B3820" s="120">
        <v>4</v>
      </c>
      <c r="C3820" s="407" t="s">
        <v>599</v>
      </c>
      <c r="D3820" s="408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>+F3820*I3820</f>
        <v>87.5</v>
      </c>
      <c r="L3820" s="116">
        <f>E3820*I3820</f>
        <v>700</v>
      </c>
      <c r="O3820" s="44"/>
      <c r="P3820" s="45"/>
    </row>
    <row r="3821" spans="1:16" x14ac:dyDescent="0.3">
      <c r="B3821" s="120"/>
      <c r="C3821" s="430"/>
      <c r="D3821" s="429"/>
      <c r="E3821" s="114"/>
      <c r="F3821" s="83"/>
      <c r="G3821" s="74"/>
      <c r="I3821" s="115">
        <f>IF(C3821=0,0,VLOOKUP(C3821,Tabla1[],3,FALSE))</f>
        <v>0</v>
      </c>
      <c r="K3821" s="84">
        <f>+F3821*I3821</f>
        <v>0</v>
      </c>
      <c r="L3821" s="116">
        <f>E3821*I3821</f>
        <v>0</v>
      </c>
      <c r="O3821" s="48"/>
      <c r="P3821" s="49"/>
    </row>
    <row r="3822" spans="1:16" ht="17.25" thickBot="1" x14ac:dyDescent="0.35"/>
    <row r="3823" spans="1:16" ht="17.25" thickBot="1" x14ac:dyDescent="0.3">
      <c r="F3823" s="402" t="s">
        <v>9</v>
      </c>
      <c r="G3823" s="403"/>
      <c r="H3823" s="403"/>
      <c r="I3823" s="404"/>
      <c r="K3823" s="224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413" t="s">
        <v>11</v>
      </c>
      <c r="D3825" s="413"/>
      <c r="E3825" s="413"/>
      <c r="F3825" s="413"/>
      <c r="G3825" s="414"/>
    </row>
    <row r="3826" spans="2:12" x14ac:dyDescent="0.3">
      <c r="B3826" s="112" t="s">
        <v>6</v>
      </c>
      <c r="C3826" s="415" t="s">
        <v>1</v>
      </c>
      <c r="D3826" s="416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409"/>
      <c r="D3827" s="409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431"/>
      <c r="D3828" s="432"/>
      <c r="E3828" s="119"/>
      <c r="F3828" s="72"/>
      <c r="G3828" s="74"/>
      <c r="I3828" s="115">
        <f>IF(C3828=0,0,VLOOKUP(C3828,Tabla3[],3,FALSE))</f>
        <v>0</v>
      </c>
      <c r="K3828" s="84">
        <f>+F3828*I3828</f>
        <v>0</v>
      </c>
      <c r="L3828" s="116">
        <f>E3828*I3828</f>
        <v>0</v>
      </c>
    </row>
    <row r="3829" spans="2:12" x14ac:dyDescent="0.3">
      <c r="B3829" s="74"/>
      <c r="C3829" s="431"/>
      <c r="D3829" s="432"/>
      <c r="E3829" s="119"/>
      <c r="F3829" s="72"/>
      <c r="G3829" s="74"/>
      <c r="I3829" s="115">
        <f>IF(C3829=0,0,VLOOKUP(C3829,Tabla3[],3,FALSE))</f>
        <v>0</v>
      </c>
      <c r="K3829" s="84">
        <f>+F3829*I3829</f>
        <v>0</v>
      </c>
      <c r="L3829" s="116">
        <f>E3829*I3829</f>
        <v>0</v>
      </c>
    </row>
    <row r="3830" spans="2:12" x14ac:dyDescent="0.3">
      <c r="B3830" s="74"/>
      <c r="C3830" s="411"/>
      <c r="D3830" s="412"/>
      <c r="E3830" s="119"/>
      <c r="F3830" s="72"/>
      <c r="G3830" s="74"/>
      <c r="I3830" s="115">
        <f>IF(C3830=0,0,VLOOKUP(C3830,Tabla3[],3,FALSE))</f>
        <v>0</v>
      </c>
      <c r="K3830" s="84">
        <f>+F3830*I3830</f>
        <v>0</v>
      </c>
      <c r="L3830" s="116">
        <f>E3830*I3830</f>
        <v>0</v>
      </c>
    </row>
    <row r="3831" spans="2:12" ht="17.25" thickBot="1" x14ac:dyDescent="0.35"/>
    <row r="3832" spans="2:12" ht="17.25" thickBot="1" x14ac:dyDescent="0.35">
      <c r="F3832" s="402" t="s">
        <v>12</v>
      </c>
      <c r="G3832" s="403"/>
      <c r="H3832" s="403"/>
      <c r="I3832" s="404"/>
      <c r="K3832" s="224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413" t="s">
        <v>14</v>
      </c>
      <c r="D3834" s="413"/>
      <c r="E3834" s="413"/>
      <c r="F3834" s="413"/>
      <c r="G3834" s="414"/>
    </row>
    <row r="3835" spans="2:12" x14ac:dyDescent="0.3">
      <c r="B3835" s="112" t="s">
        <v>6</v>
      </c>
      <c r="C3835" s="415" t="s">
        <v>1</v>
      </c>
      <c r="D3835" s="416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409" t="s">
        <v>215</v>
      </c>
      <c r="D3836" s="409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409"/>
      <c r="D3837" s="409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417"/>
      <c r="D3838" s="418"/>
      <c r="E3838" s="122"/>
      <c r="F3838" s="123"/>
      <c r="G3838" s="74"/>
      <c r="I3838" s="115">
        <f>IF(C3838=0,0,VLOOKUP(C3838,Tabla2[],3,FALSE))</f>
        <v>0</v>
      </c>
      <c r="K3838" s="84">
        <f>+F3838*I3838</f>
        <v>0</v>
      </c>
      <c r="L3838" s="116">
        <f>E3838*I3838</f>
        <v>0</v>
      </c>
    </row>
    <row r="3839" spans="2:12" ht="17.25" thickBot="1" x14ac:dyDescent="0.35">
      <c r="B3839" s="419" t="s">
        <v>15</v>
      </c>
      <c r="C3839" s="420"/>
      <c r="D3839" s="420"/>
      <c r="E3839" s="420"/>
      <c r="F3839" s="420"/>
      <c r="G3839" s="421"/>
      <c r="I3839" s="115">
        <f>IF(C3839=0,0,VLOOKUP(C3839,Tabla2[],3,FALSE))</f>
        <v>0</v>
      </c>
      <c r="K3839" s="84">
        <v>0</v>
      </c>
      <c r="L3839" s="116">
        <f>E3839*I3839</f>
        <v>0</v>
      </c>
    </row>
    <row r="3840" spans="2:12" ht="17.25" thickBot="1" x14ac:dyDescent="0.35"/>
    <row r="3841" spans="2:16" ht="17.25" thickBot="1" x14ac:dyDescent="0.35">
      <c r="F3841" s="402" t="s">
        <v>16</v>
      </c>
      <c r="G3841" s="403"/>
      <c r="H3841" s="403"/>
      <c r="I3841" s="404"/>
      <c r="K3841" s="224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413" t="s">
        <v>18</v>
      </c>
      <c r="D3843" s="413"/>
      <c r="E3843" s="413"/>
      <c r="F3843" s="413"/>
      <c r="G3843" s="414"/>
    </row>
    <row r="3844" spans="2:16" x14ac:dyDescent="0.3">
      <c r="B3844" s="112" t="s">
        <v>6</v>
      </c>
      <c r="C3844" s="415" t="s">
        <v>1</v>
      </c>
      <c r="D3844" s="416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411"/>
      <c r="D3845" s="412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411"/>
      <c r="D3846" s="412"/>
      <c r="E3846" s="125"/>
      <c r="F3846" s="72"/>
      <c r="G3846" s="74"/>
      <c r="I3846" s="84">
        <v>0</v>
      </c>
      <c r="K3846" s="84">
        <f>+F3846*I3846</f>
        <v>0</v>
      </c>
      <c r="L3846" s="116">
        <f>E3846*I3846</f>
        <v>0</v>
      </c>
    </row>
    <row r="3847" spans="2:16" x14ac:dyDescent="0.3">
      <c r="B3847" s="74"/>
      <c r="C3847" s="411"/>
      <c r="D3847" s="412"/>
      <c r="E3847" s="125"/>
      <c r="F3847" s="72"/>
      <c r="G3847" s="74"/>
      <c r="I3847" s="84">
        <v>0</v>
      </c>
      <c r="K3847" s="84">
        <f>+F3847*I3847</f>
        <v>0</v>
      </c>
      <c r="L3847" s="116">
        <f>E3847*I3847</f>
        <v>0</v>
      </c>
    </row>
    <row r="3848" spans="2:16" ht="17.25" thickBot="1" x14ac:dyDescent="0.35">
      <c r="L3848" s="116"/>
    </row>
    <row r="3849" spans="2:16" ht="17.25" thickBot="1" x14ac:dyDescent="0.35">
      <c r="F3849" s="402" t="s">
        <v>19</v>
      </c>
      <c r="G3849" s="403"/>
      <c r="H3849" s="403"/>
      <c r="I3849" s="404"/>
      <c r="K3849" s="224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127"/>
      <c r="H3850" s="128"/>
      <c r="I3850" s="106"/>
      <c r="K3850" s="225"/>
    </row>
    <row r="3851" spans="2:16" ht="15" customHeight="1" thickBot="1" x14ac:dyDescent="0.35"/>
    <row r="3852" spans="2:16" ht="17.25" thickBot="1" x14ac:dyDescent="0.35">
      <c r="F3852" s="402" t="s">
        <v>20</v>
      </c>
      <c r="G3852" s="403"/>
      <c r="H3852" s="403"/>
      <c r="I3852" s="404"/>
      <c r="K3852" s="224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402" t="s">
        <v>21</v>
      </c>
      <c r="G3854" s="403"/>
      <c r="H3854" s="403"/>
      <c r="I3854" s="404"/>
      <c r="K3854" s="224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402" t="s">
        <v>22</v>
      </c>
      <c r="G3856" s="403"/>
      <c r="H3856" s="403"/>
      <c r="I3856" s="404"/>
      <c r="K3856" s="224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127"/>
      <c r="H3857" s="128"/>
      <c r="I3857" s="106"/>
      <c r="K3857" s="226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127"/>
      <c r="H3858" s="128"/>
      <c r="I3858" s="106"/>
      <c r="K3858" s="227"/>
      <c r="L3858" s="129"/>
      <c r="M3858" s="132"/>
      <c r="N3858" s="133"/>
    </row>
    <row r="3859" spans="1:16" ht="17.25" thickBot="1" x14ac:dyDescent="0.35">
      <c r="B3859" s="405"/>
      <c r="C3859" s="405"/>
      <c r="D3859" s="405"/>
    </row>
    <row r="3860" spans="1:16" x14ac:dyDescent="0.3">
      <c r="B3860" s="406" t="s">
        <v>23</v>
      </c>
      <c r="C3860" s="406"/>
      <c r="D3860" s="406"/>
    </row>
    <row r="3861" spans="1:16" x14ac:dyDescent="0.3">
      <c r="B3861" s="155"/>
      <c r="C3861" s="155"/>
      <c r="D3861" s="155"/>
    </row>
    <row r="3862" spans="1:16" x14ac:dyDescent="0.3">
      <c r="B3862" s="155"/>
      <c r="C3862" s="155"/>
      <c r="D3862" s="155"/>
    </row>
    <row r="3863" spans="1:16" x14ac:dyDescent="0.3">
      <c r="B3863" s="103" t="s">
        <v>43</v>
      </c>
      <c r="C3863" s="104"/>
      <c r="D3863" s="422" t="s">
        <v>1</v>
      </c>
      <c r="E3863" s="422"/>
      <c r="F3863" s="422"/>
      <c r="G3863" s="422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09">
        <f>CATALOGO!B113</f>
        <v>611.01</v>
      </c>
      <c r="C3864" s="71"/>
      <c r="D3864" s="436" t="str">
        <f>CATALOGO!C113</f>
        <v>PINTURA DE MUROS</v>
      </c>
      <c r="E3864" s="436"/>
      <c r="F3864" s="436"/>
      <c r="G3864" s="436"/>
      <c r="H3864" s="71"/>
      <c r="I3864" s="209">
        <f>CATALOGO!D113</f>
        <v>130</v>
      </c>
      <c r="J3864" s="107"/>
      <c r="K3864" s="222" t="str">
        <f>CATALOGO!G113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413" t="s">
        <v>5</v>
      </c>
      <c r="D3866" s="413"/>
      <c r="E3866" s="413"/>
      <c r="F3866" s="413"/>
      <c r="G3866" s="414"/>
    </row>
    <row r="3867" spans="1:16" x14ac:dyDescent="0.25">
      <c r="B3867" s="109" t="s">
        <v>6</v>
      </c>
      <c r="C3867" s="424" t="s">
        <v>1</v>
      </c>
      <c r="D3867" s="425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3" t="s">
        <v>8</v>
      </c>
      <c r="L3867" s="113" t="s">
        <v>193</v>
      </c>
      <c r="O3867" s="438"/>
      <c r="P3867" s="438"/>
    </row>
    <row r="3868" spans="1:16" ht="17.25" customHeight="1" x14ac:dyDescent="0.25">
      <c r="B3868" s="120">
        <v>1</v>
      </c>
      <c r="C3868" s="428" t="s">
        <v>77</v>
      </c>
      <c r="D3868" s="429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108">E3868*I3868</f>
        <v>130</v>
      </c>
      <c r="O3868" s="44"/>
      <c r="P3868" s="45"/>
    </row>
    <row r="3869" spans="1:16" x14ac:dyDescent="0.3">
      <c r="B3869" s="120">
        <v>2</v>
      </c>
      <c r="C3869" s="428" t="s">
        <v>78</v>
      </c>
      <c r="D3869" s="429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109">+F3869*I3869</f>
        <v>1</v>
      </c>
      <c r="L3869" s="116">
        <f t="shared" si="108"/>
        <v>130</v>
      </c>
      <c r="P3869" s="45"/>
    </row>
    <row r="3870" spans="1:16" x14ac:dyDescent="0.3">
      <c r="B3870" s="120">
        <v>3</v>
      </c>
      <c r="C3870" s="428" t="s">
        <v>219</v>
      </c>
      <c r="D3870" s="429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109"/>
        <v>15</v>
      </c>
      <c r="L3870" s="116">
        <f t="shared" si="108"/>
        <v>1950</v>
      </c>
      <c r="O3870" s="48"/>
      <c r="P3870" s="49"/>
    </row>
    <row r="3871" spans="1:16" x14ac:dyDescent="0.3">
      <c r="B3871" s="120">
        <v>4</v>
      </c>
      <c r="C3871" s="428" t="s">
        <v>220</v>
      </c>
      <c r="D3871" s="429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109"/>
        <v>1</v>
      </c>
      <c r="L3871" s="116">
        <f t="shared" si="108"/>
        <v>130</v>
      </c>
      <c r="O3871" s="48"/>
      <c r="P3871" s="49"/>
    </row>
    <row r="3872" spans="1:16" x14ac:dyDescent="0.3">
      <c r="B3872" s="120">
        <v>5</v>
      </c>
      <c r="C3872" s="428" t="s">
        <v>183</v>
      </c>
      <c r="D3872" s="429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109"/>
        <v>2</v>
      </c>
      <c r="L3872" s="116">
        <f t="shared" si="108"/>
        <v>260</v>
      </c>
      <c r="O3872" s="48"/>
      <c r="P3872" s="49"/>
    </row>
    <row r="3873" spans="2:16" x14ac:dyDescent="0.3">
      <c r="B3873" s="120">
        <v>6</v>
      </c>
      <c r="C3873" s="429" t="s">
        <v>79</v>
      </c>
      <c r="D3873" s="409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109"/>
        <v>4</v>
      </c>
      <c r="L3873" s="116">
        <f t="shared" si="108"/>
        <v>520</v>
      </c>
      <c r="O3873" s="48"/>
      <c r="P3873" s="49"/>
    </row>
    <row r="3874" spans="2:16" x14ac:dyDescent="0.3">
      <c r="B3874" s="120">
        <v>7</v>
      </c>
      <c r="C3874" s="429" t="s">
        <v>222</v>
      </c>
      <c r="D3874" s="409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109"/>
        <v>1</v>
      </c>
      <c r="L3874" s="116">
        <f t="shared" si="108"/>
        <v>130</v>
      </c>
      <c r="O3874" s="48"/>
      <c r="P3874" s="49"/>
    </row>
    <row r="3875" spans="2:16" x14ac:dyDescent="0.3">
      <c r="B3875" s="120"/>
      <c r="C3875" s="428"/>
      <c r="D3875" s="429"/>
      <c r="E3875" s="114"/>
      <c r="F3875" s="83"/>
      <c r="G3875" s="74"/>
      <c r="I3875" s="115">
        <f>IF(C3875=0,0,VLOOKUP(C3875,Tabla1[],3,FALSE))</f>
        <v>0</v>
      </c>
      <c r="K3875" s="84">
        <f t="shared" si="109"/>
        <v>0</v>
      </c>
      <c r="L3875" s="116">
        <f t="shared" si="108"/>
        <v>0</v>
      </c>
      <c r="O3875" s="48"/>
      <c r="P3875" s="49"/>
    </row>
    <row r="3876" spans="2:16" x14ac:dyDescent="0.3">
      <c r="B3876" s="120"/>
      <c r="C3876" s="428"/>
      <c r="D3876" s="429"/>
      <c r="E3876" s="114"/>
      <c r="F3876" s="83"/>
      <c r="G3876" s="74"/>
      <c r="I3876" s="115">
        <f>IF(C3876=0,0,VLOOKUP(C3876,Tabla1[],3,FALSE))</f>
        <v>0</v>
      </c>
      <c r="K3876" s="84">
        <f t="shared" si="109"/>
        <v>0</v>
      </c>
      <c r="L3876" s="116">
        <f t="shared" si="108"/>
        <v>0</v>
      </c>
      <c r="O3876" s="48"/>
      <c r="P3876" s="49"/>
    </row>
    <row r="3877" spans="2:16" x14ac:dyDescent="0.3">
      <c r="B3877" s="120"/>
      <c r="C3877" s="430"/>
      <c r="D3877" s="429"/>
      <c r="E3877" s="114"/>
      <c r="F3877" s="83"/>
      <c r="G3877" s="74"/>
      <c r="I3877" s="115">
        <f>IF(C3877=0,0,VLOOKUP(C3877,Tabla1[],3,FALSE))</f>
        <v>0</v>
      </c>
      <c r="K3877" s="84">
        <f t="shared" si="109"/>
        <v>0</v>
      </c>
      <c r="L3877" s="116">
        <f t="shared" si="108"/>
        <v>0</v>
      </c>
      <c r="O3877" s="48"/>
      <c r="P3877" s="43"/>
    </row>
    <row r="3878" spans="2:16" ht="17.25" thickBot="1" x14ac:dyDescent="0.35"/>
    <row r="3879" spans="2:16" ht="17.25" thickBot="1" x14ac:dyDescent="0.3">
      <c r="F3879" s="402" t="s">
        <v>9</v>
      </c>
      <c r="G3879" s="403"/>
      <c r="H3879" s="403"/>
      <c r="I3879" s="404"/>
      <c r="K3879" s="224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413" t="s">
        <v>11</v>
      </c>
      <c r="D3881" s="413"/>
      <c r="E3881" s="413"/>
      <c r="F3881" s="413"/>
      <c r="G3881" s="414"/>
    </row>
    <row r="3882" spans="2:16" x14ac:dyDescent="0.3">
      <c r="B3882" s="112" t="s">
        <v>6</v>
      </c>
      <c r="C3882" s="415" t="s">
        <v>1</v>
      </c>
      <c r="D3882" s="416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409"/>
      <c r="D3883" s="409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431"/>
      <c r="D3884" s="432"/>
      <c r="E3884" s="119"/>
      <c r="F3884" s="72"/>
      <c r="G3884" s="74"/>
      <c r="I3884" s="115">
        <f>IF(C3884=0,0,VLOOKUP(C3884,Tabla3[],3,FALSE))</f>
        <v>0</v>
      </c>
      <c r="K3884" s="84">
        <f>+F3884*I3884</f>
        <v>0</v>
      </c>
      <c r="L3884" s="116">
        <f>E3884*I3884</f>
        <v>0</v>
      </c>
    </row>
    <row r="3885" spans="2:16" x14ac:dyDescent="0.3">
      <c r="B3885" s="74"/>
      <c r="C3885" s="431"/>
      <c r="D3885" s="432"/>
      <c r="E3885" s="119"/>
      <c r="F3885" s="72"/>
      <c r="G3885" s="74"/>
      <c r="I3885" s="115">
        <f>IF(C3885=0,0,VLOOKUP(C3885,Tabla3[],3,FALSE))</f>
        <v>0</v>
      </c>
      <c r="K3885" s="84">
        <f>+F3885*I3885</f>
        <v>0</v>
      </c>
      <c r="L3885" s="116">
        <f>E3885*I3885</f>
        <v>0</v>
      </c>
    </row>
    <row r="3886" spans="2:16" x14ac:dyDescent="0.3">
      <c r="B3886" s="74"/>
      <c r="C3886" s="411"/>
      <c r="D3886" s="412"/>
      <c r="E3886" s="119"/>
      <c r="F3886" s="72"/>
      <c r="G3886" s="74"/>
      <c r="I3886" s="115">
        <f>IF(C3886=0,0,VLOOKUP(C3886,Tabla3[],3,FALSE))</f>
        <v>0</v>
      </c>
      <c r="K3886" s="84">
        <f>+F3886*I3886</f>
        <v>0</v>
      </c>
      <c r="L3886" s="116">
        <f>E3886*I3886</f>
        <v>0</v>
      </c>
    </row>
    <row r="3887" spans="2:16" ht="17.25" thickBot="1" x14ac:dyDescent="0.35"/>
    <row r="3888" spans="2:16" ht="17.25" thickBot="1" x14ac:dyDescent="0.35">
      <c r="F3888" s="402" t="s">
        <v>12</v>
      </c>
      <c r="G3888" s="403"/>
      <c r="H3888" s="403"/>
      <c r="I3888" s="404"/>
      <c r="K3888" s="224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413" t="s">
        <v>14</v>
      </c>
      <c r="D3890" s="413"/>
      <c r="E3890" s="413"/>
      <c r="F3890" s="413"/>
      <c r="G3890" s="414"/>
    </row>
    <row r="3891" spans="2:12" x14ac:dyDescent="0.3">
      <c r="B3891" s="112" t="s">
        <v>6</v>
      </c>
      <c r="C3891" s="415" t="s">
        <v>1</v>
      </c>
      <c r="D3891" s="416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409" t="s">
        <v>186</v>
      </c>
      <c r="D3892" s="409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409"/>
      <c r="D3893" s="409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417"/>
      <c r="D3894" s="418"/>
      <c r="E3894" s="122"/>
      <c r="F3894" s="123"/>
      <c r="G3894" s="74"/>
      <c r="I3894" s="115">
        <f>IF(C3894=0,0,VLOOKUP(C3894,Tabla2[],3,FALSE))</f>
        <v>0</v>
      </c>
      <c r="K3894" s="84">
        <f>+F3894*I3894</f>
        <v>0</v>
      </c>
      <c r="L3894" s="116">
        <f>E3894*I3894</f>
        <v>0</v>
      </c>
    </row>
    <row r="3895" spans="2:12" ht="17.25" thickBot="1" x14ac:dyDescent="0.35">
      <c r="B3895" s="419" t="s">
        <v>15</v>
      </c>
      <c r="C3895" s="420"/>
      <c r="D3895" s="420"/>
      <c r="E3895" s="420"/>
      <c r="F3895" s="420"/>
      <c r="G3895" s="421"/>
      <c r="I3895" s="84">
        <v>0</v>
      </c>
      <c r="K3895" s="84">
        <v>0</v>
      </c>
      <c r="L3895" s="116">
        <f>E3895*I3895</f>
        <v>0</v>
      </c>
    </row>
    <row r="3896" spans="2:12" ht="17.25" thickBot="1" x14ac:dyDescent="0.35"/>
    <row r="3897" spans="2:12" ht="17.25" thickBot="1" x14ac:dyDescent="0.35">
      <c r="F3897" s="402" t="s">
        <v>16</v>
      </c>
      <c r="G3897" s="403"/>
      <c r="H3897" s="403"/>
      <c r="I3897" s="404"/>
      <c r="K3897" s="224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413" t="s">
        <v>18</v>
      </c>
      <c r="D3899" s="413"/>
      <c r="E3899" s="413"/>
      <c r="F3899" s="413"/>
      <c r="G3899" s="414"/>
    </row>
    <row r="3900" spans="2:12" x14ac:dyDescent="0.3">
      <c r="B3900" s="112" t="s">
        <v>6</v>
      </c>
      <c r="C3900" s="415" t="s">
        <v>1</v>
      </c>
      <c r="D3900" s="416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411"/>
      <c r="D3901" s="412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411"/>
      <c r="D3902" s="412"/>
      <c r="E3902" s="125"/>
      <c r="F3902" s="72"/>
      <c r="G3902" s="74"/>
      <c r="I3902" s="84">
        <v>0</v>
      </c>
      <c r="K3902" s="84">
        <f>+F3902*I3902</f>
        <v>0</v>
      </c>
      <c r="L3902" s="116">
        <f>E3902*I3902</f>
        <v>0</v>
      </c>
    </row>
    <row r="3903" spans="2:12" x14ac:dyDescent="0.3">
      <c r="B3903" s="74"/>
      <c r="C3903" s="411"/>
      <c r="D3903" s="412"/>
      <c r="E3903" s="125"/>
      <c r="F3903" s="72"/>
      <c r="G3903" s="74"/>
      <c r="I3903" s="84">
        <v>0</v>
      </c>
      <c r="K3903" s="84">
        <f>+F3903*I3903</f>
        <v>0</v>
      </c>
      <c r="L3903" s="116">
        <f>E3903*I3903</f>
        <v>0</v>
      </c>
    </row>
    <row r="3904" spans="2:12" ht="17.25" thickBot="1" x14ac:dyDescent="0.35">
      <c r="L3904" s="116"/>
    </row>
    <row r="3905" spans="1:16" ht="17.25" thickBot="1" x14ac:dyDescent="0.35">
      <c r="F3905" s="402" t="s">
        <v>19</v>
      </c>
      <c r="G3905" s="403"/>
      <c r="H3905" s="403"/>
      <c r="I3905" s="404"/>
      <c r="K3905" s="224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127"/>
      <c r="H3906" s="128"/>
      <c r="I3906" s="106"/>
      <c r="K3906" s="225"/>
    </row>
    <row r="3907" spans="1:16" ht="15" customHeight="1" thickBot="1" x14ac:dyDescent="0.35"/>
    <row r="3908" spans="1:16" ht="17.25" thickBot="1" x14ac:dyDescent="0.35">
      <c r="F3908" s="402" t="s">
        <v>20</v>
      </c>
      <c r="G3908" s="403"/>
      <c r="H3908" s="403"/>
      <c r="I3908" s="404"/>
      <c r="K3908" s="224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402" t="s">
        <v>21</v>
      </c>
      <c r="G3910" s="403"/>
      <c r="H3910" s="403"/>
      <c r="I3910" s="404"/>
      <c r="K3910" s="224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402" t="s">
        <v>22</v>
      </c>
      <c r="G3912" s="403"/>
      <c r="H3912" s="403"/>
      <c r="I3912" s="404"/>
      <c r="K3912" s="224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127"/>
      <c r="H3913" s="128"/>
      <c r="I3913" s="106"/>
      <c r="K3913" s="226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127"/>
      <c r="H3914" s="128"/>
      <c r="I3914" s="106"/>
      <c r="K3914" s="227"/>
      <c r="L3914" s="129"/>
      <c r="M3914" s="132"/>
      <c r="N3914" s="133"/>
    </row>
    <row r="3915" spans="1:16" ht="17.25" thickBot="1" x14ac:dyDescent="0.35">
      <c r="B3915" s="405"/>
      <c r="C3915" s="405"/>
      <c r="D3915" s="405"/>
    </row>
    <row r="3916" spans="1:16" x14ac:dyDescent="0.3">
      <c r="B3916" s="406" t="s">
        <v>23</v>
      </c>
      <c r="C3916" s="406"/>
      <c r="D3916" s="406"/>
    </row>
    <row r="3917" spans="1:16" x14ac:dyDescent="0.3">
      <c r="B3917" s="155"/>
      <c r="C3917" s="155"/>
      <c r="D3917" s="155"/>
    </row>
    <row r="3918" spans="1:16" x14ac:dyDescent="0.3">
      <c r="B3918" s="155"/>
      <c r="C3918" s="155"/>
      <c r="D3918" s="155"/>
    </row>
    <row r="3919" spans="1:16" x14ac:dyDescent="0.3">
      <c r="B3919" s="103" t="s">
        <v>43</v>
      </c>
      <c r="C3919" s="104"/>
      <c r="D3919" s="422" t="s">
        <v>1</v>
      </c>
      <c r="E3919" s="422"/>
      <c r="F3919" s="422"/>
      <c r="G3919" s="422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09">
        <f>CATALOGO!B115</f>
        <v>701.02</v>
      </c>
      <c r="C3920" s="71"/>
      <c r="D3920" s="436" t="str">
        <f>CATALOGO!C115</f>
        <v>PUERTA METAL + CHAPA (1 hoja)</v>
      </c>
      <c r="E3920" s="436"/>
      <c r="F3920" s="436"/>
      <c r="G3920" s="436"/>
      <c r="H3920" s="71"/>
      <c r="I3920" s="209">
        <f>CATALOGO!D115</f>
        <v>3</v>
      </c>
      <c r="J3920" s="107"/>
      <c r="K3920" s="222" t="str">
        <f>CATALOGO!G115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413" t="s">
        <v>5</v>
      </c>
      <c r="D3922" s="413"/>
      <c r="E3922" s="413"/>
      <c r="F3922" s="413"/>
      <c r="G3922" s="414"/>
    </row>
    <row r="3923" spans="2:16" x14ac:dyDescent="0.25">
      <c r="B3923" s="109" t="s">
        <v>6</v>
      </c>
      <c r="C3923" s="424" t="s">
        <v>1</v>
      </c>
      <c r="D3923" s="425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3" t="s">
        <v>8</v>
      </c>
      <c r="L3923" s="113" t="s">
        <v>193</v>
      </c>
      <c r="O3923" s="438"/>
      <c r="P3923" s="438"/>
    </row>
    <row r="3924" spans="2:16" ht="17.25" customHeight="1" x14ac:dyDescent="0.25">
      <c r="B3924" s="120"/>
      <c r="C3924" s="428"/>
      <c r="D3924" s="429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110">E3924*I3924</f>
        <v>0</v>
      </c>
      <c r="O3924" s="44"/>
      <c r="P3924" s="45"/>
    </row>
    <row r="3925" spans="2:16" x14ac:dyDescent="0.3">
      <c r="B3925" s="120"/>
      <c r="C3925" s="428"/>
      <c r="D3925" s="429"/>
      <c r="E3925" s="114"/>
      <c r="F3925" s="83"/>
      <c r="G3925" s="74"/>
      <c r="I3925" s="115">
        <f>IF(C3925=0,0,VLOOKUP(C3925,Tabla1[],3,FALSE))</f>
        <v>0</v>
      </c>
      <c r="K3925" s="84">
        <f t="shared" ref="K3925:K3933" si="111">+F3925*I3925</f>
        <v>0</v>
      </c>
      <c r="L3925" s="116">
        <f t="shared" si="110"/>
        <v>0</v>
      </c>
      <c r="P3925" s="45"/>
    </row>
    <row r="3926" spans="2:16" x14ac:dyDescent="0.3">
      <c r="B3926" s="120"/>
      <c r="C3926" s="428"/>
      <c r="D3926" s="429"/>
      <c r="E3926" s="114"/>
      <c r="F3926" s="83"/>
      <c r="G3926" s="74"/>
      <c r="I3926" s="115">
        <f>IF(C3926=0,0,VLOOKUP(C3926,Tabla1[],3,FALSE))</f>
        <v>0</v>
      </c>
      <c r="K3926" s="84">
        <f t="shared" si="111"/>
        <v>0</v>
      </c>
      <c r="L3926" s="116">
        <f t="shared" si="110"/>
        <v>0</v>
      </c>
      <c r="O3926" s="48"/>
      <c r="P3926" s="49"/>
    </row>
    <row r="3927" spans="2:16" x14ac:dyDescent="0.3">
      <c r="B3927" s="120"/>
      <c r="C3927" s="428"/>
      <c r="D3927" s="429"/>
      <c r="E3927" s="114"/>
      <c r="F3927" s="83"/>
      <c r="G3927" s="74"/>
      <c r="I3927" s="115">
        <f>IF(C3927=0,0,VLOOKUP(C3927,Tabla1[],3,FALSE))</f>
        <v>0</v>
      </c>
      <c r="K3927" s="84">
        <f t="shared" si="111"/>
        <v>0</v>
      </c>
      <c r="L3927" s="116">
        <f t="shared" si="110"/>
        <v>0</v>
      </c>
      <c r="O3927" s="48"/>
      <c r="P3927" s="49"/>
    </row>
    <row r="3928" spans="2:16" x14ac:dyDescent="0.3">
      <c r="B3928" s="120"/>
      <c r="C3928" s="428"/>
      <c r="D3928" s="429"/>
      <c r="E3928" s="114"/>
      <c r="F3928" s="83"/>
      <c r="G3928" s="74"/>
      <c r="I3928" s="115">
        <f>IF(C3928=0,0,VLOOKUP(C3928,Tabla1[],3,FALSE))</f>
        <v>0</v>
      </c>
      <c r="K3928" s="84">
        <f t="shared" si="111"/>
        <v>0</v>
      </c>
      <c r="L3928" s="116">
        <f t="shared" si="110"/>
        <v>0</v>
      </c>
      <c r="O3928" s="48"/>
      <c r="P3928" s="49"/>
    </row>
    <row r="3929" spans="2:16" x14ac:dyDescent="0.3">
      <c r="B3929" s="120"/>
      <c r="C3929" s="429"/>
      <c r="D3929" s="409"/>
      <c r="E3929" s="114"/>
      <c r="F3929" s="83"/>
      <c r="G3929" s="74"/>
      <c r="I3929" s="115">
        <f>IF(C3929=0,0,VLOOKUP(C3929,Tabla1[],3,FALSE))</f>
        <v>0</v>
      </c>
      <c r="K3929" s="84">
        <f t="shared" si="111"/>
        <v>0</v>
      </c>
      <c r="L3929" s="116">
        <f t="shared" si="110"/>
        <v>0</v>
      </c>
      <c r="O3929" s="48"/>
      <c r="P3929" s="49"/>
    </row>
    <row r="3930" spans="2:16" x14ac:dyDescent="0.3">
      <c r="B3930" s="120"/>
      <c r="C3930" s="429"/>
      <c r="D3930" s="409"/>
      <c r="E3930" s="114"/>
      <c r="F3930" s="83"/>
      <c r="G3930" s="74"/>
      <c r="I3930" s="115">
        <f>IF(C3930=0,0,VLOOKUP(C3930,Tabla1[],3,FALSE))</f>
        <v>0</v>
      </c>
      <c r="K3930" s="84">
        <f t="shared" si="111"/>
        <v>0</v>
      </c>
      <c r="L3930" s="116">
        <f t="shared" si="110"/>
        <v>0</v>
      </c>
      <c r="O3930" s="48"/>
      <c r="P3930" s="49"/>
    </row>
    <row r="3931" spans="2:16" x14ac:dyDescent="0.3">
      <c r="B3931" s="120"/>
      <c r="C3931" s="428"/>
      <c r="D3931" s="429"/>
      <c r="E3931" s="114"/>
      <c r="F3931" s="83"/>
      <c r="G3931" s="74"/>
      <c r="I3931" s="115">
        <f>IF(C3931=0,0,VLOOKUP(C3931,Tabla1[],3,FALSE))</f>
        <v>0</v>
      </c>
      <c r="K3931" s="84">
        <f t="shared" si="111"/>
        <v>0</v>
      </c>
      <c r="L3931" s="116">
        <f t="shared" si="110"/>
        <v>0</v>
      </c>
      <c r="O3931" s="48"/>
      <c r="P3931" s="49"/>
    </row>
    <row r="3932" spans="2:16" x14ac:dyDescent="0.3">
      <c r="B3932" s="120"/>
      <c r="C3932" s="428"/>
      <c r="D3932" s="429"/>
      <c r="E3932" s="114"/>
      <c r="F3932" s="83"/>
      <c r="G3932" s="74"/>
      <c r="I3932" s="115">
        <f>IF(C3932=0,0,VLOOKUP(C3932,Tabla1[],3,FALSE))</f>
        <v>0</v>
      </c>
      <c r="K3932" s="84">
        <f t="shared" si="111"/>
        <v>0</v>
      </c>
      <c r="L3932" s="116">
        <f t="shared" si="110"/>
        <v>0</v>
      </c>
      <c r="O3932" s="48"/>
      <c r="P3932" s="49"/>
    </row>
    <row r="3933" spans="2:16" x14ac:dyDescent="0.3">
      <c r="B3933" s="120"/>
      <c r="C3933" s="430"/>
      <c r="D3933" s="429"/>
      <c r="E3933" s="114"/>
      <c r="F3933" s="83"/>
      <c r="G3933" s="74"/>
      <c r="I3933" s="115">
        <f>IF(C3933=0,0,VLOOKUP(C3933,Tabla1[],3,FALSE))</f>
        <v>0</v>
      </c>
      <c r="K3933" s="84">
        <f t="shared" si="111"/>
        <v>0</v>
      </c>
      <c r="L3933" s="116">
        <f t="shared" si="110"/>
        <v>0</v>
      </c>
      <c r="O3933" s="48"/>
      <c r="P3933" s="43"/>
    </row>
    <row r="3934" spans="2:16" ht="17.25" thickBot="1" x14ac:dyDescent="0.35"/>
    <row r="3935" spans="2:16" ht="17.25" thickBot="1" x14ac:dyDescent="0.3">
      <c r="F3935" s="402" t="s">
        <v>9</v>
      </c>
      <c r="G3935" s="403"/>
      <c r="H3935" s="403"/>
      <c r="I3935" s="404"/>
      <c r="K3935" s="224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413" t="s">
        <v>11</v>
      </c>
      <c r="D3937" s="413"/>
      <c r="E3937" s="413"/>
      <c r="F3937" s="413"/>
      <c r="G3937" s="414"/>
    </row>
    <row r="3938" spans="2:12" x14ac:dyDescent="0.3">
      <c r="B3938" s="112" t="s">
        <v>6</v>
      </c>
      <c r="C3938" s="415" t="s">
        <v>1</v>
      </c>
      <c r="D3938" s="416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409"/>
      <c r="D3939" s="409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431"/>
      <c r="D3940" s="432"/>
      <c r="E3940" s="119"/>
      <c r="F3940" s="72"/>
      <c r="G3940" s="74"/>
      <c r="I3940" s="115">
        <f>IF(C3940=0,0,VLOOKUP(C3940,Tabla3[],3,FALSE))</f>
        <v>0</v>
      </c>
      <c r="K3940" s="84">
        <f>+F3940*I3940</f>
        <v>0</v>
      </c>
      <c r="L3940" s="116">
        <f>E3940*I3940</f>
        <v>0</v>
      </c>
    </row>
    <row r="3941" spans="2:12" x14ac:dyDescent="0.3">
      <c r="B3941" s="74"/>
      <c r="C3941" s="431"/>
      <c r="D3941" s="432"/>
      <c r="E3941" s="119"/>
      <c r="F3941" s="72"/>
      <c r="G3941" s="74"/>
      <c r="I3941" s="115">
        <f>IF(C3941=0,0,VLOOKUP(C3941,Tabla3[],3,FALSE))</f>
        <v>0</v>
      </c>
      <c r="K3941" s="84">
        <f>+F3941*I3941</f>
        <v>0</v>
      </c>
      <c r="L3941" s="116">
        <f>E3941*I3941</f>
        <v>0</v>
      </c>
    </row>
    <row r="3942" spans="2:12" x14ac:dyDescent="0.3">
      <c r="B3942" s="74"/>
      <c r="C3942" s="411"/>
      <c r="D3942" s="412"/>
      <c r="E3942" s="119"/>
      <c r="F3942" s="72"/>
      <c r="G3942" s="74"/>
      <c r="I3942" s="115">
        <f>IF(C3942=0,0,VLOOKUP(C3942,Tabla3[],3,FALSE))</f>
        <v>0</v>
      </c>
      <c r="K3942" s="84">
        <f>+F3942*I3942</f>
        <v>0</v>
      </c>
      <c r="L3942" s="116">
        <f>E3942*I3942</f>
        <v>0</v>
      </c>
    </row>
    <row r="3943" spans="2:12" ht="17.25" thickBot="1" x14ac:dyDescent="0.35"/>
    <row r="3944" spans="2:12" ht="17.25" thickBot="1" x14ac:dyDescent="0.35">
      <c r="F3944" s="402" t="s">
        <v>12</v>
      </c>
      <c r="G3944" s="403"/>
      <c r="H3944" s="403"/>
      <c r="I3944" s="404"/>
      <c r="K3944" s="224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413" t="s">
        <v>14</v>
      </c>
      <c r="D3946" s="413"/>
      <c r="E3946" s="413"/>
      <c r="F3946" s="413"/>
      <c r="G3946" s="414"/>
    </row>
    <row r="3947" spans="2:12" x14ac:dyDescent="0.3">
      <c r="B3947" s="112" t="s">
        <v>6</v>
      </c>
      <c r="C3947" s="415" t="s">
        <v>1</v>
      </c>
      <c r="D3947" s="416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434" t="s">
        <v>223</v>
      </c>
      <c r="D3948" s="434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409"/>
      <c r="D3949" s="409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417"/>
      <c r="D3950" s="418"/>
      <c r="E3950" s="122"/>
      <c r="F3950" s="123"/>
      <c r="G3950" s="74"/>
      <c r="I3950" s="115">
        <f>IF(C3950=0,0,VLOOKUP(C3950,Tabla2[],3,FALSE))</f>
        <v>0</v>
      </c>
      <c r="K3950" s="84">
        <f>+F3950*I3950</f>
        <v>0</v>
      </c>
      <c r="L3950" s="116">
        <f>E3950*I3950</f>
        <v>0</v>
      </c>
    </row>
    <row r="3951" spans="2:12" ht="17.25" thickBot="1" x14ac:dyDescent="0.35">
      <c r="B3951" s="419" t="s">
        <v>15</v>
      </c>
      <c r="C3951" s="420"/>
      <c r="D3951" s="420"/>
      <c r="E3951" s="420"/>
      <c r="F3951" s="420"/>
      <c r="G3951" s="421"/>
      <c r="I3951" s="84">
        <v>0</v>
      </c>
      <c r="K3951" s="84">
        <v>0</v>
      </c>
      <c r="L3951" s="116">
        <f>E3951*I3951</f>
        <v>0</v>
      </c>
    </row>
    <row r="3952" spans="2:12" ht="17.25" thickBot="1" x14ac:dyDescent="0.35"/>
    <row r="3953" spans="2:16" ht="17.25" thickBot="1" x14ac:dyDescent="0.35">
      <c r="F3953" s="402" t="s">
        <v>16</v>
      </c>
      <c r="G3953" s="403"/>
      <c r="H3953" s="403"/>
      <c r="I3953" s="404"/>
      <c r="K3953" s="224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413" t="s">
        <v>18</v>
      </c>
      <c r="D3955" s="413"/>
      <c r="E3955" s="413"/>
      <c r="F3955" s="413"/>
      <c r="G3955" s="414"/>
    </row>
    <row r="3956" spans="2:16" x14ac:dyDescent="0.3">
      <c r="B3956" s="112" t="s">
        <v>6</v>
      </c>
      <c r="C3956" s="415" t="s">
        <v>1</v>
      </c>
      <c r="D3956" s="416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411"/>
      <c r="D3957" s="412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411"/>
      <c r="D3958" s="412"/>
      <c r="E3958" s="125"/>
      <c r="F3958" s="72"/>
      <c r="G3958" s="74"/>
      <c r="I3958" s="84">
        <v>0</v>
      </c>
      <c r="K3958" s="84">
        <f>+F3958*I3958</f>
        <v>0</v>
      </c>
      <c r="L3958" s="116">
        <f>E3958*I3958</f>
        <v>0</v>
      </c>
    </row>
    <row r="3959" spans="2:16" x14ac:dyDescent="0.3">
      <c r="B3959" s="74"/>
      <c r="C3959" s="411"/>
      <c r="D3959" s="412"/>
      <c r="E3959" s="125"/>
      <c r="F3959" s="72"/>
      <c r="G3959" s="74"/>
      <c r="I3959" s="84">
        <v>0</v>
      </c>
      <c r="K3959" s="84">
        <f>+F3959*I3959</f>
        <v>0</v>
      </c>
      <c r="L3959" s="116">
        <f>E3959*I3959</f>
        <v>0</v>
      </c>
    </row>
    <row r="3960" spans="2:16" ht="17.25" thickBot="1" x14ac:dyDescent="0.35">
      <c r="L3960" s="116"/>
    </row>
    <row r="3961" spans="2:16" ht="17.25" thickBot="1" x14ac:dyDescent="0.35">
      <c r="F3961" s="402" t="s">
        <v>19</v>
      </c>
      <c r="G3961" s="403"/>
      <c r="H3961" s="403"/>
      <c r="I3961" s="404"/>
      <c r="K3961" s="224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127"/>
      <c r="H3962" s="128"/>
      <c r="I3962" s="106"/>
      <c r="K3962" s="225"/>
    </row>
    <row r="3963" spans="2:16" ht="15" customHeight="1" thickBot="1" x14ac:dyDescent="0.35"/>
    <row r="3964" spans="2:16" ht="17.25" thickBot="1" x14ac:dyDescent="0.35">
      <c r="F3964" s="402" t="s">
        <v>20</v>
      </c>
      <c r="G3964" s="403"/>
      <c r="H3964" s="403"/>
      <c r="I3964" s="404"/>
      <c r="K3964" s="224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402" t="s">
        <v>21</v>
      </c>
      <c r="G3966" s="403"/>
      <c r="H3966" s="403"/>
      <c r="I3966" s="404"/>
      <c r="K3966" s="224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402" t="s">
        <v>22</v>
      </c>
      <c r="G3968" s="403"/>
      <c r="H3968" s="403"/>
      <c r="I3968" s="404"/>
      <c r="K3968" s="224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127"/>
      <c r="H3969" s="128"/>
      <c r="I3969" s="106"/>
      <c r="K3969" s="226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127"/>
      <c r="H3970" s="128"/>
      <c r="I3970" s="106"/>
      <c r="K3970" s="227"/>
      <c r="L3970" s="129"/>
      <c r="M3970" s="132"/>
      <c r="N3970" s="133"/>
    </row>
    <row r="3971" spans="1:16" ht="17.25" thickBot="1" x14ac:dyDescent="0.35">
      <c r="B3971" s="405"/>
      <c r="C3971" s="405"/>
      <c r="D3971" s="405"/>
    </row>
    <row r="3972" spans="1:16" x14ac:dyDescent="0.3">
      <c r="B3972" s="406" t="s">
        <v>23</v>
      </c>
      <c r="C3972" s="406"/>
      <c r="D3972" s="406"/>
    </row>
    <row r="3973" spans="1:16" x14ac:dyDescent="0.3">
      <c r="B3973" s="155"/>
      <c r="C3973" s="155"/>
      <c r="D3973" s="155"/>
    </row>
    <row r="3974" spans="1:16" x14ac:dyDescent="0.3">
      <c r="B3974" s="155"/>
      <c r="C3974" s="155"/>
      <c r="D3974" s="155"/>
    </row>
    <row r="3975" spans="1:16" x14ac:dyDescent="0.3">
      <c r="B3975" s="103" t="s">
        <v>43</v>
      </c>
      <c r="C3975" s="104"/>
      <c r="D3975" s="422" t="s">
        <v>1</v>
      </c>
      <c r="E3975" s="422"/>
      <c r="F3975" s="422"/>
      <c r="G3975" s="422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09">
        <f>CATALOGO!B117</f>
        <v>806.06</v>
      </c>
      <c r="C3976" s="71"/>
      <c r="D3976" s="436" t="str">
        <f>CATALOGO!C117</f>
        <v>REMOZAMIENTO DE VENTANA DE METAL + VIDRIOS</v>
      </c>
      <c r="E3976" s="436"/>
      <c r="F3976" s="436"/>
      <c r="G3976" s="436"/>
      <c r="H3976" s="71"/>
      <c r="I3976" s="209">
        <f>CATALOGO!D117</f>
        <v>10</v>
      </c>
      <c r="J3976" s="107"/>
      <c r="K3976" s="222" t="str">
        <f>CATALOGO!G117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413" t="s">
        <v>5</v>
      </c>
      <c r="D3978" s="413"/>
      <c r="E3978" s="413"/>
      <c r="F3978" s="413"/>
      <c r="G3978" s="414"/>
    </row>
    <row r="3979" spans="1:16" x14ac:dyDescent="0.25">
      <c r="B3979" s="109" t="s">
        <v>6</v>
      </c>
      <c r="C3979" s="424" t="s">
        <v>1</v>
      </c>
      <c r="D3979" s="425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3" t="s">
        <v>8</v>
      </c>
      <c r="L3979" s="113" t="s">
        <v>193</v>
      </c>
      <c r="O3979" s="438"/>
      <c r="P3979" s="438"/>
    </row>
    <row r="3980" spans="1:16" ht="17.25" customHeight="1" x14ac:dyDescent="0.25">
      <c r="B3980" s="120"/>
      <c r="C3980" s="428"/>
      <c r="D3980" s="429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112">E3980*I3980</f>
        <v>0</v>
      </c>
      <c r="O3980" s="44"/>
      <c r="P3980" s="45"/>
    </row>
    <row r="3981" spans="1:16" x14ac:dyDescent="0.3">
      <c r="B3981" s="120"/>
      <c r="C3981" s="428"/>
      <c r="D3981" s="429"/>
      <c r="E3981" s="114"/>
      <c r="F3981" s="83"/>
      <c r="G3981" s="74"/>
      <c r="I3981" s="115">
        <f>IF(C3981=0,0,VLOOKUP(C3981,Tabla1[],3,FALSE))</f>
        <v>0</v>
      </c>
      <c r="K3981" s="84">
        <f t="shared" ref="K3981:K3989" si="113">+F3981*I3981</f>
        <v>0</v>
      </c>
      <c r="L3981" s="116">
        <f t="shared" si="112"/>
        <v>0</v>
      </c>
      <c r="P3981" s="45"/>
    </row>
    <row r="3982" spans="1:16" x14ac:dyDescent="0.3">
      <c r="B3982" s="120"/>
      <c r="C3982" s="428"/>
      <c r="D3982" s="429"/>
      <c r="E3982" s="114"/>
      <c r="F3982" s="83"/>
      <c r="G3982" s="74"/>
      <c r="I3982" s="115">
        <f>IF(C3982=0,0,VLOOKUP(C3982,Tabla1[],3,FALSE))</f>
        <v>0</v>
      </c>
      <c r="K3982" s="84">
        <f t="shared" si="113"/>
        <v>0</v>
      </c>
      <c r="L3982" s="116">
        <f t="shared" si="112"/>
        <v>0</v>
      </c>
      <c r="O3982" s="48"/>
      <c r="P3982" s="49"/>
    </row>
    <row r="3983" spans="1:16" x14ac:dyDescent="0.3">
      <c r="B3983" s="120"/>
      <c r="C3983" s="428"/>
      <c r="D3983" s="429"/>
      <c r="E3983" s="114"/>
      <c r="F3983" s="83"/>
      <c r="G3983" s="74"/>
      <c r="I3983" s="115">
        <f>IF(C3983=0,0,VLOOKUP(C3983,Tabla1[],3,FALSE))</f>
        <v>0</v>
      </c>
      <c r="K3983" s="84">
        <f t="shared" si="113"/>
        <v>0</v>
      </c>
      <c r="L3983" s="116">
        <f t="shared" si="112"/>
        <v>0</v>
      </c>
      <c r="O3983" s="48"/>
      <c r="P3983" s="49"/>
    </row>
    <row r="3984" spans="1:16" x14ac:dyDescent="0.3">
      <c r="B3984" s="120"/>
      <c r="C3984" s="428"/>
      <c r="D3984" s="429"/>
      <c r="E3984" s="114"/>
      <c r="F3984" s="83"/>
      <c r="G3984" s="74"/>
      <c r="I3984" s="115">
        <f>IF(C3984=0,0,VLOOKUP(C3984,Tabla1[],3,FALSE))</f>
        <v>0</v>
      </c>
      <c r="K3984" s="84">
        <f t="shared" si="113"/>
        <v>0</v>
      </c>
      <c r="L3984" s="116">
        <f t="shared" si="112"/>
        <v>0</v>
      </c>
      <c r="O3984" s="48"/>
      <c r="P3984" s="49"/>
    </row>
    <row r="3985" spans="2:16" x14ac:dyDescent="0.3">
      <c r="B3985" s="120"/>
      <c r="C3985" s="429"/>
      <c r="D3985" s="409"/>
      <c r="E3985" s="114"/>
      <c r="F3985" s="83"/>
      <c r="G3985" s="74"/>
      <c r="I3985" s="115">
        <f>IF(C3985=0,0,VLOOKUP(C3985,Tabla1[],3,FALSE))</f>
        <v>0</v>
      </c>
      <c r="K3985" s="84">
        <f t="shared" si="113"/>
        <v>0</v>
      </c>
      <c r="L3985" s="116">
        <f t="shared" si="112"/>
        <v>0</v>
      </c>
      <c r="O3985" s="48"/>
      <c r="P3985" s="49"/>
    </row>
    <row r="3986" spans="2:16" x14ac:dyDescent="0.3">
      <c r="B3986" s="120"/>
      <c r="C3986" s="429"/>
      <c r="D3986" s="409"/>
      <c r="E3986" s="114"/>
      <c r="F3986" s="83"/>
      <c r="G3986" s="74"/>
      <c r="I3986" s="115">
        <f>IF(C3986=0,0,VLOOKUP(C3986,Tabla1[],3,FALSE))</f>
        <v>0</v>
      </c>
      <c r="K3986" s="84">
        <f t="shared" si="113"/>
        <v>0</v>
      </c>
      <c r="L3986" s="116">
        <f t="shared" si="112"/>
        <v>0</v>
      </c>
      <c r="O3986" s="48"/>
      <c r="P3986" s="49"/>
    </row>
    <row r="3987" spans="2:16" x14ac:dyDescent="0.3">
      <c r="B3987" s="120"/>
      <c r="C3987" s="428"/>
      <c r="D3987" s="429"/>
      <c r="E3987" s="114"/>
      <c r="F3987" s="83"/>
      <c r="G3987" s="74"/>
      <c r="I3987" s="115">
        <f>IF(C3987=0,0,VLOOKUP(C3987,Tabla1[],3,FALSE))</f>
        <v>0</v>
      </c>
      <c r="K3987" s="84">
        <f t="shared" si="113"/>
        <v>0</v>
      </c>
      <c r="L3987" s="116">
        <f t="shared" si="112"/>
        <v>0</v>
      </c>
      <c r="O3987" s="48"/>
      <c r="P3987" s="49"/>
    </row>
    <row r="3988" spans="2:16" x14ac:dyDescent="0.3">
      <c r="B3988" s="120"/>
      <c r="C3988" s="428"/>
      <c r="D3988" s="429"/>
      <c r="E3988" s="114"/>
      <c r="F3988" s="83"/>
      <c r="G3988" s="74"/>
      <c r="I3988" s="115">
        <f>IF(C3988=0,0,VLOOKUP(C3988,Tabla1[],3,FALSE))</f>
        <v>0</v>
      </c>
      <c r="K3988" s="84">
        <f t="shared" si="113"/>
        <v>0</v>
      </c>
      <c r="L3988" s="116">
        <f t="shared" si="112"/>
        <v>0</v>
      </c>
      <c r="O3988" s="48"/>
      <c r="P3988" s="49"/>
    </row>
    <row r="3989" spans="2:16" x14ac:dyDescent="0.3">
      <c r="B3989" s="120"/>
      <c r="C3989" s="430"/>
      <c r="D3989" s="429"/>
      <c r="E3989" s="114"/>
      <c r="F3989" s="83"/>
      <c r="G3989" s="74"/>
      <c r="I3989" s="115">
        <f>IF(C3989=0,0,VLOOKUP(C3989,Tabla1[],3,FALSE))</f>
        <v>0</v>
      </c>
      <c r="K3989" s="84">
        <f t="shared" si="113"/>
        <v>0</v>
      </c>
      <c r="L3989" s="116">
        <f t="shared" si="112"/>
        <v>0</v>
      </c>
      <c r="O3989" s="48"/>
      <c r="P3989" s="43"/>
    </row>
    <row r="3990" spans="2:16" ht="17.25" thickBot="1" x14ac:dyDescent="0.35"/>
    <row r="3991" spans="2:16" ht="17.25" thickBot="1" x14ac:dyDescent="0.3">
      <c r="F3991" s="402" t="s">
        <v>9</v>
      </c>
      <c r="G3991" s="403"/>
      <c r="H3991" s="403"/>
      <c r="I3991" s="404"/>
      <c r="K3991" s="224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413" t="s">
        <v>11</v>
      </c>
      <c r="D3993" s="413"/>
      <c r="E3993" s="413"/>
      <c r="F3993" s="413"/>
      <c r="G3993" s="414"/>
    </row>
    <row r="3994" spans="2:16" x14ac:dyDescent="0.3">
      <c r="B3994" s="112" t="s">
        <v>6</v>
      </c>
      <c r="C3994" s="415" t="s">
        <v>1</v>
      </c>
      <c r="D3994" s="416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409"/>
      <c r="D3995" s="409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431"/>
      <c r="D3996" s="432"/>
      <c r="E3996" s="119"/>
      <c r="F3996" s="72"/>
      <c r="G3996" s="74"/>
      <c r="I3996" s="115">
        <f>IF(C3996=0,0,VLOOKUP(C3996,Tabla3[],3,FALSE))</f>
        <v>0</v>
      </c>
      <c r="K3996" s="84">
        <f>+F3996*I3996</f>
        <v>0</v>
      </c>
      <c r="L3996" s="116">
        <f>E3996*I3996</f>
        <v>0</v>
      </c>
    </row>
    <row r="3997" spans="2:16" x14ac:dyDescent="0.3">
      <c r="B3997" s="74"/>
      <c r="C3997" s="431"/>
      <c r="D3997" s="432"/>
      <c r="E3997" s="119"/>
      <c r="F3997" s="72"/>
      <c r="G3997" s="74"/>
      <c r="I3997" s="115">
        <f>IF(C3997=0,0,VLOOKUP(C3997,Tabla3[],3,FALSE))</f>
        <v>0</v>
      </c>
      <c r="K3997" s="84">
        <f>+F3997*I3997</f>
        <v>0</v>
      </c>
      <c r="L3997" s="116">
        <f>E3997*I3997</f>
        <v>0</v>
      </c>
    </row>
    <row r="3998" spans="2:16" x14ac:dyDescent="0.3">
      <c r="B3998" s="74"/>
      <c r="C3998" s="411"/>
      <c r="D3998" s="412"/>
      <c r="E3998" s="119"/>
      <c r="F3998" s="72"/>
      <c r="G3998" s="74"/>
      <c r="I3998" s="115">
        <f>IF(C3998=0,0,VLOOKUP(C3998,Tabla3[],3,FALSE))</f>
        <v>0</v>
      </c>
      <c r="K3998" s="84">
        <f>+F3998*I3998</f>
        <v>0</v>
      </c>
      <c r="L3998" s="116">
        <f>E3998*I3998</f>
        <v>0</v>
      </c>
    </row>
    <row r="3999" spans="2:16" ht="17.25" thickBot="1" x14ac:dyDescent="0.35"/>
    <row r="4000" spans="2:16" ht="17.25" thickBot="1" x14ac:dyDescent="0.35">
      <c r="F4000" s="402" t="s">
        <v>12</v>
      </c>
      <c r="G4000" s="403"/>
      <c r="H4000" s="403"/>
      <c r="I4000" s="404"/>
      <c r="K4000" s="224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413" t="s">
        <v>14</v>
      </c>
      <c r="D4002" s="413"/>
      <c r="E4002" s="413"/>
      <c r="F4002" s="413"/>
      <c r="G4002" s="414"/>
    </row>
    <row r="4003" spans="2:12" x14ac:dyDescent="0.3">
      <c r="B4003" s="112" t="s">
        <v>6</v>
      </c>
      <c r="C4003" s="415" t="s">
        <v>1</v>
      </c>
      <c r="D4003" s="416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434" t="s">
        <v>600</v>
      </c>
      <c r="D4004" s="434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409"/>
      <c r="D4005" s="409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417"/>
      <c r="D4006" s="418"/>
      <c r="E4006" s="122"/>
      <c r="F4006" s="123"/>
      <c r="G4006" s="74"/>
      <c r="I4006" s="115">
        <f>IF(C4006=0,0,VLOOKUP(C4006,Tabla2[],3,FALSE))</f>
        <v>0</v>
      </c>
      <c r="K4006" s="84">
        <f>+F4006*I4006</f>
        <v>0</v>
      </c>
      <c r="L4006" s="116">
        <f>E4006*I4006</f>
        <v>0</v>
      </c>
    </row>
    <row r="4007" spans="2:12" ht="17.25" thickBot="1" x14ac:dyDescent="0.35">
      <c r="B4007" s="419" t="s">
        <v>15</v>
      </c>
      <c r="C4007" s="420"/>
      <c r="D4007" s="420"/>
      <c r="E4007" s="420"/>
      <c r="F4007" s="420"/>
      <c r="G4007" s="421"/>
      <c r="I4007" s="84">
        <v>0</v>
      </c>
      <c r="K4007" s="84">
        <v>0</v>
      </c>
      <c r="L4007" s="116">
        <f>E4007*I4007</f>
        <v>0</v>
      </c>
    </row>
    <row r="4008" spans="2:12" ht="17.25" thickBot="1" x14ac:dyDescent="0.35"/>
    <row r="4009" spans="2:12" ht="17.25" thickBot="1" x14ac:dyDescent="0.35">
      <c r="F4009" s="402" t="s">
        <v>16</v>
      </c>
      <c r="G4009" s="403"/>
      <c r="H4009" s="403"/>
      <c r="I4009" s="404"/>
      <c r="K4009" s="224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413" t="s">
        <v>18</v>
      </c>
      <c r="D4011" s="413"/>
      <c r="E4011" s="413"/>
      <c r="F4011" s="413"/>
      <c r="G4011" s="414"/>
    </row>
    <row r="4012" spans="2:12" x14ac:dyDescent="0.3">
      <c r="B4012" s="112" t="s">
        <v>6</v>
      </c>
      <c r="C4012" s="415" t="s">
        <v>1</v>
      </c>
      <c r="D4012" s="416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411"/>
      <c r="D4013" s="412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411"/>
      <c r="D4014" s="412"/>
      <c r="E4014" s="125"/>
      <c r="F4014" s="72"/>
      <c r="G4014" s="74"/>
      <c r="I4014" s="84">
        <v>0</v>
      </c>
      <c r="K4014" s="84">
        <f>+F4014*I4014</f>
        <v>0</v>
      </c>
      <c r="L4014" s="116">
        <f>E4014*I4014</f>
        <v>0</v>
      </c>
    </row>
    <row r="4015" spans="2:12" x14ac:dyDescent="0.3">
      <c r="B4015" s="74"/>
      <c r="C4015" s="411"/>
      <c r="D4015" s="412"/>
      <c r="E4015" s="125"/>
      <c r="F4015" s="72"/>
      <c r="G4015" s="74"/>
      <c r="I4015" s="84">
        <v>0</v>
      </c>
      <c r="K4015" s="84">
        <f>+F4015*I4015</f>
        <v>0</v>
      </c>
      <c r="L4015" s="116">
        <f>E4015*I4015</f>
        <v>0</v>
      </c>
    </row>
    <row r="4016" spans="2:12" ht="17.25" thickBot="1" x14ac:dyDescent="0.35">
      <c r="L4016" s="116"/>
    </row>
    <row r="4017" spans="1:16" ht="17.25" thickBot="1" x14ac:dyDescent="0.35">
      <c r="F4017" s="402" t="s">
        <v>19</v>
      </c>
      <c r="G4017" s="403"/>
      <c r="H4017" s="403"/>
      <c r="I4017" s="404"/>
      <c r="K4017" s="224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127"/>
      <c r="H4018" s="128"/>
      <c r="I4018" s="106"/>
      <c r="K4018" s="225"/>
    </row>
    <row r="4019" spans="1:16" ht="15" customHeight="1" thickBot="1" x14ac:dyDescent="0.35"/>
    <row r="4020" spans="1:16" ht="17.25" thickBot="1" x14ac:dyDescent="0.35">
      <c r="F4020" s="402" t="s">
        <v>20</v>
      </c>
      <c r="G4020" s="403"/>
      <c r="H4020" s="403"/>
      <c r="I4020" s="404"/>
      <c r="K4020" s="224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402" t="s">
        <v>21</v>
      </c>
      <c r="G4022" s="403"/>
      <c r="H4022" s="403"/>
      <c r="I4022" s="404"/>
      <c r="K4022" s="224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402" t="s">
        <v>22</v>
      </c>
      <c r="G4024" s="403"/>
      <c r="H4024" s="403"/>
      <c r="I4024" s="404"/>
      <c r="K4024" s="224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127"/>
      <c r="H4025" s="128"/>
      <c r="I4025" s="106"/>
      <c r="K4025" s="226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127"/>
      <c r="H4026" s="128"/>
      <c r="I4026" s="106"/>
      <c r="K4026" s="227"/>
      <c r="L4026" s="129"/>
      <c r="M4026" s="132"/>
      <c r="N4026" s="133"/>
    </row>
    <row r="4027" spans="1:16" ht="17.25" thickBot="1" x14ac:dyDescent="0.35">
      <c r="B4027" s="405"/>
      <c r="C4027" s="405"/>
      <c r="D4027" s="405"/>
    </row>
    <row r="4028" spans="1:16" x14ac:dyDescent="0.3">
      <c r="B4028" s="406" t="s">
        <v>23</v>
      </c>
      <c r="C4028" s="406"/>
      <c r="D4028" s="406"/>
    </row>
    <row r="4029" spans="1:16" x14ac:dyDescent="0.3">
      <c r="B4029" s="155"/>
      <c r="C4029" s="155"/>
      <c r="D4029" s="155"/>
    </row>
    <row r="4030" spans="1:16" x14ac:dyDescent="0.3">
      <c r="B4030" s="155"/>
      <c r="C4030" s="155"/>
      <c r="D4030" s="155"/>
    </row>
    <row r="4031" spans="1:16" x14ac:dyDescent="0.3">
      <c r="B4031" s="103" t="s">
        <v>43</v>
      </c>
      <c r="C4031" s="104"/>
      <c r="D4031" s="422" t="s">
        <v>1</v>
      </c>
      <c r="E4031" s="422"/>
      <c r="F4031" s="422"/>
      <c r="G4031" s="422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09">
        <f>CATALOGO!B118</f>
        <v>806.09</v>
      </c>
      <c r="C4032" s="71"/>
      <c r="D4032" s="436" t="str">
        <f>CATALOGO!C118</f>
        <v>REMOZAMIENTO DE BALCONES</v>
      </c>
      <c r="E4032" s="436"/>
      <c r="F4032" s="436"/>
      <c r="G4032" s="436"/>
      <c r="H4032" s="71"/>
      <c r="I4032" s="209">
        <f>CATALOGO!D118</f>
        <v>10</v>
      </c>
      <c r="J4032" s="107"/>
      <c r="K4032" s="222" t="str">
        <f>CATALOGO!G118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413" t="s">
        <v>5</v>
      </c>
      <c r="D4034" s="413"/>
      <c r="E4034" s="413"/>
      <c r="F4034" s="413"/>
      <c r="G4034" s="414"/>
    </row>
    <row r="4035" spans="2:16" x14ac:dyDescent="0.25">
      <c r="B4035" s="109" t="s">
        <v>6</v>
      </c>
      <c r="C4035" s="424" t="s">
        <v>1</v>
      </c>
      <c r="D4035" s="425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3" t="s">
        <v>8</v>
      </c>
      <c r="L4035" s="113" t="s">
        <v>193</v>
      </c>
      <c r="O4035" s="438"/>
      <c r="P4035" s="438"/>
    </row>
    <row r="4036" spans="2:16" ht="17.25" customHeight="1" x14ac:dyDescent="0.25">
      <c r="B4036" s="120"/>
      <c r="C4036" s="428"/>
      <c r="D4036" s="429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114">E4036*I4036</f>
        <v>0</v>
      </c>
      <c r="O4036" s="44"/>
      <c r="P4036" s="45"/>
    </row>
    <row r="4037" spans="2:16" x14ac:dyDescent="0.3">
      <c r="B4037" s="120"/>
      <c r="C4037" s="428"/>
      <c r="D4037" s="429"/>
      <c r="E4037" s="114"/>
      <c r="F4037" s="83"/>
      <c r="G4037" s="74"/>
      <c r="I4037" s="115">
        <f>IF(C4037=0,0,VLOOKUP(C4037,Tabla1[],3,FALSE))</f>
        <v>0</v>
      </c>
      <c r="K4037" s="84">
        <f t="shared" ref="K4037:K4045" si="115">+F4037*I4037</f>
        <v>0</v>
      </c>
      <c r="L4037" s="116">
        <f t="shared" si="114"/>
        <v>0</v>
      </c>
      <c r="P4037" s="45"/>
    </row>
    <row r="4038" spans="2:16" x14ac:dyDescent="0.3">
      <c r="B4038" s="120"/>
      <c r="C4038" s="428"/>
      <c r="D4038" s="429"/>
      <c r="E4038" s="114"/>
      <c r="F4038" s="83"/>
      <c r="G4038" s="74"/>
      <c r="I4038" s="115">
        <f>IF(C4038=0,0,VLOOKUP(C4038,Tabla1[],3,FALSE))</f>
        <v>0</v>
      </c>
      <c r="K4038" s="84">
        <f t="shared" si="115"/>
        <v>0</v>
      </c>
      <c r="L4038" s="116">
        <f t="shared" si="114"/>
        <v>0</v>
      </c>
      <c r="O4038" s="48"/>
      <c r="P4038" s="49"/>
    </row>
    <row r="4039" spans="2:16" x14ac:dyDescent="0.3">
      <c r="B4039" s="120"/>
      <c r="C4039" s="428"/>
      <c r="D4039" s="429"/>
      <c r="E4039" s="114"/>
      <c r="F4039" s="83"/>
      <c r="G4039" s="74"/>
      <c r="I4039" s="115">
        <f>IF(C4039=0,0,VLOOKUP(C4039,Tabla1[],3,FALSE))</f>
        <v>0</v>
      </c>
      <c r="K4039" s="84">
        <f t="shared" si="115"/>
        <v>0</v>
      </c>
      <c r="L4039" s="116">
        <f t="shared" si="114"/>
        <v>0</v>
      </c>
      <c r="O4039" s="48"/>
      <c r="P4039" s="49"/>
    </row>
    <row r="4040" spans="2:16" x14ac:dyDescent="0.3">
      <c r="B4040" s="120"/>
      <c r="C4040" s="428"/>
      <c r="D4040" s="429"/>
      <c r="E4040" s="114"/>
      <c r="F4040" s="83"/>
      <c r="G4040" s="74"/>
      <c r="I4040" s="115">
        <f>IF(C4040=0,0,VLOOKUP(C4040,Tabla1[],3,FALSE))</f>
        <v>0</v>
      </c>
      <c r="K4040" s="84">
        <f t="shared" si="115"/>
        <v>0</v>
      </c>
      <c r="L4040" s="116">
        <f t="shared" si="114"/>
        <v>0</v>
      </c>
      <c r="O4040" s="48"/>
      <c r="P4040" s="49"/>
    </row>
    <row r="4041" spans="2:16" x14ac:dyDescent="0.3">
      <c r="B4041" s="120"/>
      <c r="C4041" s="429"/>
      <c r="D4041" s="409"/>
      <c r="E4041" s="114"/>
      <c r="F4041" s="83"/>
      <c r="G4041" s="74"/>
      <c r="I4041" s="115">
        <f>IF(C4041=0,0,VLOOKUP(C4041,Tabla1[],3,FALSE))</f>
        <v>0</v>
      </c>
      <c r="K4041" s="84">
        <f t="shared" si="115"/>
        <v>0</v>
      </c>
      <c r="L4041" s="116">
        <f t="shared" si="114"/>
        <v>0</v>
      </c>
      <c r="O4041" s="48"/>
      <c r="P4041" s="49"/>
    </row>
    <row r="4042" spans="2:16" x14ac:dyDescent="0.3">
      <c r="B4042" s="120"/>
      <c r="C4042" s="429"/>
      <c r="D4042" s="409"/>
      <c r="E4042" s="114"/>
      <c r="F4042" s="83"/>
      <c r="G4042" s="74"/>
      <c r="I4042" s="115">
        <f>IF(C4042=0,0,VLOOKUP(C4042,Tabla1[],3,FALSE))</f>
        <v>0</v>
      </c>
      <c r="K4042" s="84">
        <f t="shared" si="115"/>
        <v>0</v>
      </c>
      <c r="L4042" s="116">
        <f t="shared" si="114"/>
        <v>0</v>
      </c>
      <c r="O4042" s="48"/>
      <c r="P4042" s="49"/>
    </row>
    <row r="4043" spans="2:16" x14ac:dyDescent="0.3">
      <c r="B4043" s="120"/>
      <c r="C4043" s="428"/>
      <c r="D4043" s="429"/>
      <c r="E4043" s="114"/>
      <c r="F4043" s="83"/>
      <c r="G4043" s="74"/>
      <c r="I4043" s="115">
        <f>IF(C4043=0,0,VLOOKUP(C4043,Tabla1[],3,FALSE))</f>
        <v>0</v>
      </c>
      <c r="K4043" s="84">
        <f t="shared" si="115"/>
        <v>0</v>
      </c>
      <c r="L4043" s="116">
        <f t="shared" si="114"/>
        <v>0</v>
      </c>
      <c r="O4043" s="48"/>
      <c r="P4043" s="49"/>
    </row>
    <row r="4044" spans="2:16" x14ac:dyDescent="0.3">
      <c r="B4044" s="120"/>
      <c r="C4044" s="428"/>
      <c r="D4044" s="429"/>
      <c r="E4044" s="114"/>
      <c r="F4044" s="83"/>
      <c r="G4044" s="74"/>
      <c r="I4044" s="115">
        <f>IF(C4044=0,0,VLOOKUP(C4044,Tabla1[],3,FALSE))</f>
        <v>0</v>
      </c>
      <c r="K4044" s="84">
        <f t="shared" si="115"/>
        <v>0</v>
      </c>
      <c r="L4044" s="116">
        <f t="shared" si="114"/>
        <v>0</v>
      </c>
      <c r="O4044" s="48"/>
      <c r="P4044" s="49"/>
    </row>
    <row r="4045" spans="2:16" x14ac:dyDescent="0.3">
      <c r="B4045" s="120"/>
      <c r="C4045" s="430"/>
      <c r="D4045" s="429"/>
      <c r="E4045" s="114"/>
      <c r="F4045" s="83"/>
      <c r="G4045" s="74"/>
      <c r="I4045" s="115">
        <f>IF(C4045=0,0,VLOOKUP(C4045,Tabla1[],3,FALSE))</f>
        <v>0</v>
      </c>
      <c r="K4045" s="84">
        <f t="shared" si="115"/>
        <v>0</v>
      </c>
      <c r="L4045" s="116">
        <f t="shared" si="114"/>
        <v>0</v>
      </c>
      <c r="O4045" s="48"/>
      <c r="P4045" s="43"/>
    </row>
    <row r="4046" spans="2:16" ht="17.25" thickBot="1" x14ac:dyDescent="0.35"/>
    <row r="4047" spans="2:16" ht="17.25" thickBot="1" x14ac:dyDescent="0.3">
      <c r="F4047" s="402" t="s">
        <v>9</v>
      </c>
      <c r="G4047" s="403"/>
      <c r="H4047" s="403"/>
      <c r="I4047" s="404"/>
      <c r="K4047" s="224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413" t="s">
        <v>11</v>
      </c>
      <c r="D4049" s="413"/>
      <c r="E4049" s="413"/>
      <c r="F4049" s="413"/>
      <c r="G4049" s="414"/>
    </row>
    <row r="4050" spans="2:12" x14ac:dyDescent="0.3">
      <c r="B4050" s="112" t="s">
        <v>6</v>
      </c>
      <c r="C4050" s="415" t="s">
        <v>1</v>
      </c>
      <c r="D4050" s="416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409"/>
      <c r="D4051" s="409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431"/>
      <c r="D4052" s="432"/>
      <c r="E4052" s="119"/>
      <c r="F4052" s="72"/>
      <c r="G4052" s="74"/>
      <c r="I4052" s="115">
        <f>IF(C4052=0,0,VLOOKUP(C4052,Tabla3[],3,FALSE))</f>
        <v>0</v>
      </c>
      <c r="K4052" s="84">
        <f>+F4052*I4052</f>
        <v>0</v>
      </c>
      <c r="L4052" s="116">
        <f>E4052*I4052</f>
        <v>0</v>
      </c>
    </row>
    <row r="4053" spans="2:12" x14ac:dyDescent="0.3">
      <c r="B4053" s="74"/>
      <c r="C4053" s="431"/>
      <c r="D4053" s="432"/>
      <c r="E4053" s="119"/>
      <c r="F4053" s="72"/>
      <c r="G4053" s="74"/>
      <c r="I4053" s="115">
        <f>IF(C4053=0,0,VLOOKUP(C4053,Tabla3[],3,FALSE))</f>
        <v>0</v>
      </c>
      <c r="K4053" s="84">
        <f>+F4053*I4053</f>
        <v>0</v>
      </c>
      <c r="L4053" s="116">
        <f>E4053*I4053</f>
        <v>0</v>
      </c>
    </row>
    <row r="4054" spans="2:12" x14ac:dyDescent="0.3">
      <c r="B4054" s="74"/>
      <c r="C4054" s="411"/>
      <c r="D4054" s="412"/>
      <c r="E4054" s="119"/>
      <c r="F4054" s="72"/>
      <c r="G4054" s="74"/>
      <c r="I4054" s="115">
        <f>IF(C4054=0,0,VLOOKUP(C4054,Tabla3[],3,FALSE))</f>
        <v>0</v>
      </c>
      <c r="K4054" s="84">
        <f>+F4054*I4054</f>
        <v>0</v>
      </c>
      <c r="L4054" s="116">
        <f>E4054*I4054</f>
        <v>0</v>
      </c>
    </row>
    <row r="4055" spans="2:12" ht="17.25" thickBot="1" x14ac:dyDescent="0.35"/>
    <row r="4056" spans="2:12" ht="17.25" thickBot="1" x14ac:dyDescent="0.35">
      <c r="F4056" s="402" t="s">
        <v>12</v>
      </c>
      <c r="G4056" s="403"/>
      <c r="H4056" s="403"/>
      <c r="I4056" s="404"/>
      <c r="K4056" s="224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413" t="s">
        <v>14</v>
      </c>
      <c r="D4058" s="413"/>
      <c r="E4058" s="413"/>
      <c r="F4058" s="413"/>
      <c r="G4058" s="414"/>
    </row>
    <row r="4059" spans="2:12" x14ac:dyDescent="0.3">
      <c r="B4059" s="112" t="s">
        <v>6</v>
      </c>
      <c r="C4059" s="415" t="s">
        <v>1</v>
      </c>
      <c r="D4059" s="416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434" t="s">
        <v>516</v>
      </c>
      <c r="D4060" s="434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409"/>
      <c r="D4061" s="409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417"/>
      <c r="D4062" s="418"/>
      <c r="E4062" s="122"/>
      <c r="F4062" s="123"/>
      <c r="G4062" s="74"/>
      <c r="I4062" s="115">
        <f>IF(C4062=0,0,VLOOKUP(C4062,Tabla2[],3,FALSE))</f>
        <v>0</v>
      </c>
      <c r="K4062" s="84">
        <f>+F4062*I4062</f>
        <v>0</v>
      </c>
      <c r="L4062" s="116">
        <f>E4062*I4062</f>
        <v>0</v>
      </c>
    </row>
    <row r="4063" spans="2:12" ht="17.25" thickBot="1" x14ac:dyDescent="0.35">
      <c r="B4063" s="419" t="s">
        <v>15</v>
      </c>
      <c r="C4063" s="420"/>
      <c r="D4063" s="420"/>
      <c r="E4063" s="420"/>
      <c r="F4063" s="420"/>
      <c r="G4063" s="421"/>
      <c r="I4063" s="84">
        <v>0</v>
      </c>
      <c r="K4063" s="84">
        <v>0</v>
      </c>
      <c r="L4063" s="116">
        <f>E4063*I4063</f>
        <v>0</v>
      </c>
    </row>
    <row r="4064" spans="2:12" ht="17.25" thickBot="1" x14ac:dyDescent="0.35"/>
    <row r="4065" spans="2:16" ht="17.25" thickBot="1" x14ac:dyDescent="0.35">
      <c r="F4065" s="402" t="s">
        <v>16</v>
      </c>
      <c r="G4065" s="403"/>
      <c r="H4065" s="403"/>
      <c r="I4065" s="404"/>
      <c r="K4065" s="224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413" t="s">
        <v>18</v>
      </c>
      <c r="D4067" s="413"/>
      <c r="E4067" s="413"/>
      <c r="F4067" s="413"/>
      <c r="G4067" s="414"/>
    </row>
    <row r="4068" spans="2:16" x14ac:dyDescent="0.3">
      <c r="B4068" s="112" t="s">
        <v>6</v>
      </c>
      <c r="C4068" s="415" t="s">
        <v>1</v>
      </c>
      <c r="D4068" s="416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411"/>
      <c r="D4069" s="412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411"/>
      <c r="D4070" s="412"/>
      <c r="E4070" s="125"/>
      <c r="F4070" s="72"/>
      <c r="G4070" s="74"/>
      <c r="I4070" s="84">
        <v>0</v>
      </c>
      <c r="K4070" s="84">
        <f>+F4070*I4070</f>
        <v>0</v>
      </c>
      <c r="L4070" s="116">
        <f>E4070*I4070</f>
        <v>0</v>
      </c>
    </row>
    <row r="4071" spans="2:16" x14ac:dyDescent="0.3">
      <c r="B4071" s="74"/>
      <c r="C4071" s="411"/>
      <c r="D4071" s="412"/>
      <c r="E4071" s="125"/>
      <c r="F4071" s="72"/>
      <c r="G4071" s="74"/>
      <c r="I4071" s="84">
        <v>0</v>
      </c>
      <c r="K4071" s="84">
        <f>+F4071*I4071</f>
        <v>0</v>
      </c>
      <c r="L4071" s="116">
        <f>E4071*I4071</f>
        <v>0</v>
      </c>
    </row>
    <row r="4072" spans="2:16" ht="17.25" thickBot="1" x14ac:dyDescent="0.35">
      <c r="L4072" s="116"/>
    </row>
    <row r="4073" spans="2:16" ht="17.25" thickBot="1" x14ac:dyDescent="0.35">
      <c r="F4073" s="402" t="s">
        <v>19</v>
      </c>
      <c r="G4073" s="403"/>
      <c r="H4073" s="403"/>
      <c r="I4073" s="404"/>
      <c r="K4073" s="224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127"/>
      <c r="H4074" s="128"/>
      <c r="I4074" s="106"/>
      <c r="K4074" s="225"/>
    </row>
    <row r="4075" spans="2:16" ht="15" customHeight="1" thickBot="1" x14ac:dyDescent="0.35"/>
    <row r="4076" spans="2:16" ht="17.25" thickBot="1" x14ac:dyDescent="0.35">
      <c r="F4076" s="402" t="s">
        <v>20</v>
      </c>
      <c r="G4076" s="403"/>
      <c r="H4076" s="403"/>
      <c r="I4076" s="404"/>
      <c r="K4076" s="224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402" t="s">
        <v>21</v>
      </c>
      <c r="G4078" s="403"/>
      <c r="H4078" s="403"/>
      <c r="I4078" s="404"/>
      <c r="K4078" s="224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402" t="s">
        <v>22</v>
      </c>
      <c r="G4080" s="403"/>
      <c r="H4080" s="403"/>
      <c r="I4080" s="404"/>
      <c r="K4080" s="224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127"/>
      <c r="H4081" s="128"/>
      <c r="I4081" s="106"/>
      <c r="K4081" s="226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127"/>
      <c r="H4082" s="128"/>
      <c r="I4082" s="106"/>
      <c r="K4082" s="227"/>
      <c r="L4082" s="129"/>
      <c r="M4082" s="132"/>
      <c r="N4082" s="133"/>
    </row>
    <row r="4083" spans="1:16" ht="17.25" thickBot="1" x14ac:dyDescent="0.35">
      <c r="B4083" s="405"/>
      <c r="C4083" s="405"/>
      <c r="D4083" s="405"/>
    </row>
    <row r="4084" spans="1:16" x14ac:dyDescent="0.3">
      <c r="B4084" s="406" t="s">
        <v>23</v>
      </c>
      <c r="C4084" s="406"/>
      <c r="D4084" s="406"/>
    </row>
    <row r="4085" spans="1:16" x14ac:dyDescent="0.3">
      <c r="B4085" s="155"/>
      <c r="C4085" s="155"/>
      <c r="D4085" s="155"/>
    </row>
    <row r="4087" spans="1:16" x14ac:dyDescent="0.3">
      <c r="B4087" s="103" t="s">
        <v>43</v>
      </c>
      <c r="C4087" s="104"/>
      <c r="D4087" s="422" t="s">
        <v>1</v>
      </c>
      <c r="E4087" s="422"/>
      <c r="F4087" s="422"/>
      <c r="G4087" s="422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09">
        <f>CATALOGO!B120</f>
        <v>1109.03</v>
      </c>
      <c r="C4088" s="71"/>
      <c r="D4088" s="436" t="str">
        <f>CATALOGO!C120</f>
        <v>LÁMPARA LED TIPO LISTON 2 TUBOS (18 WATS)</v>
      </c>
      <c r="E4088" s="436"/>
      <c r="F4088" s="436"/>
      <c r="G4088" s="436"/>
      <c r="H4088" s="71"/>
      <c r="I4088" s="209">
        <f>CATALOGO!D120</f>
        <v>3</v>
      </c>
      <c r="J4088" s="107"/>
      <c r="K4088" s="222" t="str">
        <f>CATALOGO!G120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413" t="s">
        <v>5</v>
      </c>
      <c r="D4090" s="413"/>
      <c r="E4090" s="413"/>
      <c r="F4090" s="413"/>
      <c r="G4090" s="414"/>
    </row>
    <row r="4091" spans="1:16" x14ac:dyDescent="0.25">
      <c r="B4091" s="109" t="s">
        <v>6</v>
      </c>
      <c r="C4091" s="424" t="s">
        <v>1</v>
      </c>
      <c r="D4091" s="425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3" t="s">
        <v>8</v>
      </c>
      <c r="L4091" s="113" t="s">
        <v>193</v>
      </c>
      <c r="O4091" s="438"/>
      <c r="P4091" s="438"/>
    </row>
    <row r="4092" spans="1:16" ht="17.25" customHeight="1" x14ac:dyDescent="0.25">
      <c r="B4092" s="120">
        <v>1</v>
      </c>
      <c r="C4092" s="407" t="s">
        <v>257</v>
      </c>
      <c r="D4092" s="408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116">E4092*I4092</f>
        <v>225</v>
      </c>
      <c r="O4092" s="44"/>
      <c r="P4092" s="45"/>
    </row>
    <row r="4093" spans="1:16" ht="17.25" customHeight="1" x14ac:dyDescent="0.25">
      <c r="B4093" s="120">
        <v>2</v>
      </c>
      <c r="C4093" s="407" t="s">
        <v>258</v>
      </c>
      <c r="D4093" s="408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116"/>
        <v>240</v>
      </c>
      <c r="O4093" s="44"/>
      <c r="P4093" s="45"/>
    </row>
    <row r="4094" spans="1:16" x14ac:dyDescent="0.25">
      <c r="B4094" s="120">
        <v>3</v>
      </c>
      <c r="C4094" s="430" t="s">
        <v>249</v>
      </c>
      <c r="D4094" s="429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>+F4094*I4094</f>
        <v>225</v>
      </c>
      <c r="L4094" s="116">
        <f t="shared" si="116"/>
        <v>675</v>
      </c>
      <c r="O4094" s="44"/>
      <c r="P4094" s="46"/>
    </row>
    <row r="4095" spans="1:16" x14ac:dyDescent="0.25">
      <c r="B4095" s="120">
        <v>4</v>
      </c>
      <c r="C4095" s="430" t="s">
        <v>254</v>
      </c>
      <c r="D4095" s="429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>+F4095*I4095</f>
        <v>5</v>
      </c>
      <c r="L4095" s="116">
        <f t="shared" si="116"/>
        <v>15</v>
      </c>
      <c r="O4095" s="44"/>
      <c r="P4095" s="46"/>
    </row>
    <row r="4096" spans="1:16" x14ac:dyDescent="0.3">
      <c r="B4096" s="120">
        <v>5</v>
      </c>
      <c r="C4096" s="430" t="s">
        <v>253</v>
      </c>
      <c r="D4096" s="429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>+F4096*I4096</f>
        <v>50</v>
      </c>
      <c r="L4096" s="116">
        <f t="shared" si="116"/>
        <v>150</v>
      </c>
      <c r="O4096" s="48"/>
      <c r="P4096" s="49"/>
    </row>
    <row r="4097" spans="2:16" x14ac:dyDescent="0.3">
      <c r="B4097" s="120">
        <v>6</v>
      </c>
      <c r="C4097" s="430" t="s">
        <v>259</v>
      </c>
      <c r="D4097" s="429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>+F4097*I4097</f>
        <v>30</v>
      </c>
      <c r="L4097" s="116">
        <f t="shared" si="116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402" t="s">
        <v>9</v>
      </c>
      <c r="G4099" s="403"/>
      <c r="H4099" s="403"/>
      <c r="I4099" s="404"/>
      <c r="K4099" s="224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413" t="s">
        <v>11</v>
      </c>
      <c r="D4101" s="413"/>
      <c r="E4101" s="413"/>
      <c r="F4101" s="413"/>
      <c r="G4101" s="414"/>
    </row>
    <row r="4102" spans="2:16" x14ac:dyDescent="0.3">
      <c r="B4102" s="112" t="s">
        <v>6</v>
      </c>
      <c r="C4102" s="415" t="s">
        <v>1</v>
      </c>
      <c r="D4102" s="416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409"/>
      <c r="D4103" s="409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431"/>
      <c r="D4104" s="432"/>
      <c r="E4104" s="119"/>
      <c r="F4104" s="72"/>
      <c r="G4104" s="74"/>
      <c r="I4104" s="115">
        <f>IF(C4104=0,0,VLOOKUP(C4104,Tabla3[],3,FALSE))</f>
        <v>0</v>
      </c>
      <c r="K4104" s="84">
        <f>+F4104*I4104</f>
        <v>0</v>
      </c>
      <c r="L4104" s="116">
        <f>E4104*I4104</f>
        <v>0</v>
      </c>
    </row>
    <row r="4105" spans="2:16" x14ac:dyDescent="0.3">
      <c r="B4105" s="74"/>
      <c r="C4105" s="431"/>
      <c r="D4105" s="432"/>
      <c r="E4105" s="119"/>
      <c r="F4105" s="72"/>
      <c r="G4105" s="74"/>
      <c r="I4105" s="115">
        <f>IF(C4105=0,0,VLOOKUP(C4105,Tabla3[],3,FALSE))</f>
        <v>0</v>
      </c>
      <c r="K4105" s="84">
        <f>+F4105*I4105</f>
        <v>0</v>
      </c>
      <c r="L4105" s="116">
        <f>E4105*I4105</f>
        <v>0</v>
      </c>
    </row>
    <row r="4106" spans="2:16" x14ac:dyDescent="0.3">
      <c r="B4106" s="74"/>
      <c r="C4106" s="411"/>
      <c r="D4106" s="412"/>
      <c r="E4106" s="119"/>
      <c r="F4106" s="72"/>
      <c r="G4106" s="74"/>
      <c r="I4106" s="115">
        <f>IF(C4106=0,0,VLOOKUP(C4106,Tabla3[],3,FALSE))</f>
        <v>0</v>
      </c>
      <c r="K4106" s="84">
        <f>+F4106*I4106</f>
        <v>0</v>
      </c>
      <c r="L4106" s="116">
        <f>E4106*I4106</f>
        <v>0</v>
      </c>
    </row>
    <row r="4107" spans="2:16" ht="17.25" thickBot="1" x14ac:dyDescent="0.35"/>
    <row r="4108" spans="2:16" ht="17.25" thickBot="1" x14ac:dyDescent="0.35">
      <c r="F4108" s="402" t="s">
        <v>12</v>
      </c>
      <c r="G4108" s="403"/>
      <c r="H4108" s="403"/>
      <c r="I4108" s="404"/>
      <c r="K4108" s="224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413" t="s">
        <v>14</v>
      </c>
      <c r="D4110" s="413"/>
      <c r="E4110" s="413"/>
      <c r="F4110" s="413"/>
      <c r="G4110" s="414"/>
    </row>
    <row r="4111" spans="2:16" x14ac:dyDescent="0.3">
      <c r="B4111" s="112" t="s">
        <v>6</v>
      </c>
      <c r="C4111" s="415" t="s">
        <v>1</v>
      </c>
      <c r="D4111" s="416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409" t="s">
        <v>85</v>
      </c>
      <c r="D4112" s="409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409"/>
      <c r="D4113" s="409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417"/>
      <c r="D4114" s="418"/>
      <c r="E4114" s="122"/>
      <c r="F4114" s="123"/>
      <c r="G4114" s="74"/>
      <c r="I4114" s="115">
        <f>IF(C4114=0,0,VLOOKUP(C4114,Tabla2[],3,FALSE))</f>
        <v>0</v>
      </c>
      <c r="K4114" s="84">
        <f>+F4114*I4114</f>
        <v>0</v>
      </c>
      <c r="L4114" s="116">
        <f>E4114*I4114</f>
        <v>0</v>
      </c>
    </row>
    <row r="4115" spans="2:16" ht="17.25" thickBot="1" x14ac:dyDescent="0.35">
      <c r="B4115" s="419" t="s">
        <v>15</v>
      </c>
      <c r="C4115" s="420"/>
      <c r="D4115" s="420"/>
      <c r="E4115" s="420"/>
      <c r="F4115" s="420"/>
      <c r="G4115" s="421"/>
      <c r="I4115" s="84">
        <v>0</v>
      </c>
      <c r="K4115" s="84">
        <v>0</v>
      </c>
      <c r="L4115" s="116">
        <f>E4115*I4115</f>
        <v>0</v>
      </c>
    </row>
    <row r="4116" spans="2:16" ht="17.25" thickBot="1" x14ac:dyDescent="0.35"/>
    <row r="4117" spans="2:16" ht="17.25" thickBot="1" x14ac:dyDescent="0.35">
      <c r="F4117" s="402" t="s">
        <v>16</v>
      </c>
      <c r="G4117" s="403"/>
      <c r="H4117" s="403"/>
      <c r="I4117" s="404"/>
      <c r="K4117" s="224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413" t="s">
        <v>18</v>
      </c>
      <c r="D4119" s="413"/>
      <c r="E4119" s="413"/>
      <c r="F4119" s="413"/>
      <c r="G4119" s="414"/>
    </row>
    <row r="4120" spans="2:16" x14ac:dyDescent="0.3">
      <c r="B4120" s="112" t="s">
        <v>6</v>
      </c>
      <c r="C4120" s="415" t="s">
        <v>1</v>
      </c>
      <c r="D4120" s="416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411"/>
      <c r="D4121" s="412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411"/>
      <c r="D4122" s="412"/>
      <c r="E4122" s="125"/>
      <c r="F4122" s="72"/>
      <c r="G4122" s="74"/>
      <c r="I4122" s="84">
        <v>0</v>
      </c>
      <c r="K4122" s="84">
        <f>+F4122*I4122</f>
        <v>0</v>
      </c>
      <c r="L4122" s="116">
        <f>E4122*I4122</f>
        <v>0</v>
      </c>
    </row>
    <row r="4123" spans="2:16" x14ac:dyDescent="0.3">
      <c r="B4123" s="74"/>
      <c r="C4123" s="411"/>
      <c r="D4123" s="412"/>
      <c r="E4123" s="125"/>
      <c r="F4123" s="72"/>
      <c r="G4123" s="74"/>
      <c r="I4123" s="84">
        <v>0</v>
      </c>
      <c r="K4123" s="84">
        <f>+F4123*I4123</f>
        <v>0</v>
      </c>
      <c r="L4123" s="116">
        <f>E4123*I4123</f>
        <v>0</v>
      </c>
    </row>
    <row r="4124" spans="2:16" ht="17.25" thickBot="1" x14ac:dyDescent="0.35">
      <c r="L4124" s="116"/>
    </row>
    <row r="4125" spans="2:16" ht="17.25" thickBot="1" x14ac:dyDescent="0.35">
      <c r="F4125" s="402" t="s">
        <v>19</v>
      </c>
      <c r="G4125" s="403"/>
      <c r="H4125" s="403"/>
      <c r="I4125" s="404"/>
      <c r="K4125" s="224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127"/>
      <c r="H4126" s="128"/>
      <c r="I4126" s="106"/>
      <c r="K4126" s="225"/>
    </row>
    <row r="4127" spans="2:16" ht="15" customHeight="1" thickBot="1" x14ac:dyDescent="0.35"/>
    <row r="4128" spans="2:16" ht="17.25" thickBot="1" x14ac:dyDescent="0.35">
      <c r="F4128" s="402" t="s">
        <v>20</v>
      </c>
      <c r="G4128" s="403"/>
      <c r="H4128" s="403"/>
      <c r="I4128" s="404"/>
      <c r="K4128" s="224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402" t="s">
        <v>21</v>
      </c>
      <c r="G4130" s="403"/>
      <c r="H4130" s="403"/>
      <c r="I4130" s="404"/>
      <c r="K4130" s="224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402" t="s">
        <v>22</v>
      </c>
      <c r="G4132" s="403"/>
      <c r="H4132" s="403"/>
      <c r="I4132" s="404"/>
      <c r="K4132" s="224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127"/>
      <c r="H4133" s="128"/>
      <c r="I4133" s="106"/>
      <c r="K4133" s="226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127"/>
      <c r="H4134" s="128"/>
      <c r="I4134" s="106"/>
      <c r="K4134" s="227"/>
      <c r="L4134" s="129"/>
      <c r="M4134" s="132"/>
      <c r="N4134" s="133"/>
    </row>
    <row r="4135" spans="1:16" ht="17.25" thickBot="1" x14ac:dyDescent="0.35">
      <c r="B4135" s="405"/>
      <c r="C4135" s="405"/>
      <c r="D4135" s="405"/>
    </row>
    <row r="4136" spans="1:16" x14ac:dyDescent="0.3">
      <c r="B4136" s="406" t="s">
        <v>23</v>
      </c>
      <c r="C4136" s="406"/>
      <c r="D4136" s="406"/>
    </row>
    <row r="4137" spans="1:16" x14ac:dyDescent="0.3">
      <c r="B4137" s="155"/>
      <c r="C4137" s="155"/>
      <c r="D4137" s="155"/>
    </row>
    <row r="4139" spans="1:16" x14ac:dyDescent="0.3">
      <c r="B4139" s="103" t="s">
        <v>43</v>
      </c>
      <c r="C4139" s="104"/>
      <c r="D4139" s="422" t="s">
        <v>1</v>
      </c>
      <c r="E4139" s="422"/>
      <c r="F4139" s="422"/>
      <c r="G4139" s="422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09">
        <f>CATALOGO!B121</f>
        <v>1112.01</v>
      </c>
      <c r="C4140" s="71"/>
      <c r="D4140" s="437" t="str">
        <f>CATALOGO!C121</f>
        <v>TOMACORRIENTE DOBLE 120V</v>
      </c>
      <c r="E4140" s="437"/>
      <c r="F4140" s="437"/>
      <c r="G4140" s="437"/>
      <c r="H4140" s="71"/>
      <c r="I4140" s="209">
        <f>CATALOGO!D121</f>
        <v>1</v>
      </c>
      <c r="J4140" s="107"/>
      <c r="K4140" s="222" t="str">
        <f>CATALOGO!G121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413" t="s">
        <v>5</v>
      </c>
      <c r="D4142" s="413"/>
      <c r="E4142" s="413"/>
      <c r="F4142" s="413"/>
      <c r="G4142" s="414"/>
    </row>
    <row r="4143" spans="1:16" x14ac:dyDescent="0.25">
      <c r="B4143" s="109" t="s">
        <v>6</v>
      </c>
      <c r="C4143" s="424" t="s">
        <v>1</v>
      </c>
      <c r="D4143" s="425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3" t="s">
        <v>8</v>
      </c>
      <c r="L4143" s="113" t="s">
        <v>193</v>
      </c>
      <c r="O4143" s="438"/>
      <c r="P4143" s="438"/>
    </row>
    <row r="4144" spans="1:16" x14ac:dyDescent="0.25">
      <c r="B4144" s="120">
        <v>1</v>
      </c>
      <c r="C4144" s="407" t="s">
        <v>265</v>
      </c>
      <c r="D4144" s="408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>E4144*I4144</f>
        <v>40</v>
      </c>
      <c r="O4144" s="44"/>
      <c r="P4144" s="45"/>
    </row>
    <row r="4145" spans="2:16" x14ac:dyDescent="0.25">
      <c r="B4145" s="120">
        <v>2</v>
      </c>
      <c r="C4145" s="407" t="s">
        <v>86</v>
      </c>
      <c r="D4145" s="408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>E4145*I4145</f>
        <v>10</v>
      </c>
      <c r="O4145" s="44"/>
      <c r="P4145" s="45"/>
    </row>
    <row r="4146" spans="2:16" x14ac:dyDescent="0.25">
      <c r="B4146" s="120">
        <v>3</v>
      </c>
      <c r="C4146" s="428" t="s">
        <v>269</v>
      </c>
      <c r="D4146" s="429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>+F4146*I4146</f>
        <v>40</v>
      </c>
      <c r="L4146" s="116">
        <f>E4146*I4146</f>
        <v>40</v>
      </c>
      <c r="O4146" s="44"/>
      <c r="P4146" s="46"/>
    </row>
    <row r="4147" spans="2:16" x14ac:dyDescent="0.3">
      <c r="B4147" s="120"/>
      <c r="C4147" s="428"/>
      <c r="D4147" s="429"/>
      <c r="E4147" s="114"/>
      <c r="F4147" s="83"/>
      <c r="G4147" s="74"/>
      <c r="I4147" s="115">
        <f>IF(C4147=0,0,VLOOKUP(C4147,Tabla1[],3,FALSE))</f>
        <v>0</v>
      </c>
      <c r="K4147" s="84">
        <f>+F4147*I4147</f>
        <v>0</v>
      </c>
      <c r="L4147" s="116">
        <f>E4147*I4147</f>
        <v>0</v>
      </c>
      <c r="P4147" s="45"/>
    </row>
    <row r="4148" spans="2:16" ht="17.25" thickBot="1" x14ac:dyDescent="0.35"/>
    <row r="4149" spans="2:16" ht="17.25" thickBot="1" x14ac:dyDescent="0.3">
      <c r="F4149" s="402" t="s">
        <v>9</v>
      </c>
      <c r="G4149" s="403"/>
      <c r="H4149" s="403"/>
      <c r="I4149" s="404"/>
      <c r="K4149" s="224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413" t="s">
        <v>11</v>
      </c>
      <c r="D4151" s="413"/>
      <c r="E4151" s="413"/>
      <c r="F4151" s="413"/>
      <c r="G4151" s="414"/>
    </row>
    <row r="4152" spans="2:16" x14ac:dyDescent="0.3">
      <c r="B4152" s="112" t="s">
        <v>6</v>
      </c>
      <c r="C4152" s="415" t="s">
        <v>1</v>
      </c>
      <c r="D4152" s="416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409"/>
      <c r="D4153" s="409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431"/>
      <c r="D4154" s="432"/>
      <c r="E4154" s="119"/>
      <c r="F4154" s="72"/>
      <c r="G4154" s="74"/>
      <c r="I4154" s="115">
        <f>IF(C4154=0,0,VLOOKUP(C4154,Tabla3[],3,FALSE))</f>
        <v>0</v>
      </c>
      <c r="K4154" s="84">
        <f>+F4154*I4154</f>
        <v>0</v>
      </c>
      <c r="L4154" s="116">
        <f>E4154*I4154</f>
        <v>0</v>
      </c>
    </row>
    <row r="4155" spans="2:16" x14ac:dyDescent="0.3">
      <c r="B4155" s="74"/>
      <c r="C4155" s="431"/>
      <c r="D4155" s="432"/>
      <c r="E4155" s="119"/>
      <c r="F4155" s="72"/>
      <c r="G4155" s="74"/>
      <c r="I4155" s="115">
        <f>IF(C4155=0,0,VLOOKUP(C4155,Tabla3[],3,FALSE))</f>
        <v>0</v>
      </c>
      <c r="K4155" s="84">
        <f>+F4155*I4155</f>
        <v>0</v>
      </c>
      <c r="L4155" s="116">
        <f>E4155*I4155</f>
        <v>0</v>
      </c>
    </row>
    <row r="4156" spans="2:16" x14ac:dyDescent="0.3">
      <c r="B4156" s="74"/>
      <c r="C4156" s="411"/>
      <c r="D4156" s="412"/>
      <c r="E4156" s="119"/>
      <c r="F4156" s="72"/>
      <c r="G4156" s="74"/>
      <c r="I4156" s="115">
        <f>IF(C4156=0,0,VLOOKUP(C4156,Tabla3[],3,FALSE))</f>
        <v>0</v>
      </c>
      <c r="K4156" s="84">
        <f>+F4156*I4156</f>
        <v>0</v>
      </c>
      <c r="L4156" s="116">
        <f>E4156*I4156</f>
        <v>0</v>
      </c>
    </row>
    <row r="4157" spans="2:16" ht="17.25" thickBot="1" x14ac:dyDescent="0.35"/>
    <row r="4158" spans="2:16" ht="17.25" thickBot="1" x14ac:dyDescent="0.35">
      <c r="F4158" s="402" t="s">
        <v>12</v>
      </c>
      <c r="G4158" s="403"/>
      <c r="H4158" s="403"/>
      <c r="I4158" s="404"/>
      <c r="K4158" s="224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413" t="s">
        <v>14</v>
      </c>
      <c r="D4160" s="413"/>
      <c r="E4160" s="413"/>
      <c r="F4160" s="413"/>
      <c r="G4160" s="414"/>
    </row>
    <row r="4161" spans="2:12" x14ac:dyDescent="0.3">
      <c r="B4161" s="112" t="s">
        <v>6</v>
      </c>
      <c r="C4161" s="415" t="s">
        <v>1</v>
      </c>
      <c r="D4161" s="416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409" t="s">
        <v>601</v>
      </c>
      <c r="D4162" s="409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409"/>
      <c r="D4163" s="409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417"/>
      <c r="D4164" s="418"/>
      <c r="E4164" s="122"/>
      <c r="F4164" s="123"/>
      <c r="G4164" s="74"/>
      <c r="I4164" s="115">
        <f>IF(C4164=0,0,VLOOKUP(C4164,Tabla2[],3,FALSE))</f>
        <v>0</v>
      </c>
      <c r="K4164" s="84">
        <f>+F4164*I4164</f>
        <v>0</v>
      </c>
      <c r="L4164" s="116">
        <f>E4164*I4164</f>
        <v>0</v>
      </c>
    </row>
    <row r="4165" spans="2:12" ht="17.25" thickBot="1" x14ac:dyDescent="0.35">
      <c r="B4165" s="419" t="s">
        <v>15</v>
      </c>
      <c r="C4165" s="420"/>
      <c r="D4165" s="420"/>
      <c r="E4165" s="420"/>
      <c r="F4165" s="420"/>
      <c r="G4165" s="421"/>
      <c r="I4165" s="84">
        <v>0</v>
      </c>
      <c r="K4165" s="84">
        <v>0</v>
      </c>
      <c r="L4165" s="116">
        <f>E4165*I4165</f>
        <v>0</v>
      </c>
    </row>
    <row r="4166" spans="2:12" ht="17.25" thickBot="1" x14ac:dyDescent="0.35"/>
    <row r="4167" spans="2:12" ht="17.25" thickBot="1" x14ac:dyDescent="0.35">
      <c r="F4167" s="402" t="s">
        <v>16</v>
      </c>
      <c r="G4167" s="403"/>
      <c r="H4167" s="403"/>
      <c r="I4167" s="404"/>
      <c r="K4167" s="224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413" t="s">
        <v>18</v>
      </c>
      <c r="D4169" s="413"/>
      <c r="E4169" s="413"/>
      <c r="F4169" s="413"/>
      <c r="G4169" s="414"/>
    </row>
    <row r="4170" spans="2:12" x14ac:dyDescent="0.3">
      <c r="B4170" s="112" t="s">
        <v>6</v>
      </c>
      <c r="C4170" s="415" t="s">
        <v>1</v>
      </c>
      <c r="D4170" s="416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411"/>
      <c r="D4171" s="412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411"/>
      <c r="D4172" s="412"/>
      <c r="E4172" s="125"/>
      <c r="F4172" s="72"/>
      <c r="G4172" s="74"/>
      <c r="I4172" s="84">
        <v>0</v>
      </c>
      <c r="K4172" s="84">
        <f>+F4172*I4172</f>
        <v>0</v>
      </c>
      <c r="L4172" s="116">
        <f>E4172*I4172</f>
        <v>0</v>
      </c>
    </row>
    <row r="4173" spans="2:12" x14ac:dyDescent="0.3">
      <c r="B4173" s="74"/>
      <c r="C4173" s="411"/>
      <c r="D4173" s="412"/>
      <c r="E4173" s="125"/>
      <c r="F4173" s="72"/>
      <c r="G4173" s="74"/>
      <c r="I4173" s="84">
        <v>0</v>
      </c>
      <c r="K4173" s="84">
        <f>+F4173*I4173</f>
        <v>0</v>
      </c>
      <c r="L4173" s="116">
        <f>E4173*I4173</f>
        <v>0</v>
      </c>
    </row>
    <row r="4174" spans="2:12" ht="17.25" thickBot="1" x14ac:dyDescent="0.35">
      <c r="L4174" s="116"/>
    </row>
    <row r="4175" spans="2:12" ht="17.25" thickBot="1" x14ac:dyDescent="0.35">
      <c r="F4175" s="402" t="s">
        <v>19</v>
      </c>
      <c r="G4175" s="403"/>
      <c r="H4175" s="403"/>
      <c r="I4175" s="404"/>
      <c r="K4175" s="224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127"/>
      <c r="H4176" s="128"/>
      <c r="I4176" s="106"/>
      <c r="K4176" s="225"/>
    </row>
    <row r="4177" spans="1:16" ht="15" customHeight="1" thickBot="1" x14ac:dyDescent="0.35"/>
    <row r="4178" spans="1:16" ht="17.25" thickBot="1" x14ac:dyDescent="0.35">
      <c r="F4178" s="402" t="s">
        <v>20</v>
      </c>
      <c r="G4178" s="403"/>
      <c r="H4178" s="403"/>
      <c r="I4178" s="404"/>
      <c r="K4178" s="224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402" t="s">
        <v>21</v>
      </c>
      <c r="G4180" s="403"/>
      <c r="H4180" s="403"/>
      <c r="I4180" s="404"/>
      <c r="K4180" s="224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402" t="s">
        <v>22</v>
      </c>
      <c r="G4182" s="403"/>
      <c r="H4182" s="403"/>
      <c r="I4182" s="404"/>
      <c r="K4182" s="224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127"/>
      <c r="H4183" s="128"/>
      <c r="I4183" s="106"/>
      <c r="K4183" s="226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127"/>
      <c r="H4184" s="128"/>
      <c r="I4184" s="106"/>
      <c r="K4184" s="227"/>
      <c r="L4184" s="129"/>
      <c r="M4184" s="132"/>
      <c r="N4184" s="133"/>
    </row>
    <row r="4185" spans="1:16" ht="17.25" thickBot="1" x14ac:dyDescent="0.35">
      <c r="B4185" s="405"/>
      <c r="C4185" s="405"/>
      <c r="D4185" s="405"/>
    </row>
    <row r="4186" spans="1:16" x14ac:dyDescent="0.3">
      <c r="B4186" s="406" t="s">
        <v>23</v>
      </c>
      <c r="C4186" s="406"/>
      <c r="D4186" s="406"/>
    </row>
    <row r="4187" spans="1:16" x14ac:dyDescent="0.3">
      <c r="B4187" s="155"/>
      <c r="C4187" s="155"/>
      <c r="D4187" s="155"/>
    </row>
    <row r="4189" spans="1:16" x14ac:dyDescent="0.3">
      <c r="B4189" s="103" t="s">
        <v>43</v>
      </c>
      <c r="C4189" s="104"/>
      <c r="D4189" s="422" t="s">
        <v>1</v>
      </c>
      <c r="E4189" s="422"/>
      <c r="F4189" s="422"/>
      <c r="G4189" s="422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09">
        <f>CATALOGO!B104</f>
        <v>111.03</v>
      </c>
      <c r="C4190" s="135"/>
      <c r="D4190" s="435" t="str">
        <f>CATALOGO!C104</f>
        <v>DEMOLICIÓN DE PISO CERÁMICO/PORCELANATO</v>
      </c>
      <c r="E4190" s="435"/>
      <c r="F4190" s="435"/>
      <c r="G4190" s="435"/>
      <c r="H4190" s="135"/>
      <c r="I4190" s="209">
        <f>CATALOGO!D104</f>
        <v>37</v>
      </c>
      <c r="J4190" s="107"/>
      <c r="K4190" s="222" t="str">
        <f>CATALOGO!G104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413" t="s">
        <v>5</v>
      </c>
      <c r="D4192" s="413"/>
      <c r="E4192" s="413"/>
      <c r="F4192" s="413"/>
      <c r="G4192" s="414"/>
    </row>
    <row r="4193" spans="2:12" x14ac:dyDescent="0.3">
      <c r="B4193" s="109" t="s">
        <v>6</v>
      </c>
      <c r="C4193" s="424" t="s">
        <v>1</v>
      </c>
      <c r="D4193" s="425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3" t="s">
        <v>8</v>
      </c>
      <c r="L4193" s="113" t="s">
        <v>193</v>
      </c>
    </row>
    <row r="4194" spans="2:12" x14ac:dyDescent="0.3">
      <c r="B4194" s="74"/>
      <c r="C4194" s="409"/>
      <c r="D4194" s="409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409"/>
      <c r="D4195" s="409"/>
      <c r="E4195" s="114"/>
      <c r="F4195" s="83"/>
      <c r="G4195" s="74"/>
      <c r="I4195" s="115">
        <f>IF(C4195=0,0,VLOOKUP(C4195,Tabla1[],3,FALSE))</f>
        <v>0</v>
      </c>
      <c r="K4195" s="84">
        <f t="shared" ref="K4195:K4203" si="117">+F4195*I4195</f>
        <v>0</v>
      </c>
      <c r="L4195" s="116">
        <f t="shared" ref="L4195:L4203" si="118">E4195*I4195</f>
        <v>0</v>
      </c>
    </row>
    <row r="4196" spans="2:12" x14ac:dyDescent="0.3">
      <c r="B4196" s="74"/>
      <c r="C4196" s="409"/>
      <c r="D4196" s="409"/>
      <c r="E4196" s="114"/>
      <c r="F4196" s="83"/>
      <c r="G4196" s="74"/>
      <c r="I4196" s="115">
        <f>IF(C4196=0,0,VLOOKUP(C4196,Tabla1[],3,FALSE))</f>
        <v>0</v>
      </c>
      <c r="K4196" s="84">
        <f t="shared" si="117"/>
        <v>0</v>
      </c>
      <c r="L4196" s="116">
        <f t="shared" si="118"/>
        <v>0</v>
      </c>
    </row>
    <row r="4197" spans="2:12" x14ac:dyDescent="0.3">
      <c r="B4197" s="74"/>
      <c r="C4197" s="409"/>
      <c r="D4197" s="409"/>
      <c r="E4197" s="114"/>
      <c r="F4197" s="83"/>
      <c r="G4197" s="74"/>
      <c r="I4197" s="115">
        <f>IF(C4197=0,0,VLOOKUP(C4197,Tabla1[],3,FALSE))</f>
        <v>0</v>
      </c>
      <c r="K4197" s="84">
        <f t="shared" si="117"/>
        <v>0</v>
      </c>
      <c r="L4197" s="116">
        <f t="shared" si="118"/>
        <v>0</v>
      </c>
    </row>
    <row r="4198" spans="2:12" x14ac:dyDescent="0.3">
      <c r="B4198" s="74"/>
      <c r="C4198" s="410"/>
      <c r="D4198" s="410"/>
      <c r="E4198" s="114"/>
      <c r="F4198" s="83"/>
      <c r="G4198" s="74"/>
      <c r="I4198" s="115">
        <f>IF(C4198=0,0,VLOOKUP(C4198,Tabla1[],3,FALSE))</f>
        <v>0</v>
      </c>
      <c r="K4198" s="84">
        <f t="shared" si="117"/>
        <v>0</v>
      </c>
      <c r="L4198" s="116">
        <f t="shared" si="118"/>
        <v>0</v>
      </c>
    </row>
    <row r="4199" spans="2:12" x14ac:dyDescent="0.3">
      <c r="B4199" s="74"/>
      <c r="C4199" s="410"/>
      <c r="D4199" s="410"/>
      <c r="E4199" s="114"/>
      <c r="F4199" s="72"/>
      <c r="G4199" s="74"/>
      <c r="I4199" s="115">
        <f>IF(C4199=0,0,VLOOKUP(C4199,Tabla1[],3,FALSE))</f>
        <v>0</v>
      </c>
      <c r="K4199" s="84">
        <f t="shared" si="117"/>
        <v>0</v>
      </c>
      <c r="L4199" s="116">
        <f t="shared" si="118"/>
        <v>0</v>
      </c>
    </row>
    <row r="4200" spans="2:12" x14ac:dyDescent="0.3">
      <c r="B4200" s="74"/>
      <c r="C4200" s="410"/>
      <c r="D4200" s="410"/>
      <c r="E4200" s="114"/>
      <c r="F4200" s="72"/>
      <c r="G4200" s="74"/>
      <c r="I4200" s="115">
        <f>IF(C4200=0,0,VLOOKUP(C4200,Tabla1[],3,FALSE))</f>
        <v>0</v>
      </c>
      <c r="K4200" s="84">
        <f t="shared" si="117"/>
        <v>0</v>
      </c>
      <c r="L4200" s="116">
        <f t="shared" si="118"/>
        <v>0</v>
      </c>
    </row>
    <row r="4201" spans="2:12" x14ac:dyDescent="0.3">
      <c r="B4201" s="74"/>
      <c r="C4201" s="410"/>
      <c r="D4201" s="410"/>
      <c r="E4201" s="114"/>
      <c r="F4201" s="72"/>
      <c r="G4201" s="74"/>
      <c r="I4201" s="115">
        <f>IF(C4201=0,0,VLOOKUP(C4201,Tabla1[],3,FALSE))</f>
        <v>0</v>
      </c>
      <c r="K4201" s="84">
        <f t="shared" si="117"/>
        <v>0</v>
      </c>
      <c r="L4201" s="116">
        <f t="shared" si="118"/>
        <v>0</v>
      </c>
    </row>
    <row r="4202" spans="2:12" x14ac:dyDescent="0.3">
      <c r="B4202" s="74"/>
      <c r="C4202" s="410"/>
      <c r="D4202" s="410"/>
      <c r="E4202" s="114"/>
      <c r="F4202" s="72"/>
      <c r="G4202" s="74"/>
      <c r="I4202" s="115">
        <f>IF(C4202=0,0,VLOOKUP(C4202,Tabla1[],3,FALSE))</f>
        <v>0</v>
      </c>
      <c r="K4202" s="84">
        <f t="shared" si="117"/>
        <v>0</v>
      </c>
      <c r="L4202" s="116">
        <f t="shared" si="118"/>
        <v>0</v>
      </c>
    </row>
    <row r="4203" spans="2:12" x14ac:dyDescent="0.3">
      <c r="B4203" s="74"/>
      <c r="C4203" s="410"/>
      <c r="D4203" s="410"/>
      <c r="E4203" s="114"/>
      <c r="F4203" s="72"/>
      <c r="G4203" s="74"/>
      <c r="I4203" s="115">
        <f>IF(C4203=0,0,VLOOKUP(C4203,Tabla1[],3,FALSE))</f>
        <v>0</v>
      </c>
      <c r="K4203" s="84">
        <f t="shared" si="117"/>
        <v>0</v>
      </c>
      <c r="L4203" s="116">
        <f t="shared" si="118"/>
        <v>0</v>
      </c>
    </row>
    <row r="4204" spans="2:12" ht="17.25" thickBot="1" x14ac:dyDescent="0.35"/>
    <row r="4205" spans="2:12" ht="17.25" thickBot="1" x14ac:dyDescent="0.35">
      <c r="F4205" s="402" t="s">
        <v>9</v>
      </c>
      <c r="G4205" s="403"/>
      <c r="H4205" s="403"/>
      <c r="I4205" s="404"/>
      <c r="K4205" s="224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413" t="s">
        <v>11</v>
      </c>
      <c r="D4207" s="413"/>
      <c r="E4207" s="413"/>
      <c r="F4207" s="413"/>
      <c r="G4207" s="414"/>
    </row>
    <row r="4208" spans="2:12" x14ac:dyDescent="0.3">
      <c r="B4208" s="112" t="s">
        <v>6</v>
      </c>
      <c r="C4208" s="415" t="s">
        <v>1</v>
      </c>
      <c r="D4208" s="416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409"/>
      <c r="D4209" s="409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02"/>
      <c r="D4210" s="203"/>
      <c r="E4210" s="119"/>
      <c r="F4210" s="72"/>
      <c r="G4210" s="74"/>
      <c r="I4210" s="115">
        <f>IF(C4210=0,0,VLOOKUP(C4210,Tabla3[],3,FALSE))</f>
        <v>0</v>
      </c>
      <c r="K4210" s="84">
        <f>+F4210*I4210</f>
        <v>0</v>
      </c>
      <c r="L4210" s="116">
        <f>E4210*I4210</f>
        <v>0</v>
      </c>
    </row>
    <row r="4211" spans="2:12" x14ac:dyDescent="0.3">
      <c r="B4211" s="74"/>
      <c r="C4211" s="202"/>
      <c r="D4211" s="203"/>
      <c r="E4211" s="119"/>
      <c r="F4211" s="72"/>
      <c r="G4211" s="74"/>
      <c r="I4211" s="115">
        <f>IF(C4211=0,0,VLOOKUP(C4211,Tabla3[],3,FALSE))</f>
        <v>0</v>
      </c>
      <c r="K4211" s="84">
        <f>+F4211*I4211</f>
        <v>0</v>
      </c>
      <c r="L4211" s="116">
        <f>E4211*I4211</f>
        <v>0</v>
      </c>
    </row>
    <row r="4212" spans="2:12" x14ac:dyDescent="0.3">
      <c r="B4212" s="74"/>
      <c r="C4212" s="411"/>
      <c r="D4212" s="412"/>
      <c r="E4212" s="119"/>
      <c r="F4212" s="72"/>
      <c r="G4212" s="74"/>
      <c r="I4212" s="115">
        <f>IF(C4212=0,0,VLOOKUP(C4212,Tabla3[],3,FALSE))</f>
        <v>0</v>
      </c>
      <c r="K4212" s="84">
        <f>+F4212*I4212</f>
        <v>0</v>
      </c>
      <c r="L4212" s="116">
        <f>E4212*I4212</f>
        <v>0</v>
      </c>
    </row>
    <row r="4213" spans="2:12" ht="17.25" thickBot="1" x14ac:dyDescent="0.35"/>
    <row r="4214" spans="2:12" ht="17.25" thickBot="1" x14ac:dyDescent="0.35">
      <c r="F4214" s="402" t="s">
        <v>12</v>
      </c>
      <c r="G4214" s="403"/>
      <c r="H4214" s="403"/>
      <c r="I4214" s="404"/>
      <c r="K4214" s="224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413" t="s">
        <v>14</v>
      </c>
      <c r="D4216" s="413"/>
      <c r="E4216" s="413"/>
      <c r="F4216" s="413"/>
      <c r="G4216" s="414"/>
    </row>
    <row r="4217" spans="2:12" x14ac:dyDescent="0.3">
      <c r="B4217" s="112" t="s">
        <v>6</v>
      </c>
      <c r="C4217" s="415" t="s">
        <v>1</v>
      </c>
      <c r="D4217" s="416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409" t="s">
        <v>194</v>
      </c>
      <c r="D4218" s="409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409"/>
      <c r="D4219" s="409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417"/>
      <c r="D4220" s="418"/>
      <c r="E4220" s="122"/>
      <c r="F4220" s="123"/>
      <c r="G4220" s="74"/>
      <c r="I4220" s="115">
        <f>IF(C4220=0,0,VLOOKUP(C4220,Tabla2[],3,FALSE))</f>
        <v>0</v>
      </c>
      <c r="K4220" s="84">
        <f>+F4220*I4220</f>
        <v>0</v>
      </c>
      <c r="L4220" s="116">
        <f>E4220*I4220</f>
        <v>0</v>
      </c>
    </row>
    <row r="4221" spans="2:12" ht="17.25" thickBot="1" x14ac:dyDescent="0.35">
      <c r="B4221" s="419" t="s">
        <v>15</v>
      </c>
      <c r="C4221" s="420"/>
      <c r="D4221" s="420"/>
      <c r="E4221" s="420"/>
      <c r="F4221" s="420"/>
      <c r="G4221" s="421"/>
      <c r="I4221" s="84">
        <v>0</v>
      </c>
      <c r="K4221" s="84">
        <v>0</v>
      </c>
      <c r="L4221" s="116">
        <f>E4221*I4221</f>
        <v>0</v>
      </c>
    </row>
    <row r="4222" spans="2:12" ht="17.25" thickBot="1" x14ac:dyDescent="0.35"/>
    <row r="4223" spans="2:12" ht="17.25" thickBot="1" x14ac:dyDescent="0.35">
      <c r="F4223" s="402" t="s">
        <v>16</v>
      </c>
      <c r="G4223" s="403"/>
      <c r="H4223" s="403"/>
      <c r="I4223" s="404"/>
      <c r="K4223" s="224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413" t="s">
        <v>18</v>
      </c>
      <c r="D4225" s="413"/>
      <c r="E4225" s="413"/>
      <c r="F4225" s="413"/>
      <c r="G4225" s="414"/>
    </row>
    <row r="4226" spans="2:16" x14ac:dyDescent="0.3">
      <c r="B4226" s="112" t="s">
        <v>6</v>
      </c>
      <c r="C4226" s="415" t="s">
        <v>1</v>
      </c>
      <c r="D4226" s="416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411"/>
      <c r="D4227" s="412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411"/>
      <c r="D4228" s="412"/>
      <c r="E4228" s="125"/>
      <c r="F4228" s="72"/>
      <c r="G4228" s="74"/>
      <c r="I4228" s="84">
        <v>0</v>
      </c>
      <c r="K4228" s="84">
        <f>+F4228*I4228</f>
        <v>0</v>
      </c>
      <c r="L4228" s="116">
        <f>E4228*I4228</f>
        <v>0</v>
      </c>
    </row>
    <row r="4229" spans="2:16" x14ac:dyDescent="0.3">
      <c r="B4229" s="74"/>
      <c r="C4229" s="411"/>
      <c r="D4229" s="412"/>
      <c r="E4229" s="125"/>
      <c r="F4229" s="72"/>
      <c r="G4229" s="74"/>
      <c r="I4229" s="84">
        <v>0</v>
      </c>
      <c r="K4229" s="84">
        <f>+F4229*I4229</f>
        <v>0</v>
      </c>
      <c r="L4229" s="116">
        <f>E4229*I4229</f>
        <v>0</v>
      </c>
    </row>
    <row r="4230" spans="2:16" ht="17.25" thickBot="1" x14ac:dyDescent="0.35">
      <c r="L4230" s="116"/>
    </row>
    <row r="4231" spans="2:16" ht="17.25" thickBot="1" x14ac:dyDescent="0.35">
      <c r="F4231" s="402" t="s">
        <v>19</v>
      </c>
      <c r="G4231" s="403"/>
      <c r="H4231" s="403"/>
      <c r="I4231" s="404"/>
      <c r="K4231" s="224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127"/>
      <c r="H4232" s="128"/>
      <c r="I4232" s="106"/>
      <c r="K4232" s="225"/>
    </row>
    <row r="4233" spans="2:16" ht="15" customHeight="1" thickBot="1" x14ac:dyDescent="0.35"/>
    <row r="4234" spans="2:16" ht="17.25" thickBot="1" x14ac:dyDescent="0.35">
      <c r="F4234" s="402" t="s">
        <v>20</v>
      </c>
      <c r="G4234" s="403"/>
      <c r="H4234" s="403"/>
      <c r="I4234" s="404"/>
      <c r="K4234" s="224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402" t="s">
        <v>21</v>
      </c>
      <c r="G4236" s="403"/>
      <c r="H4236" s="403"/>
      <c r="I4236" s="404"/>
      <c r="K4236" s="224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402" t="s">
        <v>22</v>
      </c>
      <c r="G4238" s="403"/>
      <c r="H4238" s="403"/>
      <c r="I4238" s="404"/>
      <c r="K4238" s="224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127"/>
      <c r="H4239" s="128"/>
      <c r="I4239" s="106"/>
      <c r="K4239" s="226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127"/>
      <c r="H4240" s="128"/>
      <c r="I4240" s="106"/>
      <c r="K4240" s="227"/>
      <c r="L4240" s="129"/>
      <c r="M4240" s="132"/>
      <c r="N4240" s="133"/>
    </row>
    <row r="4241" spans="1:16" ht="17.25" thickBot="1" x14ac:dyDescent="0.35">
      <c r="B4241" s="405"/>
      <c r="C4241" s="405"/>
      <c r="D4241" s="405"/>
    </row>
    <row r="4242" spans="1:16" x14ac:dyDescent="0.3">
      <c r="B4242" s="406" t="s">
        <v>23</v>
      </c>
      <c r="C4242" s="406"/>
      <c r="D4242" s="406"/>
    </row>
    <row r="4243" spans="1:16" x14ac:dyDescent="0.3">
      <c r="B4243" s="155"/>
      <c r="C4243" s="155"/>
      <c r="D4243" s="155"/>
    </row>
    <row r="4245" spans="1:16" x14ac:dyDescent="0.3">
      <c r="B4245" s="103" t="s">
        <v>43</v>
      </c>
      <c r="C4245" s="104"/>
      <c r="D4245" s="422" t="s">
        <v>1</v>
      </c>
      <c r="E4245" s="422"/>
      <c r="F4245" s="422"/>
      <c r="G4245" s="422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09">
        <f>CATALOGO!B105</f>
        <v>114.03</v>
      </c>
      <c r="C4246" s="135"/>
      <c r="D4246" s="435" t="str">
        <f>CATALOGO!C105</f>
        <v>DESMONTAJE DE CUBIERTA DE TECHO</v>
      </c>
      <c r="E4246" s="435"/>
      <c r="F4246" s="435"/>
      <c r="G4246" s="435"/>
      <c r="H4246" s="135"/>
      <c r="I4246" s="209">
        <f>CATALOGO!D105</f>
        <v>21</v>
      </c>
      <c r="J4246" s="107"/>
      <c r="K4246" s="222" t="str">
        <f>CATALOGO!G105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413" t="s">
        <v>5</v>
      </c>
      <c r="D4248" s="413"/>
      <c r="E4248" s="413"/>
      <c r="F4248" s="413"/>
      <c r="G4248" s="414"/>
    </row>
    <row r="4249" spans="1:16" x14ac:dyDescent="0.3">
      <c r="B4249" s="109" t="s">
        <v>6</v>
      </c>
      <c r="C4249" s="424" t="s">
        <v>1</v>
      </c>
      <c r="D4249" s="425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3" t="s">
        <v>8</v>
      </c>
      <c r="L4249" s="113" t="s">
        <v>193</v>
      </c>
    </row>
    <row r="4250" spans="1:16" x14ac:dyDescent="0.3">
      <c r="B4250" s="74"/>
      <c r="C4250" s="409"/>
      <c r="D4250" s="409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409"/>
      <c r="D4251" s="409"/>
      <c r="E4251" s="114"/>
      <c r="F4251" s="83"/>
      <c r="G4251" s="74"/>
      <c r="I4251" s="115">
        <f>IF(C4251=0,0,VLOOKUP(C4251,Tabla1[],3,FALSE))</f>
        <v>0</v>
      </c>
      <c r="K4251" s="84">
        <f>+F4251*I4251</f>
        <v>0</v>
      </c>
      <c r="L4251" s="116">
        <f>E4251*I4251</f>
        <v>0</v>
      </c>
    </row>
    <row r="4252" spans="1:16" x14ac:dyDescent="0.3">
      <c r="B4252" s="74"/>
      <c r="C4252" s="409"/>
      <c r="D4252" s="409"/>
      <c r="E4252" s="114"/>
      <c r="F4252" s="83"/>
      <c r="G4252" s="74"/>
      <c r="I4252" s="115">
        <f>IF(C4252=0,0,VLOOKUP(C4252,Tabla1[],3,FALSE))</f>
        <v>0</v>
      </c>
      <c r="K4252" s="84">
        <f>+F4252*I4252</f>
        <v>0</v>
      </c>
      <c r="L4252" s="116">
        <f>E4252*I4252</f>
        <v>0</v>
      </c>
    </row>
    <row r="4253" spans="1:16" x14ac:dyDescent="0.3">
      <c r="B4253" s="74"/>
      <c r="C4253" s="409"/>
      <c r="D4253" s="409"/>
      <c r="E4253" s="114"/>
      <c r="F4253" s="83"/>
      <c r="G4253" s="74"/>
      <c r="I4253" s="115">
        <f>IF(C4253=0,0,VLOOKUP(C4253,Tabla1[],3,FALSE))</f>
        <v>0</v>
      </c>
      <c r="K4253" s="84">
        <f>+F4253*I4253</f>
        <v>0</v>
      </c>
      <c r="L4253" s="116">
        <f>E4253*I4253</f>
        <v>0</v>
      </c>
    </row>
    <row r="4254" spans="1:16" x14ac:dyDescent="0.3">
      <c r="B4254" s="74"/>
      <c r="C4254" s="410"/>
      <c r="D4254" s="410"/>
      <c r="E4254" s="114"/>
      <c r="F4254" s="72"/>
      <c r="G4254" s="74"/>
      <c r="I4254" s="115">
        <f>IF(C4254=0,0,VLOOKUP(C4254,Tabla1[],3,FALSE))</f>
        <v>0</v>
      </c>
      <c r="K4254" s="84">
        <f>+F4254*I4254</f>
        <v>0</v>
      </c>
      <c r="L4254" s="116">
        <f>E4254*I4254</f>
        <v>0</v>
      </c>
    </row>
    <row r="4255" spans="1:16" ht="17.25" thickBot="1" x14ac:dyDescent="0.35"/>
    <row r="4256" spans="1:16" ht="17.25" thickBot="1" x14ac:dyDescent="0.35">
      <c r="F4256" s="402" t="s">
        <v>9</v>
      </c>
      <c r="G4256" s="403"/>
      <c r="H4256" s="403"/>
      <c r="I4256" s="404"/>
      <c r="K4256" s="224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413" t="s">
        <v>11</v>
      </c>
      <c r="D4258" s="413"/>
      <c r="E4258" s="413"/>
      <c r="F4258" s="413"/>
      <c r="G4258" s="414"/>
    </row>
    <row r="4259" spans="2:12" x14ac:dyDescent="0.3">
      <c r="B4259" s="112" t="s">
        <v>6</v>
      </c>
      <c r="C4259" s="415" t="s">
        <v>1</v>
      </c>
      <c r="D4259" s="416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409"/>
      <c r="D4260" s="409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02"/>
      <c r="D4261" s="203"/>
      <c r="E4261" s="119"/>
      <c r="F4261" s="72"/>
      <c r="G4261" s="74"/>
      <c r="I4261" s="115">
        <f>IF(C4261=0,0,VLOOKUP(C4261,Tabla3[],3,FALSE))</f>
        <v>0</v>
      </c>
      <c r="K4261" s="84">
        <f>+F4261*I4261</f>
        <v>0</v>
      </c>
      <c r="L4261" s="116">
        <f>E4261*I4261</f>
        <v>0</v>
      </c>
    </row>
    <row r="4262" spans="2:12" x14ac:dyDescent="0.3">
      <c r="B4262" s="74"/>
      <c r="C4262" s="202"/>
      <c r="D4262" s="203"/>
      <c r="E4262" s="119"/>
      <c r="F4262" s="72"/>
      <c r="G4262" s="74"/>
      <c r="I4262" s="115">
        <f>IF(C4262=0,0,VLOOKUP(C4262,Tabla3[],3,FALSE))</f>
        <v>0</v>
      </c>
      <c r="K4262" s="84">
        <f>+F4262*I4262</f>
        <v>0</v>
      </c>
      <c r="L4262" s="116">
        <f>E4262*I4262</f>
        <v>0</v>
      </c>
    </row>
    <row r="4263" spans="2:12" x14ac:dyDescent="0.3">
      <c r="B4263" s="74"/>
      <c r="C4263" s="411"/>
      <c r="D4263" s="412"/>
      <c r="E4263" s="119"/>
      <c r="F4263" s="72"/>
      <c r="G4263" s="74"/>
      <c r="I4263" s="115">
        <f>IF(C4263=0,0,VLOOKUP(C4263,Tabla3[],3,FALSE))</f>
        <v>0</v>
      </c>
      <c r="K4263" s="84">
        <f>+F4263*I4263</f>
        <v>0</v>
      </c>
      <c r="L4263" s="116">
        <f>E4263*I4263</f>
        <v>0</v>
      </c>
    </row>
    <row r="4264" spans="2:12" ht="17.25" thickBot="1" x14ac:dyDescent="0.35"/>
    <row r="4265" spans="2:12" ht="17.25" thickBot="1" x14ac:dyDescent="0.35">
      <c r="F4265" s="402" t="s">
        <v>12</v>
      </c>
      <c r="G4265" s="403"/>
      <c r="H4265" s="403"/>
      <c r="I4265" s="404"/>
      <c r="K4265" s="224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413" t="s">
        <v>14</v>
      </c>
      <c r="D4267" s="413"/>
      <c r="E4267" s="413"/>
      <c r="F4267" s="413"/>
      <c r="G4267" s="414"/>
    </row>
    <row r="4268" spans="2:12" x14ac:dyDescent="0.3">
      <c r="B4268" s="112" t="s">
        <v>6</v>
      </c>
      <c r="C4268" s="415" t="s">
        <v>1</v>
      </c>
      <c r="D4268" s="416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409" t="s">
        <v>276</v>
      </c>
      <c r="D4269" s="409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409"/>
      <c r="D4270" s="409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417"/>
      <c r="D4271" s="418"/>
      <c r="E4271" s="122"/>
      <c r="F4271" s="123"/>
      <c r="G4271" s="74"/>
      <c r="I4271" s="115">
        <f>IF(C4271=0,0,VLOOKUP(C4271,Tabla2[],3,FALSE))</f>
        <v>0</v>
      </c>
      <c r="K4271" s="84">
        <f>+F4271*I4271</f>
        <v>0</v>
      </c>
      <c r="L4271" s="116">
        <f>E4271*I4271</f>
        <v>0</v>
      </c>
    </row>
    <row r="4272" spans="2:12" ht="17.25" thickBot="1" x14ac:dyDescent="0.35">
      <c r="B4272" s="419" t="s">
        <v>15</v>
      </c>
      <c r="C4272" s="420"/>
      <c r="D4272" s="420"/>
      <c r="E4272" s="420"/>
      <c r="F4272" s="420"/>
      <c r="G4272" s="421"/>
      <c r="I4272" s="84">
        <v>0</v>
      </c>
      <c r="K4272" s="84">
        <v>0</v>
      </c>
      <c r="L4272" s="116">
        <f>E4272*I4272</f>
        <v>0</v>
      </c>
    </row>
    <row r="4273" spans="2:16" ht="17.25" thickBot="1" x14ac:dyDescent="0.35"/>
    <row r="4274" spans="2:16" ht="17.25" thickBot="1" x14ac:dyDescent="0.35">
      <c r="F4274" s="402" t="s">
        <v>16</v>
      </c>
      <c r="G4274" s="403"/>
      <c r="H4274" s="403"/>
      <c r="I4274" s="404"/>
      <c r="K4274" s="224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413" t="s">
        <v>18</v>
      </c>
      <c r="D4276" s="413"/>
      <c r="E4276" s="413"/>
      <c r="F4276" s="413"/>
      <c r="G4276" s="414"/>
    </row>
    <row r="4277" spans="2:16" x14ac:dyDescent="0.3">
      <c r="B4277" s="112" t="s">
        <v>6</v>
      </c>
      <c r="C4277" s="415" t="s">
        <v>1</v>
      </c>
      <c r="D4277" s="416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411"/>
      <c r="D4278" s="412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411"/>
      <c r="D4279" s="412"/>
      <c r="E4279" s="125"/>
      <c r="F4279" s="72"/>
      <c r="G4279" s="74"/>
      <c r="I4279" s="84">
        <v>0</v>
      </c>
      <c r="K4279" s="84">
        <f>+F4279*I4279</f>
        <v>0</v>
      </c>
      <c r="L4279" s="116">
        <f>E4279*I4279</f>
        <v>0</v>
      </c>
    </row>
    <row r="4280" spans="2:16" x14ac:dyDescent="0.3">
      <c r="B4280" s="74"/>
      <c r="C4280" s="411"/>
      <c r="D4280" s="412"/>
      <c r="E4280" s="125"/>
      <c r="F4280" s="72"/>
      <c r="G4280" s="74"/>
      <c r="I4280" s="84">
        <v>0</v>
      </c>
      <c r="K4280" s="84">
        <f>+F4280*I4280</f>
        <v>0</v>
      </c>
      <c r="L4280" s="116">
        <f>E4280*I4280</f>
        <v>0</v>
      </c>
    </row>
    <row r="4281" spans="2:16" ht="17.25" thickBot="1" x14ac:dyDescent="0.35">
      <c r="L4281" s="116"/>
    </row>
    <row r="4282" spans="2:16" ht="17.25" thickBot="1" x14ac:dyDescent="0.35">
      <c r="F4282" s="402" t="s">
        <v>19</v>
      </c>
      <c r="G4282" s="403"/>
      <c r="H4282" s="403"/>
      <c r="I4282" s="404"/>
      <c r="K4282" s="224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127"/>
      <c r="H4283" s="128"/>
      <c r="I4283" s="106"/>
      <c r="K4283" s="225"/>
    </row>
    <row r="4284" spans="2:16" ht="15" customHeight="1" thickBot="1" x14ac:dyDescent="0.35"/>
    <row r="4285" spans="2:16" ht="17.25" thickBot="1" x14ac:dyDescent="0.35">
      <c r="F4285" s="402" t="s">
        <v>20</v>
      </c>
      <c r="G4285" s="403"/>
      <c r="H4285" s="403"/>
      <c r="I4285" s="404"/>
      <c r="K4285" s="224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402" t="s">
        <v>21</v>
      </c>
      <c r="G4287" s="403"/>
      <c r="H4287" s="403"/>
      <c r="I4287" s="404"/>
      <c r="K4287" s="224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402" t="s">
        <v>22</v>
      </c>
      <c r="G4289" s="403"/>
      <c r="H4289" s="403"/>
      <c r="I4289" s="404"/>
      <c r="K4289" s="224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127"/>
      <c r="H4290" s="128"/>
      <c r="I4290" s="106"/>
      <c r="K4290" s="226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127"/>
      <c r="H4291" s="128"/>
      <c r="I4291" s="106"/>
      <c r="K4291" s="227"/>
      <c r="L4291" s="129"/>
      <c r="M4291" s="132"/>
      <c r="N4291" s="133"/>
    </row>
    <row r="4292" spans="1:16" ht="17.25" thickBot="1" x14ac:dyDescent="0.35">
      <c r="B4292" s="405"/>
      <c r="C4292" s="405"/>
      <c r="D4292" s="405"/>
    </row>
    <row r="4293" spans="1:16" x14ac:dyDescent="0.3">
      <c r="B4293" s="406" t="s">
        <v>23</v>
      </c>
      <c r="C4293" s="406"/>
      <c r="D4293" s="406"/>
    </row>
    <row r="4294" spans="1:16" x14ac:dyDescent="0.3">
      <c r="B4294" s="155"/>
      <c r="C4294" s="155"/>
      <c r="D4294" s="155"/>
    </row>
    <row r="4295" spans="1:16" x14ac:dyDescent="0.3">
      <c r="B4295" s="155"/>
      <c r="C4295" s="155"/>
      <c r="D4295" s="155"/>
    </row>
    <row r="4296" spans="1:16" x14ac:dyDescent="0.3">
      <c r="B4296" s="103" t="s">
        <v>43</v>
      </c>
      <c r="C4296" s="104"/>
      <c r="D4296" s="422" t="s">
        <v>1</v>
      </c>
      <c r="E4296" s="422"/>
      <c r="F4296" s="422"/>
      <c r="G4296" s="422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09">
        <f>CATALOGO!B106</f>
        <v>118.01</v>
      </c>
      <c r="C4297" s="135"/>
      <c r="D4297" s="435" t="str">
        <f>CATALOGO!C106</f>
        <v>DESMONTAJE DE ACCESORIOS ELÉCTRICOS</v>
      </c>
      <c r="E4297" s="435"/>
      <c r="F4297" s="435"/>
      <c r="G4297" s="435"/>
      <c r="H4297" s="135"/>
      <c r="I4297" s="209">
        <f>CATALOGO!D106</f>
        <v>3</v>
      </c>
      <c r="J4297" s="107"/>
      <c r="K4297" s="222" t="str">
        <f>CATALOGO!G106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413" t="s">
        <v>5</v>
      </c>
      <c r="D4299" s="413"/>
      <c r="E4299" s="413"/>
      <c r="F4299" s="413"/>
      <c r="G4299" s="414"/>
    </row>
    <row r="4300" spans="1:16" x14ac:dyDescent="0.3">
      <c r="B4300" s="109" t="s">
        <v>6</v>
      </c>
      <c r="C4300" s="424" t="s">
        <v>1</v>
      </c>
      <c r="D4300" s="425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3" t="s">
        <v>8</v>
      </c>
      <c r="L4300" s="113" t="s">
        <v>193</v>
      </c>
    </row>
    <row r="4301" spans="1:16" x14ac:dyDescent="0.3">
      <c r="B4301" s="74"/>
      <c r="C4301" s="409"/>
      <c r="D4301" s="409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409"/>
      <c r="D4302" s="409"/>
      <c r="E4302" s="114"/>
      <c r="F4302" s="83"/>
      <c r="G4302" s="74"/>
      <c r="I4302" s="115">
        <f>IF(C4302=0,0,VLOOKUP(C4302,Tabla1[],3,FALSE))</f>
        <v>0</v>
      </c>
      <c r="K4302" s="84">
        <f>+F4302*I4302</f>
        <v>0</v>
      </c>
      <c r="L4302" s="116">
        <f>E4302*I4302</f>
        <v>0</v>
      </c>
    </row>
    <row r="4303" spans="1:16" x14ac:dyDescent="0.3">
      <c r="B4303" s="74"/>
      <c r="C4303" s="410"/>
      <c r="D4303" s="410"/>
      <c r="E4303" s="114"/>
      <c r="F4303" s="72"/>
      <c r="G4303" s="74"/>
      <c r="I4303" s="115">
        <f>IF(C4303=0,0,VLOOKUP(C4303,Tabla1[],3,FALSE))</f>
        <v>0</v>
      </c>
      <c r="K4303" s="84">
        <f>+F4303*I4303</f>
        <v>0</v>
      </c>
      <c r="L4303" s="116">
        <f>E4303*I4303</f>
        <v>0</v>
      </c>
    </row>
    <row r="4304" spans="1:16" ht="17.25" thickBot="1" x14ac:dyDescent="0.35"/>
    <row r="4305" spans="2:12" ht="17.25" thickBot="1" x14ac:dyDescent="0.35">
      <c r="F4305" s="402" t="s">
        <v>9</v>
      </c>
      <c r="G4305" s="403"/>
      <c r="H4305" s="403"/>
      <c r="I4305" s="404"/>
      <c r="K4305" s="224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413" t="s">
        <v>11</v>
      </c>
      <c r="D4307" s="413"/>
      <c r="E4307" s="413"/>
      <c r="F4307" s="413"/>
      <c r="G4307" s="414"/>
    </row>
    <row r="4308" spans="2:12" x14ac:dyDescent="0.3">
      <c r="B4308" s="112" t="s">
        <v>6</v>
      </c>
      <c r="C4308" s="415" t="s">
        <v>1</v>
      </c>
      <c r="D4308" s="416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409"/>
      <c r="D4309" s="409"/>
      <c r="E4309" s="114"/>
      <c r="F4309" s="83"/>
      <c r="G4309" s="74"/>
      <c r="I4309" s="115">
        <f>IF(C4309=0,0,VLOOKUP(C4309,Tabla3[],3,FALSE))</f>
        <v>0</v>
      </c>
      <c r="K4309" s="84">
        <f>+F4309*I4309</f>
        <v>0</v>
      </c>
      <c r="L4309" s="116">
        <f>E4309*I4309</f>
        <v>0</v>
      </c>
    </row>
    <row r="4310" spans="2:12" x14ac:dyDescent="0.3">
      <c r="B4310" s="74"/>
      <c r="C4310" s="202"/>
      <c r="D4310" s="203"/>
      <c r="E4310" s="119"/>
      <c r="F4310" s="72"/>
      <c r="G4310" s="74"/>
      <c r="I4310" s="115">
        <f>IF(C4310=0,0,VLOOKUP(C4310,Tabla3[],3,FALSE))</f>
        <v>0</v>
      </c>
      <c r="K4310" s="84">
        <f>+F4310*I4310</f>
        <v>0</v>
      </c>
      <c r="L4310" s="116">
        <f>E4310*I4310</f>
        <v>0</v>
      </c>
    </row>
    <row r="4311" spans="2:12" x14ac:dyDescent="0.3">
      <c r="B4311" s="74"/>
      <c r="C4311" s="202"/>
      <c r="D4311" s="203"/>
      <c r="E4311" s="119"/>
      <c r="F4311" s="72"/>
      <c r="G4311" s="74"/>
      <c r="I4311" s="115">
        <f>IF(C4311=0,0,VLOOKUP(C4311,Tabla3[],3,FALSE))</f>
        <v>0</v>
      </c>
      <c r="K4311" s="84">
        <f>+F4311*I4311</f>
        <v>0</v>
      </c>
      <c r="L4311" s="116">
        <f>E4311*I4311</f>
        <v>0</v>
      </c>
    </row>
    <row r="4312" spans="2:12" x14ac:dyDescent="0.3">
      <c r="B4312" s="74"/>
      <c r="C4312" s="411"/>
      <c r="D4312" s="412"/>
      <c r="E4312" s="119"/>
      <c r="F4312" s="72"/>
      <c r="G4312" s="74"/>
      <c r="I4312" s="115">
        <f>IF(C4312=0,0,VLOOKUP(C4312,Tabla3[],3,FALSE))</f>
        <v>0</v>
      </c>
      <c r="K4312" s="84">
        <f>+F4312*I4312</f>
        <v>0</v>
      </c>
      <c r="L4312" s="116">
        <f>E4312*I4312</f>
        <v>0</v>
      </c>
    </row>
    <row r="4313" spans="2:12" ht="17.25" thickBot="1" x14ac:dyDescent="0.35"/>
    <row r="4314" spans="2:12" ht="17.25" thickBot="1" x14ac:dyDescent="0.35">
      <c r="F4314" s="402" t="s">
        <v>12</v>
      </c>
      <c r="G4314" s="403"/>
      <c r="H4314" s="403"/>
      <c r="I4314" s="404"/>
      <c r="K4314" s="224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413" t="s">
        <v>14</v>
      </c>
      <c r="D4316" s="413"/>
      <c r="E4316" s="413"/>
      <c r="F4316" s="413"/>
      <c r="G4316" s="414"/>
    </row>
    <row r="4317" spans="2:12" x14ac:dyDescent="0.3">
      <c r="B4317" s="112" t="s">
        <v>6</v>
      </c>
      <c r="C4317" s="415" t="s">
        <v>1</v>
      </c>
      <c r="D4317" s="416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409" t="s">
        <v>463</v>
      </c>
      <c r="D4318" s="409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409"/>
      <c r="D4319" s="409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417"/>
      <c r="D4320" s="418"/>
      <c r="E4320" s="122"/>
      <c r="F4320" s="123"/>
      <c r="G4320" s="74"/>
      <c r="I4320" s="115">
        <f>IF(C4320=0,0,VLOOKUP(C4320,Tabla2[],3,FALSE))</f>
        <v>0</v>
      </c>
      <c r="K4320" s="84">
        <f>+F4320*I4320</f>
        <v>0</v>
      </c>
      <c r="L4320" s="116">
        <f>E4320*I4320</f>
        <v>0</v>
      </c>
    </row>
    <row r="4321" spans="2:16" ht="17.25" thickBot="1" x14ac:dyDescent="0.35">
      <c r="B4321" s="419" t="s">
        <v>15</v>
      </c>
      <c r="C4321" s="420"/>
      <c r="D4321" s="420"/>
      <c r="E4321" s="420"/>
      <c r="F4321" s="420"/>
      <c r="G4321" s="421"/>
      <c r="I4321" s="84">
        <v>0</v>
      </c>
      <c r="K4321" s="84">
        <v>0</v>
      </c>
      <c r="L4321" s="116">
        <f>E4321*I4321</f>
        <v>0</v>
      </c>
    </row>
    <row r="4322" spans="2:16" ht="17.25" thickBot="1" x14ac:dyDescent="0.35"/>
    <row r="4323" spans="2:16" ht="17.25" thickBot="1" x14ac:dyDescent="0.35">
      <c r="F4323" s="402" t="s">
        <v>16</v>
      </c>
      <c r="G4323" s="403"/>
      <c r="H4323" s="403"/>
      <c r="I4323" s="404"/>
      <c r="K4323" s="224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413" t="s">
        <v>18</v>
      </c>
      <c r="D4325" s="413"/>
      <c r="E4325" s="413"/>
      <c r="F4325" s="413"/>
      <c r="G4325" s="414"/>
    </row>
    <row r="4326" spans="2:16" x14ac:dyDescent="0.3">
      <c r="B4326" s="112" t="s">
        <v>6</v>
      </c>
      <c r="C4326" s="415" t="s">
        <v>1</v>
      </c>
      <c r="D4326" s="416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411"/>
      <c r="D4327" s="412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411"/>
      <c r="D4328" s="412"/>
      <c r="E4328" s="125"/>
      <c r="F4328" s="72"/>
      <c r="G4328" s="74"/>
      <c r="I4328" s="84">
        <v>0</v>
      </c>
      <c r="K4328" s="84">
        <f>+F4328*I4328</f>
        <v>0</v>
      </c>
      <c r="L4328" s="116">
        <f>E4328*I4328</f>
        <v>0</v>
      </c>
    </row>
    <row r="4329" spans="2:16" x14ac:dyDescent="0.3">
      <c r="B4329" s="74"/>
      <c r="C4329" s="411"/>
      <c r="D4329" s="412"/>
      <c r="E4329" s="125"/>
      <c r="F4329" s="72"/>
      <c r="G4329" s="74"/>
      <c r="I4329" s="84">
        <v>0</v>
      </c>
      <c r="K4329" s="84">
        <f>+F4329*I4329</f>
        <v>0</v>
      </c>
      <c r="L4329" s="116">
        <f>E4329*I4329</f>
        <v>0</v>
      </c>
    </row>
    <row r="4330" spans="2:16" ht="17.25" thickBot="1" x14ac:dyDescent="0.35">
      <c r="L4330" s="116"/>
    </row>
    <row r="4331" spans="2:16" ht="17.25" thickBot="1" x14ac:dyDescent="0.35">
      <c r="F4331" s="402" t="s">
        <v>19</v>
      </c>
      <c r="G4331" s="403"/>
      <c r="H4331" s="403"/>
      <c r="I4331" s="404"/>
      <c r="K4331" s="224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127"/>
      <c r="H4332" s="128"/>
      <c r="I4332" s="106"/>
      <c r="K4332" s="225"/>
    </row>
    <row r="4333" spans="2:16" ht="15" customHeight="1" thickBot="1" x14ac:dyDescent="0.35"/>
    <row r="4334" spans="2:16" ht="17.25" thickBot="1" x14ac:dyDescent="0.35">
      <c r="F4334" s="402" t="s">
        <v>20</v>
      </c>
      <c r="G4334" s="403"/>
      <c r="H4334" s="403"/>
      <c r="I4334" s="404"/>
      <c r="K4334" s="224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402" t="s">
        <v>21</v>
      </c>
      <c r="G4336" s="403"/>
      <c r="H4336" s="403"/>
      <c r="I4336" s="404"/>
      <c r="K4336" s="224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402" t="s">
        <v>22</v>
      </c>
      <c r="G4338" s="403"/>
      <c r="H4338" s="403"/>
      <c r="I4338" s="404"/>
      <c r="K4338" s="224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127"/>
      <c r="H4339" s="128"/>
      <c r="I4339" s="106"/>
      <c r="K4339" s="226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127"/>
      <c r="H4340" s="128"/>
      <c r="I4340" s="106"/>
      <c r="K4340" s="227"/>
      <c r="L4340" s="129"/>
      <c r="M4340" s="132"/>
      <c r="N4340" s="133"/>
    </row>
    <row r="4341" spans="1:16" ht="17.25" thickBot="1" x14ac:dyDescent="0.35">
      <c r="B4341" s="405"/>
      <c r="C4341" s="405"/>
      <c r="D4341" s="405"/>
    </row>
    <row r="4342" spans="1:16" x14ac:dyDescent="0.3">
      <c r="B4342" s="406" t="s">
        <v>23</v>
      </c>
      <c r="C4342" s="406"/>
      <c r="D4342" s="406"/>
    </row>
    <row r="4343" spans="1:16" x14ac:dyDescent="0.3">
      <c r="B4343" s="155"/>
      <c r="C4343" s="155"/>
      <c r="D4343" s="155"/>
    </row>
    <row r="4345" spans="1:16" x14ac:dyDescent="0.3">
      <c r="B4345" s="103" t="s">
        <v>43</v>
      </c>
      <c r="C4345" s="104"/>
      <c r="D4345" s="422" t="s">
        <v>1</v>
      </c>
      <c r="E4345" s="422"/>
      <c r="F4345" s="422"/>
      <c r="G4345" s="422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09">
        <f>CATALOGO!B124</f>
        <v>101.07</v>
      </c>
      <c r="C4346" s="71"/>
      <c r="D4346" s="437" t="str">
        <f>CATALOGO!C124</f>
        <v>PREPARACIÓN DE ÁREA DE TRABAJO EN REMOZAMIENTO</v>
      </c>
      <c r="E4346" s="437"/>
      <c r="F4346" s="437"/>
      <c r="G4346" s="437"/>
      <c r="H4346" s="71"/>
      <c r="I4346" s="209">
        <f>CATALOGO!D124</f>
        <v>108</v>
      </c>
      <c r="J4346" s="107"/>
      <c r="K4346" s="222" t="str">
        <f>CATALOGO!G124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413" t="s">
        <v>5</v>
      </c>
      <c r="D4348" s="413"/>
      <c r="E4348" s="413"/>
      <c r="F4348" s="413"/>
      <c r="G4348" s="414"/>
    </row>
    <row r="4349" spans="1:16" x14ac:dyDescent="0.25">
      <c r="B4349" s="109" t="s">
        <v>6</v>
      </c>
      <c r="C4349" s="424" t="s">
        <v>1</v>
      </c>
      <c r="D4349" s="425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3" t="s">
        <v>8</v>
      </c>
      <c r="L4349" s="113" t="s">
        <v>193</v>
      </c>
      <c r="O4349" s="438"/>
      <c r="P4349" s="438"/>
    </row>
    <row r="4350" spans="1:16" ht="16.5" customHeight="1" x14ac:dyDescent="0.25">
      <c r="B4350" s="120"/>
      <c r="C4350" s="407"/>
      <c r="D4350" s="408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119">E4350*I4350</f>
        <v>0</v>
      </c>
      <c r="O4350" s="44"/>
      <c r="P4350" s="45"/>
    </row>
    <row r="4351" spans="1:16" x14ac:dyDescent="0.25">
      <c r="B4351" s="120"/>
      <c r="C4351" s="407"/>
      <c r="D4351" s="408"/>
      <c r="E4351" s="114"/>
      <c r="F4351" s="83"/>
      <c r="G4351" s="74"/>
      <c r="I4351" s="115">
        <f>IF(C4351=0,0,VLOOKUP(C4351,Tabla1[],3,FALSE))</f>
        <v>0</v>
      </c>
      <c r="K4351" s="84">
        <f>+F4351*I4351</f>
        <v>0</v>
      </c>
      <c r="L4351" s="116">
        <f t="shared" si="119"/>
        <v>0</v>
      </c>
      <c r="O4351" s="44"/>
      <c r="P4351" s="47"/>
    </row>
    <row r="4352" spans="1:16" x14ac:dyDescent="0.3">
      <c r="B4352" s="120"/>
      <c r="C4352" s="407"/>
      <c r="D4352" s="408"/>
      <c r="E4352" s="114"/>
      <c r="F4352" s="83"/>
      <c r="G4352" s="74"/>
      <c r="I4352" s="115">
        <f>IF(C4352=0,0,VLOOKUP(C4352,Tabla1[],3,FALSE))</f>
        <v>0</v>
      </c>
      <c r="K4352" s="84">
        <f>+F4352*I4352</f>
        <v>0</v>
      </c>
      <c r="L4352" s="116">
        <f t="shared" si="119"/>
        <v>0</v>
      </c>
      <c r="O4352" s="48"/>
      <c r="P4352" s="49"/>
    </row>
    <row r="4353" spans="2:16" ht="16.5" customHeight="1" x14ac:dyDescent="0.25">
      <c r="B4353" s="120"/>
      <c r="C4353" s="407"/>
      <c r="D4353" s="408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119"/>
        <v>0</v>
      </c>
      <c r="O4353" s="44"/>
      <c r="P4353" s="45"/>
    </row>
    <row r="4354" spans="2:16" ht="16.5" customHeight="1" x14ac:dyDescent="0.25">
      <c r="B4354" s="120"/>
      <c r="C4354" s="407"/>
      <c r="D4354" s="408"/>
      <c r="E4354" s="114"/>
      <c r="F4354" s="83"/>
      <c r="G4354" s="74"/>
      <c r="I4354" s="115">
        <f>IF(C4354=0,0,VLOOKUP(C4354,Tabla1[],3,FALSE))</f>
        <v>0</v>
      </c>
      <c r="K4354" s="84">
        <f>+F4354*I4354</f>
        <v>0</v>
      </c>
      <c r="L4354" s="116">
        <f t="shared" si="119"/>
        <v>0</v>
      </c>
      <c r="O4354" s="44"/>
      <c r="P4354" s="46"/>
    </row>
    <row r="4355" spans="2:16" x14ac:dyDescent="0.25">
      <c r="B4355" s="120"/>
      <c r="C4355" s="407"/>
      <c r="D4355" s="408"/>
      <c r="E4355" s="114"/>
      <c r="F4355" s="83"/>
      <c r="G4355" s="74"/>
      <c r="I4355" s="115">
        <f>IF(C4355=0,0,VLOOKUP(C4355,Tabla1[],3,FALSE))</f>
        <v>0</v>
      </c>
      <c r="K4355" s="84">
        <f>+F4355*I4355</f>
        <v>0</v>
      </c>
      <c r="L4355" s="116">
        <f t="shared" si="119"/>
        <v>0</v>
      </c>
      <c r="O4355" s="44"/>
      <c r="P4355" s="46"/>
    </row>
    <row r="4356" spans="2:16" ht="17.25" thickBot="1" x14ac:dyDescent="0.35"/>
    <row r="4357" spans="2:16" ht="17.25" thickBot="1" x14ac:dyDescent="0.3">
      <c r="F4357" s="402" t="s">
        <v>9</v>
      </c>
      <c r="G4357" s="403"/>
      <c r="H4357" s="403"/>
      <c r="I4357" s="404"/>
      <c r="K4357" s="224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413" t="s">
        <v>11</v>
      </c>
      <c r="D4359" s="413"/>
      <c r="E4359" s="413"/>
      <c r="F4359" s="413"/>
      <c r="G4359" s="414"/>
    </row>
    <row r="4360" spans="2:16" x14ac:dyDescent="0.3">
      <c r="B4360" s="112" t="s">
        <v>6</v>
      </c>
      <c r="C4360" s="415" t="s">
        <v>1</v>
      </c>
      <c r="D4360" s="416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409" t="s">
        <v>189</v>
      </c>
      <c r="D4361" s="409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431"/>
      <c r="D4362" s="432"/>
      <c r="E4362" s="119"/>
      <c r="F4362" s="72"/>
      <c r="G4362" s="74"/>
      <c r="I4362" s="115">
        <f>IF(C4362=0,0,VLOOKUP(C4362,Tabla3[],3,FALSE))</f>
        <v>0</v>
      </c>
      <c r="K4362" s="84">
        <f>+F4362*I4362</f>
        <v>0</v>
      </c>
      <c r="L4362" s="116">
        <f>E4362*I4362</f>
        <v>0</v>
      </c>
    </row>
    <row r="4363" spans="2:16" x14ac:dyDescent="0.3">
      <c r="B4363" s="74"/>
      <c r="C4363" s="431"/>
      <c r="D4363" s="432"/>
      <c r="E4363" s="119"/>
      <c r="F4363" s="72"/>
      <c r="G4363" s="74"/>
      <c r="I4363" s="115">
        <f>IF(C4363=0,0,VLOOKUP(C4363,Tabla3[],3,FALSE))</f>
        <v>0</v>
      </c>
      <c r="K4363" s="84">
        <f>+F4363*I4363</f>
        <v>0</v>
      </c>
      <c r="L4363" s="116">
        <f>E4363*I4363</f>
        <v>0</v>
      </c>
    </row>
    <row r="4364" spans="2:16" x14ac:dyDescent="0.3">
      <c r="B4364" s="74"/>
      <c r="C4364" s="411"/>
      <c r="D4364" s="412"/>
      <c r="E4364" s="119"/>
      <c r="F4364" s="72"/>
      <c r="G4364" s="74"/>
      <c r="I4364" s="115">
        <f>IF(C4364=0,0,VLOOKUP(C4364,Tabla3[],3,FALSE))</f>
        <v>0</v>
      </c>
      <c r="K4364" s="84">
        <f>+F4364*I4364</f>
        <v>0</v>
      </c>
      <c r="L4364" s="116">
        <f>E4364*I4364</f>
        <v>0</v>
      </c>
    </row>
    <row r="4365" spans="2:16" ht="17.25" thickBot="1" x14ac:dyDescent="0.35"/>
    <row r="4366" spans="2:16" ht="17.25" thickBot="1" x14ac:dyDescent="0.35">
      <c r="F4366" s="402" t="s">
        <v>12</v>
      </c>
      <c r="G4366" s="403"/>
      <c r="H4366" s="403"/>
      <c r="I4366" s="404"/>
      <c r="K4366" s="224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413" t="s">
        <v>14</v>
      </c>
      <c r="D4368" s="413"/>
      <c r="E4368" s="413"/>
      <c r="F4368" s="413"/>
      <c r="G4368" s="414"/>
    </row>
    <row r="4369" spans="2:12" x14ac:dyDescent="0.3">
      <c r="B4369" s="112" t="s">
        <v>6</v>
      </c>
      <c r="C4369" s="415" t="s">
        <v>1</v>
      </c>
      <c r="D4369" s="416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409"/>
      <c r="D4370" s="409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409"/>
      <c r="D4371" s="409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417"/>
      <c r="D4372" s="418"/>
      <c r="E4372" s="122"/>
      <c r="F4372" s="123"/>
      <c r="G4372" s="74"/>
      <c r="I4372" s="115">
        <f>IF(C4372=0,0,VLOOKUP(C4372,Tabla3[],3,FALSE))</f>
        <v>0</v>
      </c>
      <c r="K4372" s="84">
        <f>+F4372*I4372</f>
        <v>0</v>
      </c>
      <c r="L4372" s="116">
        <f>E4372*I4372</f>
        <v>0</v>
      </c>
    </row>
    <row r="4373" spans="2:12" ht="17.25" thickBot="1" x14ac:dyDescent="0.35">
      <c r="B4373" s="419" t="s">
        <v>15</v>
      </c>
      <c r="C4373" s="420"/>
      <c r="D4373" s="420"/>
      <c r="E4373" s="420"/>
      <c r="F4373" s="420"/>
      <c r="G4373" s="421"/>
      <c r="I4373" s="115">
        <f>IF(C4373=0,0,VLOOKUP(C4373,Tabla3[],3,FALSE))</f>
        <v>0</v>
      </c>
      <c r="K4373" s="84">
        <v>0</v>
      </c>
      <c r="L4373" s="116">
        <f>E4373*I4373</f>
        <v>0</v>
      </c>
    </row>
    <row r="4374" spans="2:12" ht="17.25" thickBot="1" x14ac:dyDescent="0.35"/>
    <row r="4375" spans="2:12" ht="17.25" thickBot="1" x14ac:dyDescent="0.35">
      <c r="F4375" s="402" t="s">
        <v>16</v>
      </c>
      <c r="G4375" s="403"/>
      <c r="H4375" s="403"/>
      <c r="I4375" s="404"/>
      <c r="K4375" s="224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413" t="s">
        <v>18</v>
      </c>
      <c r="D4377" s="413"/>
      <c r="E4377" s="413"/>
      <c r="F4377" s="413"/>
      <c r="G4377" s="414"/>
    </row>
    <row r="4378" spans="2:12" x14ac:dyDescent="0.3">
      <c r="B4378" s="112" t="s">
        <v>6</v>
      </c>
      <c r="C4378" s="415" t="s">
        <v>1</v>
      </c>
      <c r="D4378" s="416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411"/>
      <c r="D4379" s="412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411"/>
      <c r="D4380" s="412"/>
      <c r="E4380" s="125"/>
      <c r="F4380" s="72"/>
      <c r="G4380" s="74"/>
      <c r="I4380" s="84">
        <v>0</v>
      </c>
      <c r="K4380" s="84">
        <f>+F4380*I4380</f>
        <v>0</v>
      </c>
      <c r="L4380" s="116">
        <f>E4380*I4380</f>
        <v>0</v>
      </c>
    </row>
    <row r="4381" spans="2:12" x14ac:dyDescent="0.3">
      <c r="B4381" s="74"/>
      <c r="C4381" s="411"/>
      <c r="D4381" s="412"/>
      <c r="E4381" s="125"/>
      <c r="F4381" s="72"/>
      <c r="G4381" s="74"/>
      <c r="I4381" s="84">
        <v>0</v>
      </c>
      <c r="K4381" s="84">
        <f>+F4381*I4381</f>
        <v>0</v>
      </c>
      <c r="L4381" s="116">
        <f>E4381*I4381</f>
        <v>0</v>
      </c>
    </row>
    <row r="4382" spans="2:12" ht="17.25" thickBot="1" x14ac:dyDescent="0.35">
      <c r="L4382" s="116"/>
    </row>
    <row r="4383" spans="2:12" ht="17.25" thickBot="1" x14ac:dyDescent="0.35">
      <c r="F4383" s="402" t="s">
        <v>19</v>
      </c>
      <c r="G4383" s="403"/>
      <c r="H4383" s="403"/>
      <c r="I4383" s="404"/>
      <c r="K4383" s="224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127"/>
      <c r="H4384" s="128"/>
      <c r="I4384" s="106"/>
      <c r="K4384" s="225"/>
    </row>
    <row r="4385" spans="1:16" ht="15" customHeight="1" thickBot="1" x14ac:dyDescent="0.35"/>
    <row r="4386" spans="1:16" ht="17.25" thickBot="1" x14ac:dyDescent="0.35">
      <c r="F4386" s="402" t="s">
        <v>20</v>
      </c>
      <c r="G4386" s="403"/>
      <c r="H4386" s="403"/>
      <c r="I4386" s="404"/>
      <c r="K4386" s="224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402" t="s">
        <v>21</v>
      </c>
      <c r="G4388" s="403"/>
      <c r="H4388" s="403"/>
      <c r="I4388" s="404"/>
      <c r="K4388" s="224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402" t="s">
        <v>22</v>
      </c>
      <c r="G4390" s="403"/>
      <c r="H4390" s="403"/>
      <c r="I4390" s="404"/>
      <c r="K4390" s="224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127"/>
      <c r="H4391" s="128"/>
      <c r="I4391" s="106"/>
      <c r="K4391" s="226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127"/>
      <c r="H4392" s="128"/>
      <c r="I4392" s="106"/>
      <c r="K4392" s="227"/>
      <c r="L4392" s="129"/>
      <c r="M4392" s="132"/>
      <c r="N4392" s="133"/>
    </row>
    <row r="4393" spans="1:16" ht="17.25" thickBot="1" x14ac:dyDescent="0.35">
      <c r="B4393" s="405"/>
      <c r="C4393" s="405"/>
      <c r="D4393" s="405"/>
    </row>
    <row r="4394" spans="1:16" x14ac:dyDescent="0.3">
      <c r="B4394" s="406" t="s">
        <v>23</v>
      </c>
      <c r="C4394" s="406"/>
      <c r="D4394" s="406"/>
    </row>
    <row r="4395" spans="1:16" x14ac:dyDescent="0.3">
      <c r="B4395" s="155"/>
      <c r="C4395" s="155"/>
      <c r="D4395" s="155"/>
    </row>
    <row r="4397" spans="1:16" x14ac:dyDescent="0.3">
      <c r="B4397" s="103" t="s">
        <v>43</v>
      </c>
      <c r="C4397" s="104"/>
      <c r="D4397" s="422" t="s">
        <v>1</v>
      </c>
      <c r="E4397" s="422"/>
      <c r="F4397" s="422"/>
      <c r="G4397" s="422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09">
        <f>CATALOGO!B128</f>
        <v>115.02</v>
      </c>
      <c r="C4398" s="71"/>
      <c r="D4398" s="437" t="str">
        <f>CATALOGO!C128</f>
        <v>DESMONTAJE DE PUERTA DE METAL (UNA HOJA)</v>
      </c>
      <c r="E4398" s="437"/>
      <c r="F4398" s="437"/>
      <c r="G4398" s="437"/>
      <c r="H4398" s="71"/>
      <c r="I4398" s="209">
        <f>CATALOGO!D128</f>
        <v>2</v>
      </c>
      <c r="J4398" s="107"/>
      <c r="K4398" s="222" t="str">
        <f>CATALOGO!G128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413" t="s">
        <v>5</v>
      </c>
      <c r="D4400" s="413"/>
      <c r="E4400" s="413"/>
      <c r="F4400" s="413"/>
      <c r="G4400" s="414"/>
    </row>
    <row r="4401" spans="2:16" x14ac:dyDescent="0.25">
      <c r="B4401" s="109" t="s">
        <v>6</v>
      </c>
      <c r="C4401" s="424" t="s">
        <v>1</v>
      </c>
      <c r="D4401" s="425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3" t="s">
        <v>8</v>
      </c>
      <c r="L4401" s="113" t="s">
        <v>193</v>
      </c>
      <c r="O4401" s="438"/>
      <c r="P4401" s="438"/>
    </row>
    <row r="4402" spans="2:16" ht="16.5" customHeight="1" x14ac:dyDescent="0.25">
      <c r="B4402" s="120"/>
      <c r="C4402" s="407"/>
      <c r="D4402" s="408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120">E4402*I4402</f>
        <v>0</v>
      </c>
      <c r="O4402" s="44"/>
      <c r="P4402" s="45"/>
    </row>
    <row r="4403" spans="2:16" x14ac:dyDescent="0.25">
      <c r="B4403" s="120"/>
      <c r="C4403" s="407"/>
      <c r="D4403" s="408"/>
      <c r="E4403" s="114"/>
      <c r="F4403" s="83"/>
      <c r="G4403" s="74"/>
      <c r="I4403" s="115">
        <f>IF(C4403=0,0,VLOOKUP(C4403,Tabla1[],3,FALSE))</f>
        <v>0</v>
      </c>
      <c r="K4403" s="84">
        <f>+F4403*I4403</f>
        <v>0</v>
      </c>
      <c r="L4403" s="116">
        <f t="shared" si="120"/>
        <v>0</v>
      </c>
      <c r="O4403" s="44"/>
      <c r="P4403" s="47"/>
    </row>
    <row r="4404" spans="2:16" x14ac:dyDescent="0.3">
      <c r="B4404" s="120"/>
      <c r="C4404" s="407"/>
      <c r="D4404" s="408"/>
      <c r="E4404" s="114"/>
      <c r="F4404" s="83"/>
      <c r="G4404" s="74"/>
      <c r="I4404" s="115">
        <f>IF(C4404=0,0,VLOOKUP(C4404,Tabla1[],3,FALSE))</f>
        <v>0</v>
      </c>
      <c r="K4404" s="84">
        <f>+F4404*I4404</f>
        <v>0</v>
      </c>
      <c r="L4404" s="116">
        <f t="shared" si="120"/>
        <v>0</v>
      </c>
      <c r="O4404" s="48"/>
      <c r="P4404" s="49"/>
    </row>
    <row r="4405" spans="2:16" ht="16.5" customHeight="1" x14ac:dyDescent="0.25">
      <c r="B4405" s="120"/>
      <c r="C4405" s="407"/>
      <c r="D4405" s="408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120"/>
        <v>0</v>
      </c>
      <c r="O4405" s="44"/>
      <c r="P4405" s="45"/>
    </row>
    <row r="4406" spans="2:16" ht="16.5" customHeight="1" x14ac:dyDescent="0.25">
      <c r="B4406" s="120"/>
      <c r="C4406" s="407"/>
      <c r="D4406" s="408"/>
      <c r="E4406" s="114"/>
      <c r="F4406" s="83"/>
      <c r="G4406" s="74"/>
      <c r="I4406" s="115">
        <f>IF(C4406=0,0,VLOOKUP(C4406,Tabla1[],3,FALSE))</f>
        <v>0</v>
      </c>
      <c r="K4406" s="84">
        <f>+F4406*I4406</f>
        <v>0</v>
      </c>
      <c r="L4406" s="116">
        <f t="shared" si="120"/>
        <v>0</v>
      </c>
      <c r="O4406" s="44"/>
      <c r="P4406" s="46"/>
    </row>
    <row r="4407" spans="2:16" x14ac:dyDescent="0.25">
      <c r="B4407" s="120"/>
      <c r="C4407" s="407"/>
      <c r="D4407" s="408"/>
      <c r="E4407" s="114"/>
      <c r="F4407" s="83"/>
      <c r="G4407" s="74"/>
      <c r="I4407" s="115">
        <f>IF(C4407=0,0,VLOOKUP(C4407,Tabla1[],3,FALSE))</f>
        <v>0</v>
      </c>
      <c r="K4407" s="84">
        <f>+F4407*I4407</f>
        <v>0</v>
      </c>
      <c r="L4407" s="116">
        <f t="shared" si="120"/>
        <v>0</v>
      </c>
      <c r="O4407" s="44"/>
      <c r="P4407" s="46"/>
    </row>
    <row r="4408" spans="2:16" ht="17.25" thickBot="1" x14ac:dyDescent="0.35"/>
    <row r="4409" spans="2:16" ht="17.25" thickBot="1" x14ac:dyDescent="0.3">
      <c r="F4409" s="402" t="s">
        <v>9</v>
      </c>
      <c r="G4409" s="403"/>
      <c r="H4409" s="403"/>
      <c r="I4409" s="404"/>
      <c r="K4409" s="224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413" t="s">
        <v>11</v>
      </c>
      <c r="D4411" s="413"/>
      <c r="E4411" s="413"/>
      <c r="F4411" s="413"/>
      <c r="G4411" s="414"/>
    </row>
    <row r="4412" spans="2:16" x14ac:dyDescent="0.3">
      <c r="B4412" s="112" t="s">
        <v>6</v>
      </c>
      <c r="C4412" s="415" t="s">
        <v>1</v>
      </c>
      <c r="D4412" s="416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409"/>
      <c r="D4413" s="409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431"/>
      <c r="D4414" s="432"/>
      <c r="E4414" s="119"/>
      <c r="F4414" s="72"/>
      <c r="G4414" s="74"/>
      <c r="I4414" s="115">
        <f>IF(C4414=0,0,VLOOKUP(C4414,Tabla1[],3,FALSE))</f>
        <v>0</v>
      </c>
      <c r="K4414" s="84">
        <f>+F4414*I4414</f>
        <v>0</v>
      </c>
      <c r="L4414" s="116">
        <f>E4414*I4414</f>
        <v>0</v>
      </c>
    </row>
    <row r="4415" spans="2:16" x14ac:dyDescent="0.3">
      <c r="B4415" s="74"/>
      <c r="C4415" s="431"/>
      <c r="D4415" s="432"/>
      <c r="E4415" s="119"/>
      <c r="F4415" s="72"/>
      <c r="G4415" s="74"/>
      <c r="I4415" s="115">
        <f>IF(C4415=0,0,VLOOKUP(C4415,Tabla1[],3,FALSE))</f>
        <v>0</v>
      </c>
      <c r="K4415" s="84">
        <f>+F4415*I4415</f>
        <v>0</v>
      </c>
      <c r="L4415" s="116">
        <f>E4415*I4415</f>
        <v>0</v>
      </c>
    </row>
    <row r="4416" spans="2:16" x14ac:dyDescent="0.3">
      <c r="B4416" s="74"/>
      <c r="C4416" s="411"/>
      <c r="D4416" s="412"/>
      <c r="E4416" s="119"/>
      <c r="F4416" s="72"/>
      <c r="G4416" s="74"/>
      <c r="I4416" s="115">
        <f>IF(C4416=0,0,VLOOKUP(C4416,Tabla1[],3,FALSE))</f>
        <v>0</v>
      </c>
      <c r="K4416" s="84">
        <f>+F4416*I4416</f>
        <v>0</v>
      </c>
      <c r="L4416" s="116">
        <f>E4416*I4416</f>
        <v>0</v>
      </c>
    </row>
    <row r="4417" spans="2:12" ht="17.25" thickBot="1" x14ac:dyDescent="0.35"/>
    <row r="4418" spans="2:12" ht="17.25" thickBot="1" x14ac:dyDescent="0.35">
      <c r="F4418" s="402" t="s">
        <v>12</v>
      </c>
      <c r="G4418" s="403"/>
      <c r="H4418" s="403"/>
      <c r="I4418" s="404"/>
      <c r="K4418" s="224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413" t="s">
        <v>14</v>
      </c>
      <c r="D4420" s="413"/>
      <c r="E4420" s="413"/>
      <c r="F4420" s="413"/>
      <c r="G4420" s="414"/>
    </row>
    <row r="4421" spans="2:12" x14ac:dyDescent="0.3">
      <c r="B4421" s="112" t="s">
        <v>6</v>
      </c>
      <c r="C4421" s="415" t="s">
        <v>1</v>
      </c>
      <c r="D4421" s="416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409" t="s">
        <v>393</v>
      </c>
      <c r="D4422" s="409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409"/>
      <c r="D4423" s="409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417"/>
      <c r="D4424" s="418"/>
      <c r="E4424" s="122"/>
      <c r="F4424" s="123"/>
      <c r="G4424" s="74"/>
      <c r="I4424" s="115">
        <f>IF(C4424=0,0,VLOOKUP(C4424,Tabla2[],3,FALSE))</f>
        <v>0</v>
      </c>
      <c r="K4424" s="84">
        <f>+F4424*I4424</f>
        <v>0</v>
      </c>
      <c r="L4424" s="116">
        <f>E4424*I4424</f>
        <v>0</v>
      </c>
    </row>
    <row r="4425" spans="2:12" ht="17.25" thickBot="1" x14ac:dyDescent="0.35">
      <c r="B4425" s="419" t="s">
        <v>15</v>
      </c>
      <c r="C4425" s="420"/>
      <c r="D4425" s="420"/>
      <c r="E4425" s="420"/>
      <c r="F4425" s="420"/>
      <c r="G4425" s="421"/>
      <c r="I4425" s="115">
        <f>IF(C4425=0,0,VLOOKUP(C4425,Tabla2[],3,FALSE))</f>
        <v>0</v>
      </c>
      <c r="K4425" s="84">
        <v>0</v>
      </c>
      <c r="L4425" s="116">
        <f>E4425*I4425</f>
        <v>0</v>
      </c>
    </row>
    <row r="4426" spans="2:12" ht="17.25" thickBot="1" x14ac:dyDescent="0.35"/>
    <row r="4427" spans="2:12" ht="17.25" thickBot="1" x14ac:dyDescent="0.35">
      <c r="F4427" s="402" t="s">
        <v>16</v>
      </c>
      <c r="G4427" s="403"/>
      <c r="H4427" s="403"/>
      <c r="I4427" s="404"/>
      <c r="K4427" s="224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413" t="s">
        <v>18</v>
      </c>
      <c r="D4429" s="413"/>
      <c r="E4429" s="413"/>
      <c r="F4429" s="413"/>
      <c r="G4429" s="414"/>
    </row>
    <row r="4430" spans="2:12" x14ac:dyDescent="0.3">
      <c r="B4430" s="112" t="s">
        <v>6</v>
      </c>
      <c r="C4430" s="415" t="s">
        <v>1</v>
      </c>
      <c r="D4430" s="416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411"/>
      <c r="D4431" s="412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411"/>
      <c r="D4432" s="412"/>
      <c r="E4432" s="125"/>
      <c r="F4432" s="72"/>
      <c r="G4432" s="74"/>
      <c r="I4432" s="84">
        <v>0</v>
      </c>
      <c r="K4432" s="84">
        <f>+F4432*I4432</f>
        <v>0</v>
      </c>
      <c r="L4432" s="116">
        <f>E4432*I4432</f>
        <v>0</v>
      </c>
    </row>
    <row r="4433" spans="2:16" x14ac:dyDescent="0.3">
      <c r="B4433" s="74"/>
      <c r="C4433" s="411"/>
      <c r="D4433" s="412"/>
      <c r="E4433" s="125"/>
      <c r="F4433" s="72"/>
      <c r="G4433" s="74"/>
      <c r="I4433" s="84">
        <v>0</v>
      </c>
      <c r="K4433" s="84">
        <f>+F4433*I4433</f>
        <v>0</v>
      </c>
      <c r="L4433" s="116">
        <f>E4433*I4433</f>
        <v>0</v>
      </c>
    </row>
    <row r="4434" spans="2:16" ht="17.25" thickBot="1" x14ac:dyDescent="0.35">
      <c r="L4434" s="116"/>
    </row>
    <row r="4435" spans="2:16" ht="17.25" thickBot="1" x14ac:dyDescent="0.35">
      <c r="F4435" s="402" t="s">
        <v>19</v>
      </c>
      <c r="G4435" s="403"/>
      <c r="H4435" s="403"/>
      <c r="I4435" s="404"/>
      <c r="K4435" s="224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127"/>
      <c r="H4436" s="128"/>
      <c r="I4436" s="106"/>
      <c r="K4436" s="225"/>
    </row>
    <row r="4437" spans="2:16" ht="15" customHeight="1" thickBot="1" x14ac:dyDescent="0.35"/>
    <row r="4438" spans="2:16" ht="17.25" thickBot="1" x14ac:dyDescent="0.35">
      <c r="F4438" s="402" t="s">
        <v>20</v>
      </c>
      <c r="G4438" s="403"/>
      <c r="H4438" s="403"/>
      <c r="I4438" s="404"/>
      <c r="K4438" s="224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402" t="s">
        <v>21</v>
      </c>
      <c r="G4440" s="403"/>
      <c r="H4440" s="403"/>
      <c r="I4440" s="404"/>
      <c r="K4440" s="224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402" t="s">
        <v>22</v>
      </c>
      <c r="G4442" s="403"/>
      <c r="H4442" s="403"/>
      <c r="I4442" s="404"/>
      <c r="K4442" s="224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127"/>
      <c r="H4443" s="128"/>
      <c r="I4443" s="106"/>
      <c r="K4443" s="226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127"/>
      <c r="H4444" s="128"/>
      <c r="I4444" s="106"/>
      <c r="K4444" s="227"/>
      <c r="L4444" s="129"/>
      <c r="M4444" s="132"/>
      <c r="N4444" s="133"/>
    </row>
    <row r="4445" spans="2:16" ht="17.25" thickBot="1" x14ac:dyDescent="0.35">
      <c r="B4445" s="405"/>
      <c r="C4445" s="405"/>
      <c r="D4445" s="405"/>
    </row>
    <row r="4446" spans="2:16" x14ac:dyDescent="0.3">
      <c r="B4446" s="406" t="s">
        <v>23</v>
      </c>
      <c r="C4446" s="406"/>
      <c r="D4446" s="406"/>
    </row>
    <row r="4449" spans="1:16" x14ac:dyDescent="0.3">
      <c r="B4449" s="103" t="s">
        <v>43</v>
      </c>
      <c r="C4449" s="104"/>
      <c r="D4449" s="422" t="s">
        <v>1</v>
      </c>
      <c r="E4449" s="422"/>
      <c r="F4449" s="422"/>
      <c r="G4449" s="422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09">
        <f>CATALOGO!B130</f>
        <v>508.01</v>
      </c>
      <c r="C4450" s="71"/>
      <c r="D4450" s="437" t="str">
        <f>CATALOGO!C130</f>
        <v>CUBIERTA TIPO PANEL SÁDWICH (T=1.5", LÁMINA CAL 26)</v>
      </c>
      <c r="E4450" s="437"/>
      <c r="F4450" s="437"/>
      <c r="G4450" s="437"/>
      <c r="H4450" s="71"/>
      <c r="I4450" s="209">
        <f>CATALOGO!D130</f>
        <v>156</v>
      </c>
      <c r="J4450" s="107"/>
      <c r="K4450" s="222" t="str">
        <f>CATALOGO!G130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413" t="s">
        <v>5</v>
      </c>
      <c r="D4452" s="413"/>
      <c r="E4452" s="413"/>
      <c r="F4452" s="413"/>
      <c r="G4452" s="414"/>
    </row>
    <row r="4453" spans="1:16" x14ac:dyDescent="0.25">
      <c r="B4453" s="109" t="s">
        <v>6</v>
      </c>
      <c r="C4453" s="424" t="s">
        <v>1</v>
      </c>
      <c r="D4453" s="425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3" t="s">
        <v>8</v>
      </c>
      <c r="L4453" s="113" t="s">
        <v>193</v>
      </c>
      <c r="O4453" s="438"/>
      <c r="P4453" s="438"/>
    </row>
    <row r="4454" spans="1:16" ht="16.5" customHeight="1" x14ac:dyDescent="0.25">
      <c r="B4454" s="120">
        <v>1</v>
      </c>
      <c r="C4454" s="407" t="s">
        <v>594</v>
      </c>
      <c r="D4454" s="408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121">E4454*I4454</f>
        <v>35100</v>
      </c>
      <c r="O4454" s="44"/>
      <c r="P4454" s="45"/>
    </row>
    <row r="4455" spans="1:16" x14ac:dyDescent="0.25">
      <c r="B4455" s="120">
        <v>2</v>
      </c>
      <c r="C4455" s="407" t="s">
        <v>595</v>
      </c>
      <c r="D4455" s="408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>+F4455*I4455</f>
        <v>23.400000000000002</v>
      </c>
      <c r="L4455" s="116">
        <f t="shared" si="121"/>
        <v>3650.4</v>
      </c>
      <c r="O4455" s="44"/>
      <c r="P4455" s="47"/>
    </row>
    <row r="4456" spans="1:16" x14ac:dyDescent="0.3">
      <c r="B4456" s="120">
        <v>3</v>
      </c>
      <c r="C4456" s="407" t="s">
        <v>596</v>
      </c>
      <c r="D4456" s="408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>+F4456*I4456</f>
        <v>1.6</v>
      </c>
      <c r="L4456" s="116">
        <f t="shared" si="121"/>
        <v>249.60000000000002</v>
      </c>
      <c r="O4456" s="48"/>
      <c r="P4456" s="49"/>
    </row>
    <row r="4457" spans="1:16" ht="16.5" customHeight="1" x14ac:dyDescent="0.25">
      <c r="B4457" s="120"/>
      <c r="C4457" s="407"/>
      <c r="D4457" s="408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121"/>
        <v>0</v>
      </c>
      <c r="O4457" s="44"/>
      <c r="P4457" s="45"/>
    </row>
    <row r="4458" spans="1:16" ht="16.5" customHeight="1" x14ac:dyDescent="0.25">
      <c r="B4458" s="120"/>
      <c r="C4458" s="407"/>
      <c r="D4458" s="408"/>
      <c r="E4458" s="114"/>
      <c r="F4458" s="83"/>
      <c r="G4458" s="74"/>
      <c r="I4458" s="115">
        <f>IF(C4458=0,0,VLOOKUP(C4458,Tabla1[],3,FALSE))</f>
        <v>0</v>
      </c>
      <c r="K4458" s="84">
        <f>+F4458*I4458</f>
        <v>0</v>
      </c>
      <c r="L4458" s="116">
        <f t="shared" si="121"/>
        <v>0</v>
      </c>
      <c r="O4458" s="44"/>
      <c r="P4458" s="46"/>
    </row>
    <row r="4459" spans="1:16" x14ac:dyDescent="0.25">
      <c r="B4459" s="120"/>
      <c r="C4459" s="407"/>
      <c r="D4459" s="408"/>
      <c r="E4459" s="114"/>
      <c r="F4459" s="83"/>
      <c r="G4459" s="74"/>
      <c r="I4459" s="115">
        <f>IF(C4459=0,0,VLOOKUP(C4459,Tabla1[],3,FALSE))</f>
        <v>0</v>
      </c>
      <c r="K4459" s="84">
        <f>+F4459*I4459</f>
        <v>0</v>
      </c>
      <c r="L4459" s="116">
        <f t="shared" si="121"/>
        <v>0</v>
      </c>
      <c r="O4459" s="44"/>
      <c r="P4459" s="46"/>
    </row>
    <row r="4460" spans="1:16" x14ac:dyDescent="0.3">
      <c r="B4460" s="120"/>
      <c r="C4460" s="407"/>
      <c r="D4460" s="408"/>
      <c r="E4460" s="114"/>
      <c r="F4460" s="83"/>
      <c r="G4460" s="74"/>
      <c r="I4460" s="115">
        <f>IF(C4460=0,0,VLOOKUP(C4460,Tabla1[],3,FALSE))</f>
        <v>0</v>
      </c>
      <c r="K4460" s="84">
        <f>+F4460*I4460</f>
        <v>0</v>
      </c>
      <c r="L4460" s="116">
        <f t="shared" si="121"/>
        <v>0</v>
      </c>
      <c r="O4460" s="48"/>
      <c r="P4460" s="49"/>
    </row>
    <row r="4461" spans="1:16" ht="17.25" thickBot="1" x14ac:dyDescent="0.35"/>
    <row r="4462" spans="1:16" ht="17.25" thickBot="1" x14ac:dyDescent="0.3">
      <c r="F4462" s="402" t="s">
        <v>9</v>
      </c>
      <c r="G4462" s="403"/>
      <c r="H4462" s="403"/>
      <c r="I4462" s="404"/>
      <c r="K4462" s="224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413" t="s">
        <v>11</v>
      </c>
      <c r="D4464" s="413"/>
      <c r="E4464" s="413"/>
      <c r="F4464" s="413"/>
      <c r="G4464" s="414"/>
    </row>
    <row r="4465" spans="2:12" x14ac:dyDescent="0.3">
      <c r="B4465" s="112" t="s">
        <v>6</v>
      </c>
      <c r="C4465" s="415" t="s">
        <v>1</v>
      </c>
      <c r="D4465" s="416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409"/>
      <c r="D4466" s="409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431"/>
      <c r="D4467" s="432"/>
      <c r="E4467" s="119"/>
      <c r="F4467" s="72"/>
      <c r="G4467" s="74"/>
      <c r="I4467" s="115">
        <f>IF(C4467=0,0,VLOOKUP(C4467,Tabla1[],3,FALSE))</f>
        <v>0</v>
      </c>
      <c r="K4467" s="84">
        <f>+F4467*I4467</f>
        <v>0</v>
      </c>
      <c r="L4467" s="116">
        <f>E4467*I4467</f>
        <v>0</v>
      </c>
    </row>
    <row r="4468" spans="2:12" x14ac:dyDescent="0.3">
      <c r="B4468" s="74"/>
      <c r="C4468" s="431"/>
      <c r="D4468" s="432"/>
      <c r="E4468" s="119"/>
      <c r="F4468" s="72"/>
      <c r="G4468" s="74"/>
      <c r="I4468" s="115">
        <f>IF(C4468=0,0,VLOOKUP(C4468,Tabla1[],3,FALSE))</f>
        <v>0</v>
      </c>
      <c r="K4468" s="84">
        <f>+F4468*I4468</f>
        <v>0</v>
      </c>
      <c r="L4468" s="116">
        <f>E4468*I4468</f>
        <v>0</v>
      </c>
    </row>
    <row r="4469" spans="2:12" x14ac:dyDescent="0.3">
      <c r="B4469" s="74"/>
      <c r="C4469" s="411"/>
      <c r="D4469" s="412"/>
      <c r="E4469" s="119"/>
      <c r="F4469" s="72"/>
      <c r="G4469" s="74"/>
      <c r="I4469" s="115">
        <f>IF(C4469=0,0,VLOOKUP(C4469,Tabla1[],3,FALSE))</f>
        <v>0</v>
      </c>
      <c r="K4469" s="84">
        <f>+F4469*I4469</f>
        <v>0</v>
      </c>
      <c r="L4469" s="116">
        <f>E4469*I4469</f>
        <v>0</v>
      </c>
    </row>
    <row r="4470" spans="2:12" ht="17.25" thickBot="1" x14ac:dyDescent="0.35"/>
    <row r="4471" spans="2:12" ht="17.25" thickBot="1" x14ac:dyDescent="0.35">
      <c r="F4471" s="402" t="s">
        <v>12</v>
      </c>
      <c r="G4471" s="403"/>
      <c r="H4471" s="403"/>
      <c r="I4471" s="404"/>
      <c r="K4471" s="224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413" t="s">
        <v>14</v>
      </c>
      <c r="D4473" s="413"/>
      <c r="E4473" s="413"/>
      <c r="F4473" s="413"/>
      <c r="G4473" s="414"/>
    </row>
    <row r="4474" spans="2:12" x14ac:dyDescent="0.3">
      <c r="B4474" s="112" t="s">
        <v>6</v>
      </c>
      <c r="C4474" s="415" t="s">
        <v>1</v>
      </c>
      <c r="D4474" s="416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409" t="s">
        <v>597</v>
      </c>
      <c r="D4475" s="409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409"/>
      <c r="D4476" s="409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417"/>
      <c r="D4477" s="418"/>
      <c r="E4477" s="122"/>
      <c r="F4477" s="123"/>
      <c r="G4477" s="74"/>
      <c r="I4477" s="115">
        <f>IF(C4477=0,0,VLOOKUP(C4477,Tabla2[],3,FALSE))</f>
        <v>0</v>
      </c>
      <c r="K4477" s="84">
        <f>+F4477*I4477</f>
        <v>0</v>
      </c>
      <c r="L4477" s="116">
        <f>E4477*I4477</f>
        <v>0</v>
      </c>
    </row>
    <row r="4478" spans="2:12" ht="17.25" thickBot="1" x14ac:dyDescent="0.35">
      <c r="B4478" s="419" t="s">
        <v>15</v>
      </c>
      <c r="C4478" s="420"/>
      <c r="D4478" s="420"/>
      <c r="E4478" s="420"/>
      <c r="F4478" s="420"/>
      <c r="G4478" s="421"/>
      <c r="I4478" s="115">
        <f>IF(C4478=0,0,VLOOKUP(C4478,Tabla2[],3,FALSE))</f>
        <v>0</v>
      </c>
      <c r="K4478" s="84">
        <v>0</v>
      </c>
      <c r="L4478" s="116">
        <f>E4478*I4478</f>
        <v>0</v>
      </c>
    </row>
    <row r="4479" spans="2:12" ht="17.25" thickBot="1" x14ac:dyDescent="0.35"/>
    <row r="4480" spans="2:12" ht="17.25" thickBot="1" x14ac:dyDescent="0.35">
      <c r="F4480" s="402" t="s">
        <v>16</v>
      </c>
      <c r="G4480" s="403"/>
      <c r="H4480" s="403"/>
      <c r="I4480" s="404"/>
      <c r="K4480" s="224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413" t="s">
        <v>18</v>
      </c>
      <c r="D4482" s="413"/>
      <c r="E4482" s="413"/>
      <c r="F4482" s="413"/>
      <c r="G4482" s="414"/>
    </row>
    <row r="4483" spans="2:16" x14ac:dyDescent="0.3">
      <c r="B4483" s="112" t="s">
        <v>6</v>
      </c>
      <c r="C4483" s="415" t="s">
        <v>1</v>
      </c>
      <c r="D4483" s="416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411"/>
      <c r="D4484" s="412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411"/>
      <c r="D4485" s="412"/>
      <c r="E4485" s="125"/>
      <c r="F4485" s="72"/>
      <c r="G4485" s="74"/>
      <c r="I4485" s="84">
        <v>0</v>
      </c>
      <c r="K4485" s="84">
        <f>+F4485*I4485</f>
        <v>0</v>
      </c>
      <c r="L4485" s="116">
        <f>E4485*I4485</f>
        <v>0</v>
      </c>
    </row>
    <row r="4486" spans="2:16" x14ac:dyDescent="0.3">
      <c r="B4486" s="74"/>
      <c r="C4486" s="411"/>
      <c r="D4486" s="412"/>
      <c r="E4486" s="125"/>
      <c r="F4486" s="72"/>
      <c r="G4486" s="74"/>
      <c r="I4486" s="84">
        <v>0</v>
      </c>
      <c r="K4486" s="84">
        <f>+F4486*I4486</f>
        <v>0</v>
      </c>
      <c r="L4486" s="116">
        <f>E4486*I4486</f>
        <v>0</v>
      </c>
    </row>
    <row r="4487" spans="2:16" ht="17.25" thickBot="1" x14ac:dyDescent="0.35">
      <c r="L4487" s="116"/>
    </row>
    <row r="4488" spans="2:16" ht="17.25" thickBot="1" x14ac:dyDescent="0.35">
      <c r="F4488" s="402" t="s">
        <v>19</v>
      </c>
      <c r="G4488" s="403"/>
      <c r="H4488" s="403"/>
      <c r="I4488" s="404"/>
      <c r="K4488" s="224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127"/>
      <c r="H4489" s="128"/>
      <c r="I4489" s="106"/>
      <c r="K4489" s="225"/>
    </row>
    <row r="4490" spans="2:16" ht="15" customHeight="1" thickBot="1" x14ac:dyDescent="0.35"/>
    <row r="4491" spans="2:16" ht="17.25" thickBot="1" x14ac:dyDescent="0.35">
      <c r="F4491" s="402" t="s">
        <v>20</v>
      </c>
      <c r="G4491" s="403"/>
      <c r="H4491" s="403"/>
      <c r="I4491" s="404"/>
      <c r="K4491" s="224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402" t="s">
        <v>21</v>
      </c>
      <c r="G4493" s="403"/>
      <c r="H4493" s="403"/>
      <c r="I4493" s="404"/>
      <c r="K4493" s="224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402" t="s">
        <v>22</v>
      </c>
      <c r="G4495" s="403"/>
      <c r="H4495" s="403"/>
      <c r="I4495" s="404"/>
      <c r="K4495" s="224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127"/>
      <c r="H4496" s="128"/>
      <c r="I4496" s="106"/>
      <c r="K4496" s="226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127"/>
      <c r="H4497" s="128"/>
      <c r="I4497" s="106"/>
      <c r="K4497" s="227"/>
      <c r="L4497" s="129"/>
      <c r="M4497" s="132"/>
      <c r="N4497" s="133"/>
    </row>
    <row r="4498" spans="1:16" ht="17.25" thickBot="1" x14ac:dyDescent="0.35">
      <c r="B4498" s="405"/>
      <c r="C4498" s="405"/>
      <c r="D4498" s="405"/>
    </row>
    <row r="4499" spans="1:16" x14ac:dyDescent="0.3">
      <c r="B4499" s="406" t="s">
        <v>23</v>
      </c>
      <c r="C4499" s="406"/>
      <c r="D4499" s="406"/>
    </row>
    <row r="4502" spans="1:16" x14ac:dyDescent="0.3">
      <c r="B4502" s="103" t="s">
        <v>43</v>
      </c>
      <c r="C4502" s="104"/>
      <c r="D4502" s="422" t="s">
        <v>1</v>
      </c>
      <c r="E4502" s="422"/>
      <c r="F4502" s="422"/>
      <c r="G4502" s="422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09">
        <f>CATALOGO!B132</f>
        <v>605.01</v>
      </c>
      <c r="C4503" s="71"/>
      <c r="D4503" s="437" t="str">
        <f>CATALOGO!C132</f>
        <v>PISO CERÁMICO</v>
      </c>
      <c r="E4503" s="437"/>
      <c r="F4503" s="437"/>
      <c r="G4503" s="437"/>
      <c r="H4503" s="71"/>
      <c r="I4503" s="209">
        <f>CATALOGO!D132</f>
        <v>108</v>
      </c>
      <c r="J4503" s="107"/>
      <c r="K4503" s="222" t="str">
        <f>CATALOGO!G132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413" t="s">
        <v>5</v>
      </c>
      <c r="D4505" s="413"/>
      <c r="E4505" s="413"/>
      <c r="F4505" s="413"/>
      <c r="G4505" s="414"/>
    </row>
    <row r="4506" spans="1:16" x14ac:dyDescent="0.25">
      <c r="B4506" s="109" t="s">
        <v>6</v>
      </c>
      <c r="C4506" s="424" t="s">
        <v>1</v>
      </c>
      <c r="D4506" s="425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3" t="s">
        <v>8</v>
      </c>
      <c r="L4506" s="113" t="s">
        <v>193</v>
      </c>
      <c r="O4506" s="438"/>
      <c r="P4506" s="438"/>
    </row>
    <row r="4507" spans="1:16" ht="16.5" customHeight="1" x14ac:dyDescent="0.25">
      <c r="B4507" s="120">
        <v>1</v>
      </c>
      <c r="C4507" s="428" t="s">
        <v>213</v>
      </c>
      <c r="D4507" s="429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>E4507*I4507</f>
        <v>6048</v>
      </c>
      <c r="O4507" s="44"/>
      <c r="P4507" s="45"/>
    </row>
    <row r="4508" spans="1:16" x14ac:dyDescent="0.25">
      <c r="B4508" s="120">
        <v>2</v>
      </c>
      <c r="C4508" s="430" t="s">
        <v>72</v>
      </c>
      <c r="D4508" s="429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>+F4508*I4508</f>
        <v>5</v>
      </c>
      <c r="L4508" s="116">
        <f>E4508*I4508</f>
        <v>540</v>
      </c>
      <c r="O4508" s="44"/>
      <c r="P4508" s="47"/>
    </row>
    <row r="4509" spans="1:16" x14ac:dyDescent="0.3">
      <c r="B4509" s="120">
        <v>3</v>
      </c>
      <c r="C4509" s="430" t="s">
        <v>214</v>
      </c>
      <c r="D4509" s="429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>+F4509*I4509</f>
        <v>1</v>
      </c>
      <c r="L4509" s="116">
        <f>E4509*I4509</f>
        <v>108</v>
      </c>
      <c r="O4509" s="48"/>
      <c r="P4509" s="49"/>
    </row>
    <row r="4510" spans="1:16" ht="16.5" customHeight="1" x14ac:dyDescent="0.25">
      <c r="B4510" s="120">
        <v>4</v>
      </c>
      <c r="C4510" s="407" t="s">
        <v>598</v>
      </c>
      <c r="D4510" s="408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>+F4510*I4510</f>
        <v>62.999999999999993</v>
      </c>
      <c r="L4510" s="116">
        <f>E4510*I4510</f>
        <v>6803.9999999999991</v>
      </c>
      <c r="O4510" s="44"/>
      <c r="P4510" s="45"/>
    </row>
    <row r="4511" spans="1:16" x14ac:dyDescent="0.3">
      <c r="B4511" s="120"/>
      <c r="C4511" s="430"/>
      <c r="D4511" s="429"/>
      <c r="E4511" s="114"/>
      <c r="F4511" s="83"/>
      <c r="G4511" s="74"/>
      <c r="I4511" s="115">
        <f>IF(C4511=0,0,VLOOKUP(C4511,Tabla1[],3,FALSE))</f>
        <v>0</v>
      </c>
      <c r="K4511" s="84">
        <f>+F4511*I4511</f>
        <v>0</v>
      </c>
      <c r="L4511" s="116">
        <f>E4511*I4511</f>
        <v>0</v>
      </c>
      <c r="O4511" s="48"/>
      <c r="P4511" s="49"/>
    </row>
    <row r="4512" spans="1:16" ht="17.25" thickBot="1" x14ac:dyDescent="0.35"/>
    <row r="4513" spans="2:16" ht="17.25" thickBot="1" x14ac:dyDescent="0.3">
      <c r="F4513" s="402" t="s">
        <v>9</v>
      </c>
      <c r="G4513" s="403"/>
      <c r="H4513" s="403"/>
      <c r="I4513" s="404"/>
      <c r="K4513" s="224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413" t="s">
        <v>11</v>
      </c>
      <c r="D4515" s="413"/>
      <c r="E4515" s="413"/>
      <c r="F4515" s="413"/>
      <c r="G4515" s="414"/>
    </row>
    <row r="4516" spans="2:16" x14ac:dyDescent="0.3">
      <c r="B4516" s="112" t="s">
        <v>6</v>
      </c>
      <c r="C4516" s="415" t="s">
        <v>1</v>
      </c>
      <c r="D4516" s="416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409"/>
      <c r="D4517" s="409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431"/>
      <c r="D4518" s="432"/>
      <c r="E4518" s="119"/>
      <c r="F4518" s="72"/>
      <c r="G4518" s="74"/>
      <c r="I4518" s="115">
        <f>IF(C4518=0,0,VLOOKUP(C4518,Tabla3[],3,FALSE))</f>
        <v>0</v>
      </c>
      <c r="K4518" s="84">
        <f>+F4518*I4518</f>
        <v>0</v>
      </c>
      <c r="L4518" s="116">
        <f>E4518*I4518</f>
        <v>0</v>
      </c>
    </row>
    <row r="4519" spans="2:16" x14ac:dyDescent="0.3">
      <c r="B4519" s="74"/>
      <c r="C4519" s="431"/>
      <c r="D4519" s="432"/>
      <c r="E4519" s="119"/>
      <c r="F4519" s="72"/>
      <c r="G4519" s="74"/>
      <c r="I4519" s="115">
        <f>IF(C4519=0,0,VLOOKUP(C4519,Tabla3[],3,FALSE))</f>
        <v>0</v>
      </c>
      <c r="K4519" s="84">
        <f>+F4519*I4519</f>
        <v>0</v>
      </c>
      <c r="L4519" s="116">
        <f>E4519*I4519</f>
        <v>0</v>
      </c>
    </row>
    <row r="4520" spans="2:16" x14ac:dyDescent="0.3">
      <c r="B4520" s="74"/>
      <c r="C4520" s="411"/>
      <c r="D4520" s="412"/>
      <c r="E4520" s="119"/>
      <c r="F4520" s="72"/>
      <c r="G4520" s="74"/>
      <c r="I4520" s="115">
        <f>IF(C4520=0,0,VLOOKUP(C4520,Tabla3[],3,FALSE))</f>
        <v>0</v>
      </c>
      <c r="K4520" s="84">
        <f>+F4520*I4520</f>
        <v>0</v>
      </c>
      <c r="L4520" s="116">
        <f>E4520*I4520</f>
        <v>0</v>
      </c>
    </row>
    <row r="4521" spans="2:16" ht="17.25" thickBot="1" x14ac:dyDescent="0.35"/>
    <row r="4522" spans="2:16" ht="17.25" thickBot="1" x14ac:dyDescent="0.35">
      <c r="F4522" s="402" t="s">
        <v>12</v>
      </c>
      <c r="G4522" s="403"/>
      <c r="H4522" s="403"/>
      <c r="I4522" s="404"/>
      <c r="K4522" s="224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413" t="s">
        <v>14</v>
      </c>
      <c r="D4524" s="413"/>
      <c r="E4524" s="413"/>
      <c r="F4524" s="413"/>
      <c r="G4524" s="414"/>
    </row>
    <row r="4525" spans="2:16" x14ac:dyDescent="0.3">
      <c r="B4525" s="112" t="s">
        <v>6</v>
      </c>
      <c r="C4525" s="415" t="s">
        <v>1</v>
      </c>
      <c r="D4525" s="416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409" t="s">
        <v>215</v>
      </c>
      <c r="D4526" s="409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409"/>
      <c r="D4527" s="409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417"/>
      <c r="D4528" s="418"/>
      <c r="E4528" s="122"/>
      <c r="F4528" s="123"/>
      <c r="G4528" s="74"/>
      <c r="I4528" s="115">
        <f>IF(C4528=0,0,VLOOKUP(C4528,Tabla2[],3,FALSE))</f>
        <v>0</v>
      </c>
      <c r="K4528" s="84">
        <f>+F4528*I4528</f>
        <v>0</v>
      </c>
      <c r="L4528" s="116">
        <f>E4528*I4528</f>
        <v>0</v>
      </c>
    </row>
    <row r="4529" spans="2:16" ht="17.25" thickBot="1" x14ac:dyDescent="0.35">
      <c r="B4529" s="419" t="s">
        <v>15</v>
      </c>
      <c r="C4529" s="420"/>
      <c r="D4529" s="420"/>
      <c r="E4529" s="420"/>
      <c r="F4529" s="420"/>
      <c r="G4529" s="421"/>
      <c r="I4529" s="115">
        <f>IF(C4529=0,0,VLOOKUP(C4529,Tabla2[],3,FALSE))</f>
        <v>0</v>
      </c>
      <c r="K4529" s="84">
        <v>0</v>
      </c>
      <c r="L4529" s="116">
        <f>E4529*I4529</f>
        <v>0</v>
      </c>
    </row>
    <row r="4530" spans="2:16" ht="17.25" thickBot="1" x14ac:dyDescent="0.35"/>
    <row r="4531" spans="2:16" ht="17.25" thickBot="1" x14ac:dyDescent="0.35">
      <c r="F4531" s="402" t="s">
        <v>16</v>
      </c>
      <c r="G4531" s="403"/>
      <c r="H4531" s="403"/>
      <c r="I4531" s="404"/>
      <c r="K4531" s="224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413" t="s">
        <v>18</v>
      </c>
      <c r="D4533" s="413"/>
      <c r="E4533" s="413"/>
      <c r="F4533" s="413"/>
      <c r="G4533" s="414"/>
    </row>
    <row r="4534" spans="2:16" x14ac:dyDescent="0.3">
      <c r="B4534" s="112" t="s">
        <v>6</v>
      </c>
      <c r="C4534" s="415" t="s">
        <v>1</v>
      </c>
      <c r="D4534" s="416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411"/>
      <c r="D4535" s="412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411"/>
      <c r="D4536" s="412"/>
      <c r="E4536" s="125"/>
      <c r="F4536" s="72"/>
      <c r="G4536" s="74"/>
      <c r="I4536" s="84">
        <v>0</v>
      </c>
      <c r="K4536" s="84">
        <f>+F4536*I4536</f>
        <v>0</v>
      </c>
      <c r="L4536" s="116">
        <f>E4536*I4536</f>
        <v>0</v>
      </c>
    </row>
    <row r="4537" spans="2:16" x14ac:dyDescent="0.3">
      <c r="B4537" s="74"/>
      <c r="C4537" s="411"/>
      <c r="D4537" s="412"/>
      <c r="E4537" s="125"/>
      <c r="F4537" s="72"/>
      <c r="G4537" s="74"/>
      <c r="I4537" s="84">
        <v>0</v>
      </c>
      <c r="K4537" s="84">
        <f>+F4537*I4537</f>
        <v>0</v>
      </c>
      <c r="L4537" s="116">
        <f>E4537*I4537</f>
        <v>0</v>
      </c>
    </row>
    <row r="4538" spans="2:16" ht="17.25" thickBot="1" x14ac:dyDescent="0.35">
      <c r="L4538" s="116"/>
    </row>
    <row r="4539" spans="2:16" ht="17.25" thickBot="1" x14ac:dyDescent="0.35">
      <c r="F4539" s="402" t="s">
        <v>19</v>
      </c>
      <c r="G4539" s="403"/>
      <c r="H4539" s="403"/>
      <c r="I4539" s="404"/>
      <c r="K4539" s="224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127"/>
      <c r="H4540" s="128"/>
      <c r="I4540" s="106"/>
      <c r="K4540" s="225"/>
    </row>
    <row r="4541" spans="2:16" ht="15" customHeight="1" thickBot="1" x14ac:dyDescent="0.35"/>
    <row r="4542" spans="2:16" ht="17.25" thickBot="1" x14ac:dyDescent="0.35">
      <c r="F4542" s="402" t="s">
        <v>20</v>
      </c>
      <c r="G4542" s="403"/>
      <c r="H4542" s="403"/>
      <c r="I4542" s="404"/>
      <c r="K4542" s="224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402" t="s">
        <v>21</v>
      </c>
      <c r="G4544" s="403"/>
      <c r="H4544" s="403"/>
      <c r="I4544" s="404"/>
      <c r="K4544" s="224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402" t="s">
        <v>22</v>
      </c>
      <c r="G4546" s="403"/>
      <c r="H4546" s="403"/>
      <c r="I4546" s="404"/>
      <c r="K4546" s="224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127"/>
      <c r="H4547" s="128"/>
      <c r="I4547" s="106"/>
      <c r="K4547" s="226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127"/>
      <c r="H4548" s="128"/>
      <c r="I4548" s="106"/>
      <c r="K4548" s="227"/>
      <c r="L4548" s="129"/>
      <c r="M4548" s="132"/>
      <c r="N4548" s="133"/>
    </row>
    <row r="4549" spans="1:16" ht="17.25" thickBot="1" x14ac:dyDescent="0.35">
      <c r="B4549" s="405"/>
      <c r="C4549" s="405"/>
      <c r="D4549" s="405"/>
    </row>
    <row r="4550" spans="1:16" x14ac:dyDescent="0.3">
      <c r="B4550" s="406" t="s">
        <v>23</v>
      </c>
      <c r="C4550" s="406"/>
      <c r="D4550" s="406"/>
    </row>
    <row r="4551" spans="1:16" x14ac:dyDescent="0.3">
      <c r="B4551" s="155"/>
      <c r="C4551" s="155"/>
      <c r="D4551" s="155"/>
    </row>
    <row r="4553" spans="1:16" x14ac:dyDescent="0.3">
      <c r="B4553" s="103" t="s">
        <v>43</v>
      </c>
      <c r="C4553" s="104"/>
      <c r="D4553" s="422" t="s">
        <v>1</v>
      </c>
      <c r="E4553" s="422"/>
      <c r="F4553" s="422"/>
      <c r="G4553" s="422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09">
        <f>CATALOGO!B133</f>
        <v>605.08000000000004</v>
      </c>
      <c r="C4554" s="71"/>
      <c r="D4554" s="437" t="str">
        <f>CATALOGO!C133</f>
        <v>PISO CERÁMICO ANTIDESLIZANTE</v>
      </c>
      <c r="E4554" s="437"/>
      <c r="F4554" s="437"/>
      <c r="G4554" s="437"/>
      <c r="H4554" s="71"/>
      <c r="I4554" s="209">
        <f>CATALOGO!D133</f>
        <v>28</v>
      </c>
      <c r="J4554" s="107"/>
      <c r="K4554" s="222" t="str">
        <f>CATALOGO!G133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413" t="s">
        <v>5</v>
      </c>
      <c r="D4556" s="413"/>
      <c r="E4556" s="413"/>
      <c r="F4556" s="413"/>
      <c r="G4556" s="414"/>
    </row>
    <row r="4557" spans="1:16" x14ac:dyDescent="0.25">
      <c r="B4557" s="109" t="s">
        <v>6</v>
      </c>
      <c r="C4557" s="424" t="s">
        <v>1</v>
      </c>
      <c r="D4557" s="425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3" t="s">
        <v>8</v>
      </c>
      <c r="L4557" s="113" t="s">
        <v>193</v>
      </c>
      <c r="O4557" s="438"/>
      <c r="P4557" s="438"/>
    </row>
    <row r="4558" spans="1:16" ht="16.5" customHeight="1" x14ac:dyDescent="0.25">
      <c r="B4558" s="120">
        <v>1</v>
      </c>
      <c r="C4558" s="428" t="s">
        <v>213</v>
      </c>
      <c r="D4558" s="429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>E4558*I4558</f>
        <v>1567.9999999999998</v>
      </c>
      <c r="O4558" s="44"/>
      <c r="P4558" s="45"/>
    </row>
    <row r="4559" spans="1:16" x14ac:dyDescent="0.25">
      <c r="B4559" s="120">
        <v>2</v>
      </c>
      <c r="C4559" s="430" t="s">
        <v>72</v>
      </c>
      <c r="D4559" s="429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>+F4559*I4559</f>
        <v>5</v>
      </c>
      <c r="L4559" s="116">
        <f>E4559*I4559</f>
        <v>140</v>
      </c>
      <c r="O4559" s="44"/>
      <c r="P4559" s="47"/>
    </row>
    <row r="4560" spans="1:16" x14ac:dyDescent="0.3">
      <c r="B4560" s="120">
        <v>3</v>
      </c>
      <c r="C4560" s="430" t="s">
        <v>214</v>
      </c>
      <c r="D4560" s="429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>+F4560*I4560</f>
        <v>1.5</v>
      </c>
      <c r="L4560" s="116">
        <f>E4560*I4560</f>
        <v>42</v>
      </c>
      <c r="O4560" s="48"/>
      <c r="P4560" s="49"/>
    </row>
    <row r="4561" spans="2:16" ht="16.5" customHeight="1" x14ac:dyDescent="0.25">
      <c r="B4561" s="120">
        <v>4</v>
      </c>
      <c r="C4561" s="407" t="s">
        <v>599</v>
      </c>
      <c r="D4561" s="408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>+F4561*I4561</f>
        <v>87.5</v>
      </c>
      <c r="L4561" s="116">
        <f>E4561*I4561</f>
        <v>2449.9999999999995</v>
      </c>
      <c r="O4561" s="44"/>
      <c r="P4561" s="45"/>
    </row>
    <row r="4562" spans="2:16" x14ac:dyDescent="0.3">
      <c r="B4562" s="120"/>
      <c r="C4562" s="430"/>
      <c r="D4562" s="429"/>
      <c r="E4562" s="114"/>
      <c r="F4562" s="83"/>
      <c r="G4562" s="74"/>
      <c r="I4562" s="115">
        <f>IF(C4562=0,0,VLOOKUP(C4562,Tabla1[],3,FALSE))</f>
        <v>0</v>
      </c>
      <c r="K4562" s="84">
        <f>+F4562*I4562</f>
        <v>0</v>
      </c>
      <c r="L4562" s="116">
        <f>E4562*I4562</f>
        <v>0</v>
      </c>
      <c r="O4562" s="48"/>
      <c r="P4562" s="49"/>
    </row>
    <row r="4563" spans="2:16" ht="17.25" thickBot="1" x14ac:dyDescent="0.35"/>
    <row r="4564" spans="2:16" ht="17.25" thickBot="1" x14ac:dyDescent="0.3">
      <c r="F4564" s="402" t="s">
        <v>9</v>
      </c>
      <c r="G4564" s="403"/>
      <c r="H4564" s="403"/>
      <c r="I4564" s="404"/>
      <c r="K4564" s="224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413" t="s">
        <v>11</v>
      </c>
      <c r="D4566" s="413"/>
      <c r="E4566" s="413"/>
      <c r="F4566" s="413"/>
      <c r="G4566" s="414"/>
    </row>
    <row r="4567" spans="2:16" x14ac:dyDescent="0.3">
      <c r="B4567" s="112" t="s">
        <v>6</v>
      </c>
      <c r="C4567" s="415" t="s">
        <v>1</v>
      </c>
      <c r="D4567" s="416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409"/>
      <c r="D4568" s="409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431"/>
      <c r="D4569" s="432"/>
      <c r="E4569" s="119"/>
      <c r="F4569" s="72"/>
      <c r="G4569" s="74"/>
      <c r="I4569" s="115">
        <f>IF(C4569=0,0,VLOOKUP(C4569,Tabla3[],3,FALSE))</f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431"/>
      <c r="D4570" s="432"/>
      <c r="E4570" s="119"/>
      <c r="F4570" s="72"/>
      <c r="G4570" s="74"/>
      <c r="I4570" s="115">
        <f>IF(C4570=0,0,VLOOKUP(C4570,Tabla3[],3,FALSE))</f>
        <v>0</v>
      </c>
      <c r="K4570" s="84">
        <f>+F4570*I4570</f>
        <v>0</v>
      </c>
      <c r="L4570" s="116">
        <f>E4570*I4570</f>
        <v>0</v>
      </c>
    </row>
    <row r="4571" spans="2:16" x14ac:dyDescent="0.3">
      <c r="B4571" s="74"/>
      <c r="C4571" s="411"/>
      <c r="D4571" s="412"/>
      <c r="E4571" s="119"/>
      <c r="F4571" s="72"/>
      <c r="G4571" s="74"/>
      <c r="I4571" s="115">
        <f>IF(C4571=0,0,VLOOKUP(C4571,Tabla3[],3,FALSE))</f>
        <v>0</v>
      </c>
      <c r="K4571" s="84">
        <f>+F4571*I4571</f>
        <v>0</v>
      </c>
      <c r="L4571" s="116">
        <f>E4571*I4571</f>
        <v>0</v>
      </c>
    </row>
    <row r="4572" spans="2:16" ht="17.25" thickBot="1" x14ac:dyDescent="0.35"/>
    <row r="4573" spans="2:16" ht="17.25" thickBot="1" x14ac:dyDescent="0.35">
      <c r="F4573" s="402" t="s">
        <v>12</v>
      </c>
      <c r="G4573" s="403"/>
      <c r="H4573" s="403"/>
      <c r="I4573" s="404"/>
      <c r="K4573" s="224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413" t="s">
        <v>14</v>
      </c>
      <c r="D4575" s="413"/>
      <c r="E4575" s="413"/>
      <c r="F4575" s="413"/>
      <c r="G4575" s="414"/>
    </row>
    <row r="4576" spans="2:16" x14ac:dyDescent="0.3">
      <c r="B4576" s="112" t="s">
        <v>6</v>
      </c>
      <c r="C4576" s="415" t="s">
        <v>1</v>
      </c>
      <c r="D4576" s="416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409" t="s">
        <v>215</v>
      </c>
      <c r="D4577" s="409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409"/>
      <c r="D4578" s="409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417"/>
      <c r="D4579" s="418"/>
      <c r="E4579" s="122"/>
      <c r="F4579" s="123"/>
      <c r="G4579" s="74"/>
      <c r="I4579" s="115">
        <f>IF(C4579=0,0,VLOOKUP(C4579,Tabla2[],3,FALSE))</f>
        <v>0</v>
      </c>
      <c r="K4579" s="84">
        <f>+F4579*I4579</f>
        <v>0</v>
      </c>
      <c r="L4579" s="116">
        <f>E4579*I4579</f>
        <v>0</v>
      </c>
    </row>
    <row r="4580" spans="2:12" ht="17.25" thickBot="1" x14ac:dyDescent="0.35">
      <c r="B4580" s="419" t="s">
        <v>15</v>
      </c>
      <c r="C4580" s="420"/>
      <c r="D4580" s="420"/>
      <c r="E4580" s="420"/>
      <c r="F4580" s="420"/>
      <c r="G4580" s="421"/>
      <c r="I4580" s="115">
        <f>IF(C4580=0,0,VLOOKUP(C4580,Tabla2[],3,FALSE))</f>
        <v>0</v>
      </c>
      <c r="K4580" s="84">
        <v>0</v>
      </c>
      <c r="L4580" s="116">
        <f>E4580*I4580</f>
        <v>0</v>
      </c>
    </row>
    <row r="4581" spans="2:12" ht="17.25" thickBot="1" x14ac:dyDescent="0.35"/>
    <row r="4582" spans="2:12" ht="17.25" thickBot="1" x14ac:dyDescent="0.35">
      <c r="F4582" s="402" t="s">
        <v>16</v>
      </c>
      <c r="G4582" s="403"/>
      <c r="H4582" s="403"/>
      <c r="I4582" s="404"/>
      <c r="K4582" s="224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413" t="s">
        <v>18</v>
      </c>
      <c r="D4584" s="413"/>
      <c r="E4584" s="413"/>
      <c r="F4584" s="413"/>
      <c r="G4584" s="414"/>
    </row>
    <row r="4585" spans="2:12" x14ac:dyDescent="0.3">
      <c r="B4585" s="112" t="s">
        <v>6</v>
      </c>
      <c r="C4585" s="415" t="s">
        <v>1</v>
      </c>
      <c r="D4585" s="416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411"/>
      <c r="D4586" s="412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411"/>
      <c r="D4587" s="412"/>
      <c r="E4587" s="125"/>
      <c r="F4587" s="72"/>
      <c r="G4587" s="74"/>
      <c r="I4587" s="84">
        <v>0</v>
      </c>
      <c r="K4587" s="84">
        <f>+F4587*I4587</f>
        <v>0</v>
      </c>
      <c r="L4587" s="116">
        <f>E4587*I4587</f>
        <v>0</v>
      </c>
    </row>
    <row r="4588" spans="2:12" x14ac:dyDescent="0.3">
      <c r="B4588" s="74"/>
      <c r="C4588" s="411"/>
      <c r="D4588" s="412"/>
      <c r="E4588" s="125"/>
      <c r="F4588" s="72"/>
      <c r="G4588" s="74"/>
      <c r="I4588" s="84">
        <v>0</v>
      </c>
      <c r="K4588" s="84">
        <f>+F4588*I4588</f>
        <v>0</v>
      </c>
      <c r="L4588" s="116">
        <f>E4588*I4588</f>
        <v>0</v>
      </c>
    </row>
    <row r="4589" spans="2:12" ht="17.25" thickBot="1" x14ac:dyDescent="0.35">
      <c r="L4589" s="116"/>
    </row>
    <row r="4590" spans="2:12" ht="17.25" thickBot="1" x14ac:dyDescent="0.35">
      <c r="F4590" s="402" t="s">
        <v>19</v>
      </c>
      <c r="G4590" s="403"/>
      <c r="H4590" s="403"/>
      <c r="I4590" s="404"/>
      <c r="K4590" s="224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127"/>
      <c r="H4591" s="128"/>
      <c r="I4591" s="106"/>
      <c r="K4591" s="225"/>
    </row>
    <row r="4592" spans="2:12" ht="15" customHeight="1" thickBot="1" x14ac:dyDescent="0.35"/>
    <row r="4593" spans="1:16" ht="17.25" thickBot="1" x14ac:dyDescent="0.35">
      <c r="F4593" s="402" t="s">
        <v>20</v>
      </c>
      <c r="G4593" s="403"/>
      <c r="H4593" s="403"/>
      <c r="I4593" s="404"/>
      <c r="K4593" s="224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402" t="s">
        <v>21</v>
      </c>
      <c r="G4595" s="403"/>
      <c r="H4595" s="403"/>
      <c r="I4595" s="404"/>
      <c r="K4595" s="224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402" t="s">
        <v>22</v>
      </c>
      <c r="G4597" s="403"/>
      <c r="H4597" s="403"/>
      <c r="I4597" s="404"/>
      <c r="K4597" s="224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127"/>
      <c r="H4598" s="128"/>
      <c r="I4598" s="106"/>
      <c r="K4598" s="226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127"/>
      <c r="H4599" s="128"/>
      <c r="I4599" s="106"/>
      <c r="K4599" s="227"/>
      <c r="L4599" s="129"/>
      <c r="M4599" s="132"/>
      <c r="N4599" s="133"/>
    </row>
    <row r="4600" spans="1:16" ht="17.25" thickBot="1" x14ac:dyDescent="0.35">
      <c r="B4600" s="405"/>
      <c r="C4600" s="405"/>
      <c r="D4600" s="405"/>
    </row>
    <row r="4601" spans="1:16" x14ac:dyDescent="0.3">
      <c r="B4601" s="406" t="s">
        <v>23</v>
      </c>
      <c r="C4601" s="406"/>
      <c r="D4601" s="406"/>
    </row>
    <row r="4602" spans="1:16" x14ac:dyDescent="0.3">
      <c r="B4602" s="155"/>
      <c r="C4602" s="155"/>
      <c r="D4602" s="155"/>
    </row>
    <row r="4603" spans="1:16" x14ac:dyDescent="0.3">
      <c r="B4603" s="155"/>
      <c r="C4603" s="155"/>
      <c r="D4603" s="155"/>
    </row>
    <row r="4604" spans="1:16" x14ac:dyDescent="0.3">
      <c r="B4604" s="103" t="s">
        <v>43</v>
      </c>
      <c r="C4604" s="104"/>
      <c r="D4604" s="422" t="s">
        <v>1</v>
      </c>
      <c r="E4604" s="422"/>
      <c r="F4604" s="422"/>
      <c r="G4604" s="422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09">
        <f>CATALOGO!B134</f>
        <v>611.01</v>
      </c>
      <c r="C4605" s="71"/>
      <c r="D4605" s="436" t="str">
        <f>CATALOGO!C134</f>
        <v>PINTURA DE MUROS</v>
      </c>
      <c r="E4605" s="436"/>
      <c r="F4605" s="436"/>
      <c r="G4605" s="436"/>
      <c r="H4605" s="71"/>
      <c r="I4605" s="209">
        <f>CATALOGO!D134</f>
        <v>280</v>
      </c>
      <c r="J4605" s="107"/>
      <c r="K4605" s="222" t="str">
        <f>CATALOGO!G134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413" t="s">
        <v>5</v>
      </c>
      <c r="D4607" s="413"/>
      <c r="E4607" s="413"/>
      <c r="F4607" s="413"/>
      <c r="G4607" s="414"/>
    </row>
    <row r="4608" spans="1:16" x14ac:dyDescent="0.25">
      <c r="B4608" s="109" t="s">
        <v>6</v>
      </c>
      <c r="C4608" s="424" t="s">
        <v>1</v>
      </c>
      <c r="D4608" s="425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3" t="s">
        <v>8</v>
      </c>
      <c r="L4608" s="113" t="s">
        <v>193</v>
      </c>
      <c r="O4608" s="438"/>
      <c r="P4608" s="438"/>
    </row>
    <row r="4609" spans="2:16" ht="17.25" customHeight="1" x14ac:dyDescent="0.25">
      <c r="B4609" s="120">
        <v>1</v>
      </c>
      <c r="C4609" s="428" t="s">
        <v>77</v>
      </c>
      <c r="D4609" s="429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122">E4609*I4609</f>
        <v>280</v>
      </c>
      <c r="O4609" s="44"/>
      <c r="P4609" s="45"/>
    </row>
    <row r="4610" spans="2:16" x14ac:dyDescent="0.3">
      <c r="B4610" s="120">
        <v>2</v>
      </c>
      <c r="C4610" s="428" t="s">
        <v>78</v>
      </c>
      <c r="D4610" s="429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123">+F4610*I4610</f>
        <v>1</v>
      </c>
      <c r="L4610" s="116">
        <f t="shared" si="122"/>
        <v>280</v>
      </c>
      <c r="P4610" s="45"/>
    </row>
    <row r="4611" spans="2:16" x14ac:dyDescent="0.3">
      <c r="B4611" s="120">
        <v>3</v>
      </c>
      <c r="C4611" s="428" t="s">
        <v>219</v>
      </c>
      <c r="D4611" s="429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123"/>
        <v>15</v>
      </c>
      <c r="L4611" s="116">
        <f t="shared" si="122"/>
        <v>4200</v>
      </c>
      <c r="O4611" s="48"/>
      <c r="P4611" s="49"/>
    </row>
    <row r="4612" spans="2:16" x14ac:dyDescent="0.3">
      <c r="B4612" s="120">
        <v>4</v>
      </c>
      <c r="C4612" s="428" t="s">
        <v>220</v>
      </c>
      <c r="D4612" s="429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123"/>
        <v>1</v>
      </c>
      <c r="L4612" s="116">
        <f t="shared" si="122"/>
        <v>280</v>
      </c>
      <c r="O4612" s="48"/>
      <c r="P4612" s="49"/>
    </row>
    <row r="4613" spans="2:16" x14ac:dyDescent="0.3">
      <c r="B4613" s="120">
        <v>5</v>
      </c>
      <c r="C4613" s="428" t="s">
        <v>183</v>
      </c>
      <c r="D4613" s="429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123"/>
        <v>2</v>
      </c>
      <c r="L4613" s="116">
        <f t="shared" si="122"/>
        <v>560</v>
      </c>
      <c r="O4613" s="48"/>
      <c r="P4613" s="49"/>
    </row>
    <row r="4614" spans="2:16" x14ac:dyDescent="0.3">
      <c r="B4614" s="120">
        <v>6</v>
      </c>
      <c r="C4614" s="429" t="s">
        <v>79</v>
      </c>
      <c r="D4614" s="409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123"/>
        <v>4</v>
      </c>
      <c r="L4614" s="116">
        <f t="shared" si="122"/>
        <v>1120</v>
      </c>
      <c r="O4614" s="48"/>
      <c r="P4614" s="49"/>
    </row>
    <row r="4615" spans="2:16" x14ac:dyDescent="0.3">
      <c r="B4615" s="120">
        <v>7</v>
      </c>
      <c r="C4615" s="429" t="s">
        <v>222</v>
      </c>
      <c r="D4615" s="409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123"/>
        <v>1</v>
      </c>
      <c r="L4615" s="116">
        <f t="shared" si="122"/>
        <v>280</v>
      </c>
      <c r="O4615" s="48"/>
      <c r="P4615" s="49"/>
    </row>
    <row r="4616" spans="2:16" x14ac:dyDescent="0.3">
      <c r="B4616" s="120"/>
      <c r="C4616" s="428"/>
      <c r="D4616" s="429"/>
      <c r="E4616" s="114"/>
      <c r="F4616" s="83"/>
      <c r="G4616" s="74"/>
      <c r="I4616" s="115">
        <f>IF(C4616=0,0,VLOOKUP(C4616,Tabla1[],3,FALSE))</f>
        <v>0</v>
      </c>
      <c r="K4616" s="84">
        <f t="shared" si="123"/>
        <v>0</v>
      </c>
      <c r="L4616" s="116">
        <f t="shared" si="122"/>
        <v>0</v>
      </c>
      <c r="O4616" s="48"/>
      <c r="P4616" s="49"/>
    </row>
    <row r="4617" spans="2:16" x14ac:dyDescent="0.3">
      <c r="B4617" s="120"/>
      <c r="C4617" s="428"/>
      <c r="D4617" s="429"/>
      <c r="E4617" s="114"/>
      <c r="F4617" s="83"/>
      <c r="G4617" s="74"/>
      <c r="I4617" s="115">
        <f>IF(C4617=0,0,VLOOKUP(C4617,Tabla1[],3,FALSE))</f>
        <v>0</v>
      </c>
      <c r="K4617" s="84">
        <f t="shared" si="123"/>
        <v>0</v>
      </c>
      <c r="L4617" s="116">
        <f t="shared" si="122"/>
        <v>0</v>
      </c>
      <c r="O4617" s="48"/>
      <c r="P4617" s="49"/>
    </row>
    <row r="4618" spans="2:16" x14ac:dyDescent="0.3">
      <c r="B4618" s="120"/>
      <c r="C4618" s="430"/>
      <c r="D4618" s="429"/>
      <c r="E4618" s="114"/>
      <c r="F4618" s="83"/>
      <c r="G4618" s="74"/>
      <c r="I4618" s="115">
        <f>IF(C4618=0,0,VLOOKUP(C4618,Tabla1[],3,FALSE))</f>
        <v>0</v>
      </c>
      <c r="K4618" s="84">
        <f t="shared" si="123"/>
        <v>0</v>
      </c>
      <c r="L4618" s="116">
        <f t="shared" si="122"/>
        <v>0</v>
      </c>
      <c r="O4618" s="48"/>
      <c r="P4618" s="43"/>
    </row>
    <row r="4619" spans="2:16" ht="17.25" thickBot="1" x14ac:dyDescent="0.35"/>
    <row r="4620" spans="2:16" ht="17.25" thickBot="1" x14ac:dyDescent="0.3">
      <c r="F4620" s="402" t="s">
        <v>9</v>
      </c>
      <c r="G4620" s="403"/>
      <c r="H4620" s="403"/>
      <c r="I4620" s="404"/>
      <c r="K4620" s="224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413" t="s">
        <v>11</v>
      </c>
      <c r="D4622" s="413"/>
      <c r="E4622" s="413"/>
      <c r="F4622" s="413"/>
      <c r="G4622" s="414"/>
    </row>
    <row r="4623" spans="2:16" x14ac:dyDescent="0.3">
      <c r="B4623" s="112" t="s">
        <v>6</v>
      </c>
      <c r="C4623" s="415" t="s">
        <v>1</v>
      </c>
      <c r="D4623" s="416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409"/>
      <c r="D4624" s="409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431"/>
      <c r="D4625" s="432"/>
      <c r="E4625" s="119"/>
      <c r="F4625" s="72"/>
      <c r="G4625" s="74"/>
      <c r="I4625" s="115">
        <f>IF(C4625=0,0,VLOOKUP(C4625,Tabla3[],3,FALSE))</f>
        <v>0</v>
      </c>
      <c r="K4625" s="84">
        <f>+F4625*I4625</f>
        <v>0</v>
      </c>
      <c r="L4625" s="116">
        <f>E4625*I4625</f>
        <v>0</v>
      </c>
    </row>
    <row r="4626" spans="2:12" x14ac:dyDescent="0.3">
      <c r="B4626" s="74"/>
      <c r="C4626" s="431"/>
      <c r="D4626" s="432"/>
      <c r="E4626" s="119"/>
      <c r="F4626" s="72"/>
      <c r="G4626" s="74"/>
      <c r="I4626" s="115">
        <f>IF(C4626=0,0,VLOOKUP(C4626,Tabla3[],3,FALSE))</f>
        <v>0</v>
      </c>
      <c r="K4626" s="84">
        <f>+F4626*I4626</f>
        <v>0</v>
      </c>
      <c r="L4626" s="116">
        <f>E4626*I4626</f>
        <v>0</v>
      </c>
    </row>
    <row r="4627" spans="2:12" x14ac:dyDescent="0.3">
      <c r="B4627" s="74"/>
      <c r="C4627" s="411"/>
      <c r="D4627" s="412"/>
      <c r="E4627" s="119"/>
      <c r="F4627" s="72"/>
      <c r="G4627" s="74"/>
      <c r="I4627" s="115">
        <f>IF(C4627=0,0,VLOOKUP(C4627,Tabla3[],3,FALSE))</f>
        <v>0</v>
      </c>
      <c r="K4627" s="84">
        <f>+F4627*I4627</f>
        <v>0</v>
      </c>
      <c r="L4627" s="116">
        <f>E4627*I4627</f>
        <v>0</v>
      </c>
    </row>
    <row r="4628" spans="2:12" ht="17.25" thickBot="1" x14ac:dyDescent="0.35"/>
    <row r="4629" spans="2:12" ht="17.25" thickBot="1" x14ac:dyDescent="0.35">
      <c r="F4629" s="402" t="s">
        <v>12</v>
      </c>
      <c r="G4629" s="403"/>
      <c r="H4629" s="403"/>
      <c r="I4629" s="404"/>
      <c r="K4629" s="224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413" t="s">
        <v>14</v>
      </c>
      <c r="D4631" s="413"/>
      <c r="E4631" s="413"/>
      <c r="F4631" s="413"/>
      <c r="G4631" s="414"/>
    </row>
    <row r="4632" spans="2:12" x14ac:dyDescent="0.3">
      <c r="B4632" s="112" t="s">
        <v>6</v>
      </c>
      <c r="C4632" s="415" t="s">
        <v>1</v>
      </c>
      <c r="D4632" s="416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409" t="s">
        <v>186</v>
      </c>
      <c r="D4633" s="409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409"/>
      <c r="D4634" s="409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417"/>
      <c r="D4635" s="418"/>
      <c r="E4635" s="122"/>
      <c r="F4635" s="123"/>
      <c r="G4635" s="74"/>
      <c r="I4635" s="115">
        <f>IF(C4635=0,0,VLOOKUP(C4635,Tabla2[],3,FALSE))</f>
        <v>0</v>
      </c>
      <c r="K4635" s="84">
        <f>+F4635*I4635</f>
        <v>0</v>
      </c>
      <c r="L4635" s="116">
        <f>E4635*I4635</f>
        <v>0</v>
      </c>
    </row>
    <row r="4636" spans="2:12" ht="17.25" thickBot="1" x14ac:dyDescent="0.35">
      <c r="B4636" s="419" t="s">
        <v>15</v>
      </c>
      <c r="C4636" s="420"/>
      <c r="D4636" s="420"/>
      <c r="E4636" s="420"/>
      <c r="F4636" s="420"/>
      <c r="G4636" s="421"/>
      <c r="I4636" s="84">
        <v>0</v>
      </c>
      <c r="K4636" s="84">
        <v>0</v>
      </c>
      <c r="L4636" s="116">
        <f>E4636*I4636</f>
        <v>0</v>
      </c>
    </row>
    <row r="4637" spans="2:12" ht="17.25" thickBot="1" x14ac:dyDescent="0.35"/>
    <row r="4638" spans="2:12" ht="17.25" thickBot="1" x14ac:dyDescent="0.35">
      <c r="F4638" s="402" t="s">
        <v>16</v>
      </c>
      <c r="G4638" s="403"/>
      <c r="H4638" s="403"/>
      <c r="I4638" s="404"/>
      <c r="K4638" s="224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413" t="s">
        <v>18</v>
      </c>
      <c r="D4640" s="413"/>
      <c r="E4640" s="413"/>
      <c r="F4640" s="413"/>
      <c r="G4640" s="414"/>
    </row>
    <row r="4641" spans="2:16" x14ac:dyDescent="0.3">
      <c r="B4641" s="112" t="s">
        <v>6</v>
      </c>
      <c r="C4641" s="415" t="s">
        <v>1</v>
      </c>
      <c r="D4641" s="416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411"/>
      <c r="D4642" s="412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411"/>
      <c r="D4643" s="412"/>
      <c r="E4643" s="125"/>
      <c r="F4643" s="72"/>
      <c r="G4643" s="74"/>
      <c r="I4643" s="84">
        <v>0</v>
      </c>
      <c r="K4643" s="84">
        <f>+F4643*I4643</f>
        <v>0</v>
      </c>
      <c r="L4643" s="116">
        <f>E4643*I4643</f>
        <v>0</v>
      </c>
    </row>
    <row r="4644" spans="2:16" x14ac:dyDescent="0.3">
      <c r="B4644" s="74"/>
      <c r="C4644" s="411"/>
      <c r="D4644" s="412"/>
      <c r="E4644" s="125"/>
      <c r="F4644" s="72"/>
      <c r="G4644" s="74"/>
      <c r="I4644" s="84">
        <v>0</v>
      </c>
      <c r="K4644" s="84">
        <f>+F4644*I4644</f>
        <v>0</v>
      </c>
      <c r="L4644" s="116">
        <f>E4644*I4644</f>
        <v>0</v>
      </c>
    </row>
    <row r="4645" spans="2:16" ht="17.25" thickBot="1" x14ac:dyDescent="0.35">
      <c r="L4645" s="116"/>
    </row>
    <row r="4646" spans="2:16" ht="17.25" thickBot="1" x14ac:dyDescent="0.35">
      <c r="F4646" s="402" t="s">
        <v>19</v>
      </c>
      <c r="G4646" s="403"/>
      <c r="H4646" s="403"/>
      <c r="I4646" s="404"/>
      <c r="K4646" s="224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127"/>
      <c r="H4647" s="128"/>
      <c r="I4647" s="106"/>
      <c r="K4647" s="225"/>
    </row>
    <row r="4648" spans="2:16" ht="15" customHeight="1" thickBot="1" x14ac:dyDescent="0.35"/>
    <row r="4649" spans="2:16" ht="17.25" thickBot="1" x14ac:dyDescent="0.35">
      <c r="F4649" s="402" t="s">
        <v>20</v>
      </c>
      <c r="G4649" s="403"/>
      <c r="H4649" s="403"/>
      <c r="I4649" s="404"/>
      <c r="K4649" s="224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402" t="s">
        <v>21</v>
      </c>
      <c r="G4651" s="403"/>
      <c r="H4651" s="403"/>
      <c r="I4651" s="404"/>
      <c r="K4651" s="224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402" t="s">
        <v>22</v>
      </c>
      <c r="G4653" s="403"/>
      <c r="H4653" s="403"/>
      <c r="I4653" s="404"/>
      <c r="K4653" s="224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127"/>
      <c r="H4654" s="128"/>
      <c r="I4654" s="106"/>
      <c r="K4654" s="226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127"/>
      <c r="H4655" s="128"/>
      <c r="I4655" s="106"/>
      <c r="K4655" s="227"/>
      <c r="L4655" s="129"/>
      <c r="M4655" s="132"/>
      <c r="N4655" s="133"/>
    </row>
    <row r="4656" spans="2:16" ht="17.25" thickBot="1" x14ac:dyDescent="0.35">
      <c r="B4656" s="405"/>
      <c r="C4656" s="405"/>
      <c r="D4656" s="405"/>
    </row>
    <row r="4657" spans="1:16" x14ac:dyDescent="0.3">
      <c r="B4657" s="406" t="s">
        <v>23</v>
      </c>
      <c r="C4657" s="406"/>
      <c r="D4657" s="406"/>
    </row>
    <row r="4658" spans="1:16" x14ac:dyDescent="0.3">
      <c r="B4658" s="155"/>
      <c r="C4658" s="155"/>
      <c r="D4658" s="155"/>
    </row>
    <row r="4659" spans="1:16" x14ac:dyDescent="0.3">
      <c r="B4659" s="155"/>
      <c r="C4659" s="155"/>
      <c r="D4659" s="155"/>
    </row>
    <row r="4660" spans="1:16" x14ac:dyDescent="0.3">
      <c r="B4660" s="103" t="s">
        <v>43</v>
      </c>
      <c r="C4660" s="104"/>
      <c r="D4660" s="422" t="s">
        <v>1</v>
      </c>
      <c r="E4660" s="422"/>
      <c r="F4660" s="422"/>
      <c r="G4660" s="422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09">
        <f>CATALOGO!B136</f>
        <v>701.02</v>
      </c>
      <c r="C4661" s="71"/>
      <c r="D4661" s="436" t="str">
        <f>CATALOGO!C136</f>
        <v>PUERTA METAL + CHAPA (1 hoja)</v>
      </c>
      <c r="E4661" s="436"/>
      <c r="F4661" s="436"/>
      <c r="G4661" s="436"/>
      <c r="H4661" s="71"/>
      <c r="I4661" s="209">
        <f>CATALOGO!D136</f>
        <v>2</v>
      </c>
      <c r="J4661" s="107"/>
      <c r="K4661" s="222" t="str">
        <f>CATALOGO!G136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413" t="s">
        <v>5</v>
      </c>
      <c r="D4663" s="413"/>
      <c r="E4663" s="413"/>
      <c r="F4663" s="413"/>
      <c r="G4663" s="414"/>
    </row>
    <row r="4664" spans="1:16" x14ac:dyDescent="0.25">
      <c r="B4664" s="109" t="s">
        <v>6</v>
      </c>
      <c r="C4664" s="424" t="s">
        <v>1</v>
      </c>
      <c r="D4664" s="425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3" t="s">
        <v>8</v>
      </c>
      <c r="L4664" s="113" t="s">
        <v>193</v>
      </c>
      <c r="O4664" s="438"/>
      <c r="P4664" s="438"/>
    </row>
    <row r="4665" spans="1:16" ht="17.25" customHeight="1" x14ac:dyDescent="0.25">
      <c r="B4665" s="120"/>
      <c r="C4665" s="428"/>
      <c r="D4665" s="429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124">E4665*I4665</f>
        <v>0</v>
      </c>
      <c r="O4665" s="44"/>
      <c r="P4665" s="45"/>
    </row>
    <row r="4666" spans="1:16" x14ac:dyDescent="0.3">
      <c r="B4666" s="120"/>
      <c r="C4666" s="428"/>
      <c r="D4666" s="429"/>
      <c r="E4666" s="114"/>
      <c r="F4666" s="83"/>
      <c r="G4666" s="74"/>
      <c r="I4666" s="115">
        <f>IF(C4666=0,0,VLOOKUP(C4666,Tabla1[],3,FALSE))</f>
        <v>0</v>
      </c>
      <c r="K4666" s="84">
        <f t="shared" ref="K4666:K4674" si="125">+F4666*I4666</f>
        <v>0</v>
      </c>
      <c r="L4666" s="116">
        <f t="shared" si="124"/>
        <v>0</v>
      </c>
      <c r="P4666" s="45"/>
    </row>
    <row r="4667" spans="1:16" x14ac:dyDescent="0.3">
      <c r="B4667" s="120"/>
      <c r="C4667" s="428"/>
      <c r="D4667" s="429"/>
      <c r="E4667" s="114"/>
      <c r="F4667" s="83"/>
      <c r="G4667" s="74"/>
      <c r="I4667" s="115">
        <f>IF(C4667=0,0,VLOOKUP(C4667,Tabla1[],3,FALSE))</f>
        <v>0</v>
      </c>
      <c r="K4667" s="84">
        <f t="shared" si="125"/>
        <v>0</v>
      </c>
      <c r="L4667" s="116">
        <f t="shared" si="124"/>
        <v>0</v>
      </c>
      <c r="O4667" s="48"/>
      <c r="P4667" s="49"/>
    </row>
    <row r="4668" spans="1:16" x14ac:dyDescent="0.3">
      <c r="B4668" s="120"/>
      <c r="C4668" s="428"/>
      <c r="D4668" s="429"/>
      <c r="E4668" s="114"/>
      <c r="F4668" s="83"/>
      <c r="G4668" s="74"/>
      <c r="I4668" s="115">
        <f>IF(C4668=0,0,VLOOKUP(C4668,Tabla1[],3,FALSE))</f>
        <v>0</v>
      </c>
      <c r="K4668" s="84">
        <f t="shared" si="125"/>
        <v>0</v>
      </c>
      <c r="L4668" s="116">
        <f t="shared" si="124"/>
        <v>0</v>
      </c>
      <c r="O4668" s="48"/>
      <c r="P4668" s="49"/>
    </row>
    <row r="4669" spans="1:16" x14ac:dyDescent="0.3">
      <c r="B4669" s="120"/>
      <c r="C4669" s="428"/>
      <c r="D4669" s="429"/>
      <c r="E4669" s="114"/>
      <c r="F4669" s="83"/>
      <c r="G4669" s="74"/>
      <c r="I4669" s="115">
        <f>IF(C4669=0,0,VLOOKUP(C4669,Tabla1[],3,FALSE))</f>
        <v>0</v>
      </c>
      <c r="K4669" s="84">
        <f t="shared" si="125"/>
        <v>0</v>
      </c>
      <c r="L4669" s="116">
        <f t="shared" si="124"/>
        <v>0</v>
      </c>
      <c r="O4669" s="48"/>
      <c r="P4669" s="49"/>
    </row>
    <row r="4670" spans="1:16" x14ac:dyDescent="0.3">
      <c r="B4670" s="120"/>
      <c r="C4670" s="429"/>
      <c r="D4670" s="409"/>
      <c r="E4670" s="114"/>
      <c r="F4670" s="83"/>
      <c r="G4670" s="74"/>
      <c r="I4670" s="115">
        <f>IF(C4670=0,0,VLOOKUP(C4670,Tabla1[],3,FALSE))</f>
        <v>0</v>
      </c>
      <c r="K4670" s="84">
        <f t="shared" si="125"/>
        <v>0</v>
      </c>
      <c r="L4670" s="116">
        <f t="shared" si="124"/>
        <v>0</v>
      </c>
      <c r="O4670" s="48"/>
      <c r="P4670" s="49"/>
    </row>
    <row r="4671" spans="1:16" x14ac:dyDescent="0.3">
      <c r="B4671" s="120"/>
      <c r="C4671" s="429"/>
      <c r="D4671" s="409"/>
      <c r="E4671" s="114"/>
      <c r="F4671" s="83"/>
      <c r="G4671" s="74"/>
      <c r="I4671" s="115">
        <f>IF(C4671=0,0,VLOOKUP(C4671,Tabla1[],3,FALSE))</f>
        <v>0</v>
      </c>
      <c r="K4671" s="84">
        <f t="shared" si="125"/>
        <v>0</v>
      </c>
      <c r="L4671" s="116">
        <f t="shared" si="124"/>
        <v>0</v>
      </c>
      <c r="O4671" s="48"/>
      <c r="P4671" s="49"/>
    </row>
    <row r="4672" spans="1:16" x14ac:dyDescent="0.3">
      <c r="B4672" s="120"/>
      <c r="C4672" s="428"/>
      <c r="D4672" s="429"/>
      <c r="E4672" s="114"/>
      <c r="F4672" s="83"/>
      <c r="G4672" s="74"/>
      <c r="I4672" s="115">
        <f>IF(C4672=0,0,VLOOKUP(C4672,Tabla1[],3,FALSE))</f>
        <v>0</v>
      </c>
      <c r="K4672" s="84">
        <f t="shared" si="125"/>
        <v>0</v>
      </c>
      <c r="L4672" s="116">
        <f t="shared" si="124"/>
        <v>0</v>
      </c>
      <c r="O4672" s="48"/>
      <c r="P4672" s="49"/>
    </row>
    <row r="4673" spans="2:16" x14ac:dyDescent="0.3">
      <c r="B4673" s="120"/>
      <c r="C4673" s="428"/>
      <c r="D4673" s="429"/>
      <c r="E4673" s="114"/>
      <c r="F4673" s="83"/>
      <c r="G4673" s="74"/>
      <c r="I4673" s="115">
        <f>IF(C4673=0,0,VLOOKUP(C4673,Tabla1[],3,FALSE))</f>
        <v>0</v>
      </c>
      <c r="K4673" s="84">
        <f t="shared" si="125"/>
        <v>0</v>
      </c>
      <c r="L4673" s="116">
        <f t="shared" si="124"/>
        <v>0</v>
      </c>
      <c r="O4673" s="48"/>
      <c r="P4673" s="49"/>
    </row>
    <row r="4674" spans="2:16" x14ac:dyDescent="0.3">
      <c r="B4674" s="120"/>
      <c r="C4674" s="430"/>
      <c r="D4674" s="429"/>
      <c r="E4674" s="114"/>
      <c r="F4674" s="83"/>
      <c r="G4674" s="74"/>
      <c r="I4674" s="115">
        <f>IF(C4674=0,0,VLOOKUP(C4674,Tabla1[],3,FALSE))</f>
        <v>0</v>
      </c>
      <c r="K4674" s="84">
        <f t="shared" si="125"/>
        <v>0</v>
      </c>
      <c r="L4674" s="116">
        <f t="shared" si="124"/>
        <v>0</v>
      </c>
      <c r="O4674" s="48"/>
      <c r="P4674" s="43"/>
    </row>
    <row r="4675" spans="2:16" ht="17.25" thickBot="1" x14ac:dyDescent="0.35"/>
    <row r="4676" spans="2:16" ht="17.25" thickBot="1" x14ac:dyDescent="0.3">
      <c r="F4676" s="402" t="s">
        <v>9</v>
      </c>
      <c r="G4676" s="403"/>
      <c r="H4676" s="403"/>
      <c r="I4676" s="404"/>
      <c r="K4676" s="224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413" t="s">
        <v>11</v>
      </c>
      <c r="D4678" s="413"/>
      <c r="E4678" s="413"/>
      <c r="F4678" s="413"/>
      <c r="G4678" s="414"/>
    </row>
    <row r="4679" spans="2:16" x14ac:dyDescent="0.3">
      <c r="B4679" s="112" t="s">
        <v>6</v>
      </c>
      <c r="C4679" s="415" t="s">
        <v>1</v>
      </c>
      <c r="D4679" s="416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409"/>
      <c r="D4680" s="409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431"/>
      <c r="D4681" s="432"/>
      <c r="E4681" s="119"/>
      <c r="F4681" s="72"/>
      <c r="G4681" s="74"/>
      <c r="I4681" s="115">
        <f>IF(C4681=0,0,VLOOKUP(C4681,Tabla3[],3,FALSE))</f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431"/>
      <c r="D4682" s="432"/>
      <c r="E4682" s="119"/>
      <c r="F4682" s="72"/>
      <c r="G4682" s="74"/>
      <c r="I4682" s="115">
        <f>IF(C4682=0,0,VLOOKUP(C4682,Tabla3[],3,FALSE))</f>
        <v>0</v>
      </c>
      <c r="K4682" s="84">
        <f>+F4682*I4682</f>
        <v>0</v>
      </c>
      <c r="L4682" s="116">
        <f>E4682*I4682</f>
        <v>0</v>
      </c>
    </row>
    <row r="4683" spans="2:16" x14ac:dyDescent="0.3">
      <c r="B4683" s="74"/>
      <c r="C4683" s="411"/>
      <c r="D4683" s="412"/>
      <c r="E4683" s="119"/>
      <c r="F4683" s="72"/>
      <c r="G4683" s="74"/>
      <c r="I4683" s="115">
        <f>IF(C4683=0,0,VLOOKUP(C4683,Tabla3[],3,FALSE))</f>
        <v>0</v>
      </c>
      <c r="K4683" s="84">
        <f>+F4683*I4683</f>
        <v>0</v>
      </c>
      <c r="L4683" s="116">
        <f>E4683*I4683</f>
        <v>0</v>
      </c>
    </row>
    <row r="4684" spans="2:16" ht="17.25" thickBot="1" x14ac:dyDescent="0.35"/>
    <row r="4685" spans="2:16" ht="17.25" thickBot="1" x14ac:dyDescent="0.35">
      <c r="F4685" s="402" t="s">
        <v>12</v>
      </c>
      <c r="G4685" s="403"/>
      <c r="H4685" s="403"/>
      <c r="I4685" s="404"/>
      <c r="K4685" s="224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413" t="s">
        <v>14</v>
      </c>
      <c r="D4687" s="413"/>
      <c r="E4687" s="413"/>
      <c r="F4687" s="413"/>
      <c r="G4687" s="414"/>
    </row>
    <row r="4688" spans="2:16" x14ac:dyDescent="0.3">
      <c r="B4688" s="112" t="s">
        <v>6</v>
      </c>
      <c r="C4688" s="415" t="s">
        <v>1</v>
      </c>
      <c r="D4688" s="416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434" t="s">
        <v>223</v>
      </c>
      <c r="D4689" s="434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409"/>
      <c r="D4690" s="409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417"/>
      <c r="D4691" s="418"/>
      <c r="E4691" s="122"/>
      <c r="F4691" s="123"/>
      <c r="G4691" s="74"/>
      <c r="I4691" s="115">
        <f>IF(C4691=0,0,VLOOKUP(C4691,Tabla2[],3,FALSE))</f>
        <v>0</v>
      </c>
      <c r="K4691" s="84">
        <f>+F4691*I4691</f>
        <v>0</v>
      </c>
      <c r="L4691" s="116">
        <f>E4691*I4691</f>
        <v>0</v>
      </c>
    </row>
    <row r="4692" spans="2:12" ht="17.25" thickBot="1" x14ac:dyDescent="0.35">
      <c r="B4692" s="419" t="s">
        <v>15</v>
      </c>
      <c r="C4692" s="420"/>
      <c r="D4692" s="420"/>
      <c r="E4692" s="420"/>
      <c r="F4692" s="420"/>
      <c r="G4692" s="421"/>
      <c r="I4692" s="84">
        <v>0</v>
      </c>
      <c r="K4692" s="84">
        <v>0</v>
      </c>
      <c r="L4692" s="116">
        <f>E4692*I4692</f>
        <v>0</v>
      </c>
    </row>
    <row r="4693" spans="2:12" ht="17.25" thickBot="1" x14ac:dyDescent="0.35"/>
    <row r="4694" spans="2:12" ht="17.25" thickBot="1" x14ac:dyDescent="0.35">
      <c r="F4694" s="402" t="s">
        <v>16</v>
      </c>
      <c r="G4694" s="403"/>
      <c r="H4694" s="403"/>
      <c r="I4694" s="404"/>
      <c r="K4694" s="224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413" t="s">
        <v>18</v>
      </c>
      <c r="D4696" s="413"/>
      <c r="E4696" s="413"/>
      <c r="F4696" s="413"/>
      <c r="G4696" s="414"/>
    </row>
    <row r="4697" spans="2:12" x14ac:dyDescent="0.3">
      <c r="B4697" s="112" t="s">
        <v>6</v>
      </c>
      <c r="C4697" s="415" t="s">
        <v>1</v>
      </c>
      <c r="D4697" s="416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411"/>
      <c r="D4698" s="412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411"/>
      <c r="D4699" s="412"/>
      <c r="E4699" s="125"/>
      <c r="F4699" s="72"/>
      <c r="G4699" s="74"/>
      <c r="I4699" s="84">
        <v>0</v>
      </c>
      <c r="K4699" s="84">
        <f>+F4699*I4699</f>
        <v>0</v>
      </c>
      <c r="L4699" s="116">
        <f>E4699*I4699</f>
        <v>0</v>
      </c>
    </row>
    <row r="4700" spans="2:12" x14ac:dyDescent="0.3">
      <c r="B4700" s="74"/>
      <c r="C4700" s="411"/>
      <c r="D4700" s="412"/>
      <c r="E4700" s="125"/>
      <c r="F4700" s="72"/>
      <c r="G4700" s="74"/>
      <c r="I4700" s="84">
        <v>0</v>
      </c>
      <c r="K4700" s="84">
        <f>+F4700*I4700</f>
        <v>0</v>
      </c>
      <c r="L4700" s="116">
        <f>E4700*I4700</f>
        <v>0</v>
      </c>
    </row>
    <row r="4701" spans="2:12" ht="17.25" thickBot="1" x14ac:dyDescent="0.35">
      <c r="L4701" s="116"/>
    </row>
    <row r="4702" spans="2:12" ht="17.25" thickBot="1" x14ac:dyDescent="0.35">
      <c r="F4702" s="402" t="s">
        <v>19</v>
      </c>
      <c r="G4702" s="403"/>
      <c r="H4702" s="403"/>
      <c r="I4702" s="404"/>
      <c r="K4702" s="224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127"/>
      <c r="H4703" s="128"/>
      <c r="I4703" s="106"/>
      <c r="K4703" s="225"/>
    </row>
    <row r="4704" spans="2:12" ht="15" customHeight="1" thickBot="1" x14ac:dyDescent="0.35"/>
    <row r="4705" spans="1:16" ht="17.25" thickBot="1" x14ac:dyDescent="0.35">
      <c r="F4705" s="402" t="s">
        <v>20</v>
      </c>
      <c r="G4705" s="403"/>
      <c r="H4705" s="403"/>
      <c r="I4705" s="404"/>
      <c r="K4705" s="224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402" t="s">
        <v>21</v>
      </c>
      <c r="G4707" s="403"/>
      <c r="H4707" s="403"/>
      <c r="I4707" s="404"/>
      <c r="K4707" s="224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402" t="s">
        <v>22</v>
      </c>
      <c r="G4709" s="403"/>
      <c r="H4709" s="403"/>
      <c r="I4709" s="404"/>
      <c r="K4709" s="224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127"/>
      <c r="H4710" s="128"/>
      <c r="I4710" s="106"/>
      <c r="K4710" s="226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127"/>
      <c r="H4711" s="128"/>
      <c r="I4711" s="106"/>
      <c r="K4711" s="227"/>
      <c r="L4711" s="129"/>
      <c r="M4711" s="132"/>
      <c r="N4711" s="133"/>
    </row>
    <row r="4712" spans="1:16" ht="17.25" thickBot="1" x14ac:dyDescent="0.35">
      <c r="B4712" s="405"/>
      <c r="C4712" s="405"/>
      <c r="D4712" s="405"/>
    </row>
    <row r="4713" spans="1:16" x14ac:dyDescent="0.3">
      <c r="B4713" s="406" t="s">
        <v>23</v>
      </c>
      <c r="C4713" s="406"/>
      <c r="D4713" s="406"/>
    </row>
    <row r="4714" spans="1:16" x14ac:dyDescent="0.3">
      <c r="B4714" s="155"/>
      <c r="C4714" s="155"/>
      <c r="D4714" s="155"/>
    </row>
    <row r="4715" spans="1:16" x14ac:dyDescent="0.3">
      <c r="B4715" s="155"/>
      <c r="C4715" s="155"/>
      <c r="D4715" s="155"/>
    </row>
    <row r="4716" spans="1:16" x14ac:dyDescent="0.3">
      <c r="B4716" s="103" t="s">
        <v>43</v>
      </c>
      <c r="C4716" s="104"/>
      <c r="D4716" s="422" t="s">
        <v>1</v>
      </c>
      <c r="E4716" s="422"/>
      <c r="F4716" s="422"/>
      <c r="G4716" s="422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09">
        <f>CATALOGO!B138</f>
        <v>806.06</v>
      </c>
      <c r="C4717" s="71"/>
      <c r="D4717" s="436" t="str">
        <f>CATALOGO!C138</f>
        <v>REMOZAMIENTO DE VENTANA DE METAL + VIDRIOS</v>
      </c>
      <c r="E4717" s="436"/>
      <c r="F4717" s="436"/>
      <c r="G4717" s="436"/>
      <c r="H4717" s="71"/>
      <c r="I4717" s="209">
        <f>CATALOGO!D138</f>
        <v>40</v>
      </c>
      <c r="J4717" s="107"/>
      <c r="K4717" s="222" t="str">
        <f>CATALOGO!G138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413" t="s">
        <v>5</v>
      </c>
      <c r="D4719" s="413"/>
      <c r="E4719" s="413"/>
      <c r="F4719" s="413"/>
      <c r="G4719" s="414"/>
    </row>
    <row r="4720" spans="1:16" x14ac:dyDescent="0.25">
      <c r="B4720" s="109" t="s">
        <v>6</v>
      </c>
      <c r="C4720" s="424" t="s">
        <v>1</v>
      </c>
      <c r="D4720" s="425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3" t="s">
        <v>8</v>
      </c>
      <c r="L4720" s="113" t="s">
        <v>193</v>
      </c>
      <c r="O4720" s="438"/>
      <c r="P4720" s="438"/>
    </row>
    <row r="4721" spans="2:16" ht="17.25" customHeight="1" x14ac:dyDescent="0.25">
      <c r="B4721" s="120"/>
      <c r="C4721" s="428"/>
      <c r="D4721" s="429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126">E4721*I4721</f>
        <v>0</v>
      </c>
      <c r="O4721" s="44"/>
      <c r="P4721" s="45"/>
    </row>
    <row r="4722" spans="2:16" x14ac:dyDescent="0.3">
      <c r="B4722" s="120"/>
      <c r="C4722" s="428"/>
      <c r="D4722" s="429"/>
      <c r="E4722" s="114"/>
      <c r="F4722" s="83"/>
      <c r="G4722" s="74"/>
      <c r="I4722" s="115">
        <f>IF(C4722=0,0,VLOOKUP(C4722,Tabla1[],3,FALSE))</f>
        <v>0</v>
      </c>
      <c r="K4722" s="84">
        <f t="shared" ref="K4722:K4730" si="127">+F4722*I4722</f>
        <v>0</v>
      </c>
      <c r="L4722" s="116">
        <f t="shared" si="126"/>
        <v>0</v>
      </c>
      <c r="P4722" s="45"/>
    </row>
    <row r="4723" spans="2:16" x14ac:dyDescent="0.3">
      <c r="B4723" s="120"/>
      <c r="C4723" s="428"/>
      <c r="D4723" s="429"/>
      <c r="E4723" s="114"/>
      <c r="F4723" s="83"/>
      <c r="G4723" s="74"/>
      <c r="I4723" s="115">
        <f>IF(C4723=0,0,VLOOKUP(C4723,Tabla1[],3,FALSE))</f>
        <v>0</v>
      </c>
      <c r="K4723" s="84">
        <f t="shared" si="127"/>
        <v>0</v>
      </c>
      <c r="L4723" s="116">
        <f t="shared" si="126"/>
        <v>0</v>
      </c>
      <c r="O4723" s="48"/>
      <c r="P4723" s="49"/>
    </row>
    <row r="4724" spans="2:16" x14ac:dyDescent="0.3">
      <c r="B4724" s="120"/>
      <c r="C4724" s="428"/>
      <c r="D4724" s="429"/>
      <c r="E4724" s="114"/>
      <c r="F4724" s="83"/>
      <c r="G4724" s="74"/>
      <c r="I4724" s="115">
        <f>IF(C4724=0,0,VLOOKUP(C4724,Tabla1[],3,FALSE))</f>
        <v>0</v>
      </c>
      <c r="K4724" s="84">
        <f t="shared" si="127"/>
        <v>0</v>
      </c>
      <c r="L4724" s="116">
        <f t="shared" si="126"/>
        <v>0</v>
      </c>
      <c r="O4724" s="48"/>
      <c r="P4724" s="49"/>
    </row>
    <row r="4725" spans="2:16" x14ac:dyDescent="0.3">
      <c r="B4725" s="120"/>
      <c r="C4725" s="428"/>
      <c r="D4725" s="429"/>
      <c r="E4725" s="114"/>
      <c r="F4725" s="83"/>
      <c r="G4725" s="74"/>
      <c r="I4725" s="115">
        <f>IF(C4725=0,0,VLOOKUP(C4725,Tabla1[],3,FALSE))</f>
        <v>0</v>
      </c>
      <c r="K4725" s="84">
        <f t="shared" si="127"/>
        <v>0</v>
      </c>
      <c r="L4725" s="116">
        <f t="shared" si="126"/>
        <v>0</v>
      </c>
      <c r="O4725" s="48"/>
      <c r="P4725" s="49"/>
    </row>
    <row r="4726" spans="2:16" x14ac:dyDescent="0.3">
      <c r="B4726" s="120"/>
      <c r="C4726" s="429"/>
      <c r="D4726" s="409"/>
      <c r="E4726" s="114"/>
      <c r="F4726" s="83"/>
      <c r="G4726" s="74"/>
      <c r="I4726" s="115">
        <f>IF(C4726=0,0,VLOOKUP(C4726,Tabla1[],3,FALSE))</f>
        <v>0</v>
      </c>
      <c r="K4726" s="84">
        <f t="shared" si="127"/>
        <v>0</v>
      </c>
      <c r="L4726" s="116">
        <f t="shared" si="126"/>
        <v>0</v>
      </c>
      <c r="O4726" s="48"/>
      <c r="P4726" s="49"/>
    </row>
    <row r="4727" spans="2:16" x14ac:dyDescent="0.3">
      <c r="B4727" s="120"/>
      <c r="C4727" s="429"/>
      <c r="D4727" s="409"/>
      <c r="E4727" s="114"/>
      <c r="F4727" s="83"/>
      <c r="G4727" s="74"/>
      <c r="I4727" s="115">
        <f>IF(C4727=0,0,VLOOKUP(C4727,Tabla1[],3,FALSE))</f>
        <v>0</v>
      </c>
      <c r="K4727" s="84">
        <f t="shared" si="127"/>
        <v>0</v>
      </c>
      <c r="L4727" s="116">
        <f t="shared" si="126"/>
        <v>0</v>
      </c>
      <c r="O4727" s="48"/>
      <c r="P4727" s="49"/>
    </row>
    <row r="4728" spans="2:16" x14ac:dyDescent="0.3">
      <c r="B4728" s="120"/>
      <c r="C4728" s="428"/>
      <c r="D4728" s="429"/>
      <c r="E4728" s="114"/>
      <c r="F4728" s="83"/>
      <c r="G4728" s="74"/>
      <c r="I4728" s="115">
        <f>IF(C4728=0,0,VLOOKUP(C4728,Tabla1[],3,FALSE))</f>
        <v>0</v>
      </c>
      <c r="K4728" s="84">
        <f t="shared" si="127"/>
        <v>0</v>
      </c>
      <c r="L4728" s="116">
        <f t="shared" si="126"/>
        <v>0</v>
      </c>
      <c r="O4728" s="48"/>
      <c r="P4728" s="49"/>
    </row>
    <row r="4729" spans="2:16" x14ac:dyDescent="0.3">
      <c r="B4729" s="120"/>
      <c r="C4729" s="428"/>
      <c r="D4729" s="429"/>
      <c r="E4729" s="114"/>
      <c r="F4729" s="83"/>
      <c r="G4729" s="74"/>
      <c r="I4729" s="115">
        <f>IF(C4729=0,0,VLOOKUP(C4729,Tabla1[],3,FALSE))</f>
        <v>0</v>
      </c>
      <c r="K4729" s="84">
        <f t="shared" si="127"/>
        <v>0</v>
      </c>
      <c r="L4729" s="116">
        <f t="shared" si="126"/>
        <v>0</v>
      </c>
      <c r="O4729" s="48"/>
      <c r="P4729" s="49"/>
    </row>
    <row r="4730" spans="2:16" x14ac:dyDescent="0.3">
      <c r="B4730" s="120"/>
      <c r="C4730" s="430"/>
      <c r="D4730" s="429"/>
      <c r="E4730" s="114"/>
      <c r="F4730" s="83"/>
      <c r="G4730" s="74"/>
      <c r="I4730" s="115">
        <f>IF(C4730=0,0,VLOOKUP(C4730,Tabla1[],3,FALSE))</f>
        <v>0</v>
      </c>
      <c r="K4730" s="84">
        <f t="shared" si="127"/>
        <v>0</v>
      </c>
      <c r="L4730" s="116">
        <f t="shared" si="126"/>
        <v>0</v>
      </c>
      <c r="O4730" s="48"/>
      <c r="P4730" s="43"/>
    </row>
    <row r="4731" spans="2:16" ht="17.25" thickBot="1" x14ac:dyDescent="0.35"/>
    <row r="4732" spans="2:16" ht="17.25" thickBot="1" x14ac:dyDescent="0.3">
      <c r="F4732" s="402" t="s">
        <v>9</v>
      </c>
      <c r="G4732" s="403"/>
      <c r="H4732" s="403"/>
      <c r="I4732" s="404"/>
      <c r="K4732" s="224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413" t="s">
        <v>11</v>
      </c>
      <c r="D4734" s="413"/>
      <c r="E4734" s="413"/>
      <c r="F4734" s="413"/>
      <c r="G4734" s="414"/>
    </row>
    <row r="4735" spans="2:16" x14ac:dyDescent="0.3">
      <c r="B4735" s="112" t="s">
        <v>6</v>
      </c>
      <c r="C4735" s="415" t="s">
        <v>1</v>
      </c>
      <c r="D4735" s="416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409"/>
      <c r="D4736" s="409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431"/>
      <c r="D4737" s="432"/>
      <c r="E4737" s="119"/>
      <c r="F4737" s="72"/>
      <c r="G4737" s="74"/>
      <c r="I4737" s="115">
        <f>IF(C4737=0,0,VLOOKUP(C4737,Tabla3[],3,FALSE))</f>
        <v>0</v>
      </c>
      <c r="K4737" s="84">
        <f>+F4737*I4737</f>
        <v>0</v>
      </c>
      <c r="L4737" s="116">
        <f>E4737*I4737</f>
        <v>0</v>
      </c>
    </row>
    <row r="4738" spans="2:12" x14ac:dyDescent="0.3">
      <c r="B4738" s="74"/>
      <c r="C4738" s="431"/>
      <c r="D4738" s="432"/>
      <c r="E4738" s="119"/>
      <c r="F4738" s="72"/>
      <c r="G4738" s="74"/>
      <c r="I4738" s="115">
        <f>IF(C4738=0,0,VLOOKUP(C4738,Tabla3[],3,FALSE))</f>
        <v>0</v>
      </c>
      <c r="K4738" s="84">
        <f>+F4738*I4738</f>
        <v>0</v>
      </c>
      <c r="L4738" s="116">
        <f>E4738*I4738</f>
        <v>0</v>
      </c>
    </row>
    <row r="4739" spans="2:12" x14ac:dyDescent="0.3">
      <c r="B4739" s="74"/>
      <c r="C4739" s="411"/>
      <c r="D4739" s="412"/>
      <c r="E4739" s="119"/>
      <c r="F4739" s="72"/>
      <c r="G4739" s="74"/>
      <c r="I4739" s="115">
        <f>IF(C4739=0,0,VLOOKUP(C4739,Tabla3[],3,FALSE))</f>
        <v>0</v>
      </c>
      <c r="K4739" s="84">
        <f>+F4739*I4739</f>
        <v>0</v>
      </c>
      <c r="L4739" s="116">
        <f>E4739*I4739</f>
        <v>0</v>
      </c>
    </row>
    <row r="4740" spans="2:12" ht="17.25" thickBot="1" x14ac:dyDescent="0.35"/>
    <row r="4741" spans="2:12" ht="17.25" thickBot="1" x14ac:dyDescent="0.35">
      <c r="F4741" s="402" t="s">
        <v>12</v>
      </c>
      <c r="G4741" s="403"/>
      <c r="H4741" s="403"/>
      <c r="I4741" s="404"/>
      <c r="K4741" s="224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413" t="s">
        <v>14</v>
      </c>
      <c r="D4743" s="413"/>
      <c r="E4743" s="413"/>
      <c r="F4743" s="413"/>
      <c r="G4743" s="414"/>
    </row>
    <row r="4744" spans="2:12" x14ac:dyDescent="0.3">
      <c r="B4744" s="112" t="s">
        <v>6</v>
      </c>
      <c r="C4744" s="415" t="s">
        <v>1</v>
      </c>
      <c r="D4744" s="416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434" t="s">
        <v>600</v>
      </c>
      <c r="D4745" s="434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409"/>
      <c r="D4746" s="409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417"/>
      <c r="D4747" s="418"/>
      <c r="E4747" s="122"/>
      <c r="F4747" s="123"/>
      <c r="G4747" s="74"/>
      <c r="I4747" s="115">
        <f>IF(C4747=0,0,VLOOKUP(C4747,Tabla2[],3,FALSE))</f>
        <v>0</v>
      </c>
      <c r="K4747" s="84">
        <f>+F4747*I4747</f>
        <v>0</v>
      </c>
      <c r="L4747" s="116">
        <f>E4747*I4747</f>
        <v>0</v>
      </c>
    </row>
    <row r="4748" spans="2:12" ht="17.25" thickBot="1" x14ac:dyDescent="0.35">
      <c r="B4748" s="419" t="s">
        <v>15</v>
      </c>
      <c r="C4748" s="420"/>
      <c r="D4748" s="420"/>
      <c r="E4748" s="420"/>
      <c r="F4748" s="420"/>
      <c r="G4748" s="421"/>
      <c r="I4748" s="84">
        <v>0</v>
      </c>
      <c r="K4748" s="84">
        <v>0</v>
      </c>
      <c r="L4748" s="116">
        <f>E4748*I4748</f>
        <v>0</v>
      </c>
    </row>
    <row r="4749" spans="2:12" ht="17.25" thickBot="1" x14ac:dyDescent="0.35"/>
    <row r="4750" spans="2:12" ht="17.25" thickBot="1" x14ac:dyDescent="0.35">
      <c r="F4750" s="402" t="s">
        <v>16</v>
      </c>
      <c r="G4750" s="403"/>
      <c r="H4750" s="403"/>
      <c r="I4750" s="404"/>
      <c r="K4750" s="224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413" t="s">
        <v>18</v>
      </c>
      <c r="D4752" s="413"/>
      <c r="E4752" s="413"/>
      <c r="F4752" s="413"/>
      <c r="G4752" s="414"/>
    </row>
    <row r="4753" spans="2:16" x14ac:dyDescent="0.3">
      <c r="B4753" s="112" t="s">
        <v>6</v>
      </c>
      <c r="C4753" s="415" t="s">
        <v>1</v>
      </c>
      <c r="D4753" s="416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411"/>
      <c r="D4754" s="412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411"/>
      <c r="D4755" s="412"/>
      <c r="E4755" s="125"/>
      <c r="F4755" s="72"/>
      <c r="G4755" s="74"/>
      <c r="I4755" s="84">
        <v>0</v>
      </c>
      <c r="K4755" s="84">
        <f>+F4755*I4755</f>
        <v>0</v>
      </c>
      <c r="L4755" s="116">
        <f>E4755*I4755</f>
        <v>0</v>
      </c>
    </row>
    <row r="4756" spans="2:16" x14ac:dyDescent="0.3">
      <c r="B4756" s="74"/>
      <c r="C4756" s="411"/>
      <c r="D4756" s="412"/>
      <c r="E4756" s="125"/>
      <c r="F4756" s="72"/>
      <c r="G4756" s="74"/>
      <c r="I4756" s="84">
        <v>0</v>
      </c>
      <c r="K4756" s="84">
        <f>+F4756*I4756</f>
        <v>0</v>
      </c>
      <c r="L4756" s="116">
        <f>E4756*I4756</f>
        <v>0</v>
      </c>
    </row>
    <row r="4757" spans="2:16" ht="17.25" thickBot="1" x14ac:dyDescent="0.35">
      <c r="L4757" s="116"/>
    </row>
    <row r="4758" spans="2:16" ht="17.25" thickBot="1" x14ac:dyDescent="0.35">
      <c r="F4758" s="402" t="s">
        <v>19</v>
      </c>
      <c r="G4758" s="403"/>
      <c r="H4758" s="403"/>
      <c r="I4758" s="404"/>
      <c r="K4758" s="224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127"/>
      <c r="H4759" s="128"/>
      <c r="I4759" s="106"/>
      <c r="K4759" s="225"/>
    </row>
    <row r="4760" spans="2:16" ht="15" customHeight="1" thickBot="1" x14ac:dyDescent="0.35"/>
    <row r="4761" spans="2:16" ht="17.25" thickBot="1" x14ac:dyDescent="0.35">
      <c r="F4761" s="402" t="s">
        <v>20</v>
      </c>
      <c r="G4761" s="403"/>
      <c r="H4761" s="403"/>
      <c r="I4761" s="404"/>
      <c r="K4761" s="224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402" t="s">
        <v>21</v>
      </c>
      <c r="G4763" s="403"/>
      <c r="H4763" s="403"/>
      <c r="I4763" s="404"/>
      <c r="K4763" s="224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402" t="s">
        <v>22</v>
      </c>
      <c r="G4765" s="403"/>
      <c r="H4765" s="403"/>
      <c r="I4765" s="404"/>
      <c r="K4765" s="224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127"/>
      <c r="H4766" s="128"/>
      <c r="I4766" s="106"/>
      <c r="K4766" s="226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127"/>
      <c r="H4767" s="128"/>
      <c r="I4767" s="106"/>
      <c r="K4767" s="227"/>
      <c r="L4767" s="129"/>
      <c r="M4767" s="132"/>
      <c r="N4767" s="133"/>
    </row>
    <row r="4768" spans="2:16" ht="17.25" thickBot="1" x14ac:dyDescent="0.35">
      <c r="B4768" s="405"/>
      <c r="C4768" s="405"/>
      <c r="D4768" s="405"/>
    </row>
    <row r="4769" spans="1:16" x14ac:dyDescent="0.3">
      <c r="B4769" s="406" t="s">
        <v>23</v>
      </c>
      <c r="C4769" s="406"/>
      <c r="D4769" s="406"/>
    </row>
    <row r="4770" spans="1:16" x14ac:dyDescent="0.3">
      <c r="B4770" s="155"/>
      <c r="C4770" s="155"/>
      <c r="D4770" s="155"/>
    </row>
    <row r="4771" spans="1:16" x14ac:dyDescent="0.3">
      <c r="B4771" s="155"/>
      <c r="C4771" s="155"/>
      <c r="D4771" s="155"/>
    </row>
    <row r="4772" spans="1:16" x14ac:dyDescent="0.3">
      <c r="B4772" s="103" t="s">
        <v>43</v>
      </c>
      <c r="C4772" s="104"/>
      <c r="D4772" s="422" t="s">
        <v>1</v>
      </c>
      <c r="E4772" s="422"/>
      <c r="F4772" s="422"/>
      <c r="G4772" s="422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09">
        <f>CATALOGO!B139</f>
        <v>806.09</v>
      </c>
      <c r="C4773" s="71"/>
      <c r="D4773" s="436" t="str">
        <f>CATALOGO!C139</f>
        <v>REMOZAMIENTO DE BALCONES</v>
      </c>
      <c r="E4773" s="436"/>
      <c r="F4773" s="436"/>
      <c r="G4773" s="436"/>
      <c r="H4773" s="71"/>
      <c r="I4773" s="209">
        <f>CATALOGO!D139</f>
        <v>40</v>
      </c>
      <c r="J4773" s="107"/>
      <c r="K4773" s="222" t="str">
        <f>CATALOGO!G139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413" t="s">
        <v>5</v>
      </c>
      <c r="D4775" s="413"/>
      <c r="E4775" s="413"/>
      <c r="F4775" s="413"/>
      <c r="G4775" s="414"/>
    </row>
    <row r="4776" spans="1:16" x14ac:dyDescent="0.25">
      <c r="B4776" s="109" t="s">
        <v>6</v>
      </c>
      <c r="C4776" s="424" t="s">
        <v>1</v>
      </c>
      <c r="D4776" s="425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3" t="s">
        <v>8</v>
      </c>
      <c r="L4776" s="113" t="s">
        <v>193</v>
      </c>
      <c r="O4776" s="438"/>
      <c r="P4776" s="438"/>
    </row>
    <row r="4777" spans="1:16" ht="17.25" customHeight="1" x14ac:dyDescent="0.25">
      <c r="B4777" s="120"/>
      <c r="C4777" s="428"/>
      <c r="D4777" s="429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128">E4777*I4777</f>
        <v>0</v>
      </c>
      <c r="O4777" s="44"/>
      <c r="P4777" s="45"/>
    </row>
    <row r="4778" spans="1:16" x14ac:dyDescent="0.3">
      <c r="B4778" s="120"/>
      <c r="C4778" s="428"/>
      <c r="D4778" s="429"/>
      <c r="E4778" s="114"/>
      <c r="F4778" s="83"/>
      <c r="G4778" s="74"/>
      <c r="I4778" s="115">
        <f>IF(C4778=0,0,VLOOKUP(C4778,Tabla1[],3,FALSE))</f>
        <v>0</v>
      </c>
      <c r="K4778" s="84">
        <f t="shared" ref="K4778:K4786" si="129">+F4778*I4778</f>
        <v>0</v>
      </c>
      <c r="L4778" s="116">
        <f t="shared" si="128"/>
        <v>0</v>
      </c>
      <c r="P4778" s="45"/>
    </row>
    <row r="4779" spans="1:16" x14ac:dyDescent="0.3">
      <c r="B4779" s="120"/>
      <c r="C4779" s="428"/>
      <c r="D4779" s="429"/>
      <c r="E4779" s="114"/>
      <c r="F4779" s="83"/>
      <c r="G4779" s="74"/>
      <c r="I4779" s="115">
        <f>IF(C4779=0,0,VLOOKUP(C4779,Tabla1[],3,FALSE))</f>
        <v>0</v>
      </c>
      <c r="K4779" s="84">
        <f t="shared" si="129"/>
        <v>0</v>
      </c>
      <c r="L4779" s="116">
        <f t="shared" si="128"/>
        <v>0</v>
      </c>
      <c r="O4779" s="48"/>
      <c r="P4779" s="49"/>
    </row>
    <row r="4780" spans="1:16" x14ac:dyDescent="0.3">
      <c r="B4780" s="120"/>
      <c r="C4780" s="428"/>
      <c r="D4780" s="429"/>
      <c r="E4780" s="114"/>
      <c r="F4780" s="83"/>
      <c r="G4780" s="74"/>
      <c r="I4780" s="115">
        <f>IF(C4780=0,0,VLOOKUP(C4780,Tabla1[],3,FALSE))</f>
        <v>0</v>
      </c>
      <c r="K4780" s="84">
        <f t="shared" si="129"/>
        <v>0</v>
      </c>
      <c r="L4780" s="116">
        <f t="shared" si="128"/>
        <v>0</v>
      </c>
      <c r="O4780" s="48"/>
      <c r="P4780" s="49"/>
    </row>
    <row r="4781" spans="1:16" x14ac:dyDescent="0.3">
      <c r="B4781" s="120"/>
      <c r="C4781" s="428"/>
      <c r="D4781" s="429"/>
      <c r="E4781" s="114"/>
      <c r="F4781" s="83"/>
      <c r="G4781" s="74"/>
      <c r="I4781" s="115">
        <f>IF(C4781=0,0,VLOOKUP(C4781,Tabla1[],3,FALSE))</f>
        <v>0</v>
      </c>
      <c r="K4781" s="84">
        <f t="shared" si="129"/>
        <v>0</v>
      </c>
      <c r="L4781" s="116">
        <f t="shared" si="128"/>
        <v>0</v>
      </c>
      <c r="O4781" s="48"/>
      <c r="P4781" s="49"/>
    </row>
    <row r="4782" spans="1:16" x14ac:dyDescent="0.3">
      <c r="B4782" s="120"/>
      <c r="C4782" s="429"/>
      <c r="D4782" s="409"/>
      <c r="E4782" s="114"/>
      <c r="F4782" s="83"/>
      <c r="G4782" s="74"/>
      <c r="I4782" s="115">
        <f>IF(C4782=0,0,VLOOKUP(C4782,Tabla1[],3,FALSE))</f>
        <v>0</v>
      </c>
      <c r="K4782" s="84">
        <f t="shared" si="129"/>
        <v>0</v>
      </c>
      <c r="L4782" s="116">
        <f t="shared" si="128"/>
        <v>0</v>
      </c>
      <c r="O4782" s="48"/>
      <c r="P4782" s="49"/>
    </row>
    <row r="4783" spans="1:16" x14ac:dyDescent="0.3">
      <c r="B4783" s="120"/>
      <c r="C4783" s="429"/>
      <c r="D4783" s="409"/>
      <c r="E4783" s="114"/>
      <c r="F4783" s="83"/>
      <c r="G4783" s="74"/>
      <c r="I4783" s="115">
        <f>IF(C4783=0,0,VLOOKUP(C4783,Tabla1[],3,FALSE))</f>
        <v>0</v>
      </c>
      <c r="K4783" s="84">
        <f t="shared" si="129"/>
        <v>0</v>
      </c>
      <c r="L4783" s="116">
        <f t="shared" si="128"/>
        <v>0</v>
      </c>
      <c r="O4783" s="48"/>
      <c r="P4783" s="49"/>
    </row>
    <row r="4784" spans="1:16" x14ac:dyDescent="0.3">
      <c r="B4784" s="120"/>
      <c r="C4784" s="428"/>
      <c r="D4784" s="429"/>
      <c r="E4784" s="114"/>
      <c r="F4784" s="83"/>
      <c r="G4784" s="74"/>
      <c r="I4784" s="115">
        <f>IF(C4784=0,0,VLOOKUP(C4784,Tabla1[],3,FALSE))</f>
        <v>0</v>
      </c>
      <c r="K4784" s="84">
        <f t="shared" si="129"/>
        <v>0</v>
      </c>
      <c r="L4784" s="116">
        <f t="shared" si="128"/>
        <v>0</v>
      </c>
      <c r="O4784" s="48"/>
      <c r="P4784" s="49"/>
    </row>
    <row r="4785" spans="2:16" x14ac:dyDescent="0.3">
      <c r="B4785" s="120"/>
      <c r="C4785" s="428"/>
      <c r="D4785" s="429"/>
      <c r="E4785" s="114"/>
      <c r="F4785" s="83"/>
      <c r="G4785" s="74"/>
      <c r="I4785" s="115">
        <f>IF(C4785=0,0,VLOOKUP(C4785,Tabla1[],3,FALSE))</f>
        <v>0</v>
      </c>
      <c r="K4785" s="84">
        <f t="shared" si="129"/>
        <v>0</v>
      </c>
      <c r="L4785" s="116">
        <f t="shared" si="128"/>
        <v>0</v>
      </c>
      <c r="O4785" s="48"/>
      <c r="P4785" s="49"/>
    </row>
    <row r="4786" spans="2:16" x14ac:dyDescent="0.3">
      <c r="B4786" s="120"/>
      <c r="C4786" s="430"/>
      <c r="D4786" s="429"/>
      <c r="E4786" s="114"/>
      <c r="F4786" s="83"/>
      <c r="G4786" s="74"/>
      <c r="I4786" s="115">
        <f>IF(C4786=0,0,VLOOKUP(C4786,Tabla1[],3,FALSE))</f>
        <v>0</v>
      </c>
      <c r="K4786" s="84">
        <f t="shared" si="129"/>
        <v>0</v>
      </c>
      <c r="L4786" s="116">
        <f t="shared" si="128"/>
        <v>0</v>
      </c>
      <c r="O4786" s="48"/>
      <c r="P4786" s="43"/>
    </row>
    <row r="4787" spans="2:16" ht="17.25" thickBot="1" x14ac:dyDescent="0.35"/>
    <row r="4788" spans="2:16" ht="17.25" thickBot="1" x14ac:dyDescent="0.3">
      <c r="F4788" s="402" t="s">
        <v>9</v>
      </c>
      <c r="G4788" s="403"/>
      <c r="H4788" s="403"/>
      <c r="I4788" s="404"/>
      <c r="K4788" s="224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413" t="s">
        <v>11</v>
      </c>
      <c r="D4790" s="413"/>
      <c r="E4790" s="413"/>
      <c r="F4790" s="413"/>
      <c r="G4790" s="414"/>
    </row>
    <row r="4791" spans="2:16" x14ac:dyDescent="0.3">
      <c r="B4791" s="112" t="s">
        <v>6</v>
      </c>
      <c r="C4791" s="415" t="s">
        <v>1</v>
      </c>
      <c r="D4791" s="416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409"/>
      <c r="D4792" s="409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431"/>
      <c r="D4793" s="432"/>
      <c r="E4793" s="119"/>
      <c r="F4793" s="72"/>
      <c r="G4793" s="74"/>
      <c r="I4793" s="115">
        <f>IF(C4793=0,0,VLOOKUP(C4793,Tabla3[],3,FALSE))</f>
        <v>0</v>
      </c>
      <c r="K4793" s="84">
        <f>+F4793*I4793</f>
        <v>0</v>
      </c>
      <c r="L4793" s="116">
        <f>E4793*I4793</f>
        <v>0</v>
      </c>
    </row>
    <row r="4794" spans="2:16" x14ac:dyDescent="0.3">
      <c r="B4794" s="74"/>
      <c r="C4794" s="431"/>
      <c r="D4794" s="432"/>
      <c r="E4794" s="119"/>
      <c r="F4794" s="72"/>
      <c r="G4794" s="74"/>
      <c r="I4794" s="115">
        <f>IF(C4794=0,0,VLOOKUP(C4794,Tabla3[],3,FALSE))</f>
        <v>0</v>
      </c>
      <c r="K4794" s="84">
        <f>+F4794*I4794</f>
        <v>0</v>
      </c>
      <c r="L4794" s="116">
        <f>E4794*I4794</f>
        <v>0</v>
      </c>
    </row>
    <row r="4795" spans="2:16" x14ac:dyDescent="0.3">
      <c r="B4795" s="74"/>
      <c r="C4795" s="411"/>
      <c r="D4795" s="412"/>
      <c r="E4795" s="119"/>
      <c r="F4795" s="72"/>
      <c r="G4795" s="74"/>
      <c r="I4795" s="115">
        <f>IF(C4795=0,0,VLOOKUP(C4795,Tabla3[],3,FALSE))</f>
        <v>0</v>
      </c>
      <c r="K4795" s="84">
        <f>+F4795*I4795</f>
        <v>0</v>
      </c>
      <c r="L4795" s="116">
        <f>E4795*I4795</f>
        <v>0</v>
      </c>
    </row>
    <row r="4796" spans="2:16" ht="17.25" thickBot="1" x14ac:dyDescent="0.35"/>
    <row r="4797" spans="2:16" ht="17.25" thickBot="1" x14ac:dyDescent="0.35">
      <c r="F4797" s="402" t="s">
        <v>12</v>
      </c>
      <c r="G4797" s="403"/>
      <c r="H4797" s="403"/>
      <c r="I4797" s="404"/>
      <c r="K4797" s="224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413" t="s">
        <v>14</v>
      </c>
      <c r="D4799" s="413"/>
      <c r="E4799" s="413"/>
      <c r="F4799" s="413"/>
      <c r="G4799" s="414"/>
    </row>
    <row r="4800" spans="2:16" x14ac:dyDescent="0.3">
      <c r="B4800" s="112" t="s">
        <v>6</v>
      </c>
      <c r="C4800" s="415" t="s">
        <v>1</v>
      </c>
      <c r="D4800" s="416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434" t="s">
        <v>516</v>
      </c>
      <c r="D4801" s="434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409"/>
      <c r="D4802" s="409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417"/>
      <c r="D4803" s="418"/>
      <c r="E4803" s="122"/>
      <c r="F4803" s="123"/>
      <c r="G4803" s="74"/>
      <c r="I4803" s="115">
        <f>IF(C4803=0,0,VLOOKUP(C4803,Tabla2[],3,FALSE))</f>
        <v>0</v>
      </c>
      <c r="K4803" s="84">
        <f>+F4803*I4803</f>
        <v>0</v>
      </c>
      <c r="L4803" s="116">
        <f>E4803*I4803</f>
        <v>0</v>
      </c>
    </row>
    <row r="4804" spans="2:12" ht="17.25" thickBot="1" x14ac:dyDescent="0.35">
      <c r="B4804" s="419" t="s">
        <v>15</v>
      </c>
      <c r="C4804" s="420"/>
      <c r="D4804" s="420"/>
      <c r="E4804" s="420"/>
      <c r="F4804" s="420"/>
      <c r="G4804" s="421"/>
      <c r="I4804" s="84">
        <v>0</v>
      </c>
      <c r="K4804" s="84">
        <v>0</v>
      </c>
      <c r="L4804" s="116">
        <f>E4804*I4804</f>
        <v>0</v>
      </c>
    </row>
    <row r="4805" spans="2:12" ht="17.25" thickBot="1" x14ac:dyDescent="0.35"/>
    <row r="4806" spans="2:12" ht="17.25" thickBot="1" x14ac:dyDescent="0.35">
      <c r="F4806" s="402" t="s">
        <v>16</v>
      </c>
      <c r="G4806" s="403"/>
      <c r="H4806" s="403"/>
      <c r="I4806" s="404"/>
      <c r="K4806" s="224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413" t="s">
        <v>18</v>
      </c>
      <c r="D4808" s="413"/>
      <c r="E4808" s="413"/>
      <c r="F4808" s="413"/>
      <c r="G4808" s="414"/>
    </row>
    <row r="4809" spans="2:12" x14ac:dyDescent="0.3">
      <c r="B4809" s="112" t="s">
        <v>6</v>
      </c>
      <c r="C4809" s="415" t="s">
        <v>1</v>
      </c>
      <c r="D4809" s="416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411"/>
      <c r="D4810" s="412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411"/>
      <c r="D4811" s="412"/>
      <c r="E4811" s="125"/>
      <c r="F4811" s="72"/>
      <c r="G4811" s="74"/>
      <c r="I4811" s="84">
        <v>0</v>
      </c>
      <c r="K4811" s="84">
        <f>+F4811*I4811</f>
        <v>0</v>
      </c>
      <c r="L4811" s="116">
        <f>E4811*I4811</f>
        <v>0</v>
      </c>
    </row>
    <row r="4812" spans="2:12" x14ac:dyDescent="0.3">
      <c r="B4812" s="74"/>
      <c r="C4812" s="411"/>
      <c r="D4812" s="412"/>
      <c r="E4812" s="125"/>
      <c r="F4812" s="72"/>
      <c r="G4812" s="74"/>
      <c r="I4812" s="84">
        <v>0</v>
      </c>
      <c r="K4812" s="84">
        <f>+F4812*I4812</f>
        <v>0</v>
      </c>
      <c r="L4812" s="116">
        <f>E4812*I4812</f>
        <v>0</v>
      </c>
    </row>
    <row r="4813" spans="2:12" ht="17.25" thickBot="1" x14ac:dyDescent="0.35">
      <c r="L4813" s="116"/>
    </row>
    <row r="4814" spans="2:12" ht="17.25" thickBot="1" x14ac:dyDescent="0.35">
      <c r="F4814" s="402" t="s">
        <v>19</v>
      </c>
      <c r="G4814" s="403"/>
      <c r="H4814" s="403"/>
      <c r="I4814" s="404"/>
      <c r="K4814" s="224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127"/>
      <c r="H4815" s="128"/>
      <c r="I4815" s="106"/>
      <c r="K4815" s="225"/>
    </row>
    <row r="4816" spans="2:12" ht="15" customHeight="1" thickBot="1" x14ac:dyDescent="0.35"/>
    <row r="4817" spans="1:16" ht="17.25" thickBot="1" x14ac:dyDescent="0.35">
      <c r="F4817" s="402" t="s">
        <v>20</v>
      </c>
      <c r="G4817" s="403"/>
      <c r="H4817" s="403"/>
      <c r="I4817" s="404"/>
      <c r="K4817" s="224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402" t="s">
        <v>21</v>
      </c>
      <c r="G4819" s="403"/>
      <c r="H4819" s="403"/>
      <c r="I4819" s="404"/>
      <c r="K4819" s="224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402" t="s">
        <v>22</v>
      </c>
      <c r="G4821" s="403"/>
      <c r="H4821" s="403"/>
      <c r="I4821" s="404"/>
      <c r="K4821" s="224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127"/>
      <c r="H4822" s="128"/>
      <c r="I4822" s="106"/>
      <c r="K4822" s="226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127"/>
      <c r="H4823" s="128"/>
      <c r="I4823" s="106"/>
      <c r="K4823" s="227"/>
      <c r="L4823" s="129"/>
      <c r="M4823" s="132"/>
      <c r="N4823" s="133"/>
    </row>
    <row r="4824" spans="1:16" ht="17.25" thickBot="1" x14ac:dyDescent="0.35">
      <c r="B4824" s="405"/>
      <c r="C4824" s="405"/>
      <c r="D4824" s="405"/>
    </row>
    <row r="4825" spans="1:16" x14ac:dyDescent="0.3">
      <c r="B4825" s="406" t="s">
        <v>23</v>
      </c>
      <c r="C4825" s="406"/>
      <c r="D4825" s="406"/>
    </row>
    <row r="4826" spans="1:16" x14ac:dyDescent="0.3">
      <c r="B4826" s="155"/>
      <c r="C4826" s="155"/>
      <c r="D4826" s="155"/>
    </row>
    <row r="4828" spans="1:16" x14ac:dyDescent="0.3">
      <c r="B4828" s="103" t="s">
        <v>43</v>
      </c>
      <c r="C4828" s="104"/>
      <c r="D4828" s="422" t="s">
        <v>1</v>
      </c>
      <c r="E4828" s="422"/>
      <c r="F4828" s="422"/>
      <c r="G4828" s="422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09">
        <f>CATALOGO!B141</f>
        <v>1105.01</v>
      </c>
      <c r="C4829" s="71"/>
      <c r="D4829" s="437" t="str">
        <f>CATALOGO!C141</f>
        <v>TABLERO ELÉCTRICO (04 POLOS)</v>
      </c>
      <c r="E4829" s="437"/>
      <c r="F4829" s="437"/>
      <c r="G4829" s="437"/>
      <c r="H4829" s="71"/>
      <c r="I4829" s="209">
        <f>CATALOGO!D141</f>
        <v>2</v>
      </c>
      <c r="J4829" s="107"/>
      <c r="K4829" s="222" t="str">
        <f>CATALOGO!G141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413" t="s">
        <v>5</v>
      </c>
      <c r="D4831" s="413"/>
      <c r="E4831" s="413"/>
      <c r="F4831" s="413"/>
      <c r="G4831" s="414"/>
    </row>
    <row r="4832" spans="1:16" x14ac:dyDescent="0.25">
      <c r="B4832" s="109" t="s">
        <v>6</v>
      </c>
      <c r="C4832" s="424" t="s">
        <v>1</v>
      </c>
      <c r="D4832" s="425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3" t="s">
        <v>8</v>
      </c>
      <c r="L4832" s="113" t="s">
        <v>193</v>
      </c>
      <c r="O4832" s="438"/>
      <c r="P4832" s="438"/>
    </row>
    <row r="4833" spans="2:16" x14ac:dyDescent="0.25">
      <c r="B4833" s="120">
        <v>1</v>
      </c>
      <c r="C4833" s="407" t="s">
        <v>472</v>
      </c>
      <c r="D4833" s="408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130">E4833*I4833</f>
        <v>500</v>
      </c>
      <c r="O4833" s="44"/>
      <c r="P4833" s="45"/>
    </row>
    <row r="4834" spans="2:16" x14ac:dyDescent="0.25">
      <c r="B4834" s="120">
        <v>2</v>
      </c>
      <c r="C4834" s="407" t="s">
        <v>243</v>
      </c>
      <c r="D4834" s="408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130"/>
        <v>800</v>
      </c>
      <c r="O4834" s="44"/>
      <c r="P4834" s="45"/>
    </row>
    <row r="4835" spans="2:16" x14ac:dyDescent="0.25">
      <c r="B4835" s="120">
        <v>3</v>
      </c>
      <c r="C4835" s="430" t="s">
        <v>251</v>
      </c>
      <c r="D4835" s="429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>+F4835*I4835</f>
        <v>1040</v>
      </c>
      <c r="L4835" s="116">
        <f t="shared" si="130"/>
        <v>2080</v>
      </c>
      <c r="O4835" s="44"/>
      <c r="P4835" s="46"/>
    </row>
    <row r="4836" spans="2:16" x14ac:dyDescent="0.25">
      <c r="B4836" s="120">
        <v>4</v>
      </c>
      <c r="C4836" s="430" t="s">
        <v>254</v>
      </c>
      <c r="D4836" s="429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>+F4836*I4836</f>
        <v>50</v>
      </c>
      <c r="L4836" s="116">
        <f t="shared" si="130"/>
        <v>100</v>
      </c>
      <c r="O4836" s="44"/>
      <c r="P4836" s="46"/>
    </row>
    <row r="4837" spans="2:16" x14ac:dyDescent="0.3">
      <c r="B4837" s="120">
        <v>5</v>
      </c>
      <c r="C4837" s="430" t="s">
        <v>253</v>
      </c>
      <c r="D4837" s="429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>+F4837*I4837</f>
        <v>100</v>
      </c>
      <c r="L4837" s="116">
        <f t="shared" si="130"/>
        <v>200</v>
      </c>
      <c r="O4837" s="48"/>
      <c r="P4837" s="49"/>
    </row>
    <row r="4838" spans="2:16" x14ac:dyDescent="0.3">
      <c r="B4838" s="120">
        <v>6</v>
      </c>
      <c r="C4838" s="430" t="s">
        <v>255</v>
      </c>
      <c r="D4838" s="429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>+F4838*I4838</f>
        <v>10</v>
      </c>
      <c r="L4838" s="116">
        <f t="shared" si="130"/>
        <v>20</v>
      </c>
      <c r="O4838" s="48"/>
      <c r="P4838" s="49"/>
    </row>
    <row r="4839" spans="2:16" x14ac:dyDescent="0.3">
      <c r="B4839" s="120">
        <v>7</v>
      </c>
      <c r="C4839" s="430" t="s">
        <v>256</v>
      </c>
      <c r="D4839" s="429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>+F4839*I4839</f>
        <v>60</v>
      </c>
      <c r="L4839" s="116">
        <f t="shared" si="130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402" t="s">
        <v>9</v>
      </c>
      <c r="G4841" s="403"/>
      <c r="H4841" s="403"/>
      <c r="I4841" s="404"/>
      <c r="K4841" s="224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413" t="s">
        <v>11</v>
      </c>
      <c r="D4843" s="413"/>
      <c r="E4843" s="413"/>
      <c r="F4843" s="413"/>
      <c r="G4843" s="414"/>
    </row>
    <row r="4844" spans="2:16" x14ac:dyDescent="0.3">
      <c r="B4844" s="112" t="s">
        <v>6</v>
      </c>
      <c r="C4844" s="415" t="s">
        <v>1</v>
      </c>
      <c r="D4844" s="416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409"/>
      <c r="D4845" s="409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431"/>
      <c r="D4846" s="432"/>
      <c r="E4846" s="119"/>
      <c r="F4846" s="72"/>
      <c r="G4846" s="74"/>
      <c r="I4846" s="115">
        <f>IF(C4846=0,0,VLOOKUP(C4846,Tabla3[],3,FALSE))</f>
        <v>0</v>
      </c>
      <c r="K4846" s="84">
        <f>+F4846*I4846</f>
        <v>0</v>
      </c>
      <c r="L4846" s="116">
        <f>E4846*I4846</f>
        <v>0</v>
      </c>
    </row>
    <row r="4847" spans="2:16" x14ac:dyDescent="0.3">
      <c r="B4847" s="74"/>
      <c r="C4847" s="431"/>
      <c r="D4847" s="432"/>
      <c r="E4847" s="119"/>
      <c r="F4847" s="72"/>
      <c r="G4847" s="74"/>
      <c r="I4847" s="115">
        <f>IF(C4847=0,0,VLOOKUP(C4847,Tabla3[],3,FALSE))</f>
        <v>0</v>
      </c>
      <c r="K4847" s="84">
        <f>+F4847*I4847</f>
        <v>0</v>
      </c>
      <c r="L4847" s="116">
        <f>E4847*I4847</f>
        <v>0</v>
      </c>
    </row>
    <row r="4848" spans="2:16" x14ac:dyDescent="0.3">
      <c r="B4848" s="74"/>
      <c r="C4848" s="411"/>
      <c r="D4848" s="412"/>
      <c r="E4848" s="119"/>
      <c r="F4848" s="72"/>
      <c r="G4848" s="74"/>
      <c r="I4848" s="115">
        <f>IF(C4848=0,0,VLOOKUP(C4848,Tabla3[],3,FALSE))</f>
        <v>0</v>
      </c>
      <c r="K4848" s="84">
        <f>+F4848*I4848</f>
        <v>0</v>
      </c>
      <c r="L4848" s="116">
        <f>E4848*I4848</f>
        <v>0</v>
      </c>
    </row>
    <row r="4849" spans="2:12" ht="17.25" thickBot="1" x14ac:dyDescent="0.35"/>
    <row r="4850" spans="2:12" ht="17.25" thickBot="1" x14ac:dyDescent="0.35">
      <c r="F4850" s="402" t="s">
        <v>12</v>
      </c>
      <c r="G4850" s="403"/>
      <c r="H4850" s="403"/>
      <c r="I4850" s="404"/>
      <c r="K4850" s="224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413" t="s">
        <v>14</v>
      </c>
      <c r="D4852" s="413"/>
      <c r="E4852" s="413"/>
      <c r="F4852" s="413"/>
      <c r="G4852" s="414"/>
    </row>
    <row r="4853" spans="2:12" x14ac:dyDescent="0.3">
      <c r="B4853" s="112" t="s">
        <v>6</v>
      </c>
      <c r="C4853" s="415" t="s">
        <v>1</v>
      </c>
      <c r="D4853" s="416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409" t="s">
        <v>252</v>
      </c>
      <c r="D4854" s="409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409"/>
      <c r="D4855" s="409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417"/>
      <c r="D4856" s="418"/>
      <c r="E4856" s="122"/>
      <c r="F4856" s="123"/>
      <c r="G4856" s="74"/>
      <c r="I4856" s="115">
        <f>IF(C4856=0,0,VLOOKUP(C4856,Tabla2[],3,FALSE))</f>
        <v>0</v>
      </c>
      <c r="K4856" s="84">
        <f>+F4856*I4856</f>
        <v>0</v>
      </c>
      <c r="L4856" s="116">
        <f>E4856*I4856</f>
        <v>0</v>
      </c>
    </row>
    <row r="4857" spans="2:12" ht="17.25" thickBot="1" x14ac:dyDescent="0.35">
      <c r="B4857" s="419" t="s">
        <v>15</v>
      </c>
      <c r="C4857" s="420"/>
      <c r="D4857" s="420"/>
      <c r="E4857" s="420"/>
      <c r="F4857" s="420"/>
      <c r="G4857" s="421"/>
      <c r="I4857" s="84">
        <v>0</v>
      </c>
      <c r="K4857" s="84">
        <v>0</v>
      </c>
      <c r="L4857" s="116">
        <f>E4857*I4857</f>
        <v>0</v>
      </c>
    </row>
    <row r="4858" spans="2:12" ht="17.25" thickBot="1" x14ac:dyDescent="0.35"/>
    <row r="4859" spans="2:12" ht="17.25" thickBot="1" x14ac:dyDescent="0.35">
      <c r="F4859" s="402" t="s">
        <v>16</v>
      </c>
      <c r="G4859" s="403"/>
      <c r="H4859" s="403"/>
      <c r="I4859" s="404"/>
      <c r="K4859" s="224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413" t="s">
        <v>18</v>
      </c>
      <c r="D4861" s="413"/>
      <c r="E4861" s="413"/>
      <c r="F4861" s="413"/>
      <c r="G4861" s="414"/>
    </row>
    <row r="4862" spans="2:12" x14ac:dyDescent="0.3">
      <c r="B4862" s="112" t="s">
        <v>6</v>
      </c>
      <c r="C4862" s="415" t="s">
        <v>1</v>
      </c>
      <c r="D4862" s="416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411"/>
      <c r="D4863" s="412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411"/>
      <c r="D4864" s="412"/>
      <c r="E4864" s="125"/>
      <c r="F4864" s="72"/>
      <c r="G4864" s="74"/>
      <c r="I4864" s="84">
        <v>0</v>
      </c>
      <c r="K4864" s="84">
        <f>+F4864*I4864</f>
        <v>0</v>
      </c>
      <c r="L4864" s="116">
        <f>E4864*I4864</f>
        <v>0</v>
      </c>
    </row>
    <row r="4865" spans="2:16" x14ac:dyDescent="0.3">
      <c r="B4865" s="74"/>
      <c r="C4865" s="411"/>
      <c r="D4865" s="412"/>
      <c r="E4865" s="125"/>
      <c r="F4865" s="72"/>
      <c r="G4865" s="74"/>
      <c r="I4865" s="84">
        <v>0</v>
      </c>
      <c r="K4865" s="84">
        <f>+F4865*I4865</f>
        <v>0</v>
      </c>
      <c r="L4865" s="116">
        <f>E4865*I4865</f>
        <v>0</v>
      </c>
    </row>
    <row r="4866" spans="2:16" ht="17.25" thickBot="1" x14ac:dyDescent="0.35">
      <c r="L4866" s="116"/>
    </row>
    <row r="4867" spans="2:16" ht="17.25" thickBot="1" x14ac:dyDescent="0.35">
      <c r="F4867" s="402" t="s">
        <v>19</v>
      </c>
      <c r="G4867" s="403"/>
      <c r="H4867" s="403"/>
      <c r="I4867" s="404"/>
      <c r="K4867" s="224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127"/>
      <c r="H4868" s="128"/>
      <c r="I4868" s="106"/>
      <c r="K4868" s="225"/>
    </row>
    <row r="4869" spans="2:16" ht="15" customHeight="1" thickBot="1" x14ac:dyDescent="0.35"/>
    <row r="4870" spans="2:16" ht="17.25" thickBot="1" x14ac:dyDescent="0.35">
      <c r="F4870" s="402" t="s">
        <v>20</v>
      </c>
      <c r="G4870" s="403"/>
      <c r="H4870" s="403"/>
      <c r="I4870" s="404"/>
      <c r="K4870" s="224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402" t="s">
        <v>21</v>
      </c>
      <c r="G4872" s="403"/>
      <c r="H4872" s="403"/>
      <c r="I4872" s="404"/>
      <c r="K4872" s="224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402" t="s">
        <v>22</v>
      </c>
      <c r="G4874" s="403"/>
      <c r="H4874" s="403"/>
      <c r="I4874" s="404"/>
      <c r="K4874" s="224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127"/>
      <c r="H4875" s="128"/>
      <c r="I4875" s="106"/>
      <c r="K4875" s="226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127"/>
      <c r="H4876" s="128"/>
      <c r="I4876" s="106"/>
      <c r="K4876" s="227"/>
      <c r="L4876" s="129"/>
      <c r="M4876" s="132"/>
      <c r="N4876" s="133"/>
    </row>
    <row r="4877" spans="2:16" ht="17.25" thickBot="1" x14ac:dyDescent="0.35">
      <c r="B4877" s="405"/>
      <c r="C4877" s="405"/>
      <c r="D4877" s="405"/>
    </row>
    <row r="4878" spans="2:16" x14ac:dyDescent="0.3">
      <c r="B4878" s="406" t="s">
        <v>23</v>
      </c>
      <c r="C4878" s="406"/>
      <c r="D4878" s="406"/>
    </row>
    <row r="4879" spans="2:16" x14ac:dyDescent="0.3">
      <c r="B4879" s="155"/>
      <c r="C4879" s="155"/>
      <c r="D4879" s="155"/>
    </row>
    <row r="4881" spans="1:16" x14ac:dyDescent="0.3">
      <c r="B4881" s="103" t="s">
        <v>43</v>
      </c>
      <c r="C4881" s="104"/>
      <c r="D4881" s="422" t="s">
        <v>1</v>
      </c>
      <c r="E4881" s="422"/>
      <c r="F4881" s="422"/>
      <c r="G4881" s="422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09">
        <f>CATALOGO!B142</f>
        <v>1109.03</v>
      </c>
      <c r="C4882" s="71"/>
      <c r="D4882" s="436" t="str">
        <f>CATALOGO!C142</f>
        <v>LÁMPARA LED TIPO LISTON 2 TUBOS (18 WATS)</v>
      </c>
      <c r="E4882" s="436"/>
      <c r="F4882" s="436"/>
      <c r="G4882" s="436"/>
      <c r="H4882" s="71"/>
      <c r="I4882" s="209">
        <f>CATALOGO!D142</f>
        <v>14</v>
      </c>
      <c r="J4882" s="107"/>
      <c r="K4882" s="222" t="str">
        <f>CATALOGO!G142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413" t="s">
        <v>5</v>
      </c>
      <c r="D4884" s="413"/>
      <c r="E4884" s="413"/>
      <c r="F4884" s="413"/>
      <c r="G4884" s="414"/>
    </row>
    <row r="4885" spans="1:16" x14ac:dyDescent="0.25">
      <c r="B4885" s="109" t="s">
        <v>6</v>
      </c>
      <c r="C4885" s="424" t="s">
        <v>1</v>
      </c>
      <c r="D4885" s="425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3" t="s">
        <v>8</v>
      </c>
      <c r="L4885" s="113" t="s">
        <v>193</v>
      </c>
      <c r="O4885" s="438"/>
      <c r="P4885" s="438"/>
    </row>
    <row r="4886" spans="1:16" ht="17.25" customHeight="1" x14ac:dyDescent="0.25">
      <c r="B4886" s="120">
        <v>1</v>
      </c>
      <c r="C4886" s="407" t="s">
        <v>257</v>
      </c>
      <c r="D4886" s="408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131">E4886*I4886</f>
        <v>1050</v>
      </c>
      <c r="O4886" s="44"/>
      <c r="P4886" s="45"/>
    </row>
    <row r="4887" spans="1:16" ht="17.25" customHeight="1" x14ac:dyDescent="0.25">
      <c r="B4887" s="120">
        <v>2</v>
      </c>
      <c r="C4887" s="407" t="s">
        <v>258</v>
      </c>
      <c r="D4887" s="408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131"/>
        <v>1120</v>
      </c>
      <c r="O4887" s="44"/>
      <c r="P4887" s="45"/>
    </row>
    <row r="4888" spans="1:16" x14ac:dyDescent="0.25">
      <c r="B4888" s="120">
        <v>3</v>
      </c>
      <c r="C4888" s="430" t="s">
        <v>249</v>
      </c>
      <c r="D4888" s="429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>+F4888*I4888</f>
        <v>225</v>
      </c>
      <c r="L4888" s="116">
        <f t="shared" si="131"/>
        <v>3150</v>
      </c>
      <c r="O4888" s="44"/>
      <c r="P4888" s="46"/>
    </row>
    <row r="4889" spans="1:16" x14ac:dyDescent="0.25">
      <c r="B4889" s="120">
        <v>4</v>
      </c>
      <c r="C4889" s="430" t="s">
        <v>254</v>
      </c>
      <c r="D4889" s="429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>+F4889*I4889</f>
        <v>5</v>
      </c>
      <c r="L4889" s="116">
        <f t="shared" si="131"/>
        <v>70</v>
      </c>
      <c r="O4889" s="44"/>
      <c r="P4889" s="46"/>
    </row>
    <row r="4890" spans="1:16" x14ac:dyDescent="0.3">
      <c r="B4890" s="120">
        <v>5</v>
      </c>
      <c r="C4890" s="430" t="s">
        <v>253</v>
      </c>
      <c r="D4890" s="429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>+F4890*I4890</f>
        <v>50</v>
      </c>
      <c r="L4890" s="116">
        <f t="shared" si="131"/>
        <v>700</v>
      </c>
      <c r="O4890" s="48"/>
      <c r="P4890" s="49"/>
    </row>
    <row r="4891" spans="1:16" x14ac:dyDescent="0.3">
      <c r="B4891" s="120">
        <v>6</v>
      </c>
      <c r="C4891" s="430" t="s">
        <v>259</v>
      </c>
      <c r="D4891" s="429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>+F4891*I4891</f>
        <v>30</v>
      </c>
      <c r="L4891" s="116">
        <f t="shared" si="131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402" t="s">
        <v>9</v>
      </c>
      <c r="G4893" s="403"/>
      <c r="H4893" s="403"/>
      <c r="I4893" s="404"/>
      <c r="K4893" s="224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413" t="s">
        <v>11</v>
      </c>
      <c r="D4895" s="413"/>
      <c r="E4895" s="413"/>
      <c r="F4895" s="413"/>
      <c r="G4895" s="414"/>
    </row>
    <row r="4896" spans="1:16" x14ac:dyDescent="0.3">
      <c r="B4896" s="112" t="s">
        <v>6</v>
      </c>
      <c r="C4896" s="415" t="s">
        <v>1</v>
      </c>
      <c r="D4896" s="416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409"/>
      <c r="D4897" s="409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431"/>
      <c r="D4898" s="432"/>
      <c r="E4898" s="119"/>
      <c r="F4898" s="72"/>
      <c r="G4898" s="74"/>
      <c r="I4898" s="115">
        <f>IF(C4898=0,0,VLOOKUP(C4898,Tabla3[],3,FALSE))</f>
        <v>0</v>
      </c>
      <c r="K4898" s="84">
        <f>+F4898*I4898</f>
        <v>0</v>
      </c>
      <c r="L4898" s="116">
        <f>E4898*I4898</f>
        <v>0</v>
      </c>
    </row>
    <row r="4899" spans="2:12" x14ac:dyDescent="0.3">
      <c r="B4899" s="74"/>
      <c r="C4899" s="431"/>
      <c r="D4899" s="432"/>
      <c r="E4899" s="119"/>
      <c r="F4899" s="72"/>
      <c r="G4899" s="74"/>
      <c r="I4899" s="115">
        <f>IF(C4899=0,0,VLOOKUP(C4899,Tabla3[],3,FALSE))</f>
        <v>0</v>
      </c>
      <c r="K4899" s="84">
        <f>+F4899*I4899</f>
        <v>0</v>
      </c>
      <c r="L4899" s="116">
        <f>E4899*I4899</f>
        <v>0</v>
      </c>
    </row>
    <row r="4900" spans="2:12" x14ac:dyDescent="0.3">
      <c r="B4900" s="74"/>
      <c r="C4900" s="411"/>
      <c r="D4900" s="412"/>
      <c r="E4900" s="119"/>
      <c r="F4900" s="72"/>
      <c r="G4900" s="74"/>
      <c r="I4900" s="115">
        <f>IF(C4900=0,0,VLOOKUP(C4900,Tabla3[],3,FALSE))</f>
        <v>0</v>
      </c>
      <c r="K4900" s="84">
        <f>+F4900*I4900</f>
        <v>0</v>
      </c>
      <c r="L4900" s="116">
        <f>E4900*I4900</f>
        <v>0</v>
      </c>
    </row>
    <row r="4901" spans="2:12" ht="17.25" thickBot="1" x14ac:dyDescent="0.35"/>
    <row r="4902" spans="2:12" ht="17.25" thickBot="1" x14ac:dyDescent="0.35">
      <c r="F4902" s="402" t="s">
        <v>12</v>
      </c>
      <c r="G4902" s="403"/>
      <c r="H4902" s="403"/>
      <c r="I4902" s="404"/>
      <c r="K4902" s="224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413" t="s">
        <v>14</v>
      </c>
      <c r="D4904" s="413"/>
      <c r="E4904" s="413"/>
      <c r="F4904" s="413"/>
      <c r="G4904" s="414"/>
    </row>
    <row r="4905" spans="2:12" x14ac:dyDescent="0.3">
      <c r="B4905" s="112" t="s">
        <v>6</v>
      </c>
      <c r="C4905" s="415" t="s">
        <v>1</v>
      </c>
      <c r="D4905" s="416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409" t="s">
        <v>85</v>
      </c>
      <c r="D4906" s="409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409"/>
      <c r="D4907" s="409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417"/>
      <c r="D4908" s="418"/>
      <c r="E4908" s="122"/>
      <c r="F4908" s="123"/>
      <c r="G4908" s="74"/>
      <c r="I4908" s="115">
        <f>IF(C4908=0,0,VLOOKUP(C4908,Tabla2[],3,FALSE))</f>
        <v>0</v>
      </c>
      <c r="K4908" s="84">
        <f>+F4908*I4908</f>
        <v>0</v>
      </c>
      <c r="L4908" s="116">
        <f>E4908*I4908</f>
        <v>0</v>
      </c>
    </row>
    <row r="4909" spans="2:12" ht="17.25" thickBot="1" x14ac:dyDescent="0.35">
      <c r="B4909" s="419" t="s">
        <v>15</v>
      </c>
      <c r="C4909" s="420"/>
      <c r="D4909" s="420"/>
      <c r="E4909" s="420"/>
      <c r="F4909" s="420"/>
      <c r="G4909" s="421"/>
      <c r="I4909" s="84">
        <v>0</v>
      </c>
      <c r="K4909" s="84">
        <v>0</v>
      </c>
      <c r="L4909" s="116">
        <f>E4909*I4909</f>
        <v>0</v>
      </c>
    </row>
    <row r="4910" spans="2:12" ht="17.25" thickBot="1" x14ac:dyDescent="0.35"/>
    <row r="4911" spans="2:12" ht="17.25" thickBot="1" x14ac:dyDescent="0.35">
      <c r="F4911" s="402" t="s">
        <v>16</v>
      </c>
      <c r="G4911" s="403"/>
      <c r="H4911" s="403"/>
      <c r="I4911" s="404"/>
      <c r="K4911" s="224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413" t="s">
        <v>18</v>
      </c>
      <c r="D4913" s="413"/>
      <c r="E4913" s="413"/>
      <c r="F4913" s="413"/>
      <c r="G4913" s="414"/>
    </row>
    <row r="4914" spans="2:16" x14ac:dyDescent="0.3">
      <c r="B4914" s="112" t="s">
        <v>6</v>
      </c>
      <c r="C4914" s="415" t="s">
        <v>1</v>
      </c>
      <c r="D4914" s="416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411"/>
      <c r="D4915" s="412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411"/>
      <c r="D4916" s="412"/>
      <c r="E4916" s="125"/>
      <c r="F4916" s="72"/>
      <c r="G4916" s="74"/>
      <c r="I4916" s="84">
        <v>0</v>
      </c>
      <c r="K4916" s="84">
        <f>+F4916*I4916</f>
        <v>0</v>
      </c>
      <c r="L4916" s="116">
        <f>E4916*I4916</f>
        <v>0</v>
      </c>
    </row>
    <row r="4917" spans="2:16" x14ac:dyDescent="0.3">
      <c r="B4917" s="74"/>
      <c r="C4917" s="411"/>
      <c r="D4917" s="412"/>
      <c r="E4917" s="125"/>
      <c r="F4917" s="72"/>
      <c r="G4917" s="74"/>
      <c r="I4917" s="84">
        <v>0</v>
      </c>
      <c r="K4917" s="84">
        <f>+F4917*I4917</f>
        <v>0</v>
      </c>
      <c r="L4917" s="116">
        <f>E4917*I4917</f>
        <v>0</v>
      </c>
    </row>
    <row r="4918" spans="2:16" ht="17.25" thickBot="1" x14ac:dyDescent="0.35">
      <c r="L4918" s="116"/>
    </row>
    <row r="4919" spans="2:16" ht="17.25" thickBot="1" x14ac:dyDescent="0.35">
      <c r="F4919" s="402" t="s">
        <v>19</v>
      </c>
      <c r="G4919" s="403"/>
      <c r="H4919" s="403"/>
      <c r="I4919" s="404"/>
      <c r="K4919" s="224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127"/>
      <c r="H4920" s="128"/>
      <c r="I4920" s="106"/>
      <c r="K4920" s="225"/>
    </row>
    <row r="4921" spans="2:16" ht="15" customHeight="1" thickBot="1" x14ac:dyDescent="0.35"/>
    <row r="4922" spans="2:16" ht="17.25" thickBot="1" x14ac:dyDescent="0.35">
      <c r="F4922" s="402" t="s">
        <v>20</v>
      </c>
      <c r="G4922" s="403"/>
      <c r="H4922" s="403"/>
      <c r="I4922" s="404"/>
      <c r="K4922" s="224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402" t="s">
        <v>21</v>
      </c>
      <c r="G4924" s="403"/>
      <c r="H4924" s="403"/>
      <c r="I4924" s="404"/>
      <c r="K4924" s="224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402" t="s">
        <v>22</v>
      </c>
      <c r="G4926" s="403"/>
      <c r="H4926" s="403"/>
      <c r="I4926" s="404"/>
      <c r="K4926" s="224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127"/>
      <c r="H4927" s="128"/>
      <c r="I4927" s="106"/>
      <c r="K4927" s="226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127"/>
      <c r="H4928" s="128"/>
      <c r="I4928" s="106"/>
      <c r="K4928" s="227"/>
      <c r="L4928" s="129"/>
      <c r="M4928" s="132"/>
      <c r="N4928" s="133"/>
    </row>
    <row r="4929" spans="1:16" ht="17.25" thickBot="1" x14ac:dyDescent="0.35">
      <c r="B4929" s="405"/>
      <c r="C4929" s="405"/>
      <c r="D4929" s="405"/>
    </row>
    <row r="4930" spans="1:16" x14ac:dyDescent="0.3">
      <c r="B4930" s="406" t="s">
        <v>23</v>
      </c>
      <c r="C4930" s="406"/>
      <c r="D4930" s="406"/>
    </row>
    <row r="4931" spans="1:16" x14ac:dyDescent="0.3">
      <c r="B4931" s="155"/>
      <c r="C4931" s="155"/>
      <c r="D4931" s="155"/>
    </row>
    <row r="4933" spans="1:16" x14ac:dyDescent="0.3">
      <c r="B4933" s="103" t="s">
        <v>43</v>
      </c>
      <c r="C4933" s="104"/>
      <c r="D4933" s="422" t="s">
        <v>1</v>
      </c>
      <c r="E4933" s="422"/>
      <c r="F4933" s="422"/>
      <c r="G4933" s="422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09">
        <f>CATALOGO!B143</f>
        <v>1112.01</v>
      </c>
      <c r="C4934" s="71"/>
      <c r="D4934" s="437" t="str">
        <f>CATALOGO!C143</f>
        <v>TOMACORRIENTE DOBLE 120V</v>
      </c>
      <c r="E4934" s="437"/>
      <c r="F4934" s="437"/>
      <c r="G4934" s="437"/>
      <c r="H4934" s="71"/>
      <c r="I4934" s="209">
        <f>CATALOGO!D143</f>
        <v>2</v>
      </c>
      <c r="J4934" s="107"/>
      <c r="K4934" s="222" t="str">
        <f>CATALOGO!G143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413" t="s">
        <v>5</v>
      </c>
      <c r="D4936" s="413"/>
      <c r="E4936" s="413"/>
      <c r="F4936" s="413"/>
      <c r="G4936" s="414"/>
    </row>
    <row r="4937" spans="1:16" x14ac:dyDescent="0.25">
      <c r="B4937" s="109" t="s">
        <v>6</v>
      </c>
      <c r="C4937" s="424" t="s">
        <v>1</v>
      </c>
      <c r="D4937" s="425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3" t="s">
        <v>8</v>
      </c>
      <c r="L4937" s="113" t="s">
        <v>193</v>
      </c>
      <c r="O4937" s="438"/>
      <c r="P4937" s="438"/>
    </row>
    <row r="4938" spans="1:16" x14ac:dyDescent="0.25">
      <c r="B4938" s="120">
        <v>1</v>
      </c>
      <c r="C4938" s="407" t="s">
        <v>265</v>
      </c>
      <c r="D4938" s="408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>E4938*I4938</f>
        <v>80</v>
      </c>
      <c r="O4938" s="44"/>
      <c r="P4938" s="45"/>
    </row>
    <row r="4939" spans="1:16" x14ac:dyDescent="0.25">
      <c r="B4939" s="120">
        <v>2</v>
      </c>
      <c r="C4939" s="407" t="s">
        <v>86</v>
      </c>
      <c r="D4939" s="408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>E4939*I4939</f>
        <v>20</v>
      </c>
      <c r="O4939" s="44"/>
      <c r="P4939" s="45"/>
    </row>
    <row r="4940" spans="1:16" x14ac:dyDescent="0.25">
      <c r="B4940" s="120">
        <v>3</v>
      </c>
      <c r="C4940" s="428" t="s">
        <v>269</v>
      </c>
      <c r="D4940" s="429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>+F4940*I4940</f>
        <v>40</v>
      </c>
      <c r="L4940" s="116">
        <f>E4940*I4940</f>
        <v>80</v>
      </c>
      <c r="O4940" s="44"/>
      <c r="P4940" s="46"/>
    </row>
    <row r="4941" spans="1:16" x14ac:dyDescent="0.3">
      <c r="B4941" s="120"/>
      <c r="C4941" s="428"/>
      <c r="D4941" s="429"/>
      <c r="E4941" s="114"/>
      <c r="F4941" s="83"/>
      <c r="G4941" s="74"/>
      <c r="I4941" s="115">
        <f>IF(C4941=0,0,VLOOKUP(C4941,Tabla1[],3,FALSE))</f>
        <v>0</v>
      </c>
      <c r="K4941" s="84">
        <f>+F4941*I4941</f>
        <v>0</v>
      </c>
      <c r="L4941" s="116">
        <f>E4941*I4941</f>
        <v>0</v>
      </c>
      <c r="P4941" s="45"/>
    </row>
    <row r="4942" spans="1:16" ht="17.25" thickBot="1" x14ac:dyDescent="0.35"/>
    <row r="4943" spans="1:16" ht="17.25" thickBot="1" x14ac:dyDescent="0.3">
      <c r="F4943" s="402" t="s">
        <v>9</v>
      </c>
      <c r="G4943" s="403"/>
      <c r="H4943" s="403"/>
      <c r="I4943" s="404"/>
      <c r="K4943" s="224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413" t="s">
        <v>11</v>
      </c>
      <c r="D4945" s="413"/>
      <c r="E4945" s="413"/>
      <c r="F4945" s="413"/>
      <c r="G4945" s="414"/>
    </row>
    <row r="4946" spans="2:12" x14ac:dyDescent="0.3">
      <c r="B4946" s="112" t="s">
        <v>6</v>
      </c>
      <c r="C4946" s="415" t="s">
        <v>1</v>
      </c>
      <c r="D4946" s="416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409"/>
      <c r="D4947" s="409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431"/>
      <c r="D4948" s="432"/>
      <c r="E4948" s="119"/>
      <c r="F4948" s="72"/>
      <c r="G4948" s="74"/>
      <c r="I4948" s="115">
        <f>IF(C4948=0,0,VLOOKUP(C4948,Tabla3[],3,FALSE))</f>
        <v>0</v>
      </c>
      <c r="K4948" s="84">
        <f>+F4948*I4948</f>
        <v>0</v>
      </c>
      <c r="L4948" s="116">
        <f>E4948*I4948</f>
        <v>0</v>
      </c>
    </row>
    <row r="4949" spans="2:12" x14ac:dyDescent="0.3">
      <c r="B4949" s="74"/>
      <c r="C4949" s="431"/>
      <c r="D4949" s="432"/>
      <c r="E4949" s="119"/>
      <c r="F4949" s="72"/>
      <c r="G4949" s="74"/>
      <c r="I4949" s="115">
        <f>IF(C4949=0,0,VLOOKUP(C4949,Tabla3[],3,FALSE))</f>
        <v>0</v>
      </c>
      <c r="K4949" s="84">
        <f>+F4949*I4949</f>
        <v>0</v>
      </c>
      <c r="L4949" s="116">
        <f>E4949*I4949</f>
        <v>0</v>
      </c>
    </row>
    <row r="4950" spans="2:12" x14ac:dyDescent="0.3">
      <c r="B4950" s="74"/>
      <c r="C4950" s="411"/>
      <c r="D4950" s="412"/>
      <c r="E4950" s="119"/>
      <c r="F4950" s="72"/>
      <c r="G4950" s="74"/>
      <c r="I4950" s="115">
        <f>IF(C4950=0,0,VLOOKUP(C4950,Tabla3[],3,FALSE))</f>
        <v>0</v>
      </c>
      <c r="K4950" s="84">
        <f>+F4950*I4950</f>
        <v>0</v>
      </c>
      <c r="L4950" s="116">
        <f>E4950*I4950</f>
        <v>0</v>
      </c>
    </row>
    <row r="4951" spans="2:12" ht="17.25" thickBot="1" x14ac:dyDescent="0.35"/>
    <row r="4952" spans="2:12" ht="17.25" thickBot="1" x14ac:dyDescent="0.35">
      <c r="F4952" s="402" t="s">
        <v>12</v>
      </c>
      <c r="G4952" s="403"/>
      <c r="H4952" s="403"/>
      <c r="I4952" s="404"/>
      <c r="K4952" s="224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413" t="s">
        <v>14</v>
      </c>
      <c r="D4954" s="413"/>
      <c r="E4954" s="413"/>
      <c r="F4954" s="413"/>
      <c r="G4954" s="414"/>
    </row>
    <row r="4955" spans="2:12" x14ac:dyDescent="0.3">
      <c r="B4955" s="112" t="s">
        <v>6</v>
      </c>
      <c r="C4955" s="415" t="s">
        <v>1</v>
      </c>
      <c r="D4955" s="416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409" t="s">
        <v>601</v>
      </c>
      <c r="D4956" s="409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409"/>
      <c r="D4957" s="409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417"/>
      <c r="D4958" s="418"/>
      <c r="E4958" s="122"/>
      <c r="F4958" s="123"/>
      <c r="G4958" s="74"/>
      <c r="I4958" s="115">
        <f>IF(C4958=0,0,VLOOKUP(C4958,Tabla2[],3,FALSE))</f>
        <v>0</v>
      </c>
      <c r="K4958" s="84">
        <f>+F4958*I4958</f>
        <v>0</v>
      </c>
      <c r="L4958" s="116">
        <f>E4958*I4958</f>
        <v>0</v>
      </c>
    </row>
    <row r="4959" spans="2:12" ht="17.25" thickBot="1" x14ac:dyDescent="0.35">
      <c r="B4959" s="419" t="s">
        <v>15</v>
      </c>
      <c r="C4959" s="420"/>
      <c r="D4959" s="420"/>
      <c r="E4959" s="420"/>
      <c r="F4959" s="420"/>
      <c r="G4959" s="421"/>
      <c r="I4959" s="84">
        <v>0</v>
      </c>
      <c r="K4959" s="84">
        <v>0</v>
      </c>
      <c r="L4959" s="116">
        <f>E4959*I4959</f>
        <v>0</v>
      </c>
    </row>
    <row r="4960" spans="2:12" ht="17.25" thickBot="1" x14ac:dyDescent="0.35"/>
    <row r="4961" spans="2:16" ht="17.25" thickBot="1" x14ac:dyDescent="0.35">
      <c r="F4961" s="402" t="s">
        <v>16</v>
      </c>
      <c r="G4961" s="403"/>
      <c r="H4961" s="403"/>
      <c r="I4961" s="404"/>
      <c r="K4961" s="224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413" t="s">
        <v>18</v>
      </c>
      <c r="D4963" s="413"/>
      <c r="E4963" s="413"/>
      <c r="F4963" s="413"/>
      <c r="G4963" s="414"/>
    </row>
    <row r="4964" spans="2:16" x14ac:dyDescent="0.3">
      <c r="B4964" s="112" t="s">
        <v>6</v>
      </c>
      <c r="C4964" s="415" t="s">
        <v>1</v>
      </c>
      <c r="D4964" s="416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411"/>
      <c r="D4965" s="412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411"/>
      <c r="D4966" s="412"/>
      <c r="E4966" s="125"/>
      <c r="F4966" s="72"/>
      <c r="G4966" s="74"/>
      <c r="I4966" s="84">
        <v>0</v>
      </c>
      <c r="K4966" s="84">
        <f>+F4966*I4966</f>
        <v>0</v>
      </c>
      <c r="L4966" s="116">
        <f>E4966*I4966</f>
        <v>0</v>
      </c>
    </row>
    <row r="4967" spans="2:16" x14ac:dyDescent="0.3">
      <c r="B4967" s="74"/>
      <c r="C4967" s="411"/>
      <c r="D4967" s="412"/>
      <c r="E4967" s="125"/>
      <c r="F4967" s="72"/>
      <c r="G4967" s="74"/>
      <c r="I4967" s="84">
        <v>0</v>
      </c>
      <c r="K4967" s="84">
        <f>+F4967*I4967</f>
        <v>0</v>
      </c>
      <c r="L4967" s="116">
        <f>E4967*I4967</f>
        <v>0</v>
      </c>
    </row>
    <row r="4968" spans="2:16" ht="17.25" thickBot="1" x14ac:dyDescent="0.35">
      <c r="L4968" s="116"/>
    </row>
    <row r="4969" spans="2:16" ht="17.25" thickBot="1" x14ac:dyDescent="0.35">
      <c r="F4969" s="402" t="s">
        <v>19</v>
      </c>
      <c r="G4969" s="403"/>
      <c r="H4969" s="403"/>
      <c r="I4969" s="404"/>
      <c r="K4969" s="224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127"/>
      <c r="H4970" s="128"/>
      <c r="I4970" s="106"/>
      <c r="K4970" s="225"/>
    </row>
    <row r="4971" spans="2:16" ht="15" customHeight="1" thickBot="1" x14ac:dyDescent="0.35"/>
    <row r="4972" spans="2:16" ht="17.25" thickBot="1" x14ac:dyDescent="0.35">
      <c r="F4972" s="402" t="s">
        <v>20</v>
      </c>
      <c r="G4972" s="403"/>
      <c r="H4972" s="403"/>
      <c r="I4972" s="404"/>
      <c r="K4972" s="224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402" t="s">
        <v>21</v>
      </c>
      <c r="G4974" s="403"/>
      <c r="H4974" s="403"/>
      <c r="I4974" s="404"/>
      <c r="K4974" s="224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402" t="s">
        <v>22</v>
      </c>
      <c r="G4976" s="403"/>
      <c r="H4976" s="403"/>
      <c r="I4976" s="404"/>
      <c r="K4976" s="224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127"/>
      <c r="H4977" s="128"/>
      <c r="I4977" s="106"/>
      <c r="K4977" s="226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127"/>
      <c r="H4978" s="128"/>
      <c r="I4978" s="106"/>
      <c r="K4978" s="227"/>
      <c r="L4978" s="129"/>
      <c r="M4978" s="132"/>
      <c r="N4978" s="133"/>
    </row>
    <row r="4979" spans="1:16" ht="17.25" thickBot="1" x14ac:dyDescent="0.35">
      <c r="B4979" s="405"/>
      <c r="C4979" s="405"/>
      <c r="D4979" s="405"/>
    </row>
    <row r="4980" spans="1:16" x14ac:dyDescent="0.3">
      <c r="B4980" s="406" t="s">
        <v>23</v>
      </c>
      <c r="C4980" s="406"/>
      <c r="D4980" s="406"/>
    </row>
    <row r="4981" spans="1:16" x14ac:dyDescent="0.3">
      <c r="B4981" s="155"/>
      <c r="C4981" s="155"/>
      <c r="D4981" s="155"/>
    </row>
    <row r="4983" spans="1:16" x14ac:dyDescent="0.3">
      <c r="B4983" s="103" t="s">
        <v>43</v>
      </c>
      <c r="C4983" s="104"/>
      <c r="D4983" s="422" t="s">
        <v>1</v>
      </c>
      <c r="E4983" s="422"/>
      <c r="F4983" s="422"/>
      <c r="G4983" s="422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09">
        <f>CATALOGO!B125</f>
        <v>111.03</v>
      </c>
      <c r="C4984" s="135"/>
      <c r="D4984" s="435" t="str">
        <f>CATALOGO!C125</f>
        <v>DEMOLICIÓN DE PISO CERÁMICO/PORCELANATO</v>
      </c>
      <c r="E4984" s="435"/>
      <c r="F4984" s="435"/>
      <c r="G4984" s="435"/>
      <c r="H4984" s="135"/>
      <c r="I4984" s="209">
        <f>CATALOGO!D125</f>
        <v>136</v>
      </c>
      <c r="J4984" s="107"/>
      <c r="K4984" s="222" t="str">
        <f>CATALOGO!G125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413" t="s">
        <v>5</v>
      </c>
      <c r="D4986" s="413"/>
      <c r="E4986" s="413"/>
      <c r="F4986" s="413"/>
      <c r="G4986" s="414"/>
    </row>
    <row r="4987" spans="1:16" x14ac:dyDescent="0.3">
      <c r="B4987" s="109" t="s">
        <v>6</v>
      </c>
      <c r="C4987" s="424" t="s">
        <v>1</v>
      </c>
      <c r="D4987" s="425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3" t="s">
        <v>8</v>
      </c>
      <c r="L4987" s="113" t="s">
        <v>193</v>
      </c>
    </row>
    <row r="4988" spans="1:16" x14ac:dyDescent="0.3">
      <c r="B4988" s="74"/>
      <c r="C4988" s="409"/>
      <c r="D4988" s="409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409"/>
      <c r="D4989" s="409"/>
      <c r="E4989" s="114"/>
      <c r="F4989" s="83"/>
      <c r="G4989" s="74"/>
      <c r="I4989" s="115">
        <f>IF(C4989=0,0,VLOOKUP(C4989,Tabla1[],3,FALSE))</f>
        <v>0</v>
      </c>
      <c r="K4989" s="84">
        <f t="shared" ref="K4989:K4997" si="132">+F4989*I4989</f>
        <v>0</v>
      </c>
      <c r="L4989" s="116">
        <f t="shared" ref="L4989:L4997" si="133">E4989*I4989</f>
        <v>0</v>
      </c>
    </row>
    <row r="4990" spans="1:16" x14ac:dyDescent="0.3">
      <c r="B4990" s="74"/>
      <c r="C4990" s="409"/>
      <c r="D4990" s="409"/>
      <c r="E4990" s="114"/>
      <c r="F4990" s="83"/>
      <c r="G4990" s="74"/>
      <c r="I4990" s="115">
        <f>IF(C4990=0,0,VLOOKUP(C4990,Tabla1[],3,FALSE))</f>
        <v>0</v>
      </c>
      <c r="K4990" s="84">
        <f t="shared" si="132"/>
        <v>0</v>
      </c>
      <c r="L4990" s="116">
        <f t="shared" si="133"/>
        <v>0</v>
      </c>
    </row>
    <row r="4991" spans="1:16" x14ac:dyDescent="0.3">
      <c r="B4991" s="74"/>
      <c r="C4991" s="409"/>
      <c r="D4991" s="409"/>
      <c r="E4991" s="114"/>
      <c r="F4991" s="83"/>
      <c r="G4991" s="74"/>
      <c r="I4991" s="115">
        <f>IF(C4991=0,0,VLOOKUP(C4991,Tabla1[],3,FALSE))</f>
        <v>0</v>
      </c>
      <c r="K4991" s="84">
        <f t="shared" si="132"/>
        <v>0</v>
      </c>
      <c r="L4991" s="116">
        <f t="shared" si="133"/>
        <v>0</v>
      </c>
    </row>
    <row r="4992" spans="1:16" x14ac:dyDescent="0.3">
      <c r="B4992" s="74"/>
      <c r="C4992" s="410"/>
      <c r="D4992" s="410"/>
      <c r="E4992" s="114"/>
      <c r="F4992" s="83"/>
      <c r="G4992" s="74"/>
      <c r="I4992" s="115">
        <f>IF(C4992=0,0,VLOOKUP(C4992,Tabla1[],3,FALSE))</f>
        <v>0</v>
      </c>
      <c r="K4992" s="84">
        <f t="shared" si="132"/>
        <v>0</v>
      </c>
      <c r="L4992" s="116">
        <f t="shared" si="133"/>
        <v>0</v>
      </c>
    </row>
    <row r="4993" spans="2:12" x14ac:dyDescent="0.3">
      <c r="B4993" s="74"/>
      <c r="C4993" s="410"/>
      <c r="D4993" s="410"/>
      <c r="E4993" s="114"/>
      <c r="F4993" s="72"/>
      <c r="G4993" s="74"/>
      <c r="I4993" s="115">
        <f>IF(C4993=0,0,VLOOKUP(C4993,Tabla1[],3,FALSE))</f>
        <v>0</v>
      </c>
      <c r="K4993" s="84">
        <f t="shared" si="132"/>
        <v>0</v>
      </c>
      <c r="L4993" s="116">
        <f t="shared" si="133"/>
        <v>0</v>
      </c>
    </row>
    <row r="4994" spans="2:12" x14ac:dyDescent="0.3">
      <c r="B4994" s="74"/>
      <c r="C4994" s="410"/>
      <c r="D4994" s="410"/>
      <c r="E4994" s="114"/>
      <c r="F4994" s="72"/>
      <c r="G4994" s="74"/>
      <c r="I4994" s="115">
        <f>IF(C4994=0,0,VLOOKUP(C4994,Tabla1[],3,FALSE))</f>
        <v>0</v>
      </c>
      <c r="K4994" s="84">
        <f t="shared" si="132"/>
        <v>0</v>
      </c>
      <c r="L4994" s="116">
        <f t="shared" si="133"/>
        <v>0</v>
      </c>
    </row>
    <row r="4995" spans="2:12" x14ac:dyDescent="0.3">
      <c r="B4995" s="74"/>
      <c r="C4995" s="410"/>
      <c r="D4995" s="410"/>
      <c r="E4995" s="114"/>
      <c r="F4995" s="72"/>
      <c r="G4995" s="74"/>
      <c r="I4995" s="115">
        <f>IF(C4995=0,0,VLOOKUP(C4995,Tabla1[],3,FALSE))</f>
        <v>0</v>
      </c>
      <c r="K4995" s="84">
        <f t="shared" si="132"/>
        <v>0</v>
      </c>
      <c r="L4995" s="116">
        <f t="shared" si="133"/>
        <v>0</v>
      </c>
    </row>
    <row r="4996" spans="2:12" x14ac:dyDescent="0.3">
      <c r="B4996" s="74"/>
      <c r="C4996" s="410"/>
      <c r="D4996" s="410"/>
      <c r="E4996" s="114"/>
      <c r="F4996" s="72"/>
      <c r="G4996" s="74"/>
      <c r="I4996" s="115">
        <f>IF(C4996=0,0,VLOOKUP(C4996,Tabla1[],3,FALSE))</f>
        <v>0</v>
      </c>
      <c r="K4996" s="84">
        <f t="shared" si="132"/>
        <v>0</v>
      </c>
      <c r="L4996" s="116">
        <f t="shared" si="133"/>
        <v>0</v>
      </c>
    </row>
    <row r="4997" spans="2:12" x14ac:dyDescent="0.3">
      <c r="B4997" s="74"/>
      <c r="C4997" s="410"/>
      <c r="D4997" s="410"/>
      <c r="E4997" s="114"/>
      <c r="F4997" s="72"/>
      <c r="G4997" s="74"/>
      <c r="I4997" s="115">
        <f>IF(C4997=0,0,VLOOKUP(C4997,Tabla1[],3,FALSE))</f>
        <v>0</v>
      </c>
      <c r="K4997" s="84">
        <f t="shared" si="132"/>
        <v>0</v>
      </c>
      <c r="L4997" s="116">
        <f t="shared" si="133"/>
        <v>0</v>
      </c>
    </row>
    <row r="4998" spans="2:12" ht="17.25" thickBot="1" x14ac:dyDescent="0.35"/>
    <row r="4999" spans="2:12" ht="17.25" thickBot="1" x14ac:dyDescent="0.35">
      <c r="F4999" s="402" t="s">
        <v>9</v>
      </c>
      <c r="G4999" s="403"/>
      <c r="H4999" s="403"/>
      <c r="I4999" s="404"/>
      <c r="K4999" s="224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413" t="s">
        <v>11</v>
      </c>
      <c r="D5001" s="413"/>
      <c r="E5001" s="413"/>
      <c r="F5001" s="413"/>
      <c r="G5001" s="414"/>
    </row>
    <row r="5002" spans="2:12" x14ac:dyDescent="0.3">
      <c r="B5002" s="112" t="s">
        <v>6</v>
      </c>
      <c r="C5002" s="415" t="s">
        <v>1</v>
      </c>
      <c r="D5002" s="416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409"/>
      <c r="D5003" s="409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02"/>
      <c r="D5004" s="203"/>
      <c r="E5004" s="119"/>
      <c r="F5004" s="72"/>
      <c r="G5004" s="74"/>
      <c r="I5004" s="115">
        <f>IF(C5004=0,0,VLOOKUP(C5004,Tabla3[],3,FALSE))</f>
        <v>0</v>
      </c>
      <c r="K5004" s="84">
        <f>+F5004*I5004</f>
        <v>0</v>
      </c>
      <c r="L5004" s="116">
        <f>E5004*I5004</f>
        <v>0</v>
      </c>
    </row>
    <row r="5005" spans="2:12" x14ac:dyDescent="0.3">
      <c r="B5005" s="74"/>
      <c r="C5005" s="202"/>
      <c r="D5005" s="203"/>
      <c r="E5005" s="119"/>
      <c r="F5005" s="72"/>
      <c r="G5005" s="74"/>
      <c r="I5005" s="115">
        <f>IF(C5005=0,0,VLOOKUP(C5005,Tabla3[],3,FALSE))</f>
        <v>0</v>
      </c>
      <c r="K5005" s="84">
        <f>+F5005*I5005</f>
        <v>0</v>
      </c>
      <c r="L5005" s="116">
        <f>E5005*I5005</f>
        <v>0</v>
      </c>
    </row>
    <row r="5006" spans="2:12" x14ac:dyDescent="0.3">
      <c r="B5006" s="74"/>
      <c r="C5006" s="411"/>
      <c r="D5006" s="412"/>
      <c r="E5006" s="119"/>
      <c r="F5006" s="72"/>
      <c r="G5006" s="74"/>
      <c r="I5006" s="115">
        <f>IF(C5006=0,0,VLOOKUP(C5006,Tabla3[],3,FALSE))</f>
        <v>0</v>
      </c>
      <c r="K5006" s="84">
        <f>+F5006*I5006</f>
        <v>0</v>
      </c>
      <c r="L5006" s="116">
        <f>E5006*I5006</f>
        <v>0</v>
      </c>
    </row>
    <row r="5007" spans="2:12" ht="17.25" thickBot="1" x14ac:dyDescent="0.35"/>
    <row r="5008" spans="2:12" ht="17.25" thickBot="1" x14ac:dyDescent="0.35">
      <c r="F5008" s="402" t="s">
        <v>12</v>
      </c>
      <c r="G5008" s="403"/>
      <c r="H5008" s="403"/>
      <c r="I5008" s="404"/>
      <c r="K5008" s="224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413" t="s">
        <v>14</v>
      </c>
      <c r="D5010" s="413"/>
      <c r="E5010" s="413"/>
      <c r="F5010" s="413"/>
      <c r="G5010" s="414"/>
    </row>
    <row r="5011" spans="2:12" x14ac:dyDescent="0.3">
      <c r="B5011" s="112" t="s">
        <v>6</v>
      </c>
      <c r="C5011" s="415" t="s">
        <v>1</v>
      </c>
      <c r="D5011" s="416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409" t="s">
        <v>194</v>
      </c>
      <c r="D5012" s="409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409"/>
      <c r="D5013" s="409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417"/>
      <c r="D5014" s="418"/>
      <c r="E5014" s="122"/>
      <c r="F5014" s="123"/>
      <c r="G5014" s="74"/>
      <c r="I5014" s="115">
        <f>IF(C5014=0,0,VLOOKUP(C5014,Tabla2[],3,FALSE))</f>
        <v>0</v>
      </c>
      <c r="K5014" s="84">
        <f>+F5014*I5014</f>
        <v>0</v>
      </c>
      <c r="L5014" s="116">
        <f>E5014*I5014</f>
        <v>0</v>
      </c>
    </row>
    <row r="5015" spans="2:12" ht="17.25" thickBot="1" x14ac:dyDescent="0.35">
      <c r="B5015" s="419" t="s">
        <v>15</v>
      </c>
      <c r="C5015" s="420"/>
      <c r="D5015" s="420"/>
      <c r="E5015" s="420"/>
      <c r="F5015" s="420"/>
      <c r="G5015" s="421"/>
      <c r="I5015" s="84">
        <v>0</v>
      </c>
      <c r="K5015" s="84">
        <v>0</v>
      </c>
      <c r="L5015" s="116">
        <f>E5015*I5015</f>
        <v>0</v>
      </c>
    </row>
    <row r="5016" spans="2:12" ht="17.25" thickBot="1" x14ac:dyDescent="0.35"/>
    <row r="5017" spans="2:12" ht="17.25" thickBot="1" x14ac:dyDescent="0.35">
      <c r="F5017" s="402" t="s">
        <v>16</v>
      </c>
      <c r="G5017" s="403"/>
      <c r="H5017" s="403"/>
      <c r="I5017" s="404"/>
      <c r="K5017" s="224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413" t="s">
        <v>18</v>
      </c>
      <c r="D5019" s="413"/>
      <c r="E5019" s="413"/>
      <c r="F5019" s="413"/>
      <c r="G5019" s="414"/>
    </row>
    <row r="5020" spans="2:12" x14ac:dyDescent="0.3">
      <c r="B5020" s="112" t="s">
        <v>6</v>
      </c>
      <c r="C5020" s="415" t="s">
        <v>1</v>
      </c>
      <c r="D5020" s="416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411"/>
      <c r="D5021" s="412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411"/>
      <c r="D5022" s="412"/>
      <c r="E5022" s="125"/>
      <c r="F5022" s="72"/>
      <c r="G5022" s="74"/>
      <c r="I5022" s="84">
        <v>0</v>
      </c>
      <c r="K5022" s="84">
        <f>+F5022*I5022</f>
        <v>0</v>
      </c>
      <c r="L5022" s="116">
        <f>E5022*I5022</f>
        <v>0</v>
      </c>
    </row>
    <row r="5023" spans="2:12" x14ac:dyDescent="0.3">
      <c r="B5023" s="74"/>
      <c r="C5023" s="411"/>
      <c r="D5023" s="412"/>
      <c r="E5023" s="125"/>
      <c r="F5023" s="72"/>
      <c r="G5023" s="74"/>
      <c r="I5023" s="84">
        <v>0</v>
      </c>
      <c r="K5023" s="84">
        <f>+F5023*I5023</f>
        <v>0</v>
      </c>
      <c r="L5023" s="116">
        <f>E5023*I5023</f>
        <v>0</v>
      </c>
    </row>
    <row r="5024" spans="2:12" ht="17.25" thickBot="1" x14ac:dyDescent="0.35">
      <c r="L5024" s="116"/>
    </row>
    <row r="5025" spans="1:16" ht="17.25" thickBot="1" x14ac:dyDescent="0.35">
      <c r="F5025" s="402" t="s">
        <v>19</v>
      </c>
      <c r="G5025" s="403"/>
      <c r="H5025" s="403"/>
      <c r="I5025" s="404"/>
      <c r="K5025" s="224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127"/>
      <c r="H5026" s="128"/>
      <c r="I5026" s="106"/>
      <c r="K5026" s="225"/>
    </row>
    <row r="5027" spans="1:16" ht="15" customHeight="1" thickBot="1" x14ac:dyDescent="0.35"/>
    <row r="5028" spans="1:16" ht="17.25" thickBot="1" x14ac:dyDescent="0.35">
      <c r="F5028" s="402" t="s">
        <v>20</v>
      </c>
      <c r="G5028" s="403"/>
      <c r="H5028" s="403"/>
      <c r="I5028" s="404"/>
      <c r="K5028" s="224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402" t="s">
        <v>21</v>
      </c>
      <c r="G5030" s="403"/>
      <c r="H5030" s="403"/>
      <c r="I5030" s="404"/>
      <c r="K5030" s="224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402" t="s">
        <v>22</v>
      </c>
      <c r="G5032" s="403"/>
      <c r="H5032" s="403"/>
      <c r="I5032" s="404"/>
      <c r="K5032" s="224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127"/>
      <c r="H5033" s="128"/>
      <c r="I5033" s="106"/>
      <c r="K5033" s="226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127"/>
      <c r="H5034" s="128"/>
      <c r="I5034" s="106"/>
      <c r="K5034" s="227"/>
      <c r="L5034" s="129"/>
      <c r="M5034" s="132"/>
      <c r="N5034" s="133"/>
    </row>
    <row r="5035" spans="1:16" ht="17.25" thickBot="1" x14ac:dyDescent="0.35">
      <c r="B5035" s="405"/>
      <c r="C5035" s="405"/>
      <c r="D5035" s="405"/>
    </row>
    <row r="5036" spans="1:16" x14ac:dyDescent="0.3">
      <c r="B5036" s="406" t="s">
        <v>23</v>
      </c>
      <c r="C5036" s="406"/>
      <c r="D5036" s="406"/>
    </row>
    <row r="5037" spans="1:16" x14ac:dyDescent="0.3">
      <c r="B5037" s="155"/>
      <c r="C5037" s="155"/>
      <c r="D5037" s="155"/>
    </row>
    <row r="5039" spans="1:16" x14ac:dyDescent="0.3">
      <c r="B5039" s="103" t="s">
        <v>43</v>
      </c>
      <c r="C5039" s="104"/>
      <c r="D5039" s="422" t="s">
        <v>1</v>
      </c>
      <c r="E5039" s="422"/>
      <c r="F5039" s="422"/>
      <c r="G5039" s="422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09">
        <f>CATALOGO!B126</f>
        <v>114.03</v>
      </c>
      <c r="C5040" s="135"/>
      <c r="D5040" s="435" t="str">
        <f>CATALOGO!C126</f>
        <v>DESMONTAJE DE CUBIERTA DE TECHO</v>
      </c>
      <c r="E5040" s="435"/>
      <c r="F5040" s="435"/>
      <c r="G5040" s="435"/>
      <c r="H5040" s="135"/>
      <c r="I5040" s="209">
        <f>CATALOGO!D126</f>
        <v>156</v>
      </c>
      <c r="J5040" s="107"/>
      <c r="K5040" s="222" t="str">
        <f>CATALOGO!G126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413" t="s">
        <v>5</v>
      </c>
      <c r="D5042" s="413"/>
      <c r="E5042" s="413"/>
      <c r="F5042" s="413"/>
      <c r="G5042" s="414"/>
    </row>
    <row r="5043" spans="2:12" x14ac:dyDescent="0.3">
      <c r="B5043" s="109" t="s">
        <v>6</v>
      </c>
      <c r="C5043" s="424" t="s">
        <v>1</v>
      </c>
      <c r="D5043" s="425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3" t="s">
        <v>8</v>
      </c>
      <c r="L5043" s="113" t="s">
        <v>193</v>
      </c>
    </row>
    <row r="5044" spans="2:12" x14ac:dyDescent="0.3">
      <c r="B5044" s="74"/>
      <c r="C5044" s="409"/>
      <c r="D5044" s="409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409"/>
      <c r="D5045" s="409"/>
      <c r="E5045" s="114"/>
      <c r="F5045" s="83"/>
      <c r="G5045" s="74"/>
      <c r="I5045" s="115">
        <f>IF(C5045=0,0,VLOOKUP(C5045,Tabla1[],3,FALSE))</f>
        <v>0</v>
      </c>
      <c r="K5045" s="84">
        <f t="shared" ref="K5045:K5053" si="134">+F5045*I5045</f>
        <v>0</v>
      </c>
      <c r="L5045" s="116">
        <f t="shared" ref="L5045:L5053" si="135">E5045*I5045</f>
        <v>0</v>
      </c>
    </row>
    <row r="5046" spans="2:12" x14ac:dyDescent="0.3">
      <c r="B5046" s="74"/>
      <c r="C5046" s="409"/>
      <c r="D5046" s="409"/>
      <c r="E5046" s="114"/>
      <c r="F5046" s="83"/>
      <c r="G5046" s="74"/>
      <c r="I5046" s="115">
        <f>IF(C5046=0,0,VLOOKUP(C5046,Tabla1[],3,FALSE))</f>
        <v>0</v>
      </c>
      <c r="K5046" s="84">
        <f t="shared" si="134"/>
        <v>0</v>
      </c>
      <c r="L5046" s="116">
        <f t="shared" si="135"/>
        <v>0</v>
      </c>
    </row>
    <row r="5047" spans="2:12" x14ac:dyDescent="0.3">
      <c r="B5047" s="74"/>
      <c r="C5047" s="409"/>
      <c r="D5047" s="409"/>
      <c r="E5047" s="114"/>
      <c r="F5047" s="83"/>
      <c r="G5047" s="74"/>
      <c r="I5047" s="115">
        <f>IF(C5047=0,0,VLOOKUP(C5047,Tabla1[],3,FALSE))</f>
        <v>0</v>
      </c>
      <c r="K5047" s="84">
        <f t="shared" si="134"/>
        <v>0</v>
      </c>
      <c r="L5047" s="116">
        <f t="shared" si="135"/>
        <v>0</v>
      </c>
    </row>
    <row r="5048" spans="2:12" x14ac:dyDescent="0.3">
      <c r="B5048" s="74"/>
      <c r="C5048" s="410"/>
      <c r="D5048" s="410"/>
      <c r="E5048" s="114"/>
      <c r="F5048" s="83"/>
      <c r="G5048" s="74"/>
      <c r="I5048" s="115">
        <f>IF(C5048=0,0,VLOOKUP(C5048,Tabla1[],3,FALSE))</f>
        <v>0</v>
      </c>
      <c r="K5048" s="84">
        <f t="shared" si="134"/>
        <v>0</v>
      </c>
      <c r="L5048" s="116">
        <f t="shared" si="135"/>
        <v>0</v>
      </c>
    </row>
    <row r="5049" spans="2:12" x14ac:dyDescent="0.3">
      <c r="B5049" s="74"/>
      <c r="C5049" s="410"/>
      <c r="D5049" s="410"/>
      <c r="E5049" s="114"/>
      <c r="F5049" s="72"/>
      <c r="G5049" s="74"/>
      <c r="I5049" s="115">
        <f>IF(C5049=0,0,VLOOKUP(C5049,Tabla1[],3,FALSE))</f>
        <v>0</v>
      </c>
      <c r="K5049" s="84">
        <f t="shared" si="134"/>
        <v>0</v>
      </c>
      <c r="L5049" s="116">
        <f t="shared" si="135"/>
        <v>0</v>
      </c>
    </row>
    <row r="5050" spans="2:12" x14ac:dyDescent="0.3">
      <c r="B5050" s="74"/>
      <c r="C5050" s="410"/>
      <c r="D5050" s="410"/>
      <c r="E5050" s="114"/>
      <c r="F5050" s="72"/>
      <c r="G5050" s="74"/>
      <c r="I5050" s="115">
        <f>IF(C5050=0,0,VLOOKUP(C5050,Tabla1[],3,FALSE))</f>
        <v>0</v>
      </c>
      <c r="K5050" s="84">
        <f t="shared" si="134"/>
        <v>0</v>
      </c>
      <c r="L5050" s="116">
        <f t="shared" si="135"/>
        <v>0</v>
      </c>
    </row>
    <row r="5051" spans="2:12" x14ac:dyDescent="0.3">
      <c r="B5051" s="74"/>
      <c r="C5051" s="410"/>
      <c r="D5051" s="410"/>
      <c r="E5051" s="114"/>
      <c r="F5051" s="72"/>
      <c r="G5051" s="74"/>
      <c r="I5051" s="115">
        <f>IF(C5051=0,0,VLOOKUP(C5051,Tabla1[],3,FALSE))</f>
        <v>0</v>
      </c>
      <c r="K5051" s="84">
        <f t="shared" si="134"/>
        <v>0</v>
      </c>
      <c r="L5051" s="116">
        <f t="shared" si="135"/>
        <v>0</v>
      </c>
    </row>
    <row r="5052" spans="2:12" x14ac:dyDescent="0.3">
      <c r="B5052" s="74"/>
      <c r="C5052" s="410"/>
      <c r="D5052" s="410"/>
      <c r="E5052" s="114"/>
      <c r="F5052" s="72"/>
      <c r="G5052" s="74"/>
      <c r="I5052" s="115">
        <f>IF(C5052=0,0,VLOOKUP(C5052,Tabla1[],3,FALSE))</f>
        <v>0</v>
      </c>
      <c r="K5052" s="84">
        <f t="shared" si="134"/>
        <v>0</v>
      </c>
      <c r="L5052" s="116">
        <f t="shared" si="135"/>
        <v>0</v>
      </c>
    </row>
    <row r="5053" spans="2:12" x14ac:dyDescent="0.3">
      <c r="B5053" s="74"/>
      <c r="C5053" s="410"/>
      <c r="D5053" s="410"/>
      <c r="E5053" s="114"/>
      <c r="F5053" s="72"/>
      <c r="G5053" s="74"/>
      <c r="I5053" s="115">
        <f>IF(C5053=0,0,VLOOKUP(C5053,Tabla1[],3,FALSE))</f>
        <v>0</v>
      </c>
      <c r="K5053" s="84">
        <f t="shared" si="134"/>
        <v>0</v>
      </c>
      <c r="L5053" s="116">
        <f t="shared" si="135"/>
        <v>0</v>
      </c>
    </row>
    <row r="5054" spans="2:12" ht="17.25" thickBot="1" x14ac:dyDescent="0.35"/>
    <row r="5055" spans="2:12" ht="17.25" thickBot="1" x14ac:dyDescent="0.35">
      <c r="F5055" s="402" t="s">
        <v>9</v>
      </c>
      <c r="G5055" s="403"/>
      <c r="H5055" s="403"/>
      <c r="I5055" s="404"/>
      <c r="K5055" s="224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413" t="s">
        <v>11</v>
      </c>
      <c r="D5057" s="413"/>
      <c r="E5057" s="413"/>
      <c r="F5057" s="413"/>
      <c r="G5057" s="414"/>
    </row>
    <row r="5058" spans="2:12" x14ac:dyDescent="0.3">
      <c r="B5058" s="112" t="s">
        <v>6</v>
      </c>
      <c r="C5058" s="415" t="s">
        <v>1</v>
      </c>
      <c r="D5058" s="416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409"/>
      <c r="D5059" s="409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02"/>
      <c r="D5060" s="203"/>
      <c r="E5060" s="119"/>
      <c r="F5060" s="72"/>
      <c r="G5060" s="74"/>
      <c r="I5060" s="115">
        <f>IF(C5060=0,0,VLOOKUP(C5060,Tabla3[],3,FALSE))</f>
        <v>0</v>
      </c>
      <c r="K5060" s="84">
        <f>+F5060*I5060</f>
        <v>0</v>
      </c>
      <c r="L5060" s="116">
        <f>E5060*I5060</f>
        <v>0</v>
      </c>
    </row>
    <row r="5061" spans="2:12" x14ac:dyDescent="0.3">
      <c r="B5061" s="74"/>
      <c r="C5061" s="202"/>
      <c r="D5061" s="203"/>
      <c r="E5061" s="119"/>
      <c r="F5061" s="72"/>
      <c r="G5061" s="74"/>
      <c r="I5061" s="115">
        <f>IF(C5061=0,0,VLOOKUP(C5061,Tabla3[],3,FALSE))</f>
        <v>0</v>
      </c>
      <c r="K5061" s="84">
        <f>+F5061*I5061</f>
        <v>0</v>
      </c>
      <c r="L5061" s="116">
        <f>E5061*I5061</f>
        <v>0</v>
      </c>
    </row>
    <row r="5062" spans="2:12" x14ac:dyDescent="0.3">
      <c r="B5062" s="74"/>
      <c r="C5062" s="411"/>
      <c r="D5062" s="412"/>
      <c r="E5062" s="119"/>
      <c r="F5062" s="72"/>
      <c r="G5062" s="74"/>
      <c r="I5062" s="115">
        <f>IF(C5062=0,0,VLOOKUP(C5062,Tabla3[],3,FALSE))</f>
        <v>0</v>
      </c>
      <c r="K5062" s="84">
        <f>+F5062*I5062</f>
        <v>0</v>
      </c>
      <c r="L5062" s="116">
        <f>E5062*I5062</f>
        <v>0</v>
      </c>
    </row>
    <row r="5063" spans="2:12" ht="17.25" thickBot="1" x14ac:dyDescent="0.35"/>
    <row r="5064" spans="2:12" ht="17.25" thickBot="1" x14ac:dyDescent="0.35">
      <c r="F5064" s="402" t="s">
        <v>12</v>
      </c>
      <c r="G5064" s="403"/>
      <c r="H5064" s="403"/>
      <c r="I5064" s="404"/>
      <c r="K5064" s="224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413" t="s">
        <v>14</v>
      </c>
      <c r="D5066" s="413"/>
      <c r="E5066" s="413"/>
      <c r="F5066" s="413"/>
      <c r="G5066" s="414"/>
    </row>
    <row r="5067" spans="2:12" x14ac:dyDescent="0.3">
      <c r="B5067" s="112" t="s">
        <v>6</v>
      </c>
      <c r="C5067" s="415" t="s">
        <v>1</v>
      </c>
      <c r="D5067" s="416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409" t="s">
        <v>276</v>
      </c>
      <c r="D5068" s="409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409"/>
      <c r="D5069" s="409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417"/>
      <c r="D5070" s="418"/>
      <c r="E5070" s="122"/>
      <c r="F5070" s="123"/>
      <c r="G5070" s="74"/>
      <c r="I5070" s="115">
        <f>IF(C5070=0,0,VLOOKUP(C5070,Tabla2[],3,FALSE))</f>
        <v>0</v>
      </c>
      <c r="K5070" s="84">
        <f>+F5070*I5070</f>
        <v>0</v>
      </c>
      <c r="L5070" s="116">
        <f>E5070*I5070</f>
        <v>0</v>
      </c>
    </row>
    <row r="5071" spans="2:12" ht="17.25" thickBot="1" x14ac:dyDescent="0.35">
      <c r="B5071" s="419" t="s">
        <v>15</v>
      </c>
      <c r="C5071" s="420"/>
      <c r="D5071" s="420"/>
      <c r="E5071" s="420"/>
      <c r="F5071" s="420"/>
      <c r="G5071" s="421"/>
      <c r="I5071" s="84">
        <v>0</v>
      </c>
      <c r="K5071" s="84">
        <v>0</v>
      </c>
      <c r="L5071" s="116">
        <f>E5071*I5071</f>
        <v>0</v>
      </c>
    </row>
    <row r="5072" spans="2:12" ht="17.25" thickBot="1" x14ac:dyDescent="0.35"/>
    <row r="5073" spans="2:16" ht="17.25" thickBot="1" x14ac:dyDescent="0.35">
      <c r="F5073" s="402" t="s">
        <v>16</v>
      </c>
      <c r="G5073" s="403"/>
      <c r="H5073" s="403"/>
      <c r="I5073" s="404"/>
      <c r="K5073" s="224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413" t="s">
        <v>18</v>
      </c>
      <c r="D5075" s="413"/>
      <c r="E5075" s="413"/>
      <c r="F5075" s="413"/>
      <c r="G5075" s="414"/>
    </row>
    <row r="5076" spans="2:16" x14ac:dyDescent="0.3">
      <c r="B5076" s="112" t="s">
        <v>6</v>
      </c>
      <c r="C5076" s="415" t="s">
        <v>1</v>
      </c>
      <c r="D5076" s="416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411"/>
      <c r="D5077" s="412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411"/>
      <c r="D5078" s="412"/>
      <c r="E5078" s="125"/>
      <c r="F5078" s="72"/>
      <c r="G5078" s="74"/>
      <c r="I5078" s="84">
        <v>0</v>
      </c>
      <c r="K5078" s="84">
        <f>+F5078*I5078</f>
        <v>0</v>
      </c>
      <c r="L5078" s="116">
        <f>E5078*I5078</f>
        <v>0</v>
      </c>
    </row>
    <row r="5079" spans="2:16" x14ac:dyDescent="0.3">
      <c r="B5079" s="74"/>
      <c r="C5079" s="411"/>
      <c r="D5079" s="412"/>
      <c r="E5079" s="125"/>
      <c r="F5079" s="72"/>
      <c r="G5079" s="74"/>
      <c r="I5079" s="84">
        <v>0</v>
      </c>
      <c r="K5079" s="84">
        <f>+F5079*I5079</f>
        <v>0</v>
      </c>
      <c r="L5079" s="116">
        <f>E5079*I5079</f>
        <v>0</v>
      </c>
    </row>
    <row r="5080" spans="2:16" ht="17.25" thickBot="1" x14ac:dyDescent="0.35">
      <c r="L5080" s="116"/>
    </row>
    <row r="5081" spans="2:16" ht="17.25" thickBot="1" x14ac:dyDescent="0.35">
      <c r="F5081" s="402" t="s">
        <v>19</v>
      </c>
      <c r="G5081" s="403"/>
      <c r="H5081" s="403"/>
      <c r="I5081" s="404"/>
      <c r="K5081" s="224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127"/>
      <c r="H5082" s="128"/>
      <c r="I5082" s="106"/>
      <c r="K5082" s="225"/>
    </row>
    <row r="5083" spans="2:16" ht="15" customHeight="1" thickBot="1" x14ac:dyDescent="0.35"/>
    <row r="5084" spans="2:16" ht="17.25" thickBot="1" x14ac:dyDescent="0.35">
      <c r="F5084" s="402" t="s">
        <v>20</v>
      </c>
      <c r="G5084" s="403"/>
      <c r="H5084" s="403"/>
      <c r="I5084" s="404"/>
      <c r="K5084" s="224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402" t="s">
        <v>21</v>
      </c>
      <c r="G5086" s="403"/>
      <c r="H5086" s="403"/>
      <c r="I5086" s="404"/>
      <c r="K5086" s="224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402" t="s">
        <v>22</v>
      </c>
      <c r="G5088" s="403"/>
      <c r="H5088" s="403"/>
      <c r="I5088" s="404"/>
      <c r="K5088" s="224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127"/>
      <c r="H5089" s="128"/>
      <c r="I5089" s="106"/>
      <c r="K5089" s="226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127"/>
      <c r="H5090" s="128"/>
      <c r="I5090" s="106"/>
      <c r="K5090" s="227"/>
      <c r="L5090" s="129"/>
      <c r="M5090" s="132"/>
      <c r="N5090" s="133"/>
    </row>
    <row r="5091" spans="1:16" ht="17.25" thickBot="1" x14ac:dyDescent="0.35">
      <c r="B5091" s="405"/>
      <c r="C5091" s="405"/>
      <c r="D5091" s="405"/>
    </row>
    <row r="5092" spans="1:16" x14ac:dyDescent="0.3">
      <c r="B5092" s="406" t="s">
        <v>23</v>
      </c>
      <c r="C5092" s="406"/>
      <c r="D5092" s="406"/>
    </row>
    <row r="5093" spans="1:16" x14ac:dyDescent="0.3">
      <c r="B5093" s="155"/>
      <c r="C5093" s="155"/>
      <c r="D5093" s="155"/>
    </row>
    <row r="5094" spans="1:16" x14ac:dyDescent="0.3">
      <c r="B5094" s="155"/>
      <c r="C5094" s="155"/>
      <c r="D5094" s="155"/>
    </row>
    <row r="5095" spans="1:16" x14ac:dyDescent="0.3">
      <c r="B5095" s="103" t="s">
        <v>43</v>
      </c>
      <c r="C5095" s="104"/>
      <c r="D5095" s="422" t="s">
        <v>1</v>
      </c>
      <c r="E5095" s="422"/>
      <c r="F5095" s="422"/>
      <c r="G5095" s="422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09">
        <f>CATALOGO!B127</f>
        <v>118.01</v>
      </c>
      <c r="C5096" s="135"/>
      <c r="D5096" s="435" t="str">
        <f>CATALOGO!C127</f>
        <v>DESMONTAJE DE ACCESORIOS ELÉCTRICOS</v>
      </c>
      <c r="E5096" s="435"/>
      <c r="F5096" s="435"/>
      <c r="G5096" s="435"/>
      <c r="H5096" s="135"/>
      <c r="I5096" s="209">
        <f>CATALOGO!D127</f>
        <v>14</v>
      </c>
      <c r="J5096" s="107"/>
      <c r="K5096" s="222" t="str">
        <f>CATALOGO!G127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413" t="s">
        <v>5</v>
      </c>
      <c r="D5098" s="413"/>
      <c r="E5098" s="413"/>
      <c r="F5098" s="413"/>
      <c r="G5098" s="414"/>
    </row>
    <row r="5099" spans="1:16" x14ac:dyDescent="0.3">
      <c r="B5099" s="109" t="s">
        <v>6</v>
      </c>
      <c r="C5099" s="424" t="s">
        <v>1</v>
      </c>
      <c r="D5099" s="425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3" t="s">
        <v>8</v>
      </c>
      <c r="L5099" s="113" t="s">
        <v>193</v>
      </c>
    </row>
    <row r="5100" spans="1:16" x14ac:dyDescent="0.3">
      <c r="B5100" s="74"/>
      <c r="C5100" s="409"/>
      <c r="D5100" s="409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409"/>
      <c r="D5101" s="409"/>
      <c r="E5101" s="114"/>
      <c r="F5101" s="83"/>
      <c r="G5101" s="74"/>
      <c r="I5101" s="115">
        <f>IF(C5101=0,0,VLOOKUP(C5101,Tabla1[],3,FALSE))</f>
        <v>0</v>
      </c>
      <c r="K5101" s="84">
        <f t="shared" ref="K5101:K5109" si="136">+F5101*I5101</f>
        <v>0</v>
      </c>
      <c r="L5101" s="116">
        <f t="shared" ref="L5101:L5109" si="137">E5101*I5101</f>
        <v>0</v>
      </c>
    </row>
    <row r="5102" spans="1:16" x14ac:dyDescent="0.3">
      <c r="B5102" s="74"/>
      <c r="C5102" s="409"/>
      <c r="D5102" s="409"/>
      <c r="E5102" s="114"/>
      <c r="F5102" s="83"/>
      <c r="G5102" s="74"/>
      <c r="I5102" s="115">
        <f>IF(C5102=0,0,VLOOKUP(C5102,Tabla1[],3,FALSE))</f>
        <v>0</v>
      </c>
      <c r="K5102" s="84">
        <f t="shared" si="136"/>
        <v>0</v>
      </c>
      <c r="L5102" s="116">
        <f t="shared" si="137"/>
        <v>0</v>
      </c>
    </row>
    <row r="5103" spans="1:16" x14ac:dyDescent="0.3">
      <c r="B5103" s="74"/>
      <c r="C5103" s="409"/>
      <c r="D5103" s="409"/>
      <c r="E5103" s="114"/>
      <c r="F5103" s="83"/>
      <c r="G5103" s="74"/>
      <c r="I5103" s="115">
        <f>IF(C5103=0,0,VLOOKUP(C5103,Tabla1[],3,FALSE))</f>
        <v>0</v>
      </c>
      <c r="K5103" s="84">
        <f t="shared" si="136"/>
        <v>0</v>
      </c>
      <c r="L5103" s="116">
        <f t="shared" si="137"/>
        <v>0</v>
      </c>
    </row>
    <row r="5104" spans="1:16" x14ac:dyDescent="0.3">
      <c r="B5104" s="74"/>
      <c r="C5104" s="410"/>
      <c r="D5104" s="410"/>
      <c r="E5104" s="114"/>
      <c r="F5104" s="83"/>
      <c r="G5104" s="74"/>
      <c r="I5104" s="115">
        <f>IF(C5104=0,0,VLOOKUP(C5104,Tabla1[],3,FALSE))</f>
        <v>0</v>
      </c>
      <c r="K5104" s="84">
        <f t="shared" si="136"/>
        <v>0</v>
      </c>
      <c r="L5104" s="116">
        <f t="shared" si="137"/>
        <v>0</v>
      </c>
    </row>
    <row r="5105" spans="2:12" x14ac:dyDescent="0.3">
      <c r="B5105" s="74"/>
      <c r="C5105" s="410"/>
      <c r="D5105" s="410"/>
      <c r="E5105" s="114"/>
      <c r="F5105" s="72"/>
      <c r="G5105" s="74"/>
      <c r="I5105" s="115">
        <f>IF(C5105=0,0,VLOOKUP(C5105,Tabla1[],3,FALSE))</f>
        <v>0</v>
      </c>
      <c r="K5105" s="84">
        <f t="shared" si="136"/>
        <v>0</v>
      </c>
      <c r="L5105" s="116">
        <f t="shared" si="137"/>
        <v>0</v>
      </c>
    </row>
    <row r="5106" spans="2:12" x14ac:dyDescent="0.3">
      <c r="B5106" s="74"/>
      <c r="C5106" s="410"/>
      <c r="D5106" s="410"/>
      <c r="E5106" s="114"/>
      <c r="F5106" s="72"/>
      <c r="G5106" s="74"/>
      <c r="I5106" s="115">
        <f>IF(C5106=0,0,VLOOKUP(C5106,Tabla1[],3,FALSE))</f>
        <v>0</v>
      </c>
      <c r="K5106" s="84">
        <f t="shared" si="136"/>
        <v>0</v>
      </c>
      <c r="L5106" s="116">
        <f t="shared" si="137"/>
        <v>0</v>
      </c>
    </row>
    <row r="5107" spans="2:12" x14ac:dyDescent="0.3">
      <c r="B5107" s="74"/>
      <c r="C5107" s="410"/>
      <c r="D5107" s="410"/>
      <c r="E5107" s="114"/>
      <c r="F5107" s="72"/>
      <c r="G5107" s="74"/>
      <c r="I5107" s="115">
        <f>IF(C5107=0,0,VLOOKUP(C5107,Tabla1[],3,FALSE))</f>
        <v>0</v>
      </c>
      <c r="K5107" s="84">
        <f t="shared" si="136"/>
        <v>0</v>
      </c>
      <c r="L5107" s="116">
        <f t="shared" si="137"/>
        <v>0</v>
      </c>
    </row>
    <row r="5108" spans="2:12" x14ac:dyDescent="0.3">
      <c r="B5108" s="74"/>
      <c r="C5108" s="410"/>
      <c r="D5108" s="410"/>
      <c r="E5108" s="114"/>
      <c r="F5108" s="72"/>
      <c r="G5108" s="74"/>
      <c r="I5108" s="115">
        <f>IF(C5108=0,0,VLOOKUP(C5108,Tabla1[],3,FALSE))</f>
        <v>0</v>
      </c>
      <c r="K5108" s="84">
        <f t="shared" si="136"/>
        <v>0</v>
      </c>
      <c r="L5108" s="116">
        <f t="shared" si="137"/>
        <v>0</v>
      </c>
    </row>
    <row r="5109" spans="2:12" x14ac:dyDescent="0.3">
      <c r="B5109" s="74"/>
      <c r="C5109" s="410"/>
      <c r="D5109" s="410"/>
      <c r="E5109" s="114"/>
      <c r="F5109" s="72"/>
      <c r="G5109" s="74"/>
      <c r="I5109" s="115">
        <f>IF(C5109=0,0,VLOOKUP(C5109,Tabla1[],3,FALSE))</f>
        <v>0</v>
      </c>
      <c r="K5109" s="84">
        <f t="shared" si="136"/>
        <v>0</v>
      </c>
      <c r="L5109" s="116">
        <f t="shared" si="137"/>
        <v>0</v>
      </c>
    </row>
    <row r="5110" spans="2:12" ht="17.25" thickBot="1" x14ac:dyDescent="0.35"/>
    <row r="5111" spans="2:12" ht="17.25" thickBot="1" x14ac:dyDescent="0.35">
      <c r="F5111" s="402" t="s">
        <v>9</v>
      </c>
      <c r="G5111" s="403"/>
      <c r="H5111" s="403"/>
      <c r="I5111" s="404"/>
      <c r="K5111" s="224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413" t="s">
        <v>11</v>
      </c>
      <c r="D5113" s="413"/>
      <c r="E5113" s="413"/>
      <c r="F5113" s="413"/>
      <c r="G5113" s="414"/>
    </row>
    <row r="5114" spans="2:12" x14ac:dyDescent="0.3">
      <c r="B5114" s="112" t="s">
        <v>6</v>
      </c>
      <c r="C5114" s="415" t="s">
        <v>1</v>
      </c>
      <c r="D5114" s="416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409"/>
      <c r="D5115" s="409"/>
      <c r="E5115" s="114"/>
      <c r="F5115" s="83"/>
      <c r="G5115" s="74"/>
      <c r="I5115" s="115">
        <f>IF(C5115=0,0,VLOOKUP(C5115,Tabla3[],3,FALSE))</f>
        <v>0</v>
      </c>
      <c r="K5115" s="84">
        <f>+F5115*I5115</f>
        <v>0</v>
      </c>
      <c r="L5115" s="116">
        <f>E5115*I5115</f>
        <v>0</v>
      </c>
    </row>
    <row r="5116" spans="2:12" x14ac:dyDescent="0.3">
      <c r="B5116" s="74"/>
      <c r="C5116" s="202"/>
      <c r="D5116" s="203"/>
      <c r="E5116" s="119"/>
      <c r="F5116" s="72"/>
      <c r="G5116" s="74"/>
      <c r="I5116" s="115">
        <f>IF(C5116=0,0,VLOOKUP(C5116,Tabla3[],3,FALSE))</f>
        <v>0</v>
      </c>
      <c r="K5116" s="84">
        <f>+F5116*I5116</f>
        <v>0</v>
      </c>
      <c r="L5116" s="116">
        <f>E5116*I5116</f>
        <v>0</v>
      </c>
    </row>
    <row r="5117" spans="2:12" x14ac:dyDescent="0.3">
      <c r="B5117" s="74"/>
      <c r="C5117" s="202"/>
      <c r="D5117" s="203"/>
      <c r="E5117" s="119"/>
      <c r="F5117" s="72"/>
      <c r="G5117" s="74"/>
      <c r="I5117" s="115">
        <f>IF(C5117=0,0,VLOOKUP(C5117,Tabla3[],3,FALSE))</f>
        <v>0</v>
      </c>
      <c r="K5117" s="84">
        <f>+F5117*I5117</f>
        <v>0</v>
      </c>
      <c r="L5117" s="116">
        <f>E5117*I5117</f>
        <v>0</v>
      </c>
    </row>
    <row r="5118" spans="2:12" x14ac:dyDescent="0.3">
      <c r="B5118" s="74"/>
      <c r="C5118" s="411"/>
      <c r="D5118" s="412"/>
      <c r="E5118" s="119"/>
      <c r="F5118" s="72"/>
      <c r="G5118" s="74"/>
      <c r="I5118" s="115">
        <f>IF(C5118=0,0,VLOOKUP(C5118,Tabla3[],3,FALSE))</f>
        <v>0</v>
      </c>
      <c r="K5118" s="84">
        <f>+F5118*I5118</f>
        <v>0</v>
      </c>
      <c r="L5118" s="116">
        <f>E5118*I5118</f>
        <v>0</v>
      </c>
    </row>
    <row r="5119" spans="2:12" ht="17.25" thickBot="1" x14ac:dyDescent="0.35"/>
    <row r="5120" spans="2:12" ht="17.25" thickBot="1" x14ac:dyDescent="0.35">
      <c r="F5120" s="402" t="s">
        <v>12</v>
      </c>
      <c r="G5120" s="403"/>
      <c r="H5120" s="403"/>
      <c r="I5120" s="404"/>
      <c r="K5120" s="224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413" t="s">
        <v>14</v>
      </c>
      <c r="D5122" s="413"/>
      <c r="E5122" s="413"/>
      <c r="F5122" s="413"/>
      <c r="G5122" s="414"/>
    </row>
    <row r="5123" spans="2:12" x14ac:dyDescent="0.3">
      <c r="B5123" s="112" t="s">
        <v>6</v>
      </c>
      <c r="C5123" s="415" t="s">
        <v>1</v>
      </c>
      <c r="D5123" s="416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409" t="s">
        <v>463</v>
      </c>
      <c r="D5124" s="409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409"/>
      <c r="D5125" s="409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417"/>
      <c r="D5126" s="418"/>
      <c r="E5126" s="122"/>
      <c r="F5126" s="123"/>
      <c r="G5126" s="74"/>
      <c r="I5126" s="115">
        <f>IF(C5126=0,0,VLOOKUP(C5126,Tabla2[],3,FALSE))</f>
        <v>0</v>
      </c>
      <c r="K5126" s="84">
        <f>+F5126*I5126</f>
        <v>0</v>
      </c>
      <c r="L5126" s="116">
        <f>E5126*I5126</f>
        <v>0</v>
      </c>
    </row>
    <row r="5127" spans="2:12" ht="17.25" thickBot="1" x14ac:dyDescent="0.35">
      <c r="B5127" s="419" t="s">
        <v>15</v>
      </c>
      <c r="C5127" s="420"/>
      <c r="D5127" s="420"/>
      <c r="E5127" s="420"/>
      <c r="F5127" s="420"/>
      <c r="G5127" s="421"/>
      <c r="I5127" s="84">
        <v>0</v>
      </c>
      <c r="K5127" s="84">
        <v>0</v>
      </c>
      <c r="L5127" s="116">
        <f>E5127*I5127</f>
        <v>0</v>
      </c>
    </row>
    <row r="5128" spans="2:12" ht="17.25" thickBot="1" x14ac:dyDescent="0.35"/>
    <row r="5129" spans="2:12" ht="17.25" thickBot="1" x14ac:dyDescent="0.35">
      <c r="F5129" s="402" t="s">
        <v>16</v>
      </c>
      <c r="G5129" s="403"/>
      <c r="H5129" s="403"/>
      <c r="I5129" s="404"/>
      <c r="K5129" s="224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413" t="s">
        <v>18</v>
      </c>
      <c r="D5131" s="413"/>
      <c r="E5131" s="413"/>
      <c r="F5131" s="413"/>
      <c r="G5131" s="414"/>
    </row>
    <row r="5132" spans="2:12" x14ac:dyDescent="0.3">
      <c r="B5132" s="112" t="s">
        <v>6</v>
      </c>
      <c r="C5132" s="415" t="s">
        <v>1</v>
      </c>
      <c r="D5132" s="416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411"/>
      <c r="D5133" s="412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411"/>
      <c r="D5134" s="412"/>
      <c r="E5134" s="125"/>
      <c r="F5134" s="72"/>
      <c r="G5134" s="74"/>
      <c r="I5134" s="84">
        <v>0</v>
      </c>
      <c r="K5134" s="84">
        <f>+F5134*I5134</f>
        <v>0</v>
      </c>
      <c r="L5134" s="116">
        <f>E5134*I5134</f>
        <v>0</v>
      </c>
    </row>
    <row r="5135" spans="2:12" x14ac:dyDescent="0.3">
      <c r="B5135" s="74"/>
      <c r="C5135" s="411"/>
      <c r="D5135" s="412"/>
      <c r="E5135" s="125"/>
      <c r="F5135" s="72"/>
      <c r="G5135" s="74"/>
      <c r="I5135" s="84">
        <v>0</v>
      </c>
      <c r="K5135" s="84">
        <f>+F5135*I5135</f>
        <v>0</v>
      </c>
      <c r="L5135" s="116">
        <f>E5135*I5135</f>
        <v>0</v>
      </c>
    </row>
    <row r="5136" spans="2:12" ht="17.25" thickBot="1" x14ac:dyDescent="0.35">
      <c r="L5136" s="116"/>
    </row>
    <row r="5137" spans="1:16" ht="17.25" thickBot="1" x14ac:dyDescent="0.35">
      <c r="F5137" s="402" t="s">
        <v>19</v>
      </c>
      <c r="G5137" s="403"/>
      <c r="H5137" s="403"/>
      <c r="I5137" s="404"/>
      <c r="K5137" s="224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127"/>
      <c r="H5138" s="128"/>
      <c r="I5138" s="106"/>
      <c r="K5138" s="225"/>
    </row>
    <row r="5139" spans="1:16" ht="15" customHeight="1" thickBot="1" x14ac:dyDescent="0.35"/>
    <row r="5140" spans="1:16" ht="17.25" thickBot="1" x14ac:dyDescent="0.35">
      <c r="F5140" s="402" t="s">
        <v>20</v>
      </c>
      <c r="G5140" s="403"/>
      <c r="H5140" s="403"/>
      <c r="I5140" s="404"/>
      <c r="K5140" s="224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402" t="s">
        <v>21</v>
      </c>
      <c r="G5142" s="403"/>
      <c r="H5142" s="403"/>
      <c r="I5142" s="404"/>
      <c r="K5142" s="224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402" t="s">
        <v>22</v>
      </c>
      <c r="G5144" s="403"/>
      <c r="H5144" s="403"/>
      <c r="I5144" s="404"/>
      <c r="K5144" s="224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127"/>
      <c r="H5145" s="128"/>
      <c r="I5145" s="106"/>
      <c r="K5145" s="226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127"/>
      <c r="H5146" s="128"/>
      <c r="I5146" s="106"/>
      <c r="K5146" s="227"/>
      <c r="L5146" s="129"/>
      <c r="M5146" s="132"/>
      <c r="N5146" s="133"/>
    </row>
    <row r="5147" spans="1:16" ht="17.25" thickBot="1" x14ac:dyDescent="0.35">
      <c r="B5147" s="405"/>
      <c r="C5147" s="405"/>
      <c r="D5147" s="405"/>
    </row>
    <row r="5148" spans="1:16" x14ac:dyDescent="0.3">
      <c r="B5148" s="406" t="s">
        <v>23</v>
      </c>
      <c r="C5148" s="406"/>
      <c r="D5148" s="406"/>
    </row>
    <row r="5149" spans="1:16" x14ac:dyDescent="0.3">
      <c r="B5149" s="155"/>
      <c r="C5149" s="155"/>
      <c r="D5149" s="155"/>
    </row>
    <row r="5151" spans="1:16" x14ac:dyDescent="0.3">
      <c r="B5151" s="103" t="s">
        <v>43</v>
      </c>
      <c r="C5151" s="104"/>
      <c r="D5151" s="422" t="s">
        <v>1</v>
      </c>
      <c r="E5151" s="422"/>
      <c r="F5151" s="422"/>
      <c r="G5151" s="422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09">
        <f>CATALOGO!B146</f>
        <v>105.02</v>
      </c>
      <c r="C5152" s="71"/>
      <c r="D5152" s="437" t="str">
        <f>CATALOGO!C146</f>
        <v>DESMONTAJE DE PUERTA DE METAL (UNA HOJA)</v>
      </c>
      <c r="E5152" s="437"/>
      <c r="F5152" s="437"/>
      <c r="G5152" s="437"/>
      <c r="H5152" s="71"/>
      <c r="I5152" s="209">
        <f>CATALOGO!D146</f>
        <v>3</v>
      </c>
      <c r="J5152" s="107"/>
      <c r="K5152" s="222" t="str">
        <f>CATALOGO!G146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413" t="s">
        <v>5</v>
      </c>
      <c r="D5154" s="413"/>
      <c r="E5154" s="413"/>
      <c r="F5154" s="413"/>
      <c r="G5154" s="414"/>
    </row>
    <row r="5155" spans="2:16" x14ac:dyDescent="0.25">
      <c r="B5155" s="109" t="s">
        <v>6</v>
      </c>
      <c r="C5155" s="424" t="s">
        <v>1</v>
      </c>
      <c r="D5155" s="425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3" t="s">
        <v>8</v>
      </c>
      <c r="L5155" s="113" t="s">
        <v>193</v>
      </c>
      <c r="O5155" s="438"/>
      <c r="P5155" s="438"/>
    </row>
    <row r="5156" spans="2:16" ht="16.5" customHeight="1" x14ac:dyDescent="0.25">
      <c r="B5156" s="120"/>
      <c r="C5156" s="407"/>
      <c r="D5156" s="408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138">E5156*I5156</f>
        <v>0</v>
      </c>
      <c r="O5156" s="44"/>
      <c r="P5156" s="45"/>
    </row>
    <row r="5157" spans="2:16" x14ac:dyDescent="0.25">
      <c r="B5157" s="120"/>
      <c r="C5157" s="407"/>
      <c r="D5157" s="408"/>
      <c r="E5157" s="114"/>
      <c r="F5157" s="83"/>
      <c r="G5157" s="74"/>
      <c r="I5157" s="115">
        <f>IF(C5157=0,0,VLOOKUP(C5157,Tabla1[],3,FALSE))</f>
        <v>0</v>
      </c>
      <c r="K5157" s="84">
        <f>+F5157*I5157</f>
        <v>0</v>
      </c>
      <c r="L5157" s="116">
        <f t="shared" si="138"/>
        <v>0</v>
      </c>
      <c r="O5157" s="44"/>
      <c r="P5157" s="47"/>
    </row>
    <row r="5158" spans="2:16" x14ac:dyDescent="0.3">
      <c r="B5158" s="120"/>
      <c r="C5158" s="407"/>
      <c r="D5158" s="408"/>
      <c r="E5158" s="114"/>
      <c r="F5158" s="83"/>
      <c r="G5158" s="74"/>
      <c r="I5158" s="115">
        <f>IF(C5158=0,0,VLOOKUP(C5158,Tabla1[],3,FALSE))</f>
        <v>0</v>
      </c>
      <c r="K5158" s="84">
        <f>+F5158*I5158</f>
        <v>0</v>
      </c>
      <c r="L5158" s="116">
        <f t="shared" si="138"/>
        <v>0</v>
      </c>
      <c r="O5158" s="48"/>
      <c r="P5158" s="49"/>
    </row>
    <row r="5159" spans="2:16" ht="16.5" customHeight="1" x14ac:dyDescent="0.25">
      <c r="B5159" s="120"/>
      <c r="C5159" s="407"/>
      <c r="D5159" s="408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138"/>
        <v>0</v>
      </c>
      <c r="O5159" s="44"/>
      <c r="P5159" s="45"/>
    </row>
    <row r="5160" spans="2:16" ht="16.5" customHeight="1" x14ac:dyDescent="0.25">
      <c r="B5160" s="120"/>
      <c r="C5160" s="407"/>
      <c r="D5160" s="408"/>
      <c r="E5160" s="114"/>
      <c r="F5160" s="83"/>
      <c r="G5160" s="74"/>
      <c r="I5160" s="115">
        <f>IF(C5160=0,0,VLOOKUP(C5160,Tabla1[],3,FALSE))</f>
        <v>0</v>
      </c>
      <c r="K5160" s="84">
        <f t="shared" ref="K5160:K5165" si="139">+F5160*I5160</f>
        <v>0</v>
      </c>
      <c r="L5160" s="116">
        <f t="shared" si="138"/>
        <v>0</v>
      </c>
      <c r="O5160" s="44"/>
      <c r="P5160" s="46"/>
    </row>
    <row r="5161" spans="2:16" x14ac:dyDescent="0.25">
      <c r="B5161" s="120"/>
      <c r="C5161" s="407"/>
      <c r="D5161" s="408"/>
      <c r="E5161" s="114"/>
      <c r="F5161" s="83"/>
      <c r="G5161" s="74"/>
      <c r="I5161" s="115">
        <f>IF(C5161=0,0,VLOOKUP(C5161,Tabla1[],3,FALSE))</f>
        <v>0</v>
      </c>
      <c r="K5161" s="84">
        <f t="shared" si="139"/>
        <v>0</v>
      </c>
      <c r="L5161" s="116">
        <f t="shared" si="138"/>
        <v>0</v>
      </c>
      <c r="O5161" s="44"/>
      <c r="P5161" s="46"/>
    </row>
    <row r="5162" spans="2:16" x14ac:dyDescent="0.3">
      <c r="B5162" s="120"/>
      <c r="C5162" s="407"/>
      <c r="D5162" s="408"/>
      <c r="E5162" s="114"/>
      <c r="F5162" s="83"/>
      <c r="G5162" s="74"/>
      <c r="I5162" s="115">
        <f>IF(C5162=0,0,VLOOKUP(C5162,Tabla1[],3,FALSE))</f>
        <v>0</v>
      </c>
      <c r="K5162" s="84">
        <f t="shared" si="139"/>
        <v>0</v>
      </c>
      <c r="L5162" s="116">
        <f t="shared" si="138"/>
        <v>0</v>
      </c>
      <c r="O5162" s="48"/>
      <c r="P5162" s="49"/>
    </row>
    <row r="5163" spans="2:16" x14ac:dyDescent="0.3">
      <c r="B5163" s="120"/>
      <c r="C5163" s="430"/>
      <c r="D5163" s="429"/>
      <c r="E5163" s="114"/>
      <c r="F5163" s="83"/>
      <c r="G5163" s="74"/>
      <c r="I5163" s="115">
        <f>IF(C5163=0,0,VLOOKUP(C5163,Tabla1[],3,FALSE))</f>
        <v>0</v>
      </c>
      <c r="K5163" s="84">
        <f t="shared" si="139"/>
        <v>0</v>
      </c>
      <c r="L5163" s="116">
        <f t="shared" si="138"/>
        <v>0</v>
      </c>
      <c r="O5163" s="48"/>
      <c r="P5163" s="49"/>
    </row>
    <row r="5164" spans="2:16" x14ac:dyDescent="0.3">
      <c r="B5164" s="120"/>
      <c r="C5164" s="430"/>
      <c r="D5164" s="429"/>
      <c r="E5164" s="114"/>
      <c r="F5164" s="83"/>
      <c r="G5164" s="74"/>
      <c r="I5164" s="115">
        <f>IF(C5164=0,0,VLOOKUP(C5164,Tabla1[],3,FALSE))</f>
        <v>0</v>
      </c>
      <c r="K5164" s="84">
        <f t="shared" si="139"/>
        <v>0</v>
      </c>
      <c r="L5164" s="116">
        <f t="shared" si="138"/>
        <v>0</v>
      </c>
      <c r="O5164" s="48"/>
      <c r="P5164" s="49"/>
    </row>
    <row r="5165" spans="2:16" x14ac:dyDescent="0.3">
      <c r="B5165" s="120"/>
      <c r="C5165" s="430"/>
      <c r="D5165" s="429"/>
      <c r="E5165" s="114"/>
      <c r="F5165" s="83"/>
      <c r="G5165" s="74"/>
      <c r="I5165" s="115">
        <f>IF(C5165=0,0,VLOOKUP(C5165,Tabla1[],3,FALSE))</f>
        <v>0</v>
      </c>
      <c r="K5165" s="84">
        <f t="shared" si="139"/>
        <v>0</v>
      </c>
      <c r="L5165" s="116">
        <f t="shared" si="138"/>
        <v>0</v>
      </c>
      <c r="O5165" s="48"/>
      <c r="P5165" s="49"/>
    </row>
    <row r="5166" spans="2:16" ht="17.25" thickBot="1" x14ac:dyDescent="0.35"/>
    <row r="5167" spans="2:16" ht="17.25" thickBot="1" x14ac:dyDescent="0.3">
      <c r="F5167" s="402" t="s">
        <v>9</v>
      </c>
      <c r="G5167" s="403"/>
      <c r="H5167" s="403"/>
      <c r="I5167" s="404"/>
      <c r="K5167" s="224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413" t="s">
        <v>11</v>
      </c>
      <c r="D5169" s="413"/>
      <c r="E5169" s="413"/>
      <c r="F5169" s="413"/>
      <c r="G5169" s="414"/>
    </row>
    <row r="5170" spans="2:12" x14ac:dyDescent="0.3">
      <c r="B5170" s="112" t="s">
        <v>6</v>
      </c>
      <c r="C5170" s="415" t="s">
        <v>1</v>
      </c>
      <c r="D5170" s="416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409"/>
      <c r="D5171" s="409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431"/>
      <c r="D5172" s="432"/>
      <c r="E5172" s="119"/>
      <c r="F5172" s="72"/>
      <c r="G5172" s="74"/>
      <c r="I5172" s="115">
        <f>IF(C5172=0,0,VLOOKUP(C5172,Tabla1[],3,FALSE))</f>
        <v>0</v>
      </c>
      <c r="K5172" s="84">
        <f>+F5172*I5172</f>
        <v>0</v>
      </c>
      <c r="L5172" s="116">
        <f>E5172*I5172</f>
        <v>0</v>
      </c>
    </row>
    <row r="5173" spans="2:12" x14ac:dyDescent="0.3">
      <c r="B5173" s="74"/>
      <c r="C5173" s="431"/>
      <c r="D5173" s="432"/>
      <c r="E5173" s="119"/>
      <c r="F5173" s="72"/>
      <c r="G5173" s="74"/>
      <c r="I5173" s="115">
        <f>IF(C5173=0,0,VLOOKUP(C5173,Tabla1[],3,FALSE))</f>
        <v>0</v>
      </c>
      <c r="K5173" s="84">
        <f>+F5173*I5173</f>
        <v>0</v>
      </c>
      <c r="L5173" s="116">
        <f>E5173*I5173</f>
        <v>0</v>
      </c>
    </row>
    <row r="5174" spans="2:12" x14ac:dyDescent="0.3">
      <c r="B5174" s="74"/>
      <c r="C5174" s="411"/>
      <c r="D5174" s="412"/>
      <c r="E5174" s="119"/>
      <c r="F5174" s="72"/>
      <c r="G5174" s="74"/>
      <c r="I5174" s="115">
        <f>IF(C5174=0,0,VLOOKUP(C5174,Tabla1[],3,FALSE))</f>
        <v>0</v>
      </c>
      <c r="K5174" s="84">
        <f>+F5174*I5174</f>
        <v>0</v>
      </c>
      <c r="L5174" s="116">
        <f>E5174*I5174</f>
        <v>0</v>
      </c>
    </row>
    <row r="5175" spans="2:12" ht="17.25" thickBot="1" x14ac:dyDescent="0.35"/>
    <row r="5176" spans="2:12" ht="17.25" thickBot="1" x14ac:dyDescent="0.35">
      <c r="F5176" s="402" t="s">
        <v>12</v>
      </c>
      <c r="G5176" s="403"/>
      <c r="H5176" s="403"/>
      <c r="I5176" s="404"/>
      <c r="K5176" s="224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413" t="s">
        <v>14</v>
      </c>
      <c r="D5178" s="413"/>
      <c r="E5178" s="413"/>
      <c r="F5178" s="413"/>
      <c r="G5178" s="414"/>
    </row>
    <row r="5179" spans="2:12" x14ac:dyDescent="0.3">
      <c r="B5179" s="112" t="s">
        <v>6</v>
      </c>
      <c r="C5179" s="415" t="s">
        <v>1</v>
      </c>
      <c r="D5179" s="416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409" t="s">
        <v>393</v>
      </c>
      <c r="D5180" s="409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409"/>
      <c r="D5181" s="409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417"/>
      <c r="D5182" s="418"/>
      <c r="E5182" s="122"/>
      <c r="F5182" s="123"/>
      <c r="G5182" s="74"/>
      <c r="I5182" s="115">
        <f>IF(C5182=0,0,VLOOKUP(C5182,Tabla2[],3,FALSE))</f>
        <v>0</v>
      </c>
      <c r="K5182" s="84">
        <f>+F5182*I5182</f>
        <v>0</v>
      </c>
      <c r="L5182" s="116">
        <f>E5182*I5182</f>
        <v>0</v>
      </c>
    </row>
    <row r="5183" spans="2:12" ht="17.25" thickBot="1" x14ac:dyDescent="0.35">
      <c r="B5183" s="419" t="s">
        <v>15</v>
      </c>
      <c r="C5183" s="420"/>
      <c r="D5183" s="420"/>
      <c r="E5183" s="420"/>
      <c r="F5183" s="420"/>
      <c r="G5183" s="421"/>
      <c r="I5183" s="115">
        <f>IF(C5183=0,0,VLOOKUP(C5183,Tabla2[],3,FALSE))</f>
        <v>0</v>
      </c>
      <c r="K5183" s="84">
        <v>0</v>
      </c>
      <c r="L5183" s="116">
        <f>E5183*I5183</f>
        <v>0</v>
      </c>
    </row>
    <row r="5184" spans="2:12" ht="17.25" thickBot="1" x14ac:dyDescent="0.35"/>
    <row r="5185" spans="2:16" ht="17.25" thickBot="1" x14ac:dyDescent="0.35">
      <c r="F5185" s="402" t="s">
        <v>16</v>
      </c>
      <c r="G5185" s="403"/>
      <c r="H5185" s="403"/>
      <c r="I5185" s="404"/>
      <c r="K5185" s="224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413" t="s">
        <v>18</v>
      </c>
      <c r="D5187" s="413"/>
      <c r="E5187" s="413"/>
      <c r="F5187" s="413"/>
      <c r="G5187" s="414"/>
    </row>
    <row r="5188" spans="2:16" x14ac:dyDescent="0.3">
      <c r="B5188" s="112" t="s">
        <v>6</v>
      </c>
      <c r="C5188" s="415" t="s">
        <v>1</v>
      </c>
      <c r="D5188" s="416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411"/>
      <c r="D5189" s="412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411"/>
      <c r="D5190" s="412"/>
      <c r="E5190" s="125"/>
      <c r="F5190" s="72"/>
      <c r="G5190" s="74"/>
      <c r="I5190" s="84">
        <v>0</v>
      </c>
      <c r="K5190" s="84">
        <f>+F5190*I5190</f>
        <v>0</v>
      </c>
      <c r="L5190" s="116">
        <f>E5190*I5190</f>
        <v>0</v>
      </c>
    </row>
    <row r="5191" spans="2:16" x14ac:dyDescent="0.3">
      <c r="B5191" s="74"/>
      <c r="C5191" s="411"/>
      <c r="D5191" s="412"/>
      <c r="E5191" s="125"/>
      <c r="F5191" s="72"/>
      <c r="G5191" s="74"/>
      <c r="I5191" s="84">
        <v>0</v>
      </c>
      <c r="K5191" s="84">
        <f>+F5191*I5191</f>
        <v>0</v>
      </c>
      <c r="L5191" s="116">
        <f>E5191*I5191</f>
        <v>0</v>
      </c>
    </row>
    <row r="5192" spans="2:16" ht="17.25" thickBot="1" x14ac:dyDescent="0.35">
      <c r="L5192" s="116"/>
    </row>
    <row r="5193" spans="2:16" ht="17.25" thickBot="1" x14ac:dyDescent="0.35">
      <c r="F5193" s="402" t="s">
        <v>19</v>
      </c>
      <c r="G5193" s="403"/>
      <c r="H5193" s="403"/>
      <c r="I5193" s="404"/>
      <c r="K5193" s="224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127"/>
      <c r="H5194" s="128"/>
      <c r="I5194" s="106"/>
      <c r="K5194" s="225"/>
    </row>
    <row r="5195" spans="2:16" ht="15" customHeight="1" thickBot="1" x14ac:dyDescent="0.35"/>
    <row r="5196" spans="2:16" ht="17.25" thickBot="1" x14ac:dyDescent="0.35">
      <c r="F5196" s="402" t="s">
        <v>20</v>
      </c>
      <c r="G5196" s="403"/>
      <c r="H5196" s="403"/>
      <c r="I5196" s="404"/>
      <c r="K5196" s="224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402" t="s">
        <v>21</v>
      </c>
      <c r="G5198" s="403"/>
      <c r="H5198" s="403"/>
      <c r="I5198" s="404"/>
      <c r="K5198" s="224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402" t="s">
        <v>22</v>
      </c>
      <c r="G5200" s="403"/>
      <c r="H5200" s="403"/>
      <c r="I5200" s="404"/>
      <c r="K5200" s="224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127"/>
      <c r="H5201" s="128"/>
      <c r="I5201" s="106"/>
      <c r="K5201" s="226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127"/>
      <c r="H5202" s="128"/>
      <c r="I5202" s="106"/>
      <c r="K5202" s="227"/>
      <c r="L5202" s="129"/>
      <c r="M5202" s="132"/>
      <c r="N5202" s="133"/>
    </row>
    <row r="5203" spans="1:16" ht="17.25" thickBot="1" x14ac:dyDescent="0.35">
      <c r="B5203" s="405"/>
      <c r="C5203" s="405"/>
      <c r="D5203" s="405"/>
    </row>
    <row r="5204" spans="1:16" x14ac:dyDescent="0.3">
      <c r="B5204" s="406" t="s">
        <v>23</v>
      </c>
      <c r="C5204" s="406"/>
      <c r="D5204" s="406"/>
    </row>
    <row r="5207" spans="1:16" x14ac:dyDescent="0.3">
      <c r="B5207" s="103" t="s">
        <v>43</v>
      </c>
      <c r="C5207" s="104"/>
      <c r="D5207" s="422" t="s">
        <v>1</v>
      </c>
      <c r="E5207" s="422"/>
      <c r="F5207" s="422"/>
      <c r="G5207" s="422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09">
        <f>CATALOGO!B150</f>
        <v>605.08000000000004</v>
      </c>
      <c r="C5208" s="71"/>
      <c r="D5208" s="437" t="str">
        <f>CATALOGO!C150</f>
        <v>PISO CERÁMICO ANTIDESLIZANTE</v>
      </c>
      <c r="E5208" s="437"/>
      <c r="F5208" s="437"/>
      <c r="G5208" s="437"/>
      <c r="H5208" s="71"/>
      <c r="I5208" s="209">
        <f>CATALOGO!D150</f>
        <v>6</v>
      </c>
      <c r="J5208" s="107"/>
      <c r="K5208" s="222" t="str">
        <f>CATALOGO!G150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413" t="s">
        <v>5</v>
      </c>
      <c r="D5210" s="413"/>
      <c r="E5210" s="413"/>
      <c r="F5210" s="413"/>
      <c r="G5210" s="414"/>
    </row>
    <row r="5211" spans="1:16" x14ac:dyDescent="0.25">
      <c r="B5211" s="109" t="s">
        <v>6</v>
      </c>
      <c r="C5211" s="424" t="s">
        <v>1</v>
      </c>
      <c r="D5211" s="425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3" t="s">
        <v>8</v>
      </c>
      <c r="L5211" s="113" t="s">
        <v>193</v>
      </c>
      <c r="O5211" s="438"/>
      <c r="P5211" s="438"/>
    </row>
    <row r="5212" spans="1:16" ht="16.5" customHeight="1" x14ac:dyDescent="0.25">
      <c r="B5212" s="120">
        <v>1</v>
      </c>
      <c r="C5212" s="428" t="s">
        <v>213</v>
      </c>
      <c r="D5212" s="429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>E5212*I5212</f>
        <v>335.99999999999994</v>
      </c>
      <c r="O5212" s="44"/>
      <c r="P5212" s="45"/>
    </row>
    <row r="5213" spans="1:16" x14ac:dyDescent="0.25">
      <c r="B5213" s="120">
        <v>2</v>
      </c>
      <c r="C5213" s="430" t="s">
        <v>72</v>
      </c>
      <c r="D5213" s="429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>+F5213*I5213</f>
        <v>5</v>
      </c>
      <c r="L5213" s="116">
        <f>E5213*I5213</f>
        <v>30</v>
      </c>
      <c r="O5213" s="44"/>
      <c r="P5213" s="47"/>
    </row>
    <row r="5214" spans="1:16" x14ac:dyDescent="0.3">
      <c r="B5214" s="120">
        <v>3</v>
      </c>
      <c r="C5214" s="430" t="s">
        <v>214</v>
      </c>
      <c r="D5214" s="429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>+F5214*I5214</f>
        <v>1.5</v>
      </c>
      <c r="L5214" s="116">
        <f>E5214*I5214</f>
        <v>9</v>
      </c>
      <c r="O5214" s="48"/>
      <c r="P5214" s="49"/>
    </row>
    <row r="5215" spans="1:16" ht="16.5" customHeight="1" x14ac:dyDescent="0.25">
      <c r="B5215" s="120">
        <v>4</v>
      </c>
      <c r="C5215" s="407" t="s">
        <v>599</v>
      </c>
      <c r="D5215" s="408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>+F5215*I5215</f>
        <v>87.5</v>
      </c>
      <c r="L5215" s="116">
        <f>E5215*I5215</f>
        <v>524.99999999999989</v>
      </c>
      <c r="O5215" s="44"/>
      <c r="P5215" s="45"/>
    </row>
    <row r="5216" spans="1:16" x14ac:dyDescent="0.3">
      <c r="B5216" s="120"/>
      <c r="C5216" s="430"/>
      <c r="D5216" s="429"/>
      <c r="E5216" s="114"/>
      <c r="F5216" s="83"/>
      <c r="G5216" s="74"/>
      <c r="I5216" s="115">
        <f>IF(C5216=0,0,VLOOKUP(C5216,Tabla1[],3,FALSE))</f>
        <v>0</v>
      </c>
      <c r="K5216" s="84">
        <f>+F5216*I5216</f>
        <v>0</v>
      </c>
      <c r="L5216" s="116">
        <f>E5216*I5216</f>
        <v>0</v>
      </c>
      <c r="O5216" s="48"/>
      <c r="P5216" s="49"/>
    </row>
    <row r="5217" spans="2:16" ht="17.25" thickBot="1" x14ac:dyDescent="0.35"/>
    <row r="5218" spans="2:16" ht="17.25" thickBot="1" x14ac:dyDescent="0.3">
      <c r="F5218" s="402" t="s">
        <v>9</v>
      </c>
      <c r="G5218" s="403"/>
      <c r="H5218" s="403"/>
      <c r="I5218" s="404"/>
      <c r="K5218" s="224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413" t="s">
        <v>11</v>
      </c>
      <c r="D5220" s="413"/>
      <c r="E5220" s="413"/>
      <c r="F5220" s="413"/>
      <c r="G5220" s="414"/>
    </row>
    <row r="5221" spans="2:16" x14ac:dyDescent="0.3">
      <c r="B5221" s="112" t="s">
        <v>6</v>
      </c>
      <c r="C5221" s="415" t="s">
        <v>1</v>
      </c>
      <c r="D5221" s="416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409"/>
      <c r="D5222" s="409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431"/>
      <c r="D5223" s="432"/>
      <c r="E5223" s="119"/>
      <c r="F5223" s="72"/>
      <c r="G5223" s="74"/>
      <c r="I5223" s="115">
        <f>IF(C5223=0,0,VLOOKUP(C5223,Tabla3[],3,FALSE))</f>
        <v>0</v>
      </c>
      <c r="K5223" s="84">
        <f>+F5223*I5223</f>
        <v>0</v>
      </c>
      <c r="L5223" s="116">
        <f>E5223*I5223</f>
        <v>0</v>
      </c>
    </row>
    <row r="5224" spans="2:16" x14ac:dyDescent="0.3">
      <c r="B5224" s="74"/>
      <c r="C5224" s="431"/>
      <c r="D5224" s="432"/>
      <c r="E5224" s="119"/>
      <c r="F5224" s="72"/>
      <c r="G5224" s="74"/>
      <c r="I5224" s="115">
        <f>IF(C5224=0,0,VLOOKUP(C5224,Tabla3[],3,FALSE))</f>
        <v>0</v>
      </c>
      <c r="K5224" s="84">
        <f>+F5224*I5224</f>
        <v>0</v>
      </c>
      <c r="L5224" s="116">
        <f>E5224*I5224</f>
        <v>0</v>
      </c>
    </row>
    <row r="5225" spans="2:16" x14ac:dyDescent="0.3">
      <c r="B5225" s="74"/>
      <c r="C5225" s="411"/>
      <c r="D5225" s="412"/>
      <c r="E5225" s="119"/>
      <c r="F5225" s="72"/>
      <c r="G5225" s="74"/>
      <c r="I5225" s="115">
        <f>IF(C5225=0,0,VLOOKUP(C5225,Tabla3[],3,FALSE))</f>
        <v>0</v>
      </c>
      <c r="K5225" s="84">
        <f>+F5225*I5225</f>
        <v>0</v>
      </c>
      <c r="L5225" s="116">
        <f>E5225*I5225</f>
        <v>0</v>
      </c>
    </row>
    <row r="5226" spans="2:16" ht="17.25" thickBot="1" x14ac:dyDescent="0.35"/>
    <row r="5227" spans="2:16" ht="17.25" thickBot="1" x14ac:dyDescent="0.35">
      <c r="F5227" s="402" t="s">
        <v>12</v>
      </c>
      <c r="G5227" s="403"/>
      <c r="H5227" s="403"/>
      <c r="I5227" s="404"/>
      <c r="K5227" s="224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413" t="s">
        <v>14</v>
      </c>
      <c r="D5229" s="413"/>
      <c r="E5229" s="413"/>
      <c r="F5229" s="413"/>
      <c r="G5229" s="414"/>
    </row>
    <row r="5230" spans="2:16" x14ac:dyDescent="0.3">
      <c r="B5230" s="112" t="s">
        <v>6</v>
      </c>
      <c r="C5230" s="415" t="s">
        <v>1</v>
      </c>
      <c r="D5230" s="416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409" t="s">
        <v>215</v>
      </c>
      <c r="D5231" s="409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409"/>
      <c r="D5232" s="409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417"/>
      <c r="D5233" s="418"/>
      <c r="E5233" s="122"/>
      <c r="F5233" s="123"/>
      <c r="G5233" s="74"/>
      <c r="I5233" s="115">
        <f>IF(C5233=0,0,VLOOKUP(C5233,Tabla2[],3,FALSE))</f>
        <v>0</v>
      </c>
      <c r="K5233" s="84">
        <f>+F5233*I5233</f>
        <v>0</v>
      </c>
      <c r="L5233" s="116">
        <f>E5233*I5233</f>
        <v>0</v>
      </c>
    </row>
    <row r="5234" spans="2:16" ht="17.25" thickBot="1" x14ac:dyDescent="0.35">
      <c r="B5234" s="419" t="s">
        <v>15</v>
      </c>
      <c r="C5234" s="420"/>
      <c r="D5234" s="420"/>
      <c r="E5234" s="420"/>
      <c r="F5234" s="420"/>
      <c r="G5234" s="421"/>
      <c r="I5234" s="115">
        <f>IF(C5234=0,0,VLOOKUP(C5234,Tabla2[],3,FALSE))</f>
        <v>0</v>
      </c>
      <c r="K5234" s="84">
        <v>0</v>
      </c>
      <c r="L5234" s="116">
        <f>E5234*I5234</f>
        <v>0</v>
      </c>
    </row>
    <row r="5235" spans="2:16" ht="17.25" thickBot="1" x14ac:dyDescent="0.35"/>
    <row r="5236" spans="2:16" ht="17.25" thickBot="1" x14ac:dyDescent="0.35">
      <c r="F5236" s="402" t="s">
        <v>16</v>
      </c>
      <c r="G5236" s="403"/>
      <c r="H5236" s="403"/>
      <c r="I5236" s="404"/>
      <c r="K5236" s="224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413" t="s">
        <v>18</v>
      </c>
      <c r="D5238" s="413"/>
      <c r="E5238" s="413"/>
      <c r="F5238" s="413"/>
      <c r="G5238" s="414"/>
    </row>
    <row r="5239" spans="2:16" x14ac:dyDescent="0.3">
      <c r="B5239" s="112" t="s">
        <v>6</v>
      </c>
      <c r="C5239" s="415" t="s">
        <v>1</v>
      </c>
      <c r="D5239" s="416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411"/>
      <c r="D5240" s="412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411"/>
      <c r="D5241" s="412"/>
      <c r="E5241" s="125"/>
      <c r="F5241" s="72"/>
      <c r="G5241" s="74"/>
      <c r="I5241" s="84">
        <v>0</v>
      </c>
      <c r="K5241" s="84">
        <f>+F5241*I5241</f>
        <v>0</v>
      </c>
      <c r="L5241" s="116">
        <f>E5241*I5241</f>
        <v>0</v>
      </c>
    </row>
    <row r="5242" spans="2:16" x14ac:dyDescent="0.3">
      <c r="B5242" s="74"/>
      <c r="C5242" s="411"/>
      <c r="D5242" s="412"/>
      <c r="E5242" s="125"/>
      <c r="F5242" s="72"/>
      <c r="G5242" s="74"/>
      <c r="I5242" s="84">
        <v>0</v>
      </c>
      <c r="K5242" s="84">
        <f>+F5242*I5242</f>
        <v>0</v>
      </c>
      <c r="L5242" s="116">
        <f>E5242*I5242</f>
        <v>0</v>
      </c>
    </row>
    <row r="5243" spans="2:16" ht="17.25" thickBot="1" x14ac:dyDescent="0.35">
      <c r="L5243" s="116"/>
    </row>
    <row r="5244" spans="2:16" ht="17.25" thickBot="1" x14ac:dyDescent="0.35">
      <c r="F5244" s="402" t="s">
        <v>19</v>
      </c>
      <c r="G5244" s="403"/>
      <c r="H5244" s="403"/>
      <c r="I5244" s="404"/>
      <c r="K5244" s="224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127"/>
      <c r="H5245" s="128"/>
      <c r="I5245" s="106"/>
      <c r="K5245" s="225"/>
    </row>
    <row r="5246" spans="2:16" ht="15" customHeight="1" thickBot="1" x14ac:dyDescent="0.35"/>
    <row r="5247" spans="2:16" ht="17.25" thickBot="1" x14ac:dyDescent="0.35">
      <c r="F5247" s="402" t="s">
        <v>20</v>
      </c>
      <c r="G5247" s="403"/>
      <c r="H5247" s="403"/>
      <c r="I5247" s="404"/>
      <c r="K5247" s="224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402" t="s">
        <v>21</v>
      </c>
      <c r="G5249" s="403"/>
      <c r="H5249" s="403"/>
      <c r="I5249" s="404"/>
      <c r="K5249" s="224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402" t="s">
        <v>22</v>
      </c>
      <c r="G5251" s="403"/>
      <c r="H5251" s="403"/>
      <c r="I5251" s="404"/>
      <c r="K5251" s="224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127"/>
      <c r="H5252" s="128"/>
      <c r="I5252" s="106"/>
      <c r="K5252" s="226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127"/>
      <c r="H5253" s="128"/>
      <c r="I5253" s="106"/>
      <c r="K5253" s="227"/>
      <c r="L5253" s="129"/>
      <c r="M5253" s="132"/>
      <c r="N5253" s="133"/>
    </row>
    <row r="5254" spans="1:16" ht="17.25" thickBot="1" x14ac:dyDescent="0.35">
      <c r="B5254" s="405"/>
      <c r="C5254" s="405"/>
      <c r="D5254" s="405"/>
    </row>
    <row r="5255" spans="1:16" x14ac:dyDescent="0.3">
      <c r="B5255" s="406" t="s">
        <v>23</v>
      </c>
      <c r="C5255" s="406"/>
      <c r="D5255" s="406"/>
    </row>
    <row r="5256" spans="1:16" x14ac:dyDescent="0.3">
      <c r="B5256" s="155"/>
      <c r="C5256" s="155"/>
      <c r="D5256" s="155"/>
    </row>
    <row r="5257" spans="1:16" x14ac:dyDescent="0.3">
      <c r="B5257" s="155"/>
      <c r="C5257" s="155"/>
      <c r="D5257" s="155"/>
    </row>
    <row r="5258" spans="1:16" x14ac:dyDescent="0.3">
      <c r="B5258" s="103" t="s">
        <v>43</v>
      </c>
      <c r="C5258" s="104"/>
      <c r="D5258" s="422" t="s">
        <v>1</v>
      </c>
      <c r="E5258" s="422"/>
      <c r="F5258" s="422"/>
      <c r="G5258" s="422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09">
        <f>CATALOGO!B151</f>
        <v>609.01</v>
      </c>
      <c r="C5259" s="71"/>
      <c r="D5259" s="423" t="str">
        <f>CATALOGO!C151</f>
        <v xml:space="preserve">AZULEJO  </v>
      </c>
      <c r="E5259" s="423"/>
      <c r="F5259" s="423"/>
      <c r="G5259" s="423"/>
      <c r="H5259" s="71"/>
      <c r="I5259" s="209">
        <f>CATALOGO!D151</f>
        <v>17</v>
      </c>
      <c r="J5259" s="107"/>
      <c r="K5259" s="222" t="str">
        <f>CATALOGO!G151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413" t="s">
        <v>5</v>
      </c>
      <c r="D5261" s="413"/>
      <c r="E5261" s="413"/>
      <c r="F5261" s="413"/>
      <c r="G5261" s="414"/>
    </row>
    <row r="5262" spans="1:16" x14ac:dyDescent="0.25">
      <c r="B5262" s="109" t="s">
        <v>6</v>
      </c>
      <c r="C5262" s="424" t="s">
        <v>1</v>
      </c>
      <c r="D5262" s="425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3" t="s">
        <v>8</v>
      </c>
      <c r="L5262" s="113" t="s">
        <v>193</v>
      </c>
      <c r="O5262" s="438"/>
      <c r="P5262" s="438"/>
    </row>
    <row r="5263" spans="1:16" x14ac:dyDescent="0.25">
      <c r="B5263" s="120">
        <v>1</v>
      </c>
      <c r="C5263" s="407" t="s">
        <v>469</v>
      </c>
      <c r="D5263" s="408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140">E5263*I5263</f>
        <v>2040</v>
      </c>
      <c r="O5263" s="44"/>
      <c r="P5263" s="45"/>
    </row>
    <row r="5264" spans="1:16" x14ac:dyDescent="0.3">
      <c r="B5264" s="120">
        <v>2</v>
      </c>
      <c r="C5264" s="428" t="s">
        <v>95</v>
      </c>
      <c r="D5264" s="429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141">+F5264*I5264</f>
        <v>1</v>
      </c>
      <c r="L5264" s="116">
        <f t="shared" si="140"/>
        <v>17</v>
      </c>
      <c r="P5264" s="45"/>
    </row>
    <row r="5265" spans="2:16" x14ac:dyDescent="0.25">
      <c r="B5265" s="120">
        <v>3</v>
      </c>
      <c r="C5265" s="430" t="s">
        <v>284</v>
      </c>
      <c r="D5265" s="429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141"/>
        <v>1</v>
      </c>
      <c r="L5265" s="116">
        <f t="shared" si="140"/>
        <v>17</v>
      </c>
      <c r="O5265" s="44"/>
      <c r="P5265" s="46"/>
    </row>
    <row r="5266" spans="2:16" x14ac:dyDescent="0.25">
      <c r="B5266" s="120"/>
      <c r="C5266" s="430"/>
      <c r="D5266" s="429"/>
      <c r="E5266" s="114"/>
      <c r="F5266" s="83"/>
      <c r="G5266" s="74"/>
      <c r="I5266" s="115">
        <f>IF(C5266=0,0,VLOOKUP(C5266,Tabla1[],3,FALSE))</f>
        <v>0</v>
      </c>
      <c r="K5266" s="84">
        <f t="shared" si="141"/>
        <v>0</v>
      </c>
      <c r="L5266" s="116">
        <f t="shared" si="140"/>
        <v>0</v>
      </c>
      <c r="O5266" s="44"/>
      <c r="P5266" s="47"/>
    </row>
    <row r="5267" spans="2:16" x14ac:dyDescent="0.3">
      <c r="B5267" s="120"/>
      <c r="C5267" s="430"/>
      <c r="D5267" s="429"/>
      <c r="E5267" s="114"/>
      <c r="F5267" s="83"/>
      <c r="G5267" s="74"/>
      <c r="I5267" s="115">
        <f>IF(C5267=0,0,VLOOKUP(C5267,Tabla1[],3,FALSE))</f>
        <v>0</v>
      </c>
      <c r="K5267" s="84">
        <f t="shared" si="141"/>
        <v>0</v>
      </c>
      <c r="L5267" s="116">
        <f t="shared" si="140"/>
        <v>0</v>
      </c>
      <c r="O5267" s="48"/>
      <c r="P5267" s="49"/>
    </row>
    <row r="5268" spans="2:16" x14ac:dyDescent="0.3">
      <c r="B5268" s="120"/>
      <c r="C5268" s="430"/>
      <c r="D5268" s="429"/>
      <c r="E5268" s="114"/>
      <c r="F5268" s="83"/>
      <c r="G5268" s="74"/>
      <c r="I5268" s="115">
        <f>IF(C5268=0,0,VLOOKUP(C5268,Tabla1[],3,FALSE))</f>
        <v>0</v>
      </c>
      <c r="K5268" s="84">
        <f t="shared" si="141"/>
        <v>0</v>
      </c>
      <c r="L5268" s="116">
        <f t="shared" si="140"/>
        <v>0</v>
      </c>
      <c r="O5268" s="48"/>
      <c r="P5268" s="43"/>
    </row>
    <row r="5269" spans="2:16" x14ac:dyDescent="0.3">
      <c r="B5269" s="120"/>
      <c r="C5269" s="430"/>
      <c r="D5269" s="429"/>
      <c r="E5269" s="114"/>
      <c r="F5269" s="83"/>
      <c r="G5269" s="74"/>
      <c r="I5269" s="115">
        <f>IF(C5269=0,0,VLOOKUP(C5269,Tabla1[],3,FALSE))</f>
        <v>0</v>
      </c>
      <c r="K5269" s="84">
        <f t="shared" si="141"/>
        <v>0</v>
      </c>
      <c r="L5269" s="116">
        <f t="shared" si="140"/>
        <v>0</v>
      </c>
      <c r="O5269" s="48"/>
      <c r="P5269" s="49"/>
    </row>
    <row r="5270" spans="2:16" ht="17.25" thickBot="1" x14ac:dyDescent="0.35"/>
    <row r="5271" spans="2:16" ht="17.25" thickBot="1" x14ac:dyDescent="0.3">
      <c r="F5271" s="402" t="s">
        <v>9</v>
      </c>
      <c r="G5271" s="403"/>
      <c r="H5271" s="403"/>
      <c r="I5271" s="404"/>
      <c r="K5271" s="224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413" t="s">
        <v>11</v>
      </c>
      <c r="D5273" s="413"/>
      <c r="E5273" s="413"/>
      <c r="F5273" s="413"/>
      <c r="G5273" s="414"/>
    </row>
    <row r="5274" spans="2:16" x14ac:dyDescent="0.3">
      <c r="B5274" s="112" t="s">
        <v>6</v>
      </c>
      <c r="C5274" s="415" t="s">
        <v>1</v>
      </c>
      <c r="D5274" s="416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409"/>
      <c r="D5275" s="409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431"/>
      <c r="D5276" s="432"/>
      <c r="E5276" s="119"/>
      <c r="F5276" s="72"/>
      <c r="G5276" s="74"/>
      <c r="I5276" s="115">
        <f>IF(C5276=0,0,VLOOKUP(C5276,Tabla3[],3,FALSE))</f>
        <v>0</v>
      </c>
      <c r="K5276" s="84">
        <f>+F5276*I5276</f>
        <v>0</v>
      </c>
      <c r="L5276" s="116">
        <f>E5276*I5276</f>
        <v>0</v>
      </c>
    </row>
    <row r="5277" spans="2:16" x14ac:dyDescent="0.3">
      <c r="B5277" s="74"/>
      <c r="C5277" s="431"/>
      <c r="D5277" s="432"/>
      <c r="E5277" s="119"/>
      <c r="F5277" s="72"/>
      <c r="G5277" s="74"/>
      <c r="I5277" s="115">
        <f>IF(C5277=0,0,VLOOKUP(C5277,Tabla3[],3,FALSE))</f>
        <v>0</v>
      </c>
      <c r="K5277" s="84">
        <f>+F5277*I5277</f>
        <v>0</v>
      </c>
      <c r="L5277" s="116">
        <f>E5277*I5277</f>
        <v>0</v>
      </c>
    </row>
    <row r="5278" spans="2:16" x14ac:dyDescent="0.3">
      <c r="B5278" s="74"/>
      <c r="C5278" s="411"/>
      <c r="D5278" s="412"/>
      <c r="E5278" s="119"/>
      <c r="F5278" s="72"/>
      <c r="G5278" s="74"/>
      <c r="I5278" s="115">
        <f>IF(C5278=0,0,VLOOKUP(C5278,Tabla3[],3,FALSE))</f>
        <v>0</v>
      </c>
      <c r="K5278" s="84">
        <f>+F5278*I5278</f>
        <v>0</v>
      </c>
      <c r="L5278" s="116">
        <f>E5278*I5278</f>
        <v>0</v>
      </c>
    </row>
    <row r="5279" spans="2:16" ht="17.25" thickBot="1" x14ac:dyDescent="0.35"/>
    <row r="5280" spans="2:16" ht="17.25" thickBot="1" x14ac:dyDescent="0.35">
      <c r="F5280" s="402" t="s">
        <v>12</v>
      </c>
      <c r="G5280" s="403"/>
      <c r="H5280" s="403"/>
      <c r="I5280" s="404"/>
      <c r="K5280" s="224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413" t="s">
        <v>14</v>
      </c>
      <c r="D5282" s="413"/>
      <c r="E5282" s="413"/>
      <c r="F5282" s="413"/>
      <c r="G5282" s="414"/>
    </row>
    <row r="5283" spans="2:12" x14ac:dyDescent="0.3">
      <c r="B5283" s="112" t="s">
        <v>6</v>
      </c>
      <c r="C5283" s="415" t="s">
        <v>1</v>
      </c>
      <c r="D5283" s="416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409" t="s">
        <v>468</v>
      </c>
      <c r="D5284" s="409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409"/>
      <c r="D5285" s="409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417"/>
      <c r="D5286" s="418"/>
      <c r="E5286" s="122"/>
      <c r="F5286" s="123"/>
      <c r="G5286" s="74"/>
      <c r="I5286" s="115">
        <f>IF(C5286=0,0,VLOOKUP(C5286,Tabla2[],3,FALSE))</f>
        <v>0</v>
      </c>
      <c r="K5286" s="84">
        <f>+F5286*I5286</f>
        <v>0</v>
      </c>
      <c r="L5286" s="116">
        <f>E5286*I5286</f>
        <v>0</v>
      </c>
    </row>
    <row r="5287" spans="2:12" ht="17.25" thickBot="1" x14ac:dyDescent="0.35">
      <c r="B5287" s="419" t="s">
        <v>15</v>
      </c>
      <c r="C5287" s="420"/>
      <c r="D5287" s="420"/>
      <c r="E5287" s="420"/>
      <c r="F5287" s="420"/>
      <c r="G5287" s="421"/>
      <c r="I5287" s="84">
        <v>0</v>
      </c>
      <c r="K5287" s="84">
        <v>0</v>
      </c>
      <c r="L5287" s="116">
        <f>E5287*I5287</f>
        <v>0</v>
      </c>
    </row>
    <row r="5288" spans="2:12" ht="17.25" thickBot="1" x14ac:dyDescent="0.35"/>
    <row r="5289" spans="2:12" ht="17.25" thickBot="1" x14ac:dyDescent="0.35">
      <c r="F5289" s="402" t="s">
        <v>16</v>
      </c>
      <c r="G5289" s="403"/>
      <c r="H5289" s="403"/>
      <c r="I5289" s="404"/>
      <c r="K5289" s="224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413" t="s">
        <v>18</v>
      </c>
      <c r="D5291" s="413"/>
      <c r="E5291" s="413"/>
      <c r="F5291" s="413"/>
      <c r="G5291" s="414"/>
    </row>
    <row r="5292" spans="2:12" x14ac:dyDescent="0.3">
      <c r="B5292" s="112" t="s">
        <v>6</v>
      </c>
      <c r="C5292" s="415" t="s">
        <v>1</v>
      </c>
      <c r="D5292" s="416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411"/>
      <c r="D5293" s="412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411"/>
      <c r="D5294" s="412"/>
      <c r="E5294" s="125"/>
      <c r="F5294" s="72"/>
      <c r="G5294" s="74"/>
      <c r="I5294" s="84">
        <v>0</v>
      </c>
      <c r="K5294" s="84">
        <f>+F5294*I5294</f>
        <v>0</v>
      </c>
      <c r="L5294" s="116">
        <f>E5294*I5294</f>
        <v>0</v>
      </c>
    </row>
    <row r="5295" spans="2:12" x14ac:dyDescent="0.3">
      <c r="B5295" s="74"/>
      <c r="C5295" s="411"/>
      <c r="D5295" s="412"/>
      <c r="E5295" s="125"/>
      <c r="F5295" s="72"/>
      <c r="G5295" s="74"/>
      <c r="I5295" s="84">
        <v>0</v>
      </c>
      <c r="K5295" s="84">
        <f>+F5295*I5295</f>
        <v>0</v>
      </c>
      <c r="L5295" s="116">
        <f>E5295*I5295</f>
        <v>0</v>
      </c>
    </row>
    <row r="5296" spans="2:12" ht="17.25" thickBot="1" x14ac:dyDescent="0.35">
      <c r="L5296" s="116"/>
    </row>
    <row r="5297" spans="1:16" ht="17.25" thickBot="1" x14ac:dyDescent="0.35">
      <c r="F5297" s="402" t="s">
        <v>19</v>
      </c>
      <c r="G5297" s="403"/>
      <c r="H5297" s="403"/>
      <c r="I5297" s="404"/>
      <c r="K5297" s="224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127"/>
      <c r="H5298" s="128"/>
      <c r="I5298" s="106"/>
      <c r="K5298" s="225"/>
    </row>
    <row r="5299" spans="1:16" ht="15" customHeight="1" thickBot="1" x14ac:dyDescent="0.35"/>
    <row r="5300" spans="1:16" ht="17.25" thickBot="1" x14ac:dyDescent="0.35">
      <c r="F5300" s="402" t="s">
        <v>20</v>
      </c>
      <c r="G5300" s="403"/>
      <c r="H5300" s="403"/>
      <c r="I5300" s="404"/>
      <c r="K5300" s="224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402" t="s">
        <v>21</v>
      </c>
      <c r="G5302" s="403"/>
      <c r="H5302" s="403"/>
      <c r="I5302" s="404"/>
      <c r="K5302" s="224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402" t="s">
        <v>22</v>
      </c>
      <c r="G5304" s="403"/>
      <c r="H5304" s="403"/>
      <c r="I5304" s="404"/>
      <c r="K5304" s="224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127"/>
      <c r="H5305" s="128"/>
      <c r="I5305" s="106"/>
      <c r="K5305" s="226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127"/>
      <c r="H5306" s="128"/>
      <c r="I5306" s="106"/>
      <c r="K5306" s="227"/>
      <c r="L5306" s="129"/>
      <c r="M5306" s="132"/>
      <c r="N5306" s="133"/>
    </row>
    <row r="5307" spans="1:16" ht="17.25" thickBot="1" x14ac:dyDescent="0.35">
      <c r="B5307" s="405"/>
      <c r="C5307" s="405"/>
      <c r="D5307" s="405"/>
    </row>
    <row r="5308" spans="1:16" x14ac:dyDescent="0.3">
      <c r="B5308" s="406" t="s">
        <v>23</v>
      </c>
      <c r="C5308" s="406"/>
      <c r="D5308" s="406"/>
    </row>
    <row r="5309" spans="1:16" x14ac:dyDescent="0.3">
      <c r="B5309" s="155"/>
      <c r="C5309" s="155"/>
      <c r="D5309" s="155"/>
    </row>
    <row r="5310" spans="1:16" x14ac:dyDescent="0.3">
      <c r="B5310" s="155"/>
      <c r="C5310" s="155"/>
      <c r="D5310" s="155"/>
    </row>
    <row r="5311" spans="1:16" x14ac:dyDescent="0.3">
      <c r="B5311" s="103" t="s">
        <v>43</v>
      </c>
      <c r="C5311" s="104"/>
      <c r="D5311" s="422" t="s">
        <v>1</v>
      </c>
      <c r="E5311" s="422"/>
      <c r="F5311" s="422"/>
      <c r="G5311" s="422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09">
        <f>CATALOGO!B153</f>
        <v>701.02</v>
      </c>
      <c r="C5312" s="71"/>
      <c r="D5312" s="436" t="str">
        <f>CATALOGO!C153</f>
        <v>PUERTA METAL + CHAPA (1 hoja)</v>
      </c>
      <c r="E5312" s="436"/>
      <c r="F5312" s="436"/>
      <c r="G5312" s="436"/>
      <c r="H5312" s="71"/>
      <c r="I5312" s="209">
        <f>CATALOGO!D153</f>
        <v>3</v>
      </c>
      <c r="J5312" s="107"/>
      <c r="K5312" s="222" t="str">
        <f>CATALOGO!G153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413" t="s">
        <v>5</v>
      </c>
      <c r="D5314" s="413"/>
      <c r="E5314" s="413"/>
      <c r="F5314" s="413"/>
      <c r="G5314" s="414"/>
    </row>
    <row r="5315" spans="2:16" x14ac:dyDescent="0.25">
      <c r="B5315" s="109" t="s">
        <v>6</v>
      </c>
      <c r="C5315" s="424" t="s">
        <v>1</v>
      </c>
      <c r="D5315" s="425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3" t="s">
        <v>8</v>
      </c>
      <c r="L5315" s="113" t="s">
        <v>193</v>
      </c>
      <c r="O5315" s="438"/>
      <c r="P5315" s="438"/>
    </row>
    <row r="5316" spans="2:16" ht="17.25" customHeight="1" x14ac:dyDescent="0.25">
      <c r="B5316" s="120"/>
      <c r="C5316" s="428"/>
      <c r="D5316" s="429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142">E5316*I5316</f>
        <v>0</v>
      </c>
      <c r="O5316" s="44"/>
      <c r="P5316" s="45"/>
    </row>
    <row r="5317" spans="2:16" x14ac:dyDescent="0.3">
      <c r="B5317" s="120"/>
      <c r="C5317" s="428"/>
      <c r="D5317" s="429"/>
      <c r="E5317" s="114"/>
      <c r="F5317" s="83"/>
      <c r="G5317" s="74"/>
      <c r="I5317" s="115">
        <f>IF(C5317=0,0,VLOOKUP(C5317,Tabla1[],3,FALSE))</f>
        <v>0</v>
      </c>
      <c r="K5317" s="84">
        <f t="shared" ref="K5317:K5325" si="143">+F5317*I5317</f>
        <v>0</v>
      </c>
      <c r="L5317" s="116">
        <f t="shared" si="142"/>
        <v>0</v>
      </c>
      <c r="P5317" s="45"/>
    </row>
    <row r="5318" spans="2:16" x14ac:dyDescent="0.3">
      <c r="B5318" s="120"/>
      <c r="C5318" s="428"/>
      <c r="D5318" s="429"/>
      <c r="E5318" s="114"/>
      <c r="F5318" s="83"/>
      <c r="G5318" s="74"/>
      <c r="I5318" s="115">
        <f>IF(C5318=0,0,VLOOKUP(C5318,Tabla1[],3,FALSE))</f>
        <v>0</v>
      </c>
      <c r="K5318" s="84">
        <f t="shared" si="143"/>
        <v>0</v>
      </c>
      <c r="L5318" s="116">
        <f t="shared" si="142"/>
        <v>0</v>
      </c>
      <c r="O5318" s="48"/>
      <c r="P5318" s="49"/>
    </row>
    <row r="5319" spans="2:16" x14ac:dyDescent="0.3">
      <c r="B5319" s="120"/>
      <c r="C5319" s="428"/>
      <c r="D5319" s="429"/>
      <c r="E5319" s="114"/>
      <c r="F5319" s="83"/>
      <c r="G5319" s="74"/>
      <c r="I5319" s="115">
        <f>IF(C5319=0,0,VLOOKUP(C5319,Tabla1[],3,FALSE))</f>
        <v>0</v>
      </c>
      <c r="K5319" s="84">
        <f t="shared" si="143"/>
        <v>0</v>
      </c>
      <c r="L5319" s="116">
        <f t="shared" si="142"/>
        <v>0</v>
      </c>
      <c r="O5319" s="48"/>
      <c r="P5319" s="49"/>
    </row>
    <row r="5320" spans="2:16" x14ac:dyDescent="0.3">
      <c r="B5320" s="120"/>
      <c r="C5320" s="428"/>
      <c r="D5320" s="429"/>
      <c r="E5320" s="114"/>
      <c r="F5320" s="83"/>
      <c r="G5320" s="74"/>
      <c r="I5320" s="115">
        <f>IF(C5320=0,0,VLOOKUP(C5320,Tabla1[],3,FALSE))</f>
        <v>0</v>
      </c>
      <c r="K5320" s="84">
        <f t="shared" si="143"/>
        <v>0</v>
      </c>
      <c r="L5320" s="116">
        <f t="shared" si="142"/>
        <v>0</v>
      </c>
      <c r="O5320" s="48"/>
      <c r="P5320" s="49"/>
    </row>
    <row r="5321" spans="2:16" x14ac:dyDescent="0.3">
      <c r="B5321" s="120"/>
      <c r="C5321" s="429"/>
      <c r="D5321" s="409"/>
      <c r="E5321" s="114"/>
      <c r="F5321" s="83"/>
      <c r="G5321" s="74"/>
      <c r="I5321" s="115">
        <f>IF(C5321=0,0,VLOOKUP(C5321,Tabla1[],3,FALSE))</f>
        <v>0</v>
      </c>
      <c r="K5321" s="84">
        <f t="shared" si="143"/>
        <v>0</v>
      </c>
      <c r="L5321" s="116">
        <f t="shared" si="142"/>
        <v>0</v>
      </c>
      <c r="O5321" s="48"/>
      <c r="P5321" s="49"/>
    </row>
    <row r="5322" spans="2:16" x14ac:dyDescent="0.3">
      <c r="B5322" s="120"/>
      <c r="C5322" s="429"/>
      <c r="D5322" s="409"/>
      <c r="E5322" s="114"/>
      <c r="F5322" s="83"/>
      <c r="G5322" s="74"/>
      <c r="I5322" s="115">
        <f>IF(C5322=0,0,VLOOKUP(C5322,Tabla1[],3,FALSE))</f>
        <v>0</v>
      </c>
      <c r="K5322" s="84">
        <f t="shared" si="143"/>
        <v>0</v>
      </c>
      <c r="L5322" s="116">
        <f t="shared" si="142"/>
        <v>0</v>
      </c>
      <c r="O5322" s="48"/>
      <c r="P5322" s="49"/>
    </row>
    <row r="5323" spans="2:16" x14ac:dyDescent="0.3">
      <c r="B5323" s="120"/>
      <c r="C5323" s="428"/>
      <c r="D5323" s="429"/>
      <c r="E5323" s="114"/>
      <c r="F5323" s="83"/>
      <c r="G5323" s="74"/>
      <c r="I5323" s="115">
        <f>IF(C5323=0,0,VLOOKUP(C5323,Tabla1[],3,FALSE))</f>
        <v>0</v>
      </c>
      <c r="K5323" s="84">
        <f t="shared" si="143"/>
        <v>0</v>
      </c>
      <c r="L5323" s="116">
        <f t="shared" si="142"/>
        <v>0</v>
      </c>
      <c r="O5323" s="48"/>
      <c r="P5323" s="49"/>
    </row>
    <row r="5324" spans="2:16" x14ac:dyDescent="0.3">
      <c r="B5324" s="120"/>
      <c r="C5324" s="428"/>
      <c r="D5324" s="429"/>
      <c r="E5324" s="114"/>
      <c r="F5324" s="83"/>
      <c r="G5324" s="74"/>
      <c r="I5324" s="115">
        <f>IF(C5324=0,0,VLOOKUP(C5324,Tabla1[],3,FALSE))</f>
        <v>0</v>
      </c>
      <c r="K5324" s="84">
        <f t="shared" si="143"/>
        <v>0</v>
      </c>
      <c r="L5324" s="116">
        <f t="shared" si="142"/>
        <v>0</v>
      </c>
      <c r="O5324" s="48"/>
      <c r="P5324" s="49"/>
    </row>
    <row r="5325" spans="2:16" x14ac:dyDescent="0.3">
      <c r="B5325" s="120"/>
      <c r="C5325" s="430"/>
      <c r="D5325" s="429"/>
      <c r="E5325" s="114"/>
      <c r="F5325" s="83"/>
      <c r="G5325" s="74"/>
      <c r="I5325" s="115">
        <f>IF(C5325=0,0,VLOOKUP(C5325,Tabla1[],3,FALSE))</f>
        <v>0</v>
      </c>
      <c r="K5325" s="84">
        <f t="shared" si="143"/>
        <v>0</v>
      </c>
      <c r="L5325" s="116">
        <f t="shared" si="142"/>
        <v>0</v>
      </c>
      <c r="O5325" s="48"/>
      <c r="P5325" s="43"/>
    </row>
    <row r="5326" spans="2:16" ht="17.25" thickBot="1" x14ac:dyDescent="0.35"/>
    <row r="5327" spans="2:16" ht="17.25" thickBot="1" x14ac:dyDescent="0.3">
      <c r="F5327" s="402" t="s">
        <v>9</v>
      </c>
      <c r="G5327" s="403"/>
      <c r="H5327" s="403"/>
      <c r="I5327" s="404"/>
      <c r="K5327" s="224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413" t="s">
        <v>11</v>
      </c>
      <c r="D5329" s="413"/>
      <c r="E5329" s="413"/>
      <c r="F5329" s="413"/>
      <c r="G5329" s="414"/>
    </row>
    <row r="5330" spans="2:12" x14ac:dyDescent="0.3">
      <c r="B5330" s="112" t="s">
        <v>6</v>
      </c>
      <c r="C5330" s="415" t="s">
        <v>1</v>
      </c>
      <c r="D5330" s="416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409"/>
      <c r="D5331" s="409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431"/>
      <c r="D5332" s="432"/>
      <c r="E5332" s="119"/>
      <c r="F5332" s="72"/>
      <c r="G5332" s="74"/>
      <c r="I5332" s="115">
        <f>IF(C5332=0,0,VLOOKUP(C5332,Tabla3[],3,FALSE))</f>
        <v>0</v>
      </c>
      <c r="K5332" s="84">
        <f>+F5332*I5332</f>
        <v>0</v>
      </c>
      <c r="L5332" s="116">
        <f>E5332*I5332</f>
        <v>0</v>
      </c>
    </row>
    <row r="5333" spans="2:12" x14ac:dyDescent="0.3">
      <c r="B5333" s="74"/>
      <c r="C5333" s="431"/>
      <c r="D5333" s="432"/>
      <c r="E5333" s="119"/>
      <c r="F5333" s="72"/>
      <c r="G5333" s="74"/>
      <c r="I5333" s="115">
        <f>IF(C5333=0,0,VLOOKUP(C5333,Tabla3[],3,FALSE))</f>
        <v>0</v>
      </c>
      <c r="K5333" s="84">
        <f>+F5333*I5333</f>
        <v>0</v>
      </c>
      <c r="L5333" s="116">
        <f>E5333*I5333</f>
        <v>0</v>
      </c>
    </row>
    <row r="5334" spans="2:12" x14ac:dyDescent="0.3">
      <c r="B5334" s="74"/>
      <c r="C5334" s="411"/>
      <c r="D5334" s="412"/>
      <c r="E5334" s="119"/>
      <c r="F5334" s="72"/>
      <c r="G5334" s="74"/>
      <c r="I5334" s="115">
        <f>IF(C5334=0,0,VLOOKUP(C5334,Tabla3[],3,FALSE))</f>
        <v>0</v>
      </c>
      <c r="K5334" s="84">
        <f>+F5334*I5334</f>
        <v>0</v>
      </c>
      <c r="L5334" s="116">
        <f>E5334*I5334</f>
        <v>0</v>
      </c>
    </row>
    <row r="5335" spans="2:12" ht="17.25" thickBot="1" x14ac:dyDescent="0.35"/>
    <row r="5336" spans="2:12" ht="17.25" thickBot="1" x14ac:dyDescent="0.35">
      <c r="F5336" s="402" t="s">
        <v>12</v>
      </c>
      <c r="G5336" s="403"/>
      <c r="H5336" s="403"/>
      <c r="I5336" s="404"/>
      <c r="K5336" s="224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413" t="s">
        <v>14</v>
      </c>
      <c r="D5338" s="413"/>
      <c r="E5338" s="413"/>
      <c r="F5338" s="413"/>
      <c r="G5338" s="414"/>
    </row>
    <row r="5339" spans="2:12" x14ac:dyDescent="0.3">
      <c r="B5339" s="112" t="s">
        <v>6</v>
      </c>
      <c r="C5339" s="415" t="s">
        <v>1</v>
      </c>
      <c r="D5339" s="416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434" t="s">
        <v>223</v>
      </c>
      <c r="D5340" s="434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409"/>
      <c r="D5341" s="409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417"/>
      <c r="D5342" s="418"/>
      <c r="E5342" s="122"/>
      <c r="F5342" s="123"/>
      <c r="G5342" s="74"/>
      <c r="I5342" s="115">
        <f>IF(C5342=0,0,VLOOKUP(C5342,Tabla2[],3,FALSE))</f>
        <v>0</v>
      </c>
      <c r="K5342" s="84">
        <f>+F5342*I5342</f>
        <v>0</v>
      </c>
      <c r="L5342" s="116">
        <f>E5342*I5342</f>
        <v>0</v>
      </c>
    </row>
    <row r="5343" spans="2:12" ht="17.25" thickBot="1" x14ac:dyDescent="0.35">
      <c r="B5343" s="419" t="s">
        <v>15</v>
      </c>
      <c r="C5343" s="420"/>
      <c r="D5343" s="420"/>
      <c r="E5343" s="420"/>
      <c r="F5343" s="420"/>
      <c r="G5343" s="421"/>
      <c r="I5343" s="84">
        <v>0</v>
      </c>
      <c r="K5343" s="84">
        <v>0</v>
      </c>
      <c r="L5343" s="116">
        <f>E5343*I5343</f>
        <v>0</v>
      </c>
    </row>
    <row r="5344" spans="2:12" ht="17.25" thickBot="1" x14ac:dyDescent="0.35"/>
    <row r="5345" spans="2:16" ht="17.25" thickBot="1" x14ac:dyDescent="0.35">
      <c r="F5345" s="402" t="s">
        <v>16</v>
      </c>
      <c r="G5345" s="403"/>
      <c r="H5345" s="403"/>
      <c r="I5345" s="404"/>
      <c r="K5345" s="224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413" t="s">
        <v>18</v>
      </c>
      <c r="D5347" s="413"/>
      <c r="E5347" s="413"/>
      <c r="F5347" s="413"/>
      <c r="G5347" s="414"/>
    </row>
    <row r="5348" spans="2:16" x14ac:dyDescent="0.3">
      <c r="B5348" s="112" t="s">
        <v>6</v>
      </c>
      <c r="C5348" s="415" t="s">
        <v>1</v>
      </c>
      <c r="D5348" s="416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411"/>
      <c r="D5349" s="412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411"/>
      <c r="D5350" s="412"/>
      <c r="E5350" s="125"/>
      <c r="F5350" s="72"/>
      <c r="G5350" s="74"/>
      <c r="I5350" s="84">
        <v>0</v>
      </c>
      <c r="K5350" s="84">
        <f>+F5350*I5350</f>
        <v>0</v>
      </c>
      <c r="L5350" s="116">
        <f>E5350*I5350</f>
        <v>0</v>
      </c>
    </row>
    <row r="5351" spans="2:16" x14ac:dyDescent="0.3">
      <c r="B5351" s="74"/>
      <c r="C5351" s="411"/>
      <c r="D5351" s="412"/>
      <c r="E5351" s="125"/>
      <c r="F5351" s="72"/>
      <c r="G5351" s="74"/>
      <c r="I5351" s="84">
        <v>0</v>
      </c>
      <c r="K5351" s="84">
        <f>+F5351*I5351</f>
        <v>0</v>
      </c>
      <c r="L5351" s="116">
        <f>E5351*I5351</f>
        <v>0</v>
      </c>
    </row>
    <row r="5352" spans="2:16" ht="17.25" thickBot="1" x14ac:dyDescent="0.35">
      <c r="L5352" s="116"/>
    </row>
    <row r="5353" spans="2:16" ht="17.25" thickBot="1" x14ac:dyDescent="0.35">
      <c r="F5353" s="402" t="s">
        <v>19</v>
      </c>
      <c r="G5353" s="403"/>
      <c r="H5353" s="403"/>
      <c r="I5353" s="404"/>
      <c r="K5353" s="224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127"/>
      <c r="H5354" s="128"/>
      <c r="I5354" s="106"/>
      <c r="K5354" s="225"/>
    </row>
    <row r="5355" spans="2:16" ht="15" customHeight="1" thickBot="1" x14ac:dyDescent="0.35"/>
    <row r="5356" spans="2:16" ht="17.25" thickBot="1" x14ac:dyDescent="0.35">
      <c r="F5356" s="402" t="s">
        <v>20</v>
      </c>
      <c r="G5356" s="403"/>
      <c r="H5356" s="403"/>
      <c r="I5356" s="404"/>
      <c r="K5356" s="224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402" t="s">
        <v>21</v>
      </c>
      <c r="G5358" s="403"/>
      <c r="H5358" s="403"/>
      <c r="I5358" s="404"/>
      <c r="K5358" s="224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402" t="s">
        <v>22</v>
      </c>
      <c r="G5360" s="403"/>
      <c r="H5360" s="403"/>
      <c r="I5360" s="404"/>
      <c r="K5360" s="224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127"/>
      <c r="H5361" s="128"/>
      <c r="I5361" s="106"/>
      <c r="K5361" s="226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127"/>
      <c r="H5362" s="128"/>
      <c r="I5362" s="106"/>
      <c r="K5362" s="227"/>
      <c r="L5362" s="129"/>
      <c r="M5362" s="132"/>
      <c r="N5362" s="133"/>
    </row>
    <row r="5363" spans="1:16" ht="17.25" thickBot="1" x14ac:dyDescent="0.35">
      <c r="B5363" s="405"/>
      <c r="C5363" s="405"/>
      <c r="D5363" s="405"/>
    </row>
    <row r="5364" spans="1:16" x14ac:dyDescent="0.3">
      <c r="B5364" s="406" t="s">
        <v>23</v>
      </c>
      <c r="C5364" s="406"/>
      <c r="D5364" s="406"/>
    </row>
    <row r="5365" spans="1:16" x14ac:dyDescent="0.3">
      <c r="B5365" s="155"/>
      <c r="C5365" s="155"/>
      <c r="D5365" s="155"/>
    </row>
    <row r="5366" spans="1:16" x14ac:dyDescent="0.3">
      <c r="B5366" s="155"/>
      <c r="C5366" s="155"/>
      <c r="D5366" s="155"/>
    </row>
    <row r="5367" spans="1:16" x14ac:dyDescent="0.3">
      <c r="B5367" s="103" t="s">
        <v>43</v>
      </c>
      <c r="C5367" s="104"/>
      <c r="D5367" s="422" t="s">
        <v>1</v>
      </c>
      <c r="E5367" s="422"/>
      <c r="F5367" s="422"/>
      <c r="G5367" s="422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09">
        <f>CATALOGO!B155</f>
        <v>1001.01</v>
      </c>
      <c r="C5368" s="71"/>
      <c r="D5368" s="437" t="str">
        <f>CATALOGO!C155</f>
        <v>INODORO</v>
      </c>
      <c r="E5368" s="437"/>
      <c r="F5368" s="437"/>
      <c r="G5368" s="437"/>
      <c r="H5368" s="71"/>
      <c r="I5368" s="209">
        <f>CATALOGO!D155</f>
        <v>3</v>
      </c>
      <c r="J5368" s="107"/>
      <c r="K5368" s="222" t="str">
        <f>CATALOGO!G155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413" t="s">
        <v>5</v>
      </c>
      <c r="D5370" s="413"/>
      <c r="E5370" s="413"/>
      <c r="F5370" s="413"/>
      <c r="G5370" s="414"/>
    </row>
    <row r="5371" spans="1:16" x14ac:dyDescent="0.25">
      <c r="B5371" s="109" t="s">
        <v>6</v>
      </c>
      <c r="C5371" s="424" t="s">
        <v>1</v>
      </c>
      <c r="D5371" s="425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3" t="s">
        <v>8</v>
      </c>
      <c r="L5371" s="113" t="s">
        <v>193</v>
      </c>
      <c r="O5371" s="438"/>
      <c r="P5371" s="438"/>
    </row>
    <row r="5372" spans="1:16" ht="17.25" customHeight="1" x14ac:dyDescent="0.25">
      <c r="B5372" s="120">
        <v>1</v>
      </c>
      <c r="C5372" s="407" t="s">
        <v>316</v>
      </c>
      <c r="D5372" s="408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144">E5372*I5372</f>
        <v>3795</v>
      </c>
      <c r="O5372" s="44"/>
      <c r="P5372" s="45"/>
    </row>
    <row r="5373" spans="1:16" ht="16.5" customHeight="1" x14ac:dyDescent="0.3">
      <c r="B5373" s="120">
        <v>2</v>
      </c>
      <c r="C5373" s="407" t="s">
        <v>114</v>
      </c>
      <c r="D5373" s="408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145">+F5373*I5373</f>
        <v>150</v>
      </c>
      <c r="L5373" s="116">
        <f t="shared" si="144"/>
        <v>450</v>
      </c>
      <c r="P5373" s="45"/>
    </row>
    <row r="5374" spans="1:16" x14ac:dyDescent="0.3">
      <c r="B5374" s="120"/>
      <c r="C5374" s="428"/>
      <c r="D5374" s="429"/>
      <c r="E5374" s="114"/>
      <c r="F5374" s="83"/>
      <c r="G5374" s="74"/>
      <c r="I5374" s="115">
        <f>IF(C5374=0,0,VLOOKUP(C5374,Tabla1[],3,FALSE))</f>
        <v>0</v>
      </c>
      <c r="K5374" s="84">
        <f t="shared" si="145"/>
        <v>0</v>
      </c>
      <c r="L5374" s="116">
        <f t="shared" si="144"/>
        <v>0</v>
      </c>
      <c r="O5374" s="48"/>
      <c r="P5374" s="49"/>
    </row>
    <row r="5375" spans="1:16" x14ac:dyDescent="0.3">
      <c r="B5375" s="120"/>
      <c r="C5375" s="430"/>
      <c r="D5375" s="429"/>
      <c r="E5375" s="114"/>
      <c r="F5375" s="83"/>
      <c r="G5375" s="74"/>
      <c r="I5375" s="115">
        <f>IF(C5375=0,0,VLOOKUP(C5375,Tabla1[],3,FALSE))</f>
        <v>0</v>
      </c>
      <c r="K5375" s="84">
        <f t="shared" si="145"/>
        <v>0</v>
      </c>
      <c r="L5375" s="116">
        <f t="shared" si="144"/>
        <v>0</v>
      </c>
      <c r="O5375" s="48"/>
      <c r="P5375" s="49"/>
    </row>
    <row r="5376" spans="1:16" x14ac:dyDescent="0.3">
      <c r="B5376" s="120"/>
      <c r="C5376" s="430"/>
      <c r="D5376" s="429"/>
      <c r="E5376" s="114"/>
      <c r="F5376" s="83"/>
      <c r="G5376" s="74"/>
      <c r="I5376" s="115">
        <f>IF(C5376=0,0,VLOOKUP(C5376,Tabla1[],3,FALSE))</f>
        <v>0</v>
      </c>
      <c r="K5376" s="84">
        <f t="shared" si="145"/>
        <v>0</v>
      </c>
      <c r="L5376" s="116">
        <f t="shared" si="144"/>
        <v>0</v>
      </c>
      <c r="O5376" s="48"/>
      <c r="P5376" s="49"/>
    </row>
    <row r="5377" spans="2:16" x14ac:dyDescent="0.3">
      <c r="B5377" s="120"/>
      <c r="C5377" s="430"/>
      <c r="D5377" s="429"/>
      <c r="E5377" s="114"/>
      <c r="F5377" s="83"/>
      <c r="G5377" s="74"/>
      <c r="I5377" s="115">
        <f>IF(C5377=0,0,VLOOKUP(C5377,Tabla1[],3,FALSE))</f>
        <v>0</v>
      </c>
      <c r="K5377" s="84">
        <f t="shared" si="145"/>
        <v>0</v>
      </c>
      <c r="L5377" s="116">
        <f t="shared" si="144"/>
        <v>0</v>
      </c>
      <c r="O5377" s="48"/>
      <c r="P5377" s="49"/>
    </row>
    <row r="5378" spans="2:16" x14ac:dyDescent="0.3">
      <c r="B5378" s="120"/>
      <c r="C5378" s="430"/>
      <c r="D5378" s="429"/>
      <c r="E5378" s="114"/>
      <c r="F5378" s="83"/>
      <c r="G5378" s="74"/>
      <c r="I5378" s="115">
        <f>IF(C5378=0,0,VLOOKUP(C5378,Tabla1[],3,FALSE))</f>
        <v>0</v>
      </c>
      <c r="K5378" s="84">
        <f t="shared" si="145"/>
        <v>0</v>
      </c>
      <c r="L5378" s="116">
        <f t="shared" si="144"/>
        <v>0</v>
      </c>
      <c r="O5378" s="48"/>
      <c r="P5378" s="49"/>
    </row>
    <row r="5379" spans="2:16" x14ac:dyDescent="0.3">
      <c r="B5379" s="120"/>
      <c r="C5379" s="428"/>
      <c r="D5379" s="429"/>
      <c r="E5379" s="114"/>
      <c r="F5379" s="83"/>
      <c r="G5379" s="74"/>
      <c r="I5379" s="115">
        <f>IF(C5379=0,0,VLOOKUP(C5379,Tabla1[],3,FALSE))</f>
        <v>0</v>
      </c>
      <c r="K5379" s="84">
        <f t="shared" si="145"/>
        <v>0</v>
      </c>
      <c r="L5379" s="116">
        <f t="shared" si="144"/>
        <v>0</v>
      </c>
      <c r="O5379" s="48"/>
      <c r="P5379" s="49"/>
    </row>
    <row r="5380" spans="2:16" x14ac:dyDescent="0.3">
      <c r="B5380" s="120"/>
      <c r="C5380" s="431"/>
      <c r="D5380" s="432"/>
      <c r="E5380" s="114"/>
      <c r="F5380" s="83"/>
      <c r="G5380" s="74"/>
      <c r="I5380" s="115">
        <f>IF(C5380=0,0,VLOOKUP(C5380,Tabla1[],3,FALSE))</f>
        <v>0</v>
      </c>
      <c r="K5380" s="84">
        <f t="shared" si="145"/>
        <v>0</v>
      </c>
      <c r="L5380" s="116">
        <f t="shared" si="144"/>
        <v>0</v>
      </c>
      <c r="O5380" s="48"/>
      <c r="P5380" s="49"/>
    </row>
    <row r="5381" spans="2:16" x14ac:dyDescent="0.3">
      <c r="B5381" s="120"/>
      <c r="C5381" s="430"/>
      <c r="D5381" s="429"/>
      <c r="E5381" s="114"/>
      <c r="F5381" s="83"/>
      <c r="G5381" s="74"/>
      <c r="I5381" s="115">
        <f>IF(C5381=0,0,VLOOKUP(C5381,Tabla1[],3,FALSE))</f>
        <v>0</v>
      </c>
      <c r="K5381" s="84">
        <f t="shared" si="145"/>
        <v>0</v>
      </c>
      <c r="L5381" s="116">
        <f t="shared" si="144"/>
        <v>0</v>
      </c>
      <c r="O5381" s="48"/>
      <c r="P5381" s="49"/>
    </row>
    <row r="5382" spans="2:16" ht="17.25" thickBot="1" x14ac:dyDescent="0.35"/>
    <row r="5383" spans="2:16" ht="17.25" thickBot="1" x14ac:dyDescent="0.3">
      <c r="F5383" s="402" t="s">
        <v>9</v>
      </c>
      <c r="G5383" s="403"/>
      <c r="H5383" s="403"/>
      <c r="I5383" s="404"/>
      <c r="K5383" s="224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413" t="s">
        <v>11</v>
      </c>
      <c r="D5385" s="413"/>
      <c r="E5385" s="413"/>
      <c r="F5385" s="413"/>
      <c r="G5385" s="414"/>
    </row>
    <row r="5386" spans="2:16" x14ac:dyDescent="0.3">
      <c r="B5386" s="112" t="s">
        <v>6</v>
      </c>
      <c r="C5386" s="415" t="s">
        <v>1</v>
      </c>
      <c r="D5386" s="416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409"/>
      <c r="D5387" s="409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431"/>
      <c r="D5388" s="432"/>
      <c r="E5388" s="119"/>
      <c r="F5388" s="72"/>
      <c r="G5388" s="74"/>
      <c r="I5388" s="115">
        <f>IF(C5388=0,0,VLOOKUP(C5388,Tabla3[],3,FALSE))</f>
        <v>0</v>
      </c>
      <c r="K5388" s="84">
        <f>+F5388*I5388</f>
        <v>0</v>
      </c>
      <c r="L5388" s="116">
        <f>E5388*I5388</f>
        <v>0</v>
      </c>
    </row>
    <row r="5389" spans="2:16" x14ac:dyDescent="0.3">
      <c r="B5389" s="74"/>
      <c r="C5389" s="431"/>
      <c r="D5389" s="432"/>
      <c r="E5389" s="119"/>
      <c r="F5389" s="72"/>
      <c r="G5389" s="74"/>
      <c r="I5389" s="115">
        <f>IF(C5389=0,0,VLOOKUP(C5389,Tabla3[],3,FALSE))</f>
        <v>0</v>
      </c>
      <c r="K5389" s="84">
        <f>+F5389*I5389</f>
        <v>0</v>
      </c>
      <c r="L5389" s="116">
        <f>E5389*I5389</f>
        <v>0</v>
      </c>
    </row>
    <row r="5390" spans="2:16" x14ac:dyDescent="0.3">
      <c r="B5390" s="74"/>
      <c r="C5390" s="411"/>
      <c r="D5390" s="412"/>
      <c r="E5390" s="119"/>
      <c r="F5390" s="72"/>
      <c r="G5390" s="74"/>
      <c r="I5390" s="115">
        <f>IF(C5390=0,0,VLOOKUP(C5390,Tabla3[],3,FALSE))</f>
        <v>0</v>
      </c>
      <c r="K5390" s="84">
        <f>+F5390*I5390</f>
        <v>0</v>
      </c>
      <c r="L5390" s="116">
        <f>E5390*I5390</f>
        <v>0</v>
      </c>
    </row>
    <row r="5391" spans="2:16" ht="17.25" thickBot="1" x14ac:dyDescent="0.35"/>
    <row r="5392" spans="2:16" ht="17.25" thickBot="1" x14ac:dyDescent="0.35">
      <c r="F5392" s="402" t="s">
        <v>12</v>
      </c>
      <c r="G5392" s="403"/>
      <c r="H5392" s="403"/>
      <c r="I5392" s="404"/>
      <c r="K5392" s="224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413" t="s">
        <v>14</v>
      </c>
      <c r="D5394" s="413"/>
      <c r="E5394" s="413"/>
      <c r="F5394" s="413"/>
      <c r="G5394" s="414"/>
    </row>
    <row r="5395" spans="2:12" x14ac:dyDescent="0.3">
      <c r="B5395" s="112" t="s">
        <v>6</v>
      </c>
      <c r="C5395" s="415" t="s">
        <v>1</v>
      </c>
      <c r="D5395" s="416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409" t="s">
        <v>317</v>
      </c>
      <c r="D5396" s="409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409"/>
      <c r="D5397" s="409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417"/>
      <c r="D5398" s="418"/>
      <c r="E5398" s="122"/>
      <c r="F5398" s="123"/>
      <c r="G5398" s="74"/>
      <c r="I5398" s="115">
        <f>IF(C5398=0,0,VLOOKUP(C5398,Tabla2[],3,FALSE))</f>
        <v>0</v>
      </c>
      <c r="K5398" s="84">
        <f>+F5398*I5398</f>
        <v>0</v>
      </c>
      <c r="L5398" s="116">
        <f>E5398*I5398</f>
        <v>0</v>
      </c>
    </row>
    <row r="5399" spans="2:12" ht="17.25" thickBot="1" x14ac:dyDescent="0.35">
      <c r="B5399" s="419" t="s">
        <v>15</v>
      </c>
      <c r="C5399" s="420"/>
      <c r="D5399" s="420"/>
      <c r="E5399" s="420"/>
      <c r="F5399" s="420"/>
      <c r="G5399" s="421"/>
      <c r="I5399" s="84">
        <v>0</v>
      </c>
      <c r="K5399" s="84">
        <v>0</v>
      </c>
      <c r="L5399" s="116">
        <f>E5399*I5399</f>
        <v>0</v>
      </c>
    </row>
    <row r="5400" spans="2:12" ht="17.25" thickBot="1" x14ac:dyDescent="0.35"/>
    <row r="5401" spans="2:12" ht="17.25" thickBot="1" x14ac:dyDescent="0.35">
      <c r="F5401" s="402" t="s">
        <v>16</v>
      </c>
      <c r="G5401" s="403"/>
      <c r="H5401" s="403"/>
      <c r="I5401" s="404"/>
      <c r="K5401" s="224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413" t="s">
        <v>18</v>
      </c>
      <c r="D5403" s="413"/>
      <c r="E5403" s="413"/>
      <c r="F5403" s="413"/>
      <c r="G5403" s="414"/>
    </row>
    <row r="5404" spans="2:12" x14ac:dyDescent="0.3">
      <c r="B5404" s="112" t="s">
        <v>6</v>
      </c>
      <c r="C5404" s="415" t="s">
        <v>1</v>
      </c>
      <c r="D5404" s="416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411"/>
      <c r="D5405" s="412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411"/>
      <c r="D5406" s="412"/>
      <c r="E5406" s="125"/>
      <c r="F5406" s="72"/>
      <c r="G5406" s="74"/>
      <c r="I5406" s="84">
        <v>0</v>
      </c>
      <c r="K5406" s="84">
        <f>+F5406*I5406</f>
        <v>0</v>
      </c>
      <c r="L5406" s="116">
        <f>E5406*I5406</f>
        <v>0</v>
      </c>
    </row>
    <row r="5407" spans="2:12" x14ac:dyDescent="0.3">
      <c r="B5407" s="74"/>
      <c r="C5407" s="411"/>
      <c r="D5407" s="412"/>
      <c r="E5407" s="125"/>
      <c r="F5407" s="72"/>
      <c r="G5407" s="74"/>
      <c r="I5407" s="84">
        <v>0</v>
      </c>
      <c r="K5407" s="84">
        <f>+F5407*I5407</f>
        <v>0</v>
      </c>
      <c r="L5407" s="116">
        <f>E5407*I5407</f>
        <v>0</v>
      </c>
    </row>
    <row r="5408" spans="2:12" ht="17.25" thickBot="1" x14ac:dyDescent="0.35">
      <c r="L5408" s="116"/>
    </row>
    <row r="5409" spans="1:16" ht="17.25" thickBot="1" x14ac:dyDescent="0.35">
      <c r="F5409" s="402" t="s">
        <v>19</v>
      </c>
      <c r="G5409" s="403"/>
      <c r="H5409" s="403"/>
      <c r="I5409" s="404"/>
      <c r="K5409" s="224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127"/>
      <c r="H5410" s="128"/>
      <c r="I5410" s="106"/>
      <c r="K5410" s="225"/>
    </row>
    <row r="5411" spans="1:16" ht="15" customHeight="1" thickBot="1" x14ac:dyDescent="0.35"/>
    <row r="5412" spans="1:16" ht="17.25" thickBot="1" x14ac:dyDescent="0.35">
      <c r="F5412" s="402" t="s">
        <v>20</v>
      </c>
      <c r="G5412" s="403"/>
      <c r="H5412" s="403"/>
      <c r="I5412" s="404"/>
      <c r="K5412" s="224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402" t="s">
        <v>21</v>
      </c>
      <c r="G5414" s="403"/>
      <c r="H5414" s="403"/>
      <c r="I5414" s="404"/>
      <c r="K5414" s="224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402" t="s">
        <v>22</v>
      </c>
      <c r="G5416" s="403"/>
      <c r="H5416" s="403"/>
      <c r="I5416" s="404"/>
      <c r="K5416" s="224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127"/>
      <c r="H5417" s="128"/>
      <c r="I5417" s="106"/>
      <c r="K5417" s="226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127"/>
      <c r="H5418" s="128"/>
      <c r="I5418" s="106"/>
      <c r="K5418" s="227"/>
      <c r="L5418" s="129"/>
      <c r="M5418" s="132"/>
      <c r="N5418" s="133"/>
    </row>
    <row r="5419" spans="1:16" ht="17.25" thickBot="1" x14ac:dyDescent="0.35">
      <c r="B5419" s="405"/>
      <c r="C5419" s="405"/>
      <c r="D5419" s="405"/>
    </row>
    <row r="5420" spans="1:16" x14ac:dyDescent="0.3">
      <c r="B5420" s="406" t="s">
        <v>23</v>
      </c>
      <c r="C5420" s="406"/>
      <c r="D5420" s="406"/>
    </row>
    <row r="5421" spans="1:16" x14ac:dyDescent="0.3">
      <c r="B5421" s="155"/>
      <c r="C5421" s="155"/>
      <c r="D5421" s="155"/>
    </row>
    <row r="5422" spans="1:16" x14ac:dyDescent="0.3">
      <c r="B5422" s="155"/>
      <c r="C5422" s="155"/>
      <c r="D5422" s="155"/>
    </row>
    <row r="5423" spans="1:16" x14ac:dyDescent="0.3">
      <c r="B5423" s="103" t="s">
        <v>43</v>
      </c>
      <c r="C5423" s="104"/>
      <c r="D5423" s="422" t="s">
        <v>1</v>
      </c>
      <c r="E5423" s="422"/>
      <c r="F5423" s="422"/>
      <c r="G5423" s="422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09">
        <f>CATALOGO!B156</f>
        <v>1002.02</v>
      </c>
      <c r="C5424" s="71"/>
      <c r="D5424" s="437" t="str">
        <f>CATALOGO!C156</f>
        <v>LAVAMANOS EMPOTRADO</v>
      </c>
      <c r="E5424" s="437"/>
      <c r="F5424" s="437"/>
      <c r="G5424" s="437"/>
      <c r="H5424" s="71"/>
      <c r="I5424" s="209">
        <f>CATALOGO!D156</f>
        <v>3</v>
      </c>
      <c r="J5424" s="107"/>
      <c r="K5424" s="222" t="str">
        <f>CATALOGO!G156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413" t="s">
        <v>5</v>
      </c>
      <c r="D5426" s="413"/>
      <c r="E5426" s="413"/>
      <c r="F5426" s="413"/>
      <c r="G5426" s="414"/>
    </row>
    <row r="5427" spans="2:16" x14ac:dyDescent="0.25">
      <c r="B5427" s="109" t="s">
        <v>6</v>
      </c>
      <c r="C5427" s="424" t="s">
        <v>1</v>
      </c>
      <c r="D5427" s="425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3" t="s">
        <v>8</v>
      </c>
      <c r="L5427" s="113" t="s">
        <v>193</v>
      </c>
      <c r="O5427" s="438"/>
      <c r="P5427" s="438"/>
    </row>
    <row r="5428" spans="2:16" ht="17.25" customHeight="1" x14ac:dyDescent="0.25">
      <c r="B5428" s="120">
        <v>1</v>
      </c>
      <c r="C5428" s="407" t="s">
        <v>391</v>
      </c>
      <c r="D5428" s="408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146">E5428*I5428</f>
        <v>2100</v>
      </c>
      <c r="O5428" s="44"/>
      <c r="P5428" s="45"/>
    </row>
    <row r="5429" spans="2:16" ht="16.5" customHeight="1" x14ac:dyDescent="0.3">
      <c r="B5429" s="120">
        <v>2</v>
      </c>
      <c r="C5429" s="430" t="s">
        <v>95</v>
      </c>
      <c r="D5429" s="429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147">+F5429*I5429</f>
        <v>10</v>
      </c>
      <c r="L5429" s="116">
        <f t="shared" si="146"/>
        <v>30</v>
      </c>
      <c r="P5429" s="45"/>
    </row>
    <row r="5430" spans="2:16" x14ac:dyDescent="0.3">
      <c r="B5430" s="120">
        <v>3</v>
      </c>
      <c r="C5430" s="430" t="s">
        <v>589</v>
      </c>
      <c r="D5430" s="429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147"/>
        <v>250</v>
      </c>
      <c r="L5430" s="116">
        <f t="shared" si="146"/>
        <v>750</v>
      </c>
      <c r="O5430" s="48"/>
      <c r="P5430" s="49"/>
    </row>
    <row r="5431" spans="2:16" x14ac:dyDescent="0.3">
      <c r="B5431" s="120"/>
      <c r="C5431" s="430"/>
      <c r="D5431" s="429"/>
      <c r="E5431" s="114"/>
      <c r="F5431" s="83"/>
      <c r="G5431" s="74"/>
      <c r="I5431" s="115">
        <f>IF(C5431=0,0,VLOOKUP(C5431,Tabla1[],3,FALSE))</f>
        <v>0</v>
      </c>
      <c r="K5431" s="84">
        <f t="shared" si="147"/>
        <v>0</v>
      </c>
      <c r="L5431" s="116">
        <f t="shared" si="146"/>
        <v>0</v>
      </c>
      <c r="O5431" s="48"/>
      <c r="P5431" s="49"/>
    </row>
    <row r="5432" spans="2:16" x14ac:dyDescent="0.3">
      <c r="B5432" s="120"/>
      <c r="C5432" s="430"/>
      <c r="D5432" s="429"/>
      <c r="E5432" s="114"/>
      <c r="F5432" s="83"/>
      <c r="G5432" s="74"/>
      <c r="I5432" s="115">
        <f>IF(C5432=0,0,VLOOKUP(C5432,Tabla1[],3,FALSE))</f>
        <v>0</v>
      </c>
      <c r="K5432" s="84">
        <f t="shared" si="147"/>
        <v>0</v>
      </c>
      <c r="L5432" s="116">
        <f t="shared" si="146"/>
        <v>0</v>
      </c>
      <c r="O5432" s="48"/>
      <c r="P5432" s="49"/>
    </row>
    <row r="5433" spans="2:16" x14ac:dyDescent="0.3">
      <c r="B5433" s="120"/>
      <c r="C5433" s="430"/>
      <c r="D5433" s="429"/>
      <c r="E5433" s="114"/>
      <c r="F5433" s="83"/>
      <c r="G5433" s="74"/>
      <c r="I5433" s="115">
        <f>IF(C5433=0,0,VLOOKUP(C5433,Tabla1[],3,FALSE))</f>
        <v>0</v>
      </c>
      <c r="K5433" s="84">
        <f t="shared" si="147"/>
        <v>0</v>
      </c>
      <c r="L5433" s="116">
        <f t="shared" si="146"/>
        <v>0</v>
      </c>
      <c r="O5433" s="48"/>
      <c r="P5433" s="49"/>
    </row>
    <row r="5434" spans="2:16" x14ac:dyDescent="0.3">
      <c r="B5434" s="120"/>
      <c r="C5434" s="430"/>
      <c r="D5434" s="429"/>
      <c r="E5434" s="114"/>
      <c r="F5434" s="83"/>
      <c r="G5434" s="74"/>
      <c r="I5434" s="115">
        <f>IF(C5434=0,0,VLOOKUP(C5434,Tabla1[],3,FALSE))</f>
        <v>0</v>
      </c>
      <c r="K5434" s="84">
        <f t="shared" si="147"/>
        <v>0</v>
      </c>
      <c r="L5434" s="116">
        <f t="shared" si="146"/>
        <v>0</v>
      </c>
      <c r="O5434" s="48"/>
      <c r="P5434" s="49"/>
    </row>
    <row r="5435" spans="2:16" x14ac:dyDescent="0.3">
      <c r="B5435" s="120"/>
      <c r="C5435" s="428"/>
      <c r="D5435" s="429"/>
      <c r="E5435" s="114"/>
      <c r="F5435" s="83"/>
      <c r="G5435" s="74"/>
      <c r="I5435" s="115">
        <f>IF(C5435=0,0,VLOOKUP(C5435,Tabla1[],3,FALSE))</f>
        <v>0</v>
      </c>
      <c r="K5435" s="84">
        <f t="shared" si="147"/>
        <v>0</v>
      </c>
      <c r="L5435" s="116">
        <f t="shared" si="146"/>
        <v>0</v>
      </c>
      <c r="O5435" s="48"/>
      <c r="P5435" s="49"/>
    </row>
    <row r="5436" spans="2:16" x14ac:dyDescent="0.3">
      <c r="B5436" s="120"/>
      <c r="C5436" s="431"/>
      <c r="D5436" s="432"/>
      <c r="E5436" s="114"/>
      <c r="F5436" s="83"/>
      <c r="G5436" s="74"/>
      <c r="I5436" s="115">
        <f>IF(C5436=0,0,VLOOKUP(C5436,Tabla1[],3,FALSE))</f>
        <v>0</v>
      </c>
      <c r="K5436" s="84">
        <f t="shared" si="147"/>
        <v>0</v>
      </c>
      <c r="L5436" s="116">
        <f t="shared" si="146"/>
        <v>0</v>
      </c>
      <c r="O5436" s="48"/>
      <c r="P5436" s="49"/>
    </row>
    <row r="5437" spans="2:16" x14ac:dyDescent="0.3">
      <c r="B5437" s="120"/>
      <c r="C5437" s="430"/>
      <c r="D5437" s="429"/>
      <c r="E5437" s="114"/>
      <c r="F5437" s="83"/>
      <c r="G5437" s="74"/>
      <c r="I5437" s="115">
        <f>IF(C5437=0,0,VLOOKUP(C5437,Tabla1[],3,FALSE))</f>
        <v>0</v>
      </c>
      <c r="K5437" s="84">
        <f t="shared" si="147"/>
        <v>0</v>
      </c>
      <c r="L5437" s="116">
        <f t="shared" si="146"/>
        <v>0</v>
      </c>
      <c r="O5437" s="48"/>
      <c r="P5437" s="49"/>
    </row>
    <row r="5438" spans="2:16" ht="17.25" thickBot="1" x14ac:dyDescent="0.35"/>
    <row r="5439" spans="2:16" ht="17.25" thickBot="1" x14ac:dyDescent="0.3">
      <c r="F5439" s="402" t="s">
        <v>9</v>
      </c>
      <c r="G5439" s="403"/>
      <c r="H5439" s="403"/>
      <c r="I5439" s="404"/>
      <c r="K5439" s="224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413" t="s">
        <v>11</v>
      </c>
      <c r="D5441" s="413"/>
      <c r="E5441" s="413"/>
      <c r="F5441" s="413"/>
      <c r="G5441" s="414"/>
    </row>
    <row r="5442" spans="2:12" x14ac:dyDescent="0.3">
      <c r="B5442" s="112" t="s">
        <v>6</v>
      </c>
      <c r="C5442" s="415" t="s">
        <v>1</v>
      </c>
      <c r="D5442" s="416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409"/>
      <c r="D5443" s="409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431"/>
      <c r="D5444" s="432"/>
      <c r="E5444" s="119"/>
      <c r="F5444" s="72"/>
      <c r="G5444" s="74"/>
      <c r="I5444" s="115">
        <f>IF(C5444=0,0,VLOOKUP(C5444,Tabla3[],3,FALSE))</f>
        <v>0</v>
      </c>
      <c r="K5444" s="84">
        <f>+F5444*I5444</f>
        <v>0</v>
      </c>
      <c r="L5444" s="116">
        <f>E5444*I5444</f>
        <v>0</v>
      </c>
    </row>
    <row r="5445" spans="2:12" x14ac:dyDescent="0.3">
      <c r="B5445" s="74"/>
      <c r="C5445" s="431"/>
      <c r="D5445" s="432"/>
      <c r="E5445" s="119"/>
      <c r="F5445" s="72"/>
      <c r="G5445" s="74"/>
      <c r="I5445" s="115">
        <f>IF(C5445=0,0,VLOOKUP(C5445,Tabla3[],3,FALSE))</f>
        <v>0</v>
      </c>
      <c r="K5445" s="84">
        <f>+F5445*I5445</f>
        <v>0</v>
      </c>
      <c r="L5445" s="116">
        <f>E5445*I5445</f>
        <v>0</v>
      </c>
    </row>
    <row r="5446" spans="2:12" x14ac:dyDescent="0.3">
      <c r="B5446" s="74"/>
      <c r="C5446" s="411"/>
      <c r="D5446" s="412"/>
      <c r="E5446" s="119"/>
      <c r="F5446" s="72"/>
      <c r="G5446" s="74"/>
      <c r="I5446" s="115">
        <f>IF(C5446=0,0,VLOOKUP(C5446,Tabla3[],3,FALSE))</f>
        <v>0</v>
      </c>
      <c r="K5446" s="84">
        <f>+F5446*I5446</f>
        <v>0</v>
      </c>
      <c r="L5446" s="116">
        <f>E5446*I5446</f>
        <v>0</v>
      </c>
    </row>
    <row r="5447" spans="2:12" ht="17.25" thickBot="1" x14ac:dyDescent="0.35"/>
    <row r="5448" spans="2:12" ht="17.25" thickBot="1" x14ac:dyDescent="0.35">
      <c r="F5448" s="402" t="s">
        <v>12</v>
      </c>
      <c r="G5448" s="403"/>
      <c r="H5448" s="403"/>
      <c r="I5448" s="404"/>
      <c r="K5448" s="224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413" t="s">
        <v>14</v>
      </c>
      <c r="D5450" s="413"/>
      <c r="E5450" s="413"/>
      <c r="F5450" s="413"/>
      <c r="G5450" s="414"/>
    </row>
    <row r="5451" spans="2:12" x14ac:dyDescent="0.3">
      <c r="B5451" s="112" t="s">
        <v>6</v>
      </c>
      <c r="C5451" s="415" t="s">
        <v>1</v>
      </c>
      <c r="D5451" s="416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409" t="s">
        <v>343</v>
      </c>
      <c r="D5452" s="409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409"/>
      <c r="D5453" s="409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417"/>
      <c r="D5454" s="418"/>
      <c r="E5454" s="122"/>
      <c r="F5454" s="123"/>
      <c r="G5454" s="74"/>
      <c r="I5454" s="115">
        <f>IF(C5454=0,0,VLOOKUP(C5454,Tabla2[],3,FALSE))</f>
        <v>0</v>
      </c>
      <c r="K5454" s="84">
        <f>+F5454*I5454</f>
        <v>0</v>
      </c>
      <c r="L5454" s="116">
        <f>E5454*I5454</f>
        <v>0</v>
      </c>
    </row>
    <row r="5455" spans="2:12" ht="17.25" thickBot="1" x14ac:dyDescent="0.35">
      <c r="B5455" s="419" t="s">
        <v>15</v>
      </c>
      <c r="C5455" s="420"/>
      <c r="D5455" s="420"/>
      <c r="E5455" s="420"/>
      <c r="F5455" s="420"/>
      <c r="G5455" s="421"/>
      <c r="I5455" s="84">
        <v>0</v>
      </c>
      <c r="K5455" s="84">
        <v>0</v>
      </c>
      <c r="L5455" s="116">
        <f>E5455*I5455</f>
        <v>0</v>
      </c>
    </row>
    <row r="5456" spans="2:12" ht="17.25" thickBot="1" x14ac:dyDescent="0.35"/>
    <row r="5457" spans="2:16" ht="17.25" thickBot="1" x14ac:dyDescent="0.35">
      <c r="F5457" s="402" t="s">
        <v>16</v>
      </c>
      <c r="G5457" s="403"/>
      <c r="H5457" s="403"/>
      <c r="I5457" s="404"/>
      <c r="K5457" s="224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413" t="s">
        <v>18</v>
      </c>
      <c r="D5459" s="413"/>
      <c r="E5459" s="413"/>
      <c r="F5459" s="413"/>
      <c r="G5459" s="414"/>
    </row>
    <row r="5460" spans="2:16" x14ac:dyDescent="0.3">
      <c r="B5460" s="112" t="s">
        <v>6</v>
      </c>
      <c r="C5460" s="415" t="s">
        <v>1</v>
      </c>
      <c r="D5460" s="416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411"/>
      <c r="D5461" s="412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411"/>
      <c r="D5462" s="412"/>
      <c r="E5462" s="125"/>
      <c r="F5462" s="72"/>
      <c r="G5462" s="74"/>
      <c r="I5462" s="84">
        <v>0</v>
      </c>
      <c r="K5462" s="84">
        <f>+F5462*I5462</f>
        <v>0</v>
      </c>
      <c r="L5462" s="116">
        <f>E5462*I5462</f>
        <v>0</v>
      </c>
    </row>
    <row r="5463" spans="2:16" x14ac:dyDescent="0.3">
      <c r="B5463" s="74"/>
      <c r="C5463" s="411"/>
      <c r="D5463" s="412"/>
      <c r="E5463" s="125"/>
      <c r="F5463" s="72"/>
      <c r="G5463" s="74"/>
      <c r="I5463" s="84">
        <v>0</v>
      </c>
      <c r="K5463" s="84">
        <f>+F5463*I5463</f>
        <v>0</v>
      </c>
      <c r="L5463" s="116">
        <f>E5463*I5463</f>
        <v>0</v>
      </c>
    </row>
    <row r="5464" spans="2:16" ht="17.25" thickBot="1" x14ac:dyDescent="0.35">
      <c r="L5464" s="116"/>
    </row>
    <row r="5465" spans="2:16" ht="17.25" thickBot="1" x14ac:dyDescent="0.35">
      <c r="F5465" s="402" t="s">
        <v>19</v>
      </c>
      <c r="G5465" s="403"/>
      <c r="H5465" s="403"/>
      <c r="I5465" s="404"/>
      <c r="K5465" s="224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127"/>
      <c r="H5466" s="128"/>
      <c r="I5466" s="106"/>
      <c r="K5466" s="225"/>
    </row>
    <row r="5467" spans="2:16" ht="15" customHeight="1" thickBot="1" x14ac:dyDescent="0.35"/>
    <row r="5468" spans="2:16" ht="17.25" thickBot="1" x14ac:dyDescent="0.35">
      <c r="F5468" s="402" t="s">
        <v>20</v>
      </c>
      <c r="G5468" s="403"/>
      <c r="H5468" s="403"/>
      <c r="I5468" s="404"/>
      <c r="K5468" s="224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402" t="s">
        <v>21</v>
      </c>
      <c r="G5470" s="403"/>
      <c r="H5470" s="403"/>
      <c r="I5470" s="404"/>
      <c r="K5470" s="224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402" t="s">
        <v>22</v>
      </c>
      <c r="G5472" s="403"/>
      <c r="H5472" s="403"/>
      <c r="I5472" s="404"/>
      <c r="K5472" s="224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127"/>
      <c r="H5473" s="128"/>
      <c r="I5473" s="106"/>
      <c r="K5473" s="226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127"/>
      <c r="H5474" s="128"/>
      <c r="I5474" s="106"/>
      <c r="K5474" s="227"/>
      <c r="L5474" s="129"/>
      <c r="M5474" s="132"/>
      <c r="N5474" s="133"/>
    </row>
    <row r="5475" spans="1:16" ht="17.25" thickBot="1" x14ac:dyDescent="0.35">
      <c r="B5475" s="405"/>
      <c r="C5475" s="405"/>
      <c r="D5475" s="405"/>
    </row>
    <row r="5476" spans="1:16" x14ac:dyDescent="0.3">
      <c r="B5476" s="406" t="s">
        <v>23</v>
      </c>
      <c r="C5476" s="406"/>
      <c r="D5476" s="406"/>
    </row>
    <row r="5477" spans="1:16" x14ac:dyDescent="0.3">
      <c r="B5477" s="155"/>
      <c r="C5477" s="155"/>
      <c r="D5477" s="155"/>
    </row>
    <row r="5479" spans="1:16" x14ac:dyDescent="0.3">
      <c r="B5479" s="103" t="s">
        <v>43</v>
      </c>
      <c r="C5479" s="104"/>
      <c r="D5479" s="422" t="s">
        <v>1</v>
      </c>
      <c r="E5479" s="422"/>
      <c r="F5479" s="422"/>
      <c r="G5479" s="422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09">
        <f>CATALOGO!B147</f>
        <v>111.03</v>
      </c>
      <c r="C5480" s="135"/>
      <c r="D5480" s="435" t="str">
        <f>CATALOGO!C147</f>
        <v>DEMOLICIÓN DE PISO CERÁMICO/PORCELANATO</v>
      </c>
      <c r="E5480" s="435"/>
      <c r="F5480" s="435"/>
      <c r="G5480" s="435"/>
      <c r="H5480" s="135"/>
      <c r="I5480" s="209">
        <f>CATALOGO!D147</f>
        <v>6</v>
      </c>
      <c r="J5480" s="107"/>
      <c r="K5480" s="222" t="str">
        <f>CATALOGO!G147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413" t="s">
        <v>5</v>
      </c>
      <c r="D5482" s="413"/>
      <c r="E5482" s="413"/>
      <c r="F5482" s="413"/>
      <c r="G5482" s="414"/>
    </row>
    <row r="5483" spans="1:16" x14ac:dyDescent="0.3">
      <c r="B5483" s="109" t="s">
        <v>6</v>
      </c>
      <c r="C5483" s="424" t="s">
        <v>1</v>
      </c>
      <c r="D5483" s="425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3" t="s">
        <v>8</v>
      </c>
      <c r="L5483" s="113" t="s">
        <v>193</v>
      </c>
    </row>
    <row r="5484" spans="1:16" x14ac:dyDescent="0.3">
      <c r="B5484" s="74"/>
      <c r="C5484" s="409"/>
      <c r="D5484" s="409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409"/>
      <c r="D5485" s="409"/>
      <c r="E5485" s="114"/>
      <c r="F5485" s="83"/>
      <c r="G5485" s="74"/>
      <c r="I5485" s="115">
        <f>IF(C5485=0,0,VLOOKUP(C5485,Tabla1[],3,FALSE))</f>
        <v>0</v>
      </c>
      <c r="K5485" s="84">
        <f t="shared" ref="K5485:K5493" si="148">+F5485*I5485</f>
        <v>0</v>
      </c>
      <c r="L5485" s="116">
        <f t="shared" ref="L5485:L5493" si="149">E5485*I5485</f>
        <v>0</v>
      </c>
    </row>
    <row r="5486" spans="1:16" x14ac:dyDescent="0.3">
      <c r="B5486" s="74"/>
      <c r="C5486" s="409"/>
      <c r="D5486" s="409"/>
      <c r="E5486" s="114"/>
      <c r="F5486" s="83"/>
      <c r="G5486" s="74"/>
      <c r="I5486" s="115">
        <f>IF(C5486=0,0,VLOOKUP(C5486,Tabla1[],3,FALSE))</f>
        <v>0</v>
      </c>
      <c r="K5486" s="84">
        <f t="shared" si="148"/>
        <v>0</v>
      </c>
      <c r="L5486" s="116">
        <f t="shared" si="149"/>
        <v>0</v>
      </c>
    </row>
    <row r="5487" spans="1:16" x14ac:dyDescent="0.3">
      <c r="B5487" s="74"/>
      <c r="C5487" s="409"/>
      <c r="D5487" s="409"/>
      <c r="E5487" s="114"/>
      <c r="F5487" s="83"/>
      <c r="G5487" s="74"/>
      <c r="I5487" s="115">
        <f>IF(C5487=0,0,VLOOKUP(C5487,Tabla1[],3,FALSE))</f>
        <v>0</v>
      </c>
      <c r="K5487" s="84">
        <f t="shared" si="148"/>
        <v>0</v>
      </c>
      <c r="L5487" s="116">
        <f t="shared" si="149"/>
        <v>0</v>
      </c>
    </row>
    <row r="5488" spans="1:16" x14ac:dyDescent="0.3">
      <c r="B5488" s="74"/>
      <c r="C5488" s="410"/>
      <c r="D5488" s="410"/>
      <c r="E5488" s="114"/>
      <c r="F5488" s="83"/>
      <c r="G5488" s="74"/>
      <c r="I5488" s="115">
        <f>IF(C5488=0,0,VLOOKUP(C5488,Tabla1[],3,FALSE))</f>
        <v>0</v>
      </c>
      <c r="K5488" s="84">
        <f t="shared" si="148"/>
        <v>0</v>
      </c>
      <c r="L5488" s="116">
        <f t="shared" si="149"/>
        <v>0</v>
      </c>
    </row>
    <row r="5489" spans="2:12" x14ac:dyDescent="0.3">
      <c r="B5489" s="74"/>
      <c r="C5489" s="410"/>
      <c r="D5489" s="410"/>
      <c r="E5489" s="114"/>
      <c r="F5489" s="72"/>
      <c r="G5489" s="74"/>
      <c r="I5489" s="115">
        <f>IF(C5489=0,0,VLOOKUP(C5489,Tabla1[],3,FALSE))</f>
        <v>0</v>
      </c>
      <c r="K5489" s="84">
        <f t="shared" si="148"/>
        <v>0</v>
      </c>
      <c r="L5489" s="116">
        <f t="shared" si="149"/>
        <v>0</v>
      </c>
    </row>
    <row r="5490" spans="2:12" x14ac:dyDescent="0.3">
      <c r="B5490" s="74"/>
      <c r="C5490" s="410"/>
      <c r="D5490" s="410"/>
      <c r="E5490" s="114"/>
      <c r="F5490" s="72"/>
      <c r="G5490" s="74"/>
      <c r="I5490" s="115">
        <f>IF(C5490=0,0,VLOOKUP(C5490,Tabla1[],3,FALSE))</f>
        <v>0</v>
      </c>
      <c r="K5490" s="84">
        <f t="shared" si="148"/>
        <v>0</v>
      </c>
      <c r="L5490" s="116">
        <f t="shared" si="149"/>
        <v>0</v>
      </c>
    </row>
    <row r="5491" spans="2:12" x14ac:dyDescent="0.3">
      <c r="B5491" s="74"/>
      <c r="C5491" s="410"/>
      <c r="D5491" s="410"/>
      <c r="E5491" s="114"/>
      <c r="F5491" s="72"/>
      <c r="G5491" s="74"/>
      <c r="I5491" s="115">
        <f>IF(C5491=0,0,VLOOKUP(C5491,Tabla1[],3,FALSE))</f>
        <v>0</v>
      </c>
      <c r="K5491" s="84">
        <f t="shared" si="148"/>
        <v>0</v>
      </c>
      <c r="L5491" s="116">
        <f t="shared" si="149"/>
        <v>0</v>
      </c>
    </row>
    <row r="5492" spans="2:12" x14ac:dyDescent="0.3">
      <c r="B5492" s="74"/>
      <c r="C5492" s="410"/>
      <c r="D5492" s="410"/>
      <c r="E5492" s="114"/>
      <c r="F5492" s="72"/>
      <c r="G5492" s="74"/>
      <c r="I5492" s="115">
        <f>IF(C5492=0,0,VLOOKUP(C5492,Tabla1[],3,FALSE))</f>
        <v>0</v>
      </c>
      <c r="K5492" s="84">
        <f t="shared" si="148"/>
        <v>0</v>
      </c>
      <c r="L5492" s="116">
        <f t="shared" si="149"/>
        <v>0</v>
      </c>
    </row>
    <row r="5493" spans="2:12" x14ac:dyDescent="0.3">
      <c r="B5493" s="74"/>
      <c r="C5493" s="410"/>
      <c r="D5493" s="410"/>
      <c r="E5493" s="114"/>
      <c r="F5493" s="72"/>
      <c r="G5493" s="74"/>
      <c r="I5493" s="115">
        <f>IF(C5493=0,0,VLOOKUP(C5493,Tabla1[],3,FALSE))</f>
        <v>0</v>
      </c>
      <c r="K5493" s="84">
        <f t="shared" si="148"/>
        <v>0</v>
      </c>
      <c r="L5493" s="116">
        <f t="shared" si="149"/>
        <v>0</v>
      </c>
    </row>
    <row r="5494" spans="2:12" ht="17.25" thickBot="1" x14ac:dyDescent="0.35"/>
    <row r="5495" spans="2:12" ht="17.25" thickBot="1" x14ac:dyDescent="0.35">
      <c r="F5495" s="402" t="s">
        <v>9</v>
      </c>
      <c r="G5495" s="403"/>
      <c r="H5495" s="403"/>
      <c r="I5495" s="404"/>
      <c r="K5495" s="224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413" t="s">
        <v>11</v>
      </c>
      <c r="D5497" s="413"/>
      <c r="E5497" s="413"/>
      <c r="F5497" s="413"/>
      <c r="G5497" s="414"/>
    </row>
    <row r="5498" spans="2:12" x14ac:dyDescent="0.3">
      <c r="B5498" s="112" t="s">
        <v>6</v>
      </c>
      <c r="C5498" s="415" t="s">
        <v>1</v>
      </c>
      <c r="D5498" s="416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409"/>
      <c r="D5499" s="409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02"/>
      <c r="D5500" s="203"/>
      <c r="E5500" s="119"/>
      <c r="F5500" s="72"/>
      <c r="G5500" s="74"/>
      <c r="I5500" s="115">
        <f>IF(C5500=0,0,VLOOKUP(C5500,Tabla3[],3,FALSE))</f>
        <v>0</v>
      </c>
      <c r="K5500" s="84">
        <f>+F5500*I5500</f>
        <v>0</v>
      </c>
      <c r="L5500" s="116">
        <f>E5500*I5500</f>
        <v>0</v>
      </c>
    </row>
    <row r="5501" spans="2:12" x14ac:dyDescent="0.3">
      <c r="B5501" s="74"/>
      <c r="C5501" s="202"/>
      <c r="D5501" s="203"/>
      <c r="E5501" s="119"/>
      <c r="F5501" s="72"/>
      <c r="G5501" s="74"/>
      <c r="I5501" s="115">
        <f>IF(C5501=0,0,VLOOKUP(C5501,Tabla3[],3,FALSE))</f>
        <v>0</v>
      </c>
      <c r="K5501" s="84">
        <f>+F5501*I5501</f>
        <v>0</v>
      </c>
      <c r="L5501" s="116">
        <f>E5501*I5501</f>
        <v>0</v>
      </c>
    </row>
    <row r="5502" spans="2:12" x14ac:dyDescent="0.3">
      <c r="B5502" s="74"/>
      <c r="C5502" s="411"/>
      <c r="D5502" s="412"/>
      <c r="E5502" s="119"/>
      <c r="F5502" s="72"/>
      <c r="G5502" s="74"/>
      <c r="I5502" s="115">
        <f>IF(C5502=0,0,VLOOKUP(C5502,Tabla3[],3,FALSE))</f>
        <v>0</v>
      </c>
      <c r="K5502" s="84">
        <f>+F5502*I5502</f>
        <v>0</v>
      </c>
      <c r="L5502" s="116">
        <f>E5502*I5502</f>
        <v>0</v>
      </c>
    </row>
    <row r="5503" spans="2:12" ht="17.25" thickBot="1" x14ac:dyDescent="0.35"/>
    <row r="5504" spans="2:12" ht="17.25" thickBot="1" x14ac:dyDescent="0.35">
      <c r="F5504" s="402" t="s">
        <v>12</v>
      </c>
      <c r="G5504" s="403"/>
      <c r="H5504" s="403"/>
      <c r="I5504" s="404"/>
      <c r="K5504" s="224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413" t="s">
        <v>14</v>
      </c>
      <c r="D5506" s="413"/>
      <c r="E5506" s="413"/>
      <c r="F5506" s="413"/>
      <c r="G5506" s="414"/>
    </row>
    <row r="5507" spans="2:12" x14ac:dyDescent="0.3">
      <c r="B5507" s="112" t="s">
        <v>6</v>
      </c>
      <c r="C5507" s="415" t="s">
        <v>1</v>
      </c>
      <c r="D5507" s="416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409" t="s">
        <v>194</v>
      </c>
      <c r="D5508" s="409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409"/>
      <c r="D5509" s="409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417"/>
      <c r="D5510" s="418"/>
      <c r="E5510" s="122"/>
      <c r="F5510" s="123"/>
      <c r="G5510" s="74"/>
      <c r="I5510" s="115">
        <f>IF(C5510=0,0,VLOOKUP(C5510,Tabla2[],3,FALSE))</f>
        <v>0</v>
      </c>
      <c r="K5510" s="84">
        <f>+F5510*I5510</f>
        <v>0</v>
      </c>
      <c r="L5510" s="116">
        <f>E5510*I5510</f>
        <v>0</v>
      </c>
    </row>
    <row r="5511" spans="2:12" ht="17.25" thickBot="1" x14ac:dyDescent="0.35">
      <c r="B5511" s="419" t="s">
        <v>15</v>
      </c>
      <c r="C5511" s="420"/>
      <c r="D5511" s="420"/>
      <c r="E5511" s="420"/>
      <c r="F5511" s="420"/>
      <c r="G5511" s="421"/>
      <c r="I5511" s="84">
        <v>0</v>
      </c>
      <c r="K5511" s="84">
        <v>0</v>
      </c>
      <c r="L5511" s="116">
        <f>E5511*I5511</f>
        <v>0</v>
      </c>
    </row>
    <row r="5512" spans="2:12" ht="17.25" thickBot="1" x14ac:dyDescent="0.35"/>
    <row r="5513" spans="2:12" ht="17.25" thickBot="1" x14ac:dyDescent="0.35">
      <c r="F5513" s="402" t="s">
        <v>16</v>
      </c>
      <c r="G5513" s="403"/>
      <c r="H5513" s="403"/>
      <c r="I5513" s="404"/>
      <c r="K5513" s="224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413" t="s">
        <v>18</v>
      </c>
      <c r="D5515" s="413"/>
      <c r="E5515" s="413"/>
      <c r="F5515" s="413"/>
      <c r="G5515" s="414"/>
    </row>
    <row r="5516" spans="2:12" x14ac:dyDescent="0.3">
      <c r="B5516" s="112" t="s">
        <v>6</v>
      </c>
      <c r="C5516" s="415" t="s">
        <v>1</v>
      </c>
      <c r="D5516" s="416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411"/>
      <c r="D5517" s="412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411"/>
      <c r="D5518" s="412"/>
      <c r="E5518" s="125"/>
      <c r="F5518" s="72"/>
      <c r="G5518" s="74"/>
      <c r="I5518" s="84">
        <v>0</v>
      </c>
      <c r="K5518" s="84">
        <f>+F5518*I5518</f>
        <v>0</v>
      </c>
      <c r="L5518" s="116">
        <f>E5518*I5518</f>
        <v>0</v>
      </c>
    </row>
    <row r="5519" spans="2:12" x14ac:dyDescent="0.3">
      <c r="B5519" s="74"/>
      <c r="C5519" s="411"/>
      <c r="D5519" s="412"/>
      <c r="E5519" s="125"/>
      <c r="F5519" s="72"/>
      <c r="G5519" s="74"/>
      <c r="I5519" s="84">
        <v>0</v>
      </c>
      <c r="K5519" s="84">
        <f>+F5519*I5519</f>
        <v>0</v>
      </c>
      <c r="L5519" s="116">
        <f>E5519*I5519</f>
        <v>0</v>
      </c>
    </row>
    <row r="5520" spans="2:12" ht="17.25" thickBot="1" x14ac:dyDescent="0.35">
      <c r="L5520" s="116"/>
    </row>
    <row r="5521" spans="1:16" ht="17.25" thickBot="1" x14ac:dyDescent="0.35">
      <c r="F5521" s="402" t="s">
        <v>19</v>
      </c>
      <c r="G5521" s="403"/>
      <c r="H5521" s="403"/>
      <c r="I5521" s="404"/>
      <c r="K5521" s="224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127"/>
      <c r="H5522" s="128"/>
      <c r="I5522" s="106"/>
      <c r="K5522" s="225"/>
    </row>
    <row r="5523" spans="1:16" ht="15" customHeight="1" thickBot="1" x14ac:dyDescent="0.35"/>
    <row r="5524" spans="1:16" ht="17.25" thickBot="1" x14ac:dyDescent="0.35">
      <c r="F5524" s="402" t="s">
        <v>20</v>
      </c>
      <c r="G5524" s="403"/>
      <c r="H5524" s="403"/>
      <c r="I5524" s="404"/>
      <c r="K5524" s="224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402" t="s">
        <v>21</v>
      </c>
      <c r="G5526" s="403"/>
      <c r="H5526" s="403"/>
      <c r="I5526" s="404"/>
      <c r="K5526" s="224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402" t="s">
        <v>22</v>
      </c>
      <c r="G5528" s="403"/>
      <c r="H5528" s="403"/>
      <c r="I5528" s="404"/>
      <c r="K5528" s="224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127"/>
      <c r="H5529" s="128"/>
      <c r="I5529" s="106"/>
      <c r="K5529" s="226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127"/>
      <c r="H5530" s="128"/>
      <c r="I5530" s="106"/>
      <c r="K5530" s="227"/>
      <c r="L5530" s="129"/>
      <c r="M5530" s="132"/>
      <c r="N5530" s="133"/>
    </row>
    <row r="5531" spans="1:16" ht="17.25" thickBot="1" x14ac:dyDescent="0.35">
      <c r="B5531" s="405"/>
      <c r="C5531" s="405"/>
      <c r="D5531" s="405"/>
    </row>
    <row r="5532" spans="1:16" x14ac:dyDescent="0.3">
      <c r="B5532" s="406" t="s">
        <v>23</v>
      </c>
      <c r="C5532" s="406"/>
      <c r="D5532" s="406"/>
    </row>
    <row r="5533" spans="1:16" x14ac:dyDescent="0.3">
      <c r="B5533" s="155"/>
      <c r="C5533" s="155"/>
      <c r="D5533" s="155"/>
    </row>
    <row r="5535" spans="1:16" x14ac:dyDescent="0.3">
      <c r="B5535" s="103" t="s">
        <v>43</v>
      </c>
      <c r="C5535" s="104"/>
      <c r="D5535" s="422" t="s">
        <v>1</v>
      </c>
      <c r="E5535" s="422"/>
      <c r="F5535" s="422"/>
      <c r="G5535" s="422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09">
        <f>CATALOGO!B148</f>
        <v>117.01</v>
      </c>
      <c r="C5536" s="135"/>
      <c r="D5536" s="435" t="str">
        <f>CATALOGO!C148</f>
        <v>DESMONTAJE DE ARTEFACTOS SANITARIOS</v>
      </c>
      <c r="E5536" s="435"/>
      <c r="F5536" s="435"/>
      <c r="G5536" s="435"/>
      <c r="H5536" s="135"/>
      <c r="I5536" s="209">
        <f>CATALOGO!D148</f>
        <v>6</v>
      </c>
      <c r="J5536" s="107"/>
      <c r="K5536" s="222" t="str">
        <f>CATALOGO!G148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413" t="s">
        <v>5</v>
      </c>
      <c r="D5538" s="413"/>
      <c r="E5538" s="413"/>
      <c r="F5538" s="413"/>
      <c r="G5538" s="414"/>
    </row>
    <row r="5539" spans="2:12" x14ac:dyDescent="0.3">
      <c r="B5539" s="109" t="s">
        <v>6</v>
      </c>
      <c r="C5539" s="424" t="s">
        <v>1</v>
      </c>
      <c r="D5539" s="425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3" t="s">
        <v>8</v>
      </c>
      <c r="L5539" s="113" t="s">
        <v>193</v>
      </c>
    </row>
    <row r="5540" spans="2:12" x14ac:dyDescent="0.3">
      <c r="B5540" s="74"/>
      <c r="C5540" s="409"/>
      <c r="D5540" s="409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409"/>
      <c r="D5541" s="409"/>
      <c r="E5541" s="114"/>
      <c r="F5541" s="83"/>
      <c r="G5541" s="74"/>
      <c r="I5541" s="115">
        <f>IF(C5541=0,0,VLOOKUP(C5541,Tabla1[],3,FALSE))</f>
        <v>0</v>
      </c>
      <c r="K5541" s="84">
        <f t="shared" ref="K5541:K5549" si="150">+F5541*I5541</f>
        <v>0</v>
      </c>
      <c r="L5541" s="116">
        <f t="shared" ref="L5541:L5549" si="151">E5541*I5541</f>
        <v>0</v>
      </c>
    </row>
    <row r="5542" spans="2:12" x14ac:dyDescent="0.3">
      <c r="B5542" s="74"/>
      <c r="C5542" s="409"/>
      <c r="D5542" s="409"/>
      <c r="E5542" s="114"/>
      <c r="F5542" s="83"/>
      <c r="G5542" s="74"/>
      <c r="I5542" s="115">
        <f>IF(C5542=0,0,VLOOKUP(C5542,Tabla1[],3,FALSE))</f>
        <v>0</v>
      </c>
      <c r="K5542" s="84">
        <f t="shared" si="150"/>
        <v>0</v>
      </c>
      <c r="L5542" s="116">
        <f t="shared" si="151"/>
        <v>0</v>
      </c>
    </row>
    <row r="5543" spans="2:12" x14ac:dyDescent="0.3">
      <c r="B5543" s="74"/>
      <c r="C5543" s="409"/>
      <c r="D5543" s="409"/>
      <c r="E5543" s="114"/>
      <c r="F5543" s="83"/>
      <c r="G5543" s="74"/>
      <c r="I5543" s="115">
        <f>IF(C5543=0,0,VLOOKUP(C5543,Tabla1[],3,FALSE))</f>
        <v>0</v>
      </c>
      <c r="K5543" s="84">
        <f t="shared" si="150"/>
        <v>0</v>
      </c>
      <c r="L5543" s="116">
        <f t="shared" si="151"/>
        <v>0</v>
      </c>
    </row>
    <row r="5544" spans="2:12" x14ac:dyDescent="0.3">
      <c r="B5544" s="74"/>
      <c r="C5544" s="410"/>
      <c r="D5544" s="410"/>
      <c r="E5544" s="114"/>
      <c r="F5544" s="83"/>
      <c r="G5544" s="74"/>
      <c r="I5544" s="115">
        <f>IF(C5544=0,0,VLOOKUP(C5544,Tabla1[],3,FALSE))</f>
        <v>0</v>
      </c>
      <c r="K5544" s="84">
        <f t="shared" si="150"/>
        <v>0</v>
      </c>
      <c r="L5544" s="116">
        <f t="shared" si="151"/>
        <v>0</v>
      </c>
    </row>
    <row r="5545" spans="2:12" x14ac:dyDescent="0.3">
      <c r="B5545" s="74"/>
      <c r="C5545" s="410"/>
      <c r="D5545" s="410"/>
      <c r="E5545" s="114"/>
      <c r="F5545" s="72"/>
      <c r="G5545" s="74"/>
      <c r="I5545" s="115">
        <f>IF(C5545=0,0,VLOOKUP(C5545,Tabla1[],3,FALSE))</f>
        <v>0</v>
      </c>
      <c r="K5545" s="84">
        <f t="shared" si="150"/>
        <v>0</v>
      </c>
      <c r="L5545" s="116">
        <f t="shared" si="151"/>
        <v>0</v>
      </c>
    </row>
    <row r="5546" spans="2:12" x14ac:dyDescent="0.3">
      <c r="B5546" s="74"/>
      <c r="C5546" s="410"/>
      <c r="D5546" s="410"/>
      <c r="E5546" s="114"/>
      <c r="F5546" s="72"/>
      <c r="G5546" s="74"/>
      <c r="I5546" s="115">
        <f>IF(C5546=0,0,VLOOKUP(C5546,Tabla1[],3,FALSE))</f>
        <v>0</v>
      </c>
      <c r="K5546" s="84">
        <f t="shared" si="150"/>
        <v>0</v>
      </c>
      <c r="L5546" s="116">
        <f t="shared" si="151"/>
        <v>0</v>
      </c>
    </row>
    <row r="5547" spans="2:12" x14ac:dyDescent="0.3">
      <c r="B5547" s="74"/>
      <c r="C5547" s="410"/>
      <c r="D5547" s="410"/>
      <c r="E5547" s="114"/>
      <c r="F5547" s="72"/>
      <c r="G5547" s="74"/>
      <c r="I5547" s="115">
        <f>IF(C5547=0,0,VLOOKUP(C5547,Tabla1[],3,FALSE))</f>
        <v>0</v>
      </c>
      <c r="K5547" s="84">
        <f t="shared" si="150"/>
        <v>0</v>
      </c>
      <c r="L5547" s="116">
        <f t="shared" si="151"/>
        <v>0</v>
      </c>
    </row>
    <row r="5548" spans="2:12" x14ac:dyDescent="0.3">
      <c r="B5548" s="74"/>
      <c r="C5548" s="410"/>
      <c r="D5548" s="410"/>
      <c r="E5548" s="114"/>
      <c r="F5548" s="72"/>
      <c r="G5548" s="74"/>
      <c r="I5548" s="115">
        <f>IF(C5548=0,0,VLOOKUP(C5548,Tabla1[],3,FALSE))</f>
        <v>0</v>
      </c>
      <c r="K5548" s="84">
        <f t="shared" si="150"/>
        <v>0</v>
      </c>
      <c r="L5548" s="116">
        <f t="shared" si="151"/>
        <v>0</v>
      </c>
    </row>
    <row r="5549" spans="2:12" x14ac:dyDescent="0.3">
      <c r="B5549" s="74"/>
      <c r="C5549" s="410"/>
      <c r="D5549" s="410"/>
      <c r="E5549" s="114"/>
      <c r="F5549" s="72"/>
      <c r="G5549" s="74"/>
      <c r="I5549" s="115">
        <f>IF(C5549=0,0,VLOOKUP(C5549,Tabla1[],3,FALSE))</f>
        <v>0</v>
      </c>
      <c r="K5549" s="84">
        <f t="shared" si="150"/>
        <v>0</v>
      </c>
      <c r="L5549" s="116">
        <f t="shared" si="151"/>
        <v>0</v>
      </c>
    </row>
    <row r="5550" spans="2:12" ht="17.25" thickBot="1" x14ac:dyDescent="0.35"/>
    <row r="5551" spans="2:12" ht="17.25" thickBot="1" x14ac:dyDescent="0.35">
      <c r="F5551" s="402" t="s">
        <v>9</v>
      </c>
      <c r="G5551" s="403"/>
      <c r="H5551" s="403"/>
      <c r="I5551" s="404"/>
      <c r="K5551" s="224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413" t="s">
        <v>11</v>
      </c>
      <c r="D5553" s="413"/>
      <c r="E5553" s="413"/>
      <c r="F5553" s="413"/>
      <c r="G5553" s="414"/>
    </row>
    <row r="5554" spans="2:12" x14ac:dyDescent="0.3">
      <c r="B5554" s="112" t="s">
        <v>6</v>
      </c>
      <c r="C5554" s="415" t="s">
        <v>1</v>
      </c>
      <c r="D5554" s="416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409" t="s">
        <v>189</v>
      </c>
      <c r="D5555" s="409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>+F5555*I5555</f>
        <v>120</v>
      </c>
      <c r="L5555" s="116">
        <f>E5555*I5555</f>
        <v>719.99999999999989</v>
      </c>
    </row>
    <row r="5556" spans="2:12" x14ac:dyDescent="0.3">
      <c r="B5556" s="74"/>
      <c r="C5556" s="202"/>
      <c r="D5556" s="203"/>
      <c r="E5556" s="119"/>
      <c r="F5556" s="72"/>
      <c r="G5556" s="74"/>
      <c r="I5556" s="115">
        <f>IF(C5556=0,0,VLOOKUP(C5556,Tabla3[],3,FALSE))</f>
        <v>0</v>
      </c>
      <c r="K5556" s="84">
        <f>+F5556*I5556</f>
        <v>0</v>
      </c>
      <c r="L5556" s="116">
        <f>E5556*I5556</f>
        <v>0</v>
      </c>
    </row>
    <row r="5557" spans="2:12" x14ac:dyDescent="0.3">
      <c r="B5557" s="74"/>
      <c r="C5557" s="202"/>
      <c r="D5557" s="203"/>
      <c r="E5557" s="119"/>
      <c r="F5557" s="72"/>
      <c r="G5557" s="74"/>
      <c r="I5557" s="115">
        <f>IF(C5557=0,0,VLOOKUP(C5557,Tabla3[],3,FALSE))</f>
        <v>0</v>
      </c>
      <c r="K5557" s="84">
        <f>+F5557*I5557</f>
        <v>0</v>
      </c>
      <c r="L5557" s="116">
        <f>E5557*I5557</f>
        <v>0</v>
      </c>
    </row>
    <row r="5558" spans="2:12" x14ac:dyDescent="0.3">
      <c r="B5558" s="74"/>
      <c r="C5558" s="411"/>
      <c r="D5558" s="412"/>
      <c r="E5558" s="119"/>
      <c r="F5558" s="72"/>
      <c r="G5558" s="74"/>
      <c r="I5558" s="115">
        <f>IF(C5558=0,0,VLOOKUP(C5558,Tabla3[],3,FALSE))</f>
        <v>0</v>
      </c>
      <c r="K5558" s="84">
        <f>+F5558*I5558</f>
        <v>0</v>
      </c>
      <c r="L5558" s="116">
        <f>E5558*I5558</f>
        <v>0</v>
      </c>
    </row>
    <row r="5559" spans="2:12" ht="17.25" thickBot="1" x14ac:dyDescent="0.35"/>
    <row r="5560" spans="2:12" ht="17.25" thickBot="1" x14ac:dyDescent="0.35">
      <c r="F5560" s="402" t="s">
        <v>12</v>
      </c>
      <c r="G5560" s="403"/>
      <c r="H5560" s="403"/>
      <c r="I5560" s="404"/>
      <c r="K5560" s="224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413" t="s">
        <v>14</v>
      </c>
      <c r="D5562" s="413"/>
      <c r="E5562" s="413"/>
      <c r="F5562" s="413"/>
      <c r="G5562" s="414"/>
    </row>
    <row r="5563" spans="2:12" x14ac:dyDescent="0.3">
      <c r="B5563" s="112" t="s">
        <v>6</v>
      </c>
      <c r="C5563" s="415" t="s">
        <v>1</v>
      </c>
      <c r="D5563" s="416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409" t="s">
        <v>328</v>
      </c>
      <c r="D5564" s="409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409"/>
      <c r="D5565" s="409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417"/>
      <c r="D5566" s="418"/>
      <c r="E5566" s="122"/>
      <c r="F5566" s="123"/>
      <c r="G5566" s="74"/>
      <c r="I5566" s="115">
        <f>IF(C5566=0,0,VLOOKUP(C5566,Tabla2[],3,FALSE))</f>
        <v>0</v>
      </c>
      <c r="K5566" s="84">
        <f>+F5566*I5566</f>
        <v>0</v>
      </c>
      <c r="L5566" s="116">
        <f>E5566*I5566</f>
        <v>0</v>
      </c>
    </row>
    <row r="5567" spans="2:12" ht="17.25" thickBot="1" x14ac:dyDescent="0.35">
      <c r="B5567" s="419" t="s">
        <v>15</v>
      </c>
      <c r="C5567" s="420"/>
      <c r="D5567" s="420"/>
      <c r="E5567" s="420"/>
      <c r="F5567" s="420"/>
      <c r="G5567" s="421"/>
      <c r="I5567" s="84">
        <v>0</v>
      </c>
      <c r="K5567" s="84">
        <v>0</v>
      </c>
      <c r="L5567" s="116">
        <f>E5567*I5567</f>
        <v>0</v>
      </c>
    </row>
    <row r="5568" spans="2:12" ht="17.25" thickBot="1" x14ac:dyDescent="0.35"/>
    <row r="5569" spans="2:16" ht="17.25" thickBot="1" x14ac:dyDescent="0.35">
      <c r="F5569" s="402" t="s">
        <v>16</v>
      </c>
      <c r="G5569" s="403"/>
      <c r="H5569" s="403"/>
      <c r="I5569" s="404"/>
      <c r="K5569" s="224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413" t="s">
        <v>18</v>
      </c>
      <c r="D5571" s="413"/>
      <c r="E5571" s="413"/>
      <c r="F5571" s="413"/>
      <c r="G5571" s="414"/>
    </row>
    <row r="5572" spans="2:16" x14ac:dyDescent="0.3">
      <c r="B5572" s="112" t="s">
        <v>6</v>
      </c>
      <c r="C5572" s="415" t="s">
        <v>1</v>
      </c>
      <c r="D5572" s="416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411"/>
      <c r="D5573" s="412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411"/>
      <c r="D5574" s="412"/>
      <c r="E5574" s="125"/>
      <c r="F5574" s="72"/>
      <c r="G5574" s="74"/>
      <c r="I5574" s="84">
        <v>0</v>
      </c>
      <c r="K5574" s="84">
        <f>+F5574*I5574</f>
        <v>0</v>
      </c>
      <c r="L5574" s="116">
        <f>E5574*I5574</f>
        <v>0</v>
      </c>
    </row>
    <row r="5575" spans="2:16" x14ac:dyDescent="0.3">
      <c r="B5575" s="74"/>
      <c r="C5575" s="411"/>
      <c r="D5575" s="412"/>
      <c r="E5575" s="125"/>
      <c r="F5575" s="72"/>
      <c r="G5575" s="74"/>
      <c r="I5575" s="84">
        <v>0</v>
      </c>
      <c r="K5575" s="84">
        <f>+F5575*I5575</f>
        <v>0</v>
      </c>
      <c r="L5575" s="116">
        <f>E5575*I5575</f>
        <v>0</v>
      </c>
    </row>
    <row r="5576" spans="2:16" ht="17.25" thickBot="1" x14ac:dyDescent="0.35">
      <c r="L5576" s="116"/>
    </row>
    <row r="5577" spans="2:16" ht="17.25" thickBot="1" x14ac:dyDescent="0.35">
      <c r="F5577" s="402" t="s">
        <v>19</v>
      </c>
      <c r="G5577" s="403"/>
      <c r="H5577" s="403"/>
      <c r="I5577" s="404"/>
      <c r="K5577" s="224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127"/>
      <c r="H5578" s="128"/>
      <c r="I5578" s="106"/>
      <c r="K5578" s="225"/>
    </row>
    <row r="5579" spans="2:16" ht="15" customHeight="1" thickBot="1" x14ac:dyDescent="0.35"/>
    <row r="5580" spans="2:16" ht="17.25" thickBot="1" x14ac:dyDescent="0.35">
      <c r="F5580" s="402" t="s">
        <v>20</v>
      </c>
      <c r="G5580" s="403"/>
      <c r="H5580" s="403"/>
      <c r="I5580" s="404"/>
      <c r="K5580" s="224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402" t="s">
        <v>21</v>
      </c>
      <c r="G5582" s="403"/>
      <c r="H5582" s="403"/>
      <c r="I5582" s="404"/>
      <c r="K5582" s="224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402" t="s">
        <v>22</v>
      </c>
      <c r="G5584" s="403"/>
      <c r="H5584" s="403"/>
      <c r="I5584" s="404"/>
      <c r="K5584" s="224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127"/>
      <c r="H5585" s="128"/>
      <c r="I5585" s="106"/>
      <c r="K5585" s="226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127"/>
      <c r="H5586" s="128"/>
      <c r="I5586" s="106"/>
      <c r="K5586" s="227"/>
      <c r="L5586" s="129"/>
      <c r="M5586" s="132"/>
      <c r="N5586" s="133"/>
    </row>
    <row r="5587" spans="1:16" ht="17.25" thickBot="1" x14ac:dyDescent="0.35">
      <c r="B5587" s="405"/>
      <c r="C5587" s="405"/>
      <c r="D5587" s="405"/>
    </row>
    <row r="5588" spans="1:16" x14ac:dyDescent="0.3">
      <c r="B5588" s="406" t="s">
        <v>23</v>
      </c>
      <c r="C5588" s="406"/>
      <c r="D5588" s="406"/>
    </row>
    <row r="5589" spans="1:16" x14ac:dyDescent="0.3">
      <c r="B5589" s="155"/>
      <c r="C5589" s="155"/>
      <c r="D5589" s="155"/>
    </row>
    <row r="5591" spans="1:16" x14ac:dyDescent="0.3">
      <c r="B5591" s="103" t="s">
        <v>43</v>
      </c>
      <c r="C5591" s="104"/>
      <c r="D5591" s="422" t="s">
        <v>1</v>
      </c>
      <c r="E5591" s="422"/>
      <c r="F5591" s="422"/>
      <c r="G5591" s="422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09">
        <f>CATALOGO!B159</f>
        <v>711.07</v>
      </c>
      <c r="C5592" s="135"/>
      <c r="D5592" s="435" t="str">
        <f>CATALOGO!C159</f>
        <v>REMOZAMIENTO DE PORTÓN DE METAL + CHAPA</v>
      </c>
      <c r="E5592" s="435"/>
      <c r="F5592" s="435"/>
      <c r="G5592" s="435"/>
      <c r="H5592" s="135"/>
      <c r="I5592" s="209">
        <f>CATALOGO!D159</f>
        <v>1</v>
      </c>
      <c r="J5592" s="107"/>
      <c r="K5592" s="222" t="str">
        <f>CATALOGO!G159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413" t="s">
        <v>5</v>
      </c>
      <c r="D5594" s="413"/>
      <c r="E5594" s="413"/>
      <c r="F5594" s="413"/>
      <c r="G5594" s="414"/>
    </row>
    <row r="5595" spans="1:16" x14ac:dyDescent="0.3">
      <c r="B5595" s="109" t="s">
        <v>6</v>
      </c>
      <c r="C5595" s="424" t="s">
        <v>1</v>
      </c>
      <c r="D5595" s="425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3" t="s">
        <v>8</v>
      </c>
      <c r="L5595" s="113" t="s">
        <v>193</v>
      </c>
    </row>
    <row r="5596" spans="1:16" x14ac:dyDescent="0.3">
      <c r="B5596" s="74"/>
      <c r="C5596" s="409"/>
      <c r="D5596" s="409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409"/>
      <c r="D5597" s="409"/>
      <c r="E5597" s="114"/>
      <c r="F5597" s="83"/>
      <c r="G5597" s="74"/>
      <c r="I5597" s="115">
        <f>IF(C5597=0,0,VLOOKUP(C5597,Tabla1[],3,FALSE))</f>
        <v>0</v>
      </c>
      <c r="K5597" s="84">
        <f t="shared" ref="K5597:K5605" si="152">+F5597*I5597</f>
        <v>0</v>
      </c>
      <c r="L5597" s="116">
        <f t="shared" ref="L5597:L5605" si="153">E5597*I5597</f>
        <v>0</v>
      </c>
    </row>
    <row r="5598" spans="1:16" x14ac:dyDescent="0.3">
      <c r="B5598" s="74"/>
      <c r="C5598" s="409"/>
      <c r="D5598" s="409"/>
      <c r="E5598" s="114"/>
      <c r="F5598" s="83"/>
      <c r="G5598" s="74"/>
      <c r="I5598" s="115">
        <f>IF(C5598=0,0,VLOOKUP(C5598,Tabla1[],3,FALSE))</f>
        <v>0</v>
      </c>
      <c r="K5598" s="84">
        <f t="shared" si="152"/>
        <v>0</v>
      </c>
      <c r="L5598" s="116">
        <f t="shared" si="153"/>
        <v>0</v>
      </c>
    </row>
    <row r="5599" spans="1:16" x14ac:dyDescent="0.3">
      <c r="B5599" s="74"/>
      <c r="C5599" s="409"/>
      <c r="D5599" s="409"/>
      <c r="E5599" s="114"/>
      <c r="F5599" s="83"/>
      <c r="G5599" s="74"/>
      <c r="I5599" s="115">
        <f>IF(C5599=0,0,VLOOKUP(C5599,Tabla1[],3,FALSE))</f>
        <v>0</v>
      </c>
      <c r="K5599" s="84">
        <f t="shared" si="152"/>
        <v>0</v>
      </c>
      <c r="L5599" s="116">
        <f t="shared" si="153"/>
        <v>0</v>
      </c>
    </row>
    <row r="5600" spans="1:16" x14ac:dyDescent="0.3">
      <c r="B5600" s="74"/>
      <c r="C5600" s="410"/>
      <c r="D5600" s="410"/>
      <c r="E5600" s="114"/>
      <c r="F5600" s="83"/>
      <c r="G5600" s="74"/>
      <c r="I5600" s="115">
        <f>IF(C5600=0,0,VLOOKUP(C5600,Tabla1[],3,FALSE))</f>
        <v>0</v>
      </c>
      <c r="K5600" s="84">
        <f t="shared" si="152"/>
        <v>0</v>
      </c>
      <c r="L5600" s="116">
        <f t="shared" si="153"/>
        <v>0</v>
      </c>
    </row>
    <row r="5601" spans="2:12" x14ac:dyDescent="0.3">
      <c r="B5601" s="74"/>
      <c r="C5601" s="410"/>
      <c r="D5601" s="410"/>
      <c r="E5601" s="114"/>
      <c r="F5601" s="72"/>
      <c r="G5601" s="74"/>
      <c r="I5601" s="115">
        <f>IF(C5601=0,0,VLOOKUP(C5601,Tabla1[],3,FALSE))</f>
        <v>0</v>
      </c>
      <c r="K5601" s="84">
        <f t="shared" si="152"/>
        <v>0</v>
      </c>
      <c r="L5601" s="116">
        <f t="shared" si="153"/>
        <v>0</v>
      </c>
    </row>
    <row r="5602" spans="2:12" x14ac:dyDescent="0.3">
      <c r="B5602" s="74"/>
      <c r="C5602" s="410"/>
      <c r="D5602" s="410"/>
      <c r="E5602" s="114"/>
      <c r="F5602" s="72"/>
      <c r="G5602" s="74"/>
      <c r="I5602" s="115">
        <f>IF(C5602=0,0,VLOOKUP(C5602,Tabla1[],3,FALSE))</f>
        <v>0</v>
      </c>
      <c r="K5602" s="84">
        <f t="shared" si="152"/>
        <v>0</v>
      </c>
      <c r="L5602" s="116">
        <f t="shared" si="153"/>
        <v>0</v>
      </c>
    </row>
    <row r="5603" spans="2:12" x14ac:dyDescent="0.3">
      <c r="B5603" s="74"/>
      <c r="C5603" s="410"/>
      <c r="D5603" s="410"/>
      <c r="E5603" s="114"/>
      <c r="F5603" s="72"/>
      <c r="G5603" s="74"/>
      <c r="I5603" s="115">
        <f>IF(C5603=0,0,VLOOKUP(C5603,Tabla1[],3,FALSE))</f>
        <v>0</v>
      </c>
      <c r="K5603" s="84">
        <f t="shared" si="152"/>
        <v>0</v>
      </c>
      <c r="L5603" s="116">
        <f t="shared" si="153"/>
        <v>0</v>
      </c>
    </row>
    <row r="5604" spans="2:12" x14ac:dyDescent="0.3">
      <c r="B5604" s="74"/>
      <c r="C5604" s="410"/>
      <c r="D5604" s="410"/>
      <c r="E5604" s="114"/>
      <c r="F5604" s="72"/>
      <c r="G5604" s="74"/>
      <c r="I5604" s="115">
        <f>IF(C5604=0,0,VLOOKUP(C5604,Tabla1[],3,FALSE))</f>
        <v>0</v>
      </c>
      <c r="K5604" s="84">
        <f t="shared" si="152"/>
        <v>0</v>
      </c>
      <c r="L5604" s="116">
        <f t="shared" si="153"/>
        <v>0</v>
      </c>
    </row>
    <row r="5605" spans="2:12" x14ac:dyDescent="0.3">
      <c r="B5605" s="74"/>
      <c r="C5605" s="410"/>
      <c r="D5605" s="410"/>
      <c r="E5605" s="114"/>
      <c r="F5605" s="72"/>
      <c r="G5605" s="74"/>
      <c r="I5605" s="115">
        <f>IF(C5605=0,0,VLOOKUP(C5605,Tabla1[],3,FALSE))</f>
        <v>0</v>
      </c>
      <c r="K5605" s="84">
        <f t="shared" si="152"/>
        <v>0</v>
      </c>
      <c r="L5605" s="116">
        <f t="shared" si="153"/>
        <v>0</v>
      </c>
    </row>
    <row r="5606" spans="2:12" ht="17.25" thickBot="1" x14ac:dyDescent="0.35"/>
    <row r="5607" spans="2:12" ht="17.25" thickBot="1" x14ac:dyDescent="0.35">
      <c r="F5607" s="402" t="s">
        <v>9</v>
      </c>
      <c r="G5607" s="403"/>
      <c r="H5607" s="403"/>
      <c r="I5607" s="404"/>
      <c r="K5607" s="224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413" t="s">
        <v>11</v>
      </c>
      <c r="D5609" s="413"/>
      <c r="E5609" s="413"/>
      <c r="F5609" s="413"/>
      <c r="G5609" s="414"/>
    </row>
    <row r="5610" spans="2:12" x14ac:dyDescent="0.3">
      <c r="B5610" s="112" t="s">
        <v>6</v>
      </c>
      <c r="C5610" s="415" t="s">
        <v>1</v>
      </c>
      <c r="D5610" s="416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409"/>
      <c r="D5611" s="409"/>
      <c r="E5611" s="114"/>
      <c r="F5611" s="83"/>
      <c r="G5611" s="74"/>
      <c r="I5611" s="115">
        <f>IF(C5611=0,0,VLOOKUP(C5611,Tabla3[],3,FALSE))</f>
        <v>0</v>
      </c>
      <c r="K5611" s="84">
        <f>+F5611*I5611</f>
        <v>0</v>
      </c>
      <c r="L5611" s="116">
        <f>E5611*I5611</f>
        <v>0</v>
      </c>
    </row>
    <row r="5612" spans="2:12" x14ac:dyDescent="0.3">
      <c r="B5612" s="74"/>
      <c r="C5612" s="202"/>
      <c r="D5612" s="203"/>
      <c r="E5612" s="119"/>
      <c r="F5612" s="72"/>
      <c r="G5612" s="74"/>
      <c r="I5612" s="115">
        <f>IF(C5612=0,0,VLOOKUP(C5612,Tabla3[],3,FALSE))</f>
        <v>0</v>
      </c>
      <c r="K5612" s="84">
        <f>+F5612*I5612</f>
        <v>0</v>
      </c>
      <c r="L5612" s="116">
        <f>E5612*I5612</f>
        <v>0</v>
      </c>
    </row>
    <row r="5613" spans="2:12" x14ac:dyDescent="0.3">
      <c r="B5613" s="74"/>
      <c r="C5613" s="202"/>
      <c r="D5613" s="203"/>
      <c r="E5613" s="119"/>
      <c r="F5613" s="72"/>
      <c r="G5613" s="74"/>
      <c r="I5613" s="115">
        <f>IF(C5613=0,0,VLOOKUP(C5613,Tabla3[],3,FALSE))</f>
        <v>0</v>
      </c>
      <c r="K5613" s="84">
        <f>+F5613*I5613</f>
        <v>0</v>
      </c>
      <c r="L5613" s="116">
        <f>E5613*I5613</f>
        <v>0</v>
      </c>
    </row>
    <row r="5614" spans="2:12" x14ac:dyDescent="0.3">
      <c r="B5614" s="74"/>
      <c r="C5614" s="411"/>
      <c r="D5614" s="412"/>
      <c r="E5614" s="119"/>
      <c r="F5614" s="72"/>
      <c r="G5614" s="74"/>
      <c r="I5614" s="115">
        <f>IF(C5614=0,0,VLOOKUP(C5614,Tabla3[],3,FALSE))</f>
        <v>0</v>
      </c>
      <c r="K5614" s="84">
        <f>+F5614*I5614</f>
        <v>0</v>
      </c>
      <c r="L5614" s="116">
        <f>E5614*I5614</f>
        <v>0</v>
      </c>
    </row>
    <row r="5615" spans="2:12" ht="17.25" thickBot="1" x14ac:dyDescent="0.35"/>
    <row r="5616" spans="2:12" ht="17.25" thickBot="1" x14ac:dyDescent="0.35">
      <c r="F5616" s="402" t="s">
        <v>12</v>
      </c>
      <c r="G5616" s="403"/>
      <c r="H5616" s="403"/>
      <c r="I5616" s="404"/>
      <c r="K5616" s="224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413" t="s">
        <v>14</v>
      </c>
      <c r="D5618" s="413"/>
      <c r="E5618" s="413"/>
      <c r="F5618" s="413"/>
      <c r="G5618" s="414"/>
    </row>
    <row r="5619" spans="2:12" x14ac:dyDescent="0.3">
      <c r="B5619" s="112" t="s">
        <v>6</v>
      </c>
      <c r="C5619" s="415" t="s">
        <v>1</v>
      </c>
      <c r="D5619" s="416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409" t="s">
        <v>565</v>
      </c>
      <c r="D5620" s="409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409" t="s">
        <v>351</v>
      </c>
      <c r="D5621" s="409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417"/>
      <c r="D5622" s="418"/>
      <c r="E5622" s="122"/>
      <c r="F5622" s="123"/>
      <c r="G5622" s="74"/>
      <c r="I5622" s="115">
        <f>IF(C5622=0,0,VLOOKUP(C5622,Tabla2[],3,FALSE))</f>
        <v>0</v>
      </c>
      <c r="K5622" s="84">
        <f>+F5622*I5622</f>
        <v>0</v>
      </c>
      <c r="L5622" s="116">
        <f>E5622*I5622</f>
        <v>0</v>
      </c>
    </row>
    <row r="5623" spans="2:12" ht="17.25" thickBot="1" x14ac:dyDescent="0.35">
      <c r="B5623" s="419" t="s">
        <v>15</v>
      </c>
      <c r="C5623" s="420"/>
      <c r="D5623" s="420"/>
      <c r="E5623" s="420"/>
      <c r="F5623" s="420"/>
      <c r="G5623" s="421"/>
      <c r="I5623" s="84">
        <v>0</v>
      </c>
      <c r="K5623" s="84">
        <v>0</v>
      </c>
      <c r="L5623" s="116">
        <f>E5623*I5623</f>
        <v>0</v>
      </c>
    </row>
    <row r="5624" spans="2:12" ht="17.25" thickBot="1" x14ac:dyDescent="0.35"/>
    <row r="5625" spans="2:12" ht="17.25" thickBot="1" x14ac:dyDescent="0.35">
      <c r="F5625" s="402" t="s">
        <v>16</v>
      </c>
      <c r="G5625" s="403"/>
      <c r="H5625" s="403"/>
      <c r="I5625" s="404"/>
      <c r="K5625" s="224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413" t="s">
        <v>18</v>
      </c>
      <c r="D5627" s="413"/>
      <c r="E5627" s="413"/>
      <c r="F5627" s="413"/>
      <c r="G5627" s="414"/>
    </row>
    <row r="5628" spans="2:12" x14ac:dyDescent="0.3">
      <c r="B5628" s="112" t="s">
        <v>6</v>
      </c>
      <c r="C5628" s="415" t="s">
        <v>1</v>
      </c>
      <c r="D5628" s="416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411"/>
      <c r="D5629" s="412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411"/>
      <c r="D5630" s="412"/>
      <c r="E5630" s="125"/>
      <c r="F5630" s="72"/>
      <c r="G5630" s="74"/>
      <c r="I5630" s="84">
        <v>0</v>
      </c>
      <c r="K5630" s="84">
        <f>+F5630*I5630</f>
        <v>0</v>
      </c>
      <c r="L5630" s="116">
        <f>E5630*I5630</f>
        <v>0</v>
      </c>
    </row>
    <row r="5631" spans="2:12" x14ac:dyDescent="0.3">
      <c r="B5631" s="74"/>
      <c r="C5631" s="411"/>
      <c r="D5631" s="412"/>
      <c r="E5631" s="125"/>
      <c r="F5631" s="72"/>
      <c r="G5631" s="74"/>
      <c r="I5631" s="84">
        <v>0</v>
      </c>
      <c r="K5631" s="84">
        <f>+F5631*I5631</f>
        <v>0</v>
      </c>
      <c r="L5631" s="116">
        <f>E5631*I5631</f>
        <v>0</v>
      </c>
    </row>
    <row r="5632" spans="2:12" ht="17.25" thickBot="1" x14ac:dyDescent="0.35">
      <c r="L5632" s="116"/>
    </row>
    <row r="5633" spans="1:16" ht="17.25" thickBot="1" x14ac:dyDescent="0.35">
      <c r="F5633" s="402" t="s">
        <v>19</v>
      </c>
      <c r="G5633" s="403"/>
      <c r="H5633" s="403"/>
      <c r="I5633" s="404"/>
      <c r="K5633" s="224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127"/>
      <c r="H5634" s="128"/>
      <c r="I5634" s="106"/>
      <c r="K5634" s="225"/>
    </row>
    <row r="5635" spans="1:16" ht="15" customHeight="1" thickBot="1" x14ac:dyDescent="0.35"/>
    <row r="5636" spans="1:16" ht="17.25" thickBot="1" x14ac:dyDescent="0.35">
      <c r="F5636" s="402" t="s">
        <v>20</v>
      </c>
      <c r="G5636" s="403"/>
      <c r="H5636" s="403"/>
      <c r="I5636" s="404"/>
      <c r="K5636" s="224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402" t="s">
        <v>21</v>
      </c>
      <c r="G5638" s="403"/>
      <c r="H5638" s="403"/>
      <c r="I5638" s="404"/>
      <c r="K5638" s="224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402" t="s">
        <v>22</v>
      </c>
      <c r="G5640" s="403"/>
      <c r="H5640" s="403"/>
      <c r="I5640" s="404"/>
      <c r="K5640" s="224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127"/>
      <c r="H5641" s="128"/>
      <c r="I5641" s="106"/>
      <c r="K5641" s="226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127"/>
      <c r="H5642" s="128"/>
      <c r="I5642" s="106"/>
      <c r="K5642" s="227"/>
      <c r="L5642" s="129"/>
      <c r="M5642" s="132"/>
      <c r="N5642" s="133"/>
    </row>
    <row r="5643" spans="1:16" ht="17.25" thickBot="1" x14ac:dyDescent="0.35">
      <c r="B5643" s="405"/>
      <c r="C5643" s="405"/>
      <c r="D5643" s="405"/>
    </row>
    <row r="5644" spans="1:16" x14ac:dyDescent="0.3">
      <c r="B5644" s="406" t="s">
        <v>23</v>
      </c>
      <c r="C5644" s="406"/>
      <c r="D5644" s="406"/>
    </row>
    <row r="5645" spans="1:16" x14ac:dyDescent="0.3">
      <c r="B5645" s="155"/>
      <c r="C5645" s="155"/>
      <c r="D5645" s="155"/>
    </row>
    <row r="5647" spans="1:16" x14ac:dyDescent="0.3">
      <c r="B5647" s="103" t="s">
        <v>43</v>
      </c>
      <c r="C5647" s="104"/>
      <c r="D5647" s="422" t="s">
        <v>1</v>
      </c>
      <c r="E5647" s="422"/>
      <c r="F5647" s="422"/>
      <c r="G5647" s="422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09">
        <f>CATALOGO!B161</f>
        <v>909.04</v>
      </c>
      <c r="C5648" s="135"/>
      <c r="D5648" s="435" t="str">
        <f>CATALOGO!C161</f>
        <v>TINACO (2500 LTS)</v>
      </c>
      <c r="E5648" s="435"/>
      <c r="F5648" s="435"/>
      <c r="G5648" s="435"/>
      <c r="H5648" s="135"/>
      <c r="I5648" s="209">
        <f>CATALOGO!D161</f>
        <v>1</v>
      </c>
      <c r="J5648" s="107"/>
      <c r="K5648" s="222" t="str">
        <f>CATALOGO!G161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413" t="s">
        <v>5</v>
      </c>
      <c r="D5650" s="413"/>
      <c r="E5650" s="413"/>
      <c r="F5650" s="413"/>
      <c r="G5650" s="414"/>
    </row>
    <row r="5651" spans="2:16" x14ac:dyDescent="0.3">
      <c r="B5651" s="109" t="s">
        <v>6</v>
      </c>
      <c r="C5651" s="424" t="s">
        <v>1</v>
      </c>
      <c r="D5651" s="425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3" t="s">
        <v>8</v>
      </c>
      <c r="L5651" s="113" t="s">
        <v>193</v>
      </c>
    </row>
    <row r="5652" spans="2:16" ht="17.25" customHeight="1" x14ac:dyDescent="0.25">
      <c r="B5652" s="120">
        <v>1</v>
      </c>
      <c r="C5652" s="407" t="s">
        <v>481</v>
      </c>
      <c r="D5652" s="408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>E5652*I5652</f>
        <v>6155</v>
      </c>
      <c r="O5652" s="44"/>
      <c r="P5652" s="45"/>
    </row>
    <row r="5653" spans="2:16" x14ac:dyDescent="0.3">
      <c r="B5653" s="74"/>
      <c r="C5653" s="409"/>
      <c r="D5653" s="409"/>
      <c r="E5653" s="114"/>
      <c r="F5653" s="83"/>
      <c r="G5653" s="74"/>
      <c r="I5653" s="115">
        <f>IF(C5653=0,0,VLOOKUP(C5653,Tabla1[],3,FALSE))</f>
        <v>0</v>
      </c>
      <c r="K5653" s="84">
        <f t="shared" ref="K5653:K5661" si="154">+F5653*I5653</f>
        <v>0</v>
      </c>
      <c r="L5653" s="116">
        <f t="shared" ref="L5653:L5661" si="155">E5653*I5653</f>
        <v>0</v>
      </c>
    </row>
    <row r="5654" spans="2:16" x14ac:dyDescent="0.3">
      <c r="B5654" s="74"/>
      <c r="C5654" s="409"/>
      <c r="D5654" s="409"/>
      <c r="E5654" s="114"/>
      <c r="F5654" s="83"/>
      <c r="G5654" s="74"/>
      <c r="I5654" s="115">
        <f>IF(C5654=0,0,VLOOKUP(C5654,Tabla1[],3,FALSE))</f>
        <v>0</v>
      </c>
      <c r="K5654" s="84">
        <f t="shared" si="154"/>
        <v>0</v>
      </c>
      <c r="L5654" s="116">
        <f t="shared" si="155"/>
        <v>0</v>
      </c>
    </row>
    <row r="5655" spans="2:16" x14ac:dyDescent="0.3">
      <c r="B5655" s="74"/>
      <c r="C5655" s="409"/>
      <c r="D5655" s="409"/>
      <c r="E5655" s="114"/>
      <c r="F5655" s="83"/>
      <c r="G5655" s="74"/>
      <c r="I5655" s="115">
        <f>IF(C5655=0,0,VLOOKUP(C5655,Tabla1[],3,FALSE))</f>
        <v>0</v>
      </c>
      <c r="K5655" s="84">
        <f t="shared" si="154"/>
        <v>0</v>
      </c>
      <c r="L5655" s="116">
        <f t="shared" si="155"/>
        <v>0</v>
      </c>
    </row>
    <row r="5656" spans="2:16" x14ac:dyDescent="0.3">
      <c r="B5656" s="74"/>
      <c r="C5656" s="410"/>
      <c r="D5656" s="410"/>
      <c r="E5656" s="114"/>
      <c r="F5656" s="83"/>
      <c r="G5656" s="74"/>
      <c r="I5656" s="115">
        <f>IF(C5656=0,0,VLOOKUP(C5656,Tabla1[],3,FALSE))</f>
        <v>0</v>
      </c>
      <c r="K5656" s="84">
        <f t="shared" si="154"/>
        <v>0</v>
      </c>
      <c r="L5656" s="116">
        <f t="shared" si="155"/>
        <v>0</v>
      </c>
    </row>
    <row r="5657" spans="2:16" x14ac:dyDescent="0.3">
      <c r="B5657" s="74"/>
      <c r="C5657" s="410"/>
      <c r="D5657" s="410"/>
      <c r="E5657" s="114"/>
      <c r="F5657" s="72"/>
      <c r="G5657" s="74"/>
      <c r="I5657" s="115">
        <f>IF(C5657=0,0,VLOOKUP(C5657,Tabla1[],3,FALSE))</f>
        <v>0</v>
      </c>
      <c r="K5657" s="84">
        <f t="shared" si="154"/>
        <v>0</v>
      </c>
      <c r="L5657" s="116">
        <f t="shared" si="155"/>
        <v>0</v>
      </c>
    </row>
    <row r="5658" spans="2:16" x14ac:dyDescent="0.3">
      <c r="B5658" s="74"/>
      <c r="C5658" s="410"/>
      <c r="D5658" s="410"/>
      <c r="E5658" s="114"/>
      <c r="F5658" s="72"/>
      <c r="G5658" s="74"/>
      <c r="I5658" s="115">
        <f>IF(C5658=0,0,VLOOKUP(C5658,Tabla1[],3,FALSE))</f>
        <v>0</v>
      </c>
      <c r="K5658" s="84">
        <f t="shared" si="154"/>
        <v>0</v>
      </c>
      <c r="L5658" s="116">
        <f t="shared" si="155"/>
        <v>0</v>
      </c>
    </row>
    <row r="5659" spans="2:16" x14ac:dyDescent="0.3">
      <c r="B5659" s="74"/>
      <c r="C5659" s="410"/>
      <c r="D5659" s="410"/>
      <c r="E5659" s="114"/>
      <c r="F5659" s="72"/>
      <c r="G5659" s="74"/>
      <c r="I5659" s="115">
        <f>IF(C5659=0,0,VLOOKUP(C5659,Tabla1[],3,FALSE))</f>
        <v>0</v>
      </c>
      <c r="K5659" s="84">
        <f t="shared" si="154"/>
        <v>0</v>
      </c>
      <c r="L5659" s="116">
        <f t="shared" si="155"/>
        <v>0</v>
      </c>
    </row>
    <row r="5660" spans="2:16" x14ac:dyDescent="0.3">
      <c r="B5660" s="74"/>
      <c r="C5660" s="410"/>
      <c r="D5660" s="410"/>
      <c r="E5660" s="114"/>
      <c r="F5660" s="72"/>
      <c r="G5660" s="74"/>
      <c r="I5660" s="115">
        <f>IF(C5660=0,0,VLOOKUP(C5660,Tabla1[],3,FALSE))</f>
        <v>0</v>
      </c>
      <c r="K5660" s="84">
        <f t="shared" si="154"/>
        <v>0</v>
      </c>
      <c r="L5660" s="116">
        <f t="shared" si="155"/>
        <v>0</v>
      </c>
    </row>
    <row r="5661" spans="2:16" x14ac:dyDescent="0.3">
      <c r="B5661" s="74"/>
      <c r="C5661" s="410"/>
      <c r="D5661" s="410"/>
      <c r="E5661" s="114"/>
      <c r="F5661" s="72"/>
      <c r="G5661" s="74"/>
      <c r="I5661" s="115">
        <f>IF(C5661=0,0,VLOOKUP(C5661,Tabla1[],3,FALSE))</f>
        <v>0</v>
      </c>
      <c r="K5661" s="84">
        <f t="shared" si="154"/>
        <v>0</v>
      </c>
      <c r="L5661" s="116">
        <f t="shared" si="155"/>
        <v>0</v>
      </c>
    </row>
    <row r="5662" spans="2:16" ht="17.25" thickBot="1" x14ac:dyDescent="0.35"/>
    <row r="5663" spans="2:16" ht="17.25" thickBot="1" x14ac:dyDescent="0.35">
      <c r="F5663" s="402" t="s">
        <v>9</v>
      </c>
      <c r="G5663" s="403"/>
      <c r="H5663" s="403"/>
      <c r="I5663" s="404"/>
      <c r="K5663" s="224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413" t="s">
        <v>11</v>
      </c>
      <c r="D5665" s="413"/>
      <c r="E5665" s="413"/>
      <c r="F5665" s="413"/>
      <c r="G5665" s="414"/>
    </row>
    <row r="5666" spans="2:12" x14ac:dyDescent="0.3">
      <c r="B5666" s="112" t="s">
        <v>6</v>
      </c>
      <c r="C5666" s="415" t="s">
        <v>1</v>
      </c>
      <c r="D5666" s="416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409"/>
      <c r="D5667" s="409"/>
      <c r="E5667" s="114"/>
      <c r="F5667" s="83"/>
      <c r="G5667" s="74"/>
      <c r="I5667" s="115">
        <f>IF(C5667=0,0,VLOOKUP(C5667,Tabla3[],3,FALSE))</f>
        <v>0</v>
      </c>
      <c r="K5667" s="84">
        <f>+F5667*I5667</f>
        <v>0</v>
      </c>
      <c r="L5667" s="116">
        <f>E5667*I5667</f>
        <v>0</v>
      </c>
    </row>
    <row r="5668" spans="2:12" x14ac:dyDescent="0.3">
      <c r="B5668" s="74"/>
      <c r="C5668" s="202"/>
      <c r="D5668" s="203"/>
      <c r="E5668" s="119"/>
      <c r="F5668" s="72"/>
      <c r="G5668" s="74"/>
      <c r="I5668" s="115">
        <f>IF(C5668=0,0,VLOOKUP(C5668,Tabla3[],3,FALSE))</f>
        <v>0</v>
      </c>
      <c r="K5668" s="84">
        <f>+F5668*I5668</f>
        <v>0</v>
      </c>
      <c r="L5668" s="116">
        <f>E5668*I5668</f>
        <v>0</v>
      </c>
    </row>
    <row r="5669" spans="2:12" x14ac:dyDescent="0.3">
      <c r="B5669" s="74"/>
      <c r="C5669" s="202"/>
      <c r="D5669" s="203"/>
      <c r="E5669" s="119"/>
      <c r="F5669" s="72"/>
      <c r="G5669" s="74"/>
      <c r="I5669" s="115">
        <f>IF(C5669=0,0,VLOOKUP(C5669,Tabla3[],3,FALSE))</f>
        <v>0</v>
      </c>
      <c r="K5669" s="84">
        <f>+F5669*I5669</f>
        <v>0</v>
      </c>
      <c r="L5669" s="116">
        <f>E5669*I5669</f>
        <v>0</v>
      </c>
    </row>
    <row r="5670" spans="2:12" x14ac:dyDescent="0.3">
      <c r="B5670" s="74"/>
      <c r="C5670" s="411"/>
      <c r="D5670" s="412"/>
      <c r="E5670" s="119"/>
      <c r="F5670" s="72"/>
      <c r="G5670" s="74"/>
      <c r="I5670" s="115">
        <f>IF(C5670=0,0,VLOOKUP(C5670,Tabla3[],3,FALSE))</f>
        <v>0</v>
      </c>
      <c r="K5670" s="84">
        <f>+F5670*I5670</f>
        <v>0</v>
      </c>
      <c r="L5670" s="116">
        <f>E5670*I5670</f>
        <v>0</v>
      </c>
    </row>
    <row r="5671" spans="2:12" ht="17.25" thickBot="1" x14ac:dyDescent="0.35"/>
    <row r="5672" spans="2:12" ht="17.25" thickBot="1" x14ac:dyDescent="0.35">
      <c r="F5672" s="402" t="s">
        <v>12</v>
      </c>
      <c r="G5672" s="403"/>
      <c r="H5672" s="403"/>
      <c r="I5672" s="404"/>
      <c r="K5672" s="224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413" t="s">
        <v>14</v>
      </c>
      <c r="D5674" s="413"/>
      <c r="E5674" s="413"/>
      <c r="F5674" s="413"/>
      <c r="G5674" s="414"/>
    </row>
    <row r="5675" spans="2:12" x14ac:dyDescent="0.3">
      <c r="B5675" s="112" t="s">
        <v>6</v>
      </c>
      <c r="C5675" s="415" t="s">
        <v>1</v>
      </c>
      <c r="D5675" s="416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409" t="s">
        <v>341</v>
      </c>
      <c r="D5676" s="409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409"/>
      <c r="D5677" s="409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417"/>
      <c r="D5678" s="418"/>
      <c r="E5678" s="122"/>
      <c r="F5678" s="123"/>
      <c r="G5678" s="74"/>
      <c r="I5678" s="115">
        <f>IF(C5678=0,0,VLOOKUP(C5678,Tabla2[],3,FALSE))</f>
        <v>0</v>
      </c>
      <c r="K5678" s="84">
        <f>+F5678*I5678</f>
        <v>0</v>
      </c>
      <c r="L5678" s="116">
        <f>E5678*I5678</f>
        <v>0</v>
      </c>
    </row>
    <row r="5679" spans="2:12" ht="17.25" thickBot="1" x14ac:dyDescent="0.35">
      <c r="B5679" s="419" t="s">
        <v>15</v>
      </c>
      <c r="C5679" s="420"/>
      <c r="D5679" s="420"/>
      <c r="E5679" s="420"/>
      <c r="F5679" s="420"/>
      <c r="G5679" s="421"/>
      <c r="I5679" s="84">
        <v>0</v>
      </c>
      <c r="K5679" s="84">
        <v>0</v>
      </c>
      <c r="L5679" s="116">
        <f>E5679*I5679</f>
        <v>0</v>
      </c>
    </row>
    <row r="5680" spans="2:12" ht="17.25" thickBot="1" x14ac:dyDescent="0.35"/>
    <row r="5681" spans="2:16" ht="17.25" thickBot="1" x14ac:dyDescent="0.35">
      <c r="F5681" s="402" t="s">
        <v>16</v>
      </c>
      <c r="G5681" s="403"/>
      <c r="H5681" s="403"/>
      <c r="I5681" s="404"/>
      <c r="K5681" s="224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413" t="s">
        <v>18</v>
      </c>
      <c r="D5683" s="413"/>
      <c r="E5683" s="413"/>
      <c r="F5683" s="413"/>
      <c r="G5683" s="414"/>
    </row>
    <row r="5684" spans="2:16" x14ac:dyDescent="0.3">
      <c r="B5684" s="112" t="s">
        <v>6</v>
      </c>
      <c r="C5684" s="415" t="s">
        <v>1</v>
      </c>
      <c r="D5684" s="416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411"/>
      <c r="D5685" s="412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411"/>
      <c r="D5686" s="412"/>
      <c r="E5686" s="125"/>
      <c r="F5686" s="72"/>
      <c r="G5686" s="74"/>
      <c r="I5686" s="84">
        <v>0</v>
      </c>
      <c r="K5686" s="84">
        <f>+F5686*I5686</f>
        <v>0</v>
      </c>
      <c r="L5686" s="116">
        <f>E5686*I5686</f>
        <v>0</v>
      </c>
    </row>
    <row r="5687" spans="2:16" x14ac:dyDescent="0.3">
      <c r="B5687" s="74"/>
      <c r="C5687" s="411"/>
      <c r="D5687" s="412"/>
      <c r="E5687" s="125"/>
      <c r="F5687" s="72"/>
      <c r="G5687" s="74"/>
      <c r="I5687" s="84">
        <v>0</v>
      </c>
      <c r="K5687" s="84">
        <f>+F5687*I5687</f>
        <v>0</v>
      </c>
      <c r="L5687" s="116">
        <f>E5687*I5687</f>
        <v>0</v>
      </c>
    </row>
    <row r="5688" spans="2:16" ht="17.25" thickBot="1" x14ac:dyDescent="0.35">
      <c r="L5688" s="116"/>
    </row>
    <row r="5689" spans="2:16" ht="17.25" thickBot="1" x14ac:dyDescent="0.35">
      <c r="F5689" s="402" t="s">
        <v>19</v>
      </c>
      <c r="G5689" s="403"/>
      <c r="H5689" s="403"/>
      <c r="I5689" s="404"/>
      <c r="K5689" s="224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127"/>
      <c r="H5690" s="128"/>
      <c r="I5690" s="106"/>
      <c r="K5690" s="225"/>
    </row>
    <row r="5691" spans="2:16" ht="15" customHeight="1" thickBot="1" x14ac:dyDescent="0.35"/>
    <row r="5692" spans="2:16" ht="17.25" thickBot="1" x14ac:dyDescent="0.35">
      <c r="F5692" s="402" t="s">
        <v>20</v>
      </c>
      <c r="G5692" s="403"/>
      <c r="H5692" s="403"/>
      <c r="I5692" s="404"/>
      <c r="K5692" s="224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402" t="s">
        <v>21</v>
      </c>
      <c r="G5694" s="403"/>
      <c r="H5694" s="403"/>
      <c r="I5694" s="404"/>
      <c r="K5694" s="224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402" t="s">
        <v>22</v>
      </c>
      <c r="G5696" s="403"/>
      <c r="H5696" s="403"/>
      <c r="I5696" s="404"/>
      <c r="K5696" s="224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127"/>
      <c r="H5697" s="128"/>
      <c r="I5697" s="106"/>
      <c r="K5697" s="226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127"/>
      <c r="H5698" s="128"/>
      <c r="I5698" s="106"/>
      <c r="K5698" s="227"/>
      <c r="L5698" s="129"/>
      <c r="M5698" s="132"/>
      <c r="N5698" s="133"/>
    </row>
    <row r="5699" spans="1:16" ht="17.25" thickBot="1" x14ac:dyDescent="0.35">
      <c r="B5699" s="405"/>
      <c r="C5699" s="405"/>
      <c r="D5699" s="405"/>
    </row>
    <row r="5700" spans="1:16" x14ac:dyDescent="0.3">
      <c r="B5700" s="406" t="s">
        <v>23</v>
      </c>
      <c r="C5700" s="406"/>
      <c r="D5700" s="406"/>
    </row>
    <row r="5701" spans="1:16" x14ac:dyDescent="0.3">
      <c r="B5701" s="155"/>
      <c r="C5701" s="155"/>
      <c r="D5701" s="155"/>
    </row>
    <row r="5702" spans="1:16" x14ac:dyDescent="0.3">
      <c r="B5702" s="155"/>
      <c r="C5702" s="155"/>
      <c r="D5702" s="155"/>
      <c r="F5702" s="77"/>
      <c r="J5702" s="78"/>
      <c r="N5702" s="144"/>
    </row>
    <row r="5703" spans="1:16" x14ac:dyDescent="0.3">
      <c r="B5703" s="103" t="s">
        <v>43</v>
      </c>
      <c r="C5703" s="104"/>
      <c r="D5703" s="422" t="s">
        <v>1</v>
      </c>
      <c r="E5703" s="422"/>
      <c r="F5703" s="422"/>
      <c r="G5703" s="422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09">
        <f>CATALOGO!B163</f>
        <v>1401.01</v>
      </c>
      <c r="C5704" s="71"/>
      <c r="D5704" s="423" t="str">
        <f>CATALOGO!C163</f>
        <v>ASTA PARA BANDERA</v>
      </c>
      <c r="E5704" s="423"/>
      <c r="F5704" s="423"/>
      <c r="G5704" s="423"/>
      <c r="H5704" s="71"/>
      <c r="I5704" s="209">
        <f>CATALOGO!D163</f>
        <v>1</v>
      </c>
      <c r="J5704" s="107"/>
      <c r="K5704" s="222" t="str">
        <f>CATALOGO!G163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413" t="s">
        <v>5</v>
      </c>
      <c r="D5706" s="413"/>
      <c r="E5706" s="413"/>
      <c r="F5706" s="413"/>
      <c r="G5706" s="414"/>
      <c r="J5706" s="78"/>
      <c r="N5706" s="144"/>
    </row>
    <row r="5707" spans="1:16" s="20" customFormat="1" x14ac:dyDescent="0.3">
      <c r="A5707" s="53"/>
      <c r="B5707" s="109" t="s">
        <v>6</v>
      </c>
      <c r="C5707" s="424" t="s">
        <v>1</v>
      </c>
      <c r="D5707" s="425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3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407" t="s">
        <v>168</v>
      </c>
      <c r="D5708" s="408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407" t="s">
        <v>213</v>
      </c>
      <c r="D5709" s="408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156">+F5709*I5709</f>
        <v>480</v>
      </c>
      <c r="L5709" s="116">
        <f t="shared" ref="L5709:L5717" si="157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407" t="s">
        <v>72</v>
      </c>
      <c r="D5710" s="408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156"/>
        <v>125</v>
      </c>
      <c r="L5710" s="116">
        <f t="shared" si="157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407" t="s">
        <v>229</v>
      </c>
      <c r="D5711" s="408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156"/>
        <v>125</v>
      </c>
      <c r="L5711" s="116">
        <f t="shared" si="157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407" t="s">
        <v>179</v>
      </c>
      <c r="D5712" s="408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156"/>
        <v>900</v>
      </c>
      <c r="L5712" s="116">
        <f t="shared" si="157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407" t="s">
        <v>368</v>
      </c>
      <c r="D5713" s="408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156"/>
        <v>24</v>
      </c>
      <c r="L5713" s="116">
        <f t="shared" si="157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407" t="s">
        <v>117</v>
      </c>
      <c r="D5714" s="408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156"/>
        <v>550</v>
      </c>
      <c r="L5714" s="116">
        <f t="shared" si="157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430" t="s">
        <v>195</v>
      </c>
      <c r="D5715" s="429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156"/>
        <v>200</v>
      </c>
      <c r="L5715" s="116">
        <f t="shared" si="157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430" t="s">
        <v>174</v>
      </c>
      <c r="D5716" s="429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156"/>
        <v>11</v>
      </c>
      <c r="L5716" s="116">
        <f t="shared" si="157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430"/>
      <c r="D5717" s="429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156"/>
        <v>0</v>
      </c>
      <c r="L5717" s="116">
        <f t="shared" si="157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402" t="s">
        <v>9</v>
      </c>
      <c r="G5719" s="403"/>
      <c r="H5719" s="403"/>
      <c r="I5719" s="404"/>
      <c r="J5719" s="78"/>
      <c r="K5719" s="224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413" t="s">
        <v>11</v>
      </c>
      <c r="D5721" s="413"/>
      <c r="E5721" s="413"/>
      <c r="F5721" s="413"/>
      <c r="G5721" s="414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415" t="s">
        <v>1</v>
      </c>
      <c r="D5722" s="416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409"/>
      <c r="D5723" s="409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431"/>
      <c r="D5724" s="432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>+F5724*I5724</f>
        <v>0</v>
      </c>
      <c r="L5724" s="116">
        <f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431"/>
      <c r="D5725" s="432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>+F5725*I5725</f>
        <v>0</v>
      </c>
      <c r="L5725" s="116">
        <f>E5725*I5725</f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411"/>
      <c r="D5726" s="412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>+F5726*I5726</f>
        <v>0</v>
      </c>
      <c r="L5726" s="116">
        <f>E5726*I5726</f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402" t="s">
        <v>12</v>
      </c>
      <c r="G5728" s="403"/>
      <c r="H5728" s="403"/>
      <c r="I5728" s="404"/>
      <c r="J5728" s="78"/>
      <c r="K5728" s="224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413" t="s">
        <v>14</v>
      </c>
      <c r="D5730" s="413"/>
      <c r="E5730" s="413"/>
      <c r="F5730" s="413"/>
      <c r="G5730" s="414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415" t="s">
        <v>1</v>
      </c>
      <c r="D5731" s="416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409" t="s">
        <v>406</v>
      </c>
      <c r="D5732" s="409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409"/>
      <c r="D5733" s="409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>+F5733*I5733</f>
        <v>0</v>
      </c>
      <c r="L5733" s="116">
        <f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417"/>
      <c r="D5734" s="418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>+F5734*I5734</f>
        <v>0</v>
      </c>
      <c r="L5734" s="116">
        <f>E5734*I5734</f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419" t="s">
        <v>15</v>
      </c>
      <c r="C5735" s="420"/>
      <c r="D5735" s="420"/>
      <c r="E5735" s="420"/>
      <c r="F5735" s="420"/>
      <c r="G5735" s="421"/>
      <c r="H5735" s="17"/>
      <c r="I5735" s="84">
        <v>0</v>
      </c>
      <c r="J5735" s="78"/>
      <c r="K5735" s="84">
        <v>0</v>
      </c>
      <c r="L5735" s="116">
        <f>E5735*I5735</f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402" t="s">
        <v>16</v>
      </c>
      <c r="G5737" s="403"/>
      <c r="H5737" s="403"/>
      <c r="I5737" s="404"/>
      <c r="J5737" s="78"/>
      <c r="K5737" s="224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413" t="s">
        <v>18</v>
      </c>
      <c r="D5739" s="413"/>
      <c r="E5739" s="413"/>
      <c r="F5739" s="413"/>
      <c r="G5739" s="414"/>
      <c r="J5739" s="78"/>
      <c r="N5739" s="144"/>
    </row>
    <row r="5740" spans="1:16" x14ac:dyDescent="0.3">
      <c r="B5740" s="112" t="s">
        <v>6</v>
      </c>
      <c r="C5740" s="415" t="s">
        <v>1</v>
      </c>
      <c r="D5740" s="416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411"/>
      <c r="D5741" s="412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411"/>
      <c r="D5742" s="412"/>
      <c r="E5742" s="125"/>
      <c r="F5742" s="74"/>
      <c r="G5742" s="74"/>
      <c r="I5742" s="84">
        <v>0</v>
      </c>
      <c r="J5742" s="78"/>
      <c r="K5742" s="84">
        <f>+F5742*I5742</f>
        <v>0</v>
      </c>
      <c r="L5742" s="116">
        <f>E5742*I5742</f>
        <v>0</v>
      </c>
      <c r="N5742" s="144"/>
    </row>
    <row r="5743" spans="1:16" x14ac:dyDescent="0.3">
      <c r="B5743" s="74"/>
      <c r="C5743" s="411"/>
      <c r="D5743" s="412"/>
      <c r="E5743" s="125"/>
      <c r="F5743" s="74"/>
      <c r="G5743" s="74"/>
      <c r="I5743" s="84">
        <v>0</v>
      </c>
      <c r="J5743" s="78"/>
      <c r="K5743" s="84">
        <f>+F5743*I5743</f>
        <v>0</v>
      </c>
      <c r="L5743" s="116">
        <f>E5743*I5743</f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402" t="s">
        <v>19</v>
      </c>
      <c r="G5745" s="403"/>
      <c r="H5745" s="403"/>
      <c r="I5745" s="404"/>
      <c r="J5745" s="78"/>
      <c r="K5745" s="224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127"/>
      <c r="G5746" s="127"/>
      <c r="H5746" s="128"/>
      <c r="I5746" s="106"/>
      <c r="J5746" s="78"/>
      <c r="K5746" s="225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402" t="s">
        <v>20</v>
      </c>
      <c r="G5748" s="403"/>
      <c r="H5748" s="403"/>
      <c r="I5748" s="404"/>
      <c r="J5748" s="78"/>
      <c r="K5748" s="224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402" t="s">
        <v>21</v>
      </c>
      <c r="G5750" s="403"/>
      <c r="H5750" s="403"/>
      <c r="I5750" s="404"/>
      <c r="J5750" s="78"/>
      <c r="K5750" s="224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402" t="s">
        <v>22</v>
      </c>
      <c r="G5752" s="403"/>
      <c r="H5752" s="403"/>
      <c r="I5752" s="404"/>
      <c r="J5752" s="78"/>
      <c r="K5752" s="224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127"/>
      <c r="G5753" s="127"/>
      <c r="H5753" s="128"/>
      <c r="I5753" s="106"/>
      <c r="J5753" s="78"/>
      <c r="K5753" s="226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127"/>
      <c r="G5754" s="127"/>
      <c r="H5754" s="128"/>
      <c r="I5754" s="106"/>
      <c r="J5754" s="78"/>
      <c r="K5754" s="227"/>
      <c r="L5754" s="129"/>
      <c r="M5754" s="132"/>
      <c r="N5754" s="148"/>
    </row>
    <row r="5755" spans="1:16" ht="17.25" thickBot="1" x14ac:dyDescent="0.35">
      <c r="B5755" s="405"/>
      <c r="C5755" s="405"/>
      <c r="D5755" s="405"/>
      <c r="F5755" s="77"/>
      <c r="J5755" s="78"/>
      <c r="N5755" s="144"/>
    </row>
    <row r="5756" spans="1:16" x14ac:dyDescent="0.3">
      <c r="B5756" s="406" t="s">
        <v>23</v>
      </c>
      <c r="C5756" s="406"/>
      <c r="D5756" s="406"/>
      <c r="F5756" s="77"/>
      <c r="J5756" s="78"/>
      <c r="N5756" s="144"/>
    </row>
    <row r="5757" spans="1:16" x14ac:dyDescent="0.3">
      <c r="B5757" s="155"/>
      <c r="C5757" s="155"/>
      <c r="D5757" s="155"/>
      <c r="F5757" s="77"/>
      <c r="J5757" s="78"/>
      <c r="N5757" s="144"/>
    </row>
    <row r="5758" spans="1:16" x14ac:dyDescent="0.3">
      <c r="B5758" s="155"/>
      <c r="C5758" s="155"/>
      <c r="D5758" s="155"/>
      <c r="F5758" s="77"/>
      <c r="J5758" s="78"/>
      <c r="N5758" s="144"/>
    </row>
    <row r="5759" spans="1:16" x14ac:dyDescent="0.3">
      <c r="B5759" s="103" t="s">
        <v>43</v>
      </c>
      <c r="C5759" s="104"/>
      <c r="D5759" s="422" t="s">
        <v>1</v>
      </c>
      <c r="E5759" s="422"/>
      <c r="F5759" s="422"/>
      <c r="G5759" s="422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09">
        <f>CATALOGO!B164</f>
        <v>1413.06</v>
      </c>
      <c r="C5760" s="71"/>
      <c r="D5760" s="423" t="str">
        <f>CATALOGO!C164</f>
        <v>MURO PERIMETRAL DE 0.15m, H=2.0m</v>
      </c>
      <c r="E5760" s="423"/>
      <c r="F5760" s="423"/>
      <c r="G5760" s="423"/>
      <c r="H5760" s="71"/>
      <c r="I5760" s="209">
        <f>CATALOGO!D164</f>
        <v>30</v>
      </c>
      <c r="J5760" s="107"/>
      <c r="K5760" s="222" t="str">
        <f>CATALOGO!G164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413" t="s">
        <v>5</v>
      </c>
      <c r="D5762" s="413"/>
      <c r="E5762" s="413"/>
      <c r="F5762" s="413"/>
      <c r="G5762" s="414"/>
      <c r="J5762" s="78"/>
      <c r="N5762" s="144"/>
    </row>
    <row r="5763" spans="1:16" s="20" customFormat="1" x14ac:dyDescent="0.3">
      <c r="A5763" s="53"/>
      <c r="B5763" s="109" t="s">
        <v>6</v>
      </c>
      <c r="C5763" s="424" t="s">
        <v>1</v>
      </c>
      <c r="D5763" s="425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3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407" t="s">
        <v>168</v>
      </c>
      <c r="D5764" s="408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407" t="s">
        <v>213</v>
      </c>
      <c r="D5765" s="408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158">+F5765*I5765</f>
        <v>160</v>
      </c>
      <c r="L5765" s="116">
        <f t="shared" ref="L5765:L5773" si="159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407" t="s">
        <v>72</v>
      </c>
      <c r="D5766" s="408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158"/>
        <v>75</v>
      </c>
      <c r="L5766" s="116">
        <f t="shared" si="159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407" t="s">
        <v>229</v>
      </c>
      <c r="D5767" s="408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158"/>
        <v>65</v>
      </c>
      <c r="L5767" s="116">
        <f t="shared" si="159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407" t="s">
        <v>179</v>
      </c>
      <c r="D5768" s="408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158"/>
        <v>180</v>
      </c>
      <c r="L5768" s="116">
        <f t="shared" si="159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407" t="s">
        <v>368</v>
      </c>
      <c r="D5769" s="408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158"/>
        <v>24</v>
      </c>
      <c r="L5769" s="116">
        <f t="shared" si="159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407" t="s">
        <v>274</v>
      </c>
      <c r="D5770" s="408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158"/>
        <v>240</v>
      </c>
      <c r="L5770" s="116">
        <f t="shared" si="159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430" t="s">
        <v>312</v>
      </c>
      <c r="D5771" s="429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158"/>
        <v>50</v>
      </c>
      <c r="L5771" s="116">
        <f t="shared" si="159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430" t="s">
        <v>174</v>
      </c>
      <c r="D5772" s="429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158"/>
        <v>6</v>
      </c>
      <c r="L5772" s="116">
        <f t="shared" si="159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430"/>
      <c r="D5773" s="429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158"/>
        <v>0</v>
      </c>
      <c r="L5773" s="116">
        <f t="shared" si="159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402" t="s">
        <v>9</v>
      </c>
      <c r="G5775" s="403"/>
      <c r="H5775" s="403"/>
      <c r="I5775" s="404"/>
      <c r="J5775" s="78"/>
      <c r="K5775" s="224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413" t="s">
        <v>11</v>
      </c>
      <c r="D5777" s="413"/>
      <c r="E5777" s="413"/>
      <c r="F5777" s="413"/>
      <c r="G5777" s="414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415" t="s">
        <v>1</v>
      </c>
      <c r="D5778" s="416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409"/>
      <c r="D5779" s="409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431"/>
      <c r="D5780" s="432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>+F5780*I5780</f>
        <v>0</v>
      </c>
      <c r="L5780" s="116">
        <f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431"/>
      <c r="D5781" s="432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>+F5781*I5781</f>
        <v>0</v>
      </c>
      <c r="L5781" s="116">
        <f>E5781*I5781</f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411"/>
      <c r="D5782" s="412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>+F5782*I5782</f>
        <v>0</v>
      </c>
      <c r="L5782" s="116">
        <f>E5782*I5782</f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402" t="s">
        <v>12</v>
      </c>
      <c r="G5784" s="403"/>
      <c r="H5784" s="403"/>
      <c r="I5784" s="404"/>
      <c r="J5784" s="78"/>
      <c r="K5784" s="224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413" t="s">
        <v>14</v>
      </c>
      <c r="D5786" s="413"/>
      <c r="E5786" s="413"/>
      <c r="F5786" s="413"/>
      <c r="G5786" s="414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415" t="s">
        <v>1</v>
      </c>
      <c r="D5787" s="416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409" t="s">
        <v>489</v>
      </c>
      <c r="D5788" s="409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409"/>
      <c r="D5789" s="409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>+F5789*I5789</f>
        <v>0</v>
      </c>
      <c r="L5789" s="116">
        <f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417"/>
      <c r="D5790" s="418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>+F5790*I5790</f>
        <v>0</v>
      </c>
      <c r="L5790" s="116">
        <f>E5790*I5790</f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419" t="s">
        <v>15</v>
      </c>
      <c r="C5791" s="420"/>
      <c r="D5791" s="420"/>
      <c r="E5791" s="420"/>
      <c r="F5791" s="420"/>
      <c r="G5791" s="421"/>
      <c r="H5791" s="17"/>
      <c r="I5791" s="84">
        <v>0</v>
      </c>
      <c r="J5791" s="78"/>
      <c r="K5791" s="84">
        <v>0</v>
      </c>
      <c r="L5791" s="116">
        <f>E5791*I5791</f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402" t="s">
        <v>16</v>
      </c>
      <c r="G5793" s="403"/>
      <c r="H5793" s="403"/>
      <c r="I5793" s="404"/>
      <c r="J5793" s="78"/>
      <c r="K5793" s="224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413" t="s">
        <v>18</v>
      </c>
      <c r="D5795" s="413"/>
      <c r="E5795" s="413"/>
      <c r="F5795" s="413"/>
      <c r="G5795" s="414"/>
      <c r="J5795" s="78"/>
      <c r="N5795" s="144"/>
    </row>
    <row r="5796" spans="1:16" x14ac:dyDescent="0.3">
      <c r="B5796" s="112" t="s">
        <v>6</v>
      </c>
      <c r="C5796" s="415" t="s">
        <v>1</v>
      </c>
      <c r="D5796" s="416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411"/>
      <c r="D5797" s="412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411"/>
      <c r="D5798" s="412"/>
      <c r="E5798" s="125"/>
      <c r="F5798" s="74"/>
      <c r="G5798" s="74"/>
      <c r="I5798" s="84">
        <v>0</v>
      </c>
      <c r="J5798" s="78"/>
      <c r="K5798" s="84">
        <f>+F5798*I5798</f>
        <v>0</v>
      </c>
      <c r="L5798" s="116">
        <f>E5798*I5798</f>
        <v>0</v>
      </c>
      <c r="N5798" s="144"/>
    </row>
    <row r="5799" spans="1:16" x14ac:dyDescent="0.3">
      <c r="B5799" s="74"/>
      <c r="C5799" s="411"/>
      <c r="D5799" s="412"/>
      <c r="E5799" s="125"/>
      <c r="F5799" s="74"/>
      <c r="G5799" s="74"/>
      <c r="I5799" s="84">
        <v>0</v>
      </c>
      <c r="J5799" s="78"/>
      <c r="K5799" s="84">
        <f>+F5799*I5799</f>
        <v>0</v>
      </c>
      <c r="L5799" s="116">
        <f>E5799*I5799</f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402" t="s">
        <v>19</v>
      </c>
      <c r="G5801" s="403"/>
      <c r="H5801" s="403"/>
      <c r="I5801" s="404"/>
      <c r="J5801" s="78"/>
      <c r="K5801" s="224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127"/>
      <c r="G5802" s="127"/>
      <c r="H5802" s="128"/>
      <c r="I5802" s="106"/>
      <c r="J5802" s="78"/>
      <c r="K5802" s="225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402" t="s">
        <v>20</v>
      </c>
      <c r="G5804" s="403"/>
      <c r="H5804" s="403"/>
      <c r="I5804" s="404"/>
      <c r="J5804" s="78"/>
      <c r="K5804" s="224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402" t="s">
        <v>21</v>
      </c>
      <c r="G5806" s="403"/>
      <c r="H5806" s="403"/>
      <c r="I5806" s="404"/>
      <c r="J5806" s="78"/>
      <c r="K5806" s="224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402" t="s">
        <v>22</v>
      </c>
      <c r="G5808" s="403"/>
      <c r="H5808" s="403"/>
      <c r="I5808" s="404"/>
      <c r="J5808" s="78"/>
      <c r="K5808" s="224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127"/>
      <c r="G5809" s="127"/>
      <c r="H5809" s="128"/>
      <c r="I5809" s="106"/>
      <c r="J5809" s="78"/>
      <c r="K5809" s="226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127"/>
      <c r="G5810" s="127"/>
      <c r="H5810" s="128"/>
      <c r="I5810" s="106"/>
      <c r="J5810" s="78"/>
      <c r="K5810" s="227"/>
      <c r="L5810" s="129"/>
      <c r="M5810" s="132"/>
      <c r="N5810" s="148"/>
    </row>
    <row r="5811" spans="2:14" ht="17.25" thickBot="1" x14ac:dyDescent="0.35">
      <c r="B5811" s="405"/>
      <c r="C5811" s="405"/>
      <c r="D5811" s="405"/>
      <c r="F5811" s="77"/>
      <c r="J5811" s="78"/>
      <c r="N5811" s="144"/>
    </row>
    <row r="5812" spans="2:14" x14ac:dyDescent="0.3">
      <c r="B5812" s="406" t="s">
        <v>23</v>
      </c>
      <c r="C5812" s="406"/>
      <c r="D5812" s="406"/>
      <c r="F5812" s="77"/>
      <c r="J5812" s="78"/>
      <c r="N5812" s="144"/>
    </row>
    <row r="5813" spans="2:14" x14ac:dyDescent="0.3">
      <c r="B5813" s="155"/>
      <c r="C5813" s="155"/>
      <c r="D5813" s="155"/>
      <c r="F5813" s="77"/>
      <c r="J5813" s="78"/>
      <c r="N5813" s="144"/>
    </row>
  </sheetData>
  <sheetProtection algorithmName="SHA-512" hashValue="uWVNtY3s4SyN8sOLzl7b5z1/H6HTvzbpCM5YzdSB03r4jgkmQp5k61KZVaxptkJiPOyJKc8XEtavvJFBxBtpmA==" saltValue="LbBmF7s0QL6MZL7lMbptmQ==" spinCount="100000" sheet="1" objects="1" scenarios="1"/>
  <mergeCells count="4060">
    <mergeCell ref="F749:I749"/>
    <mergeCell ref="B752:D752"/>
    <mergeCell ref="B753:D753"/>
    <mergeCell ref="B5623:G5623"/>
    <mergeCell ref="F5625:I5625"/>
    <mergeCell ref="C5627:G5627"/>
    <mergeCell ref="C5628:D5628"/>
    <mergeCell ref="C5629:D5629"/>
    <mergeCell ref="C5630:D5630"/>
    <mergeCell ref="C5631:D5631"/>
    <mergeCell ref="F5633:I5633"/>
    <mergeCell ref="F5636:I5636"/>
    <mergeCell ref="F5638:I5638"/>
    <mergeCell ref="F5640:I5640"/>
    <mergeCell ref="B5643:D5643"/>
    <mergeCell ref="B5644:D5644"/>
    <mergeCell ref="C5621:D5621"/>
    <mergeCell ref="C5622:D5622"/>
    <mergeCell ref="C5598:D5598"/>
    <mergeCell ref="C5599:D5599"/>
    <mergeCell ref="C5441:G5441"/>
    <mergeCell ref="C5443:D5443"/>
    <mergeCell ref="C5444:D5444"/>
    <mergeCell ref="C5445:D5445"/>
    <mergeCell ref="C5446:D5446"/>
    <mergeCell ref="F5448:I5448"/>
    <mergeCell ref="C5450:G5450"/>
    <mergeCell ref="C5451:D5451"/>
    <mergeCell ref="C5452:D5452"/>
    <mergeCell ref="C5453:D5453"/>
    <mergeCell ref="C5454:D5454"/>
    <mergeCell ref="C5600:D5600"/>
    <mergeCell ref="D701:G701"/>
    <mergeCell ref="C703:G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F716:I716"/>
    <mergeCell ref="C718:G718"/>
    <mergeCell ref="C719:D719"/>
    <mergeCell ref="F747:I747"/>
    <mergeCell ref="C5601:D5601"/>
    <mergeCell ref="C5602:D5602"/>
    <mergeCell ref="C5603:D5603"/>
    <mergeCell ref="C5604:D5604"/>
    <mergeCell ref="C5605:D5605"/>
    <mergeCell ref="F5607:I5607"/>
    <mergeCell ref="C5609:G5609"/>
    <mergeCell ref="C5610:D5610"/>
    <mergeCell ref="C5611:D5611"/>
    <mergeCell ref="C5614:D5614"/>
    <mergeCell ref="F5616:I5616"/>
    <mergeCell ref="C5618:G5618"/>
    <mergeCell ref="C5619:D5619"/>
    <mergeCell ref="C5620:D5620"/>
    <mergeCell ref="C5463:D5463"/>
    <mergeCell ref="F5465:I5465"/>
    <mergeCell ref="F5470:I5470"/>
    <mergeCell ref="F5472:I5472"/>
    <mergeCell ref="B5475:D5475"/>
    <mergeCell ref="B5476:D5476"/>
    <mergeCell ref="D5479:G5479"/>
    <mergeCell ref="D5480:G5480"/>
    <mergeCell ref="C5482:G5482"/>
    <mergeCell ref="D5591:G5591"/>
    <mergeCell ref="D5592:G5592"/>
    <mergeCell ref="C5594:G5594"/>
    <mergeCell ref="C5595:D5595"/>
    <mergeCell ref="C5596:D5596"/>
    <mergeCell ref="C5597:D5597"/>
    <mergeCell ref="C5491:D5491"/>
    <mergeCell ref="C5492:D5492"/>
    <mergeCell ref="C5486:D5486"/>
    <mergeCell ref="O5427:P5427"/>
    <mergeCell ref="C5434:D5434"/>
    <mergeCell ref="C5435:D5435"/>
    <mergeCell ref="C5436:D5436"/>
    <mergeCell ref="C5437:D5437"/>
    <mergeCell ref="F5439:I5439"/>
    <mergeCell ref="F5360:I5360"/>
    <mergeCell ref="B5363:D5363"/>
    <mergeCell ref="B5364:D5364"/>
    <mergeCell ref="D5367:G5367"/>
    <mergeCell ref="D5368:G5368"/>
    <mergeCell ref="C5370:G5370"/>
    <mergeCell ref="O5371:P5371"/>
    <mergeCell ref="C5376:D5376"/>
    <mergeCell ref="C5380:D5380"/>
    <mergeCell ref="C5381:D5381"/>
    <mergeCell ref="F5383:I5383"/>
    <mergeCell ref="C5385:G5385"/>
    <mergeCell ref="C5389:D5389"/>
    <mergeCell ref="C5390:D5390"/>
    <mergeCell ref="F5392:I5392"/>
    <mergeCell ref="C5394:G5394"/>
    <mergeCell ref="C5398:D5398"/>
    <mergeCell ref="B5399:G5399"/>
    <mergeCell ref="F5401:I5401"/>
    <mergeCell ref="C5403:G5403"/>
    <mergeCell ref="C5407:D5407"/>
    <mergeCell ref="F5409:I5409"/>
    <mergeCell ref="F5412:I5412"/>
    <mergeCell ref="F5414:I5414"/>
    <mergeCell ref="F5416:I5416"/>
    <mergeCell ref="B5420:D5420"/>
    <mergeCell ref="C5331:D5331"/>
    <mergeCell ref="C5332:D5332"/>
    <mergeCell ref="F5336:I5336"/>
    <mergeCell ref="C5338:G5338"/>
    <mergeCell ref="C5339:D5339"/>
    <mergeCell ref="C5340:D5340"/>
    <mergeCell ref="C5341:D5341"/>
    <mergeCell ref="B5343:G5343"/>
    <mergeCell ref="F5345:I5345"/>
    <mergeCell ref="C5347:G5347"/>
    <mergeCell ref="C5348:D5348"/>
    <mergeCell ref="C5349:D5349"/>
    <mergeCell ref="C5350:D5350"/>
    <mergeCell ref="C5351:D5351"/>
    <mergeCell ref="F5353:I5353"/>
    <mergeCell ref="F5356:I5356"/>
    <mergeCell ref="F5358:I5358"/>
    <mergeCell ref="C5295:D5295"/>
    <mergeCell ref="F5300:I5300"/>
    <mergeCell ref="F5302:I5302"/>
    <mergeCell ref="F5304:I5304"/>
    <mergeCell ref="B5307:D5307"/>
    <mergeCell ref="B5308:D5308"/>
    <mergeCell ref="D5311:G5311"/>
    <mergeCell ref="D5312:G5312"/>
    <mergeCell ref="C5314:G5314"/>
    <mergeCell ref="O5315:P5315"/>
    <mergeCell ref="C5320:D5320"/>
    <mergeCell ref="C5321:D5321"/>
    <mergeCell ref="C5322:D5322"/>
    <mergeCell ref="C5323:D5323"/>
    <mergeCell ref="F5327:I5327"/>
    <mergeCell ref="C5329:G5329"/>
    <mergeCell ref="C5330:D5330"/>
    <mergeCell ref="C5315:D5315"/>
    <mergeCell ref="C5316:D5316"/>
    <mergeCell ref="C5317:D5317"/>
    <mergeCell ref="C5318:D5318"/>
    <mergeCell ref="C5319:D5319"/>
    <mergeCell ref="C5324:D5324"/>
    <mergeCell ref="C5325:D5325"/>
    <mergeCell ref="C5241:D5241"/>
    <mergeCell ref="C5242:D5242"/>
    <mergeCell ref="F5247:I5247"/>
    <mergeCell ref="F5249:I5249"/>
    <mergeCell ref="F5251:I5251"/>
    <mergeCell ref="B5254:D5254"/>
    <mergeCell ref="B5255:D5255"/>
    <mergeCell ref="D5258:G5258"/>
    <mergeCell ref="D5259:G5259"/>
    <mergeCell ref="C5261:G5261"/>
    <mergeCell ref="O5262:P5262"/>
    <mergeCell ref="C5267:D5267"/>
    <mergeCell ref="C5268:D5268"/>
    <mergeCell ref="C5269:D5269"/>
    <mergeCell ref="F5271:I5271"/>
    <mergeCell ref="C5273:G5273"/>
    <mergeCell ref="C5276:D5276"/>
    <mergeCell ref="F5244:I5244"/>
    <mergeCell ref="C5215:D5215"/>
    <mergeCell ref="C5216:D5216"/>
    <mergeCell ref="F5218:I5218"/>
    <mergeCell ref="C5220:G5220"/>
    <mergeCell ref="C5223:D5223"/>
    <mergeCell ref="C5224:D5224"/>
    <mergeCell ref="C5225:D5225"/>
    <mergeCell ref="F5227:I5227"/>
    <mergeCell ref="C5229:G5229"/>
    <mergeCell ref="C5230:D5230"/>
    <mergeCell ref="C5231:D5231"/>
    <mergeCell ref="C5232:D5232"/>
    <mergeCell ref="C5233:D5233"/>
    <mergeCell ref="B5234:G5234"/>
    <mergeCell ref="F5236:I5236"/>
    <mergeCell ref="C5238:G5238"/>
    <mergeCell ref="C5240:D5240"/>
    <mergeCell ref="C5221:D5221"/>
    <mergeCell ref="C5222:D5222"/>
    <mergeCell ref="C5239:D5239"/>
    <mergeCell ref="F5185:I5185"/>
    <mergeCell ref="C5187:G5187"/>
    <mergeCell ref="C5188:D5188"/>
    <mergeCell ref="C5189:D5189"/>
    <mergeCell ref="C5190:D5190"/>
    <mergeCell ref="C5191:D5191"/>
    <mergeCell ref="F5193:I5193"/>
    <mergeCell ref="F5196:I5196"/>
    <mergeCell ref="F5198:I5198"/>
    <mergeCell ref="F5200:I5200"/>
    <mergeCell ref="B5203:D5203"/>
    <mergeCell ref="B5204:D5204"/>
    <mergeCell ref="D5207:G5207"/>
    <mergeCell ref="D5208:G5208"/>
    <mergeCell ref="C5210:G5210"/>
    <mergeCell ref="O5211:P5211"/>
    <mergeCell ref="C5214:D5214"/>
    <mergeCell ref="C5212:D5212"/>
    <mergeCell ref="C5213:D5213"/>
    <mergeCell ref="C5211:D5211"/>
    <mergeCell ref="C5163:D5163"/>
    <mergeCell ref="C5164:D5164"/>
    <mergeCell ref="C5165:D5165"/>
    <mergeCell ref="F5167:I5167"/>
    <mergeCell ref="C5169:G5169"/>
    <mergeCell ref="C5170:D5170"/>
    <mergeCell ref="C5171:D5171"/>
    <mergeCell ref="C5172:D5172"/>
    <mergeCell ref="C5173:D5173"/>
    <mergeCell ref="C5174:D5174"/>
    <mergeCell ref="F5176:I5176"/>
    <mergeCell ref="C5178:G5178"/>
    <mergeCell ref="C5179:D5179"/>
    <mergeCell ref="C5180:D5180"/>
    <mergeCell ref="C5181:D5181"/>
    <mergeCell ref="C5182:D5182"/>
    <mergeCell ref="B5183:G5183"/>
    <mergeCell ref="F5140:I5140"/>
    <mergeCell ref="F5142:I5142"/>
    <mergeCell ref="F5144:I5144"/>
    <mergeCell ref="B5147:D5147"/>
    <mergeCell ref="B5148:D5148"/>
    <mergeCell ref="D5151:G5151"/>
    <mergeCell ref="D5152:G5152"/>
    <mergeCell ref="C5154:G5154"/>
    <mergeCell ref="C5155:D5155"/>
    <mergeCell ref="O5155:P5155"/>
    <mergeCell ref="C5156:D5156"/>
    <mergeCell ref="C5157:D5157"/>
    <mergeCell ref="C5158:D5158"/>
    <mergeCell ref="C5159:D5159"/>
    <mergeCell ref="C5160:D5160"/>
    <mergeCell ref="C5161:D5161"/>
    <mergeCell ref="C5162:D5162"/>
    <mergeCell ref="O4885:P4885"/>
    <mergeCell ref="F4893:I4893"/>
    <mergeCell ref="C4895:G4895"/>
    <mergeCell ref="C4896:D4896"/>
    <mergeCell ref="C4899:D4899"/>
    <mergeCell ref="C4900:D4900"/>
    <mergeCell ref="F4902:I4902"/>
    <mergeCell ref="C5013:D5013"/>
    <mergeCell ref="C5014:D5014"/>
    <mergeCell ref="B5015:G5015"/>
    <mergeCell ref="F5017:I5017"/>
    <mergeCell ref="C5019:G5019"/>
    <mergeCell ref="C5020:D5020"/>
    <mergeCell ref="D5095:G5095"/>
    <mergeCell ref="D5096:G5096"/>
    <mergeCell ref="C5098:G5098"/>
    <mergeCell ref="C5105:D5105"/>
    <mergeCell ref="C5076:D5076"/>
    <mergeCell ref="F5081:I5081"/>
    <mergeCell ref="F5084:I5084"/>
    <mergeCell ref="F5086:I5086"/>
    <mergeCell ref="F5088:I5088"/>
    <mergeCell ref="B5091:D5091"/>
    <mergeCell ref="C5021:D5021"/>
    <mergeCell ref="C5022:D5022"/>
    <mergeCell ref="C5023:D5023"/>
    <mergeCell ref="F5025:I5025"/>
    <mergeCell ref="F5028:I5028"/>
    <mergeCell ref="F5030:I5030"/>
    <mergeCell ref="B5035:D5035"/>
    <mergeCell ref="B5036:D5036"/>
    <mergeCell ref="D5039:G5039"/>
    <mergeCell ref="O4937:P4937"/>
    <mergeCell ref="F4943:I4943"/>
    <mergeCell ref="C4945:G4945"/>
    <mergeCell ref="C4949:D4949"/>
    <mergeCell ref="C4950:D4950"/>
    <mergeCell ref="F4952:I4952"/>
    <mergeCell ref="C4992:D4992"/>
    <mergeCell ref="C4993:D4993"/>
    <mergeCell ref="F4999:I4999"/>
    <mergeCell ref="C4954:G4954"/>
    <mergeCell ref="C4955:D4955"/>
    <mergeCell ref="C4956:D4956"/>
    <mergeCell ref="C4958:D4958"/>
    <mergeCell ref="B4959:G4959"/>
    <mergeCell ref="F4961:I4961"/>
    <mergeCell ref="C4963:G4963"/>
    <mergeCell ref="C4966:D4966"/>
    <mergeCell ref="F4976:I4976"/>
    <mergeCell ref="C4965:D4965"/>
    <mergeCell ref="C4967:D4967"/>
    <mergeCell ref="F4969:I4969"/>
    <mergeCell ref="F4972:I4972"/>
    <mergeCell ref="F4974:I4974"/>
    <mergeCell ref="B4979:D4979"/>
    <mergeCell ref="C4964:D4964"/>
    <mergeCell ref="O4832:P4832"/>
    <mergeCell ref="C4833:D4833"/>
    <mergeCell ref="C4834:D4834"/>
    <mergeCell ref="C4835:D4835"/>
    <mergeCell ref="C4836:D4836"/>
    <mergeCell ref="C4837:D4837"/>
    <mergeCell ref="C4838:D4838"/>
    <mergeCell ref="C4844:D4844"/>
    <mergeCell ref="C4845:D4845"/>
    <mergeCell ref="C4846:D4846"/>
    <mergeCell ref="C4847:D4847"/>
    <mergeCell ref="C4853:D4853"/>
    <mergeCell ref="C4854:D4854"/>
    <mergeCell ref="C4855:D4855"/>
    <mergeCell ref="C4862:D4862"/>
    <mergeCell ref="C4863:D4863"/>
    <mergeCell ref="C4864:D4864"/>
    <mergeCell ref="C4839:D4839"/>
    <mergeCell ref="F4841:I4841"/>
    <mergeCell ref="F4788:I4788"/>
    <mergeCell ref="C4790:G4790"/>
    <mergeCell ref="C4793:D4793"/>
    <mergeCell ref="C4794:D4794"/>
    <mergeCell ref="C4795:D4795"/>
    <mergeCell ref="F4797:I4797"/>
    <mergeCell ref="C4799:G4799"/>
    <mergeCell ref="C4801:D4801"/>
    <mergeCell ref="C4802:D4802"/>
    <mergeCell ref="C4803:D4803"/>
    <mergeCell ref="B4804:G4804"/>
    <mergeCell ref="F4806:I4806"/>
    <mergeCell ref="C4808:G4808"/>
    <mergeCell ref="C4810:D4810"/>
    <mergeCell ref="C4811:D4811"/>
    <mergeCell ref="C4812:D4812"/>
    <mergeCell ref="D4828:G4828"/>
    <mergeCell ref="F4819:I4819"/>
    <mergeCell ref="F4821:I4821"/>
    <mergeCell ref="B4824:D4824"/>
    <mergeCell ref="B4825:D4825"/>
    <mergeCell ref="D4829:G4829"/>
    <mergeCell ref="C4831:G4831"/>
    <mergeCell ref="C4832:D4832"/>
    <mergeCell ref="B4877:D4877"/>
    <mergeCell ref="D4933:G4933"/>
    <mergeCell ref="C4936:G4936"/>
    <mergeCell ref="C4937:D4937"/>
    <mergeCell ref="F4817:I4817"/>
    <mergeCell ref="C4809:D4809"/>
    <mergeCell ref="F4814:I4814"/>
    <mergeCell ref="D4934:G4934"/>
    <mergeCell ref="C4941:D4941"/>
    <mergeCell ref="C4957:D4957"/>
    <mergeCell ref="C4738:D4738"/>
    <mergeCell ref="C4739:D4739"/>
    <mergeCell ref="F4741:I4741"/>
    <mergeCell ref="C4743:G4743"/>
    <mergeCell ref="C4746:D4746"/>
    <mergeCell ref="C4747:D4747"/>
    <mergeCell ref="B4748:G4748"/>
    <mergeCell ref="F4750:I4750"/>
    <mergeCell ref="C4752:G4752"/>
    <mergeCell ref="C4755:D4755"/>
    <mergeCell ref="C4756:D4756"/>
    <mergeCell ref="F4758:I4758"/>
    <mergeCell ref="F4765:I4765"/>
    <mergeCell ref="B4768:D4768"/>
    <mergeCell ref="B4769:D4769"/>
    <mergeCell ref="D4772:G4772"/>
    <mergeCell ref="D4773:G4773"/>
    <mergeCell ref="F4761:I4761"/>
    <mergeCell ref="F4763:I4763"/>
    <mergeCell ref="C4753:D4753"/>
    <mergeCell ref="C4744:D4744"/>
    <mergeCell ref="C4745:D4745"/>
    <mergeCell ref="C4754:D4754"/>
    <mergeCell ref="F4705:I4705"/>
    <mergeCell ref="F4709:I4709"/>
    <mergeCell ref="B4712:D4712"/>
    <mergeCell ref="B4713:D4713"/>
    <mergeCell ref="D4716:G4716"/>
    <mergeCell ref="D4717:G4717"/>
    <mergeCell ref="C4719:G4719"/>
    <mergeCell ref="C4720:D4720"/>
    <mergeCell ref="O4720:P4720"/>
    <mergeCell ref="C4721:D4721"/>
    <mergeCell ref="C4722:D4722"/>
    <mergeCell ref="C4723:D4723"/>
    <mergeCell ref="C4724:D4724"/>
    <mergeCell ref="C4729:D4729"/>
    <mergeCell ref="C4730:D4730"/>
    <mergeCell ref="F4732:I4732"/>
    <mergeCell ref="C4734:G4734"/>
    <mergeCell ref="C4728:D4728"/>
    <mergeCell ref="C4726:D4726"/>
    <mergeCell ref="C4727:D4727"/>
    <mergeCell ref="F4707:I4707"/>
    <mergeCell ref="C4725:D4725"/>
    <mergeCell ref="C4680:D4680"/>
    <mergeCell ref="C4681:D4681"/>
    <mergeCell ref="C4682:D4682"/>
    <mergeCell ref="C4683:D4683"/>
    <mergeCell ref="F4685:I4685"/>
    <mergeCell ref="C4687:G4687"/>
    <mergeCell ref="C4689:D4689"/>
    <mergeCell ref="C4690:D4690"/>
    <mergeCell ref="C4691:D4691"/>
    <mergeCell ref="B4692:G4692"/>
    <mergeCell ref="F4694:I4694"/>
    <mergeCell ref="C4696:G4696"/>
    <mergeCell ref="C4697:D4697"/>
    <mergeCell ref="C4698:D4698"/>
    <mergeCell ref="C4699:D4699"/>
    <mergeCell ref="C4700:D4700"/>
    <mergeCell ref="F4702:I4702"/>
    <mergeCell ref="C4688:D4688"/>
    <mergeCell ref="F4653:I4653"/>
    <mergeCell ref="B4656:D4656"/>
    <mergeCell ref="B4657:D4657"/>
    <mergeCell ref="D4660:G4660"/>
    <mergeCell ref="D4661:G4661"/>
    <mergeCell ref="C4663:G4663"/>
    <mergeCell ref="C4664:D4664"/>
    <mergeCell ref="O4664:P4664"/>
    <mergeCell ref="C4665:D4665"/>
    <mergeCell ref="C4666:D4666"/>
    <mergeCell ref="C4667:D4667"/>
    <mergeCell ref="C4668:D4668"/>
    <mergeCell ref="C4669:D4669"/>
    <mergeCell ref="C4670:D4670"/>
    <mergeCell ref="C4671:D4671"/>
    <mergeCell ref="F4676:I4676"/>
    <mergeCell ref="C4678:G4678"/>
    <mergeCell ref="C4673:D4673"/>
    <mergeCell ref="C4674:D4674"/>
    <mergeCell ref="C4613:D4613"/>
    <mergeCell ref="C4614:D4614"/>
    <mergeCell ref="C4615:D4615"/>
    <mergeCell ref="C4616:D4616"/>
    <mergeCell ref="C4617:D4617"/>
    <mergeCell ref="C4618:D4618"/>
    <mergeCell ref="F4620:I4620"/>
    <mergeCell ref="C4622:G4622"/>
    <mergeCell ref="C4627:D4627"/>
    <mergeCell ref="F4629:I4629"/>
    <mergeCell ref="C4631:G4631"/>
    <mergeCell ref="B4636:G4636"/>
    <mergeCell ref="F4638:I4638"/>
    <mergeCell ref="C4640:G4640"/>
    <mergeCell ref="C4644:D4644"/>
    <mergeCell ref="F4649:I4649"/>
    <mergeCell ref="F4651:I4651"/>
    <mergeCell ref="C4624:D4624"/>
    <mergeCell ref="C4625:D4625"/>
    <mergeCell ref="C4626:D4626"/>
    <mergeCell ref="C4643:D4643"/>
    <mergeCell ref="F4646:I4646"/>
    <mergeCell ref="C4585:D4585"/>
    <mergeCell ref="C4586:D4586"/>
    <mergeCell ref="F4590:I4590"/>
    <mergeCell ref="F4593:I4593"/>
    <mergeCell ref="F4595:I4595"/>
    <mergeCell ref="F4597:I4597"/>
    <mergeCell ref="B4600:D4600"/>
    <mergeCell ref="B4601:D4601"/>
    <mergeCell ref="D4604:G4604"/>
    <mergeCell ref="D4605:G4605"/>
    <mergeCell ref="C4607:G4607"/>
    <mergeCell ref="C4608:D4608"/>
    <mergeCell ref="O4608:P4608"/>
    <mergeCell ref="C4609:D4609"/>
    <mergeCell ref="C4610:D4610"/>
    <mergeCell ref="C4611:D4611"/>
    <mergeCell ref="C4612:D4612"/>
    <mergeCell ref="C4587:D4587"/>
    <mergeCell ref="C4588:D4588"/>
    <mergeCell ref="C4560:D4560"/>
    <mergeCell ref="C4561:D4561"/>
    <mergeCell ref="C4562:D4562"/>
    <mergeCell ref="F4564:I4564"/>
    <mergeCell ref="C4566:G4566"/>
    <mergeCell ref="C4567:D4567"/>
    <mergeCell ref="C4568:D4568"/>
    <mergeCell ref="C4569:D4569"/>
    <mergeCell ref="C4570:D4570"/>
    <mergeCell ref="C4571:D4571"/>
    <mergeCell ref="F4573:I4573"/>
    <mergeCell ref="C4575:G4575"/>
    <mergeCell ref="C4576:D4576"/>
    <mergeCell ref="C4577:D4577"/>
    <mergeCell ref="B4580:G4580"/>
    <mergeCell ref="F4582:I4582"/>
    <mergeCell ref="C4584:G4584"/>
    <mergeCell ref="C4579:D4579"/>
    <mergeCell ref="C4578:D4578"/>
    <mergeCell ref="F4513:I4513"/>
    <mergeCell ref="C4515:G4515"/>
    <mergeCell ref="B4529:G4529"/>
    <mergeCell ref="F4539:I4539"/>
    <mergeCell ref="F4542:I4542"/>
    <mergeCell ref="F4544:I4544"/>
    <mergeCell ref="F4546:I4546"/>
    <mergeCell ref="B4549:D4549"/>
    <mergeCell ref="B4550:D4550"/>
    <mergeCell ref="D4553:G4553"/>
    <mergeCell ref="D4554:G4554"/>
    <mergeCell ref="C4556:G4556"/>
    <mergeCell ref="C4557:D4557"/>
    <mergeCell ref="O4557:P4557"/>
    <mergeCell ref="C4558:D4558"/>
    <mergeCell ref="C4559:D4559"/>
    <mergeCell ref="C4511:D4511"/>
    <mergeCell ref="C4516:D4516"/>
    <mergeCell ref="C4517:D4517"/>
    <mergeCell ref="C4518:D4518"/>
    <mergeCell ref="C4519:D4519"/>
    <mergeCell ref="C4520:D4520"/>
    <mergeCell ref="F4522:I4522"/>
    <mergeCell ref="C4524:G4524"/>
    <mergeCell ref="C4535:D4535"/>
    <mergeCell ref="C4536:D4536"/>
    <mergeCell ref="C4537:D4537"/>
    <mergeCell ref="C4526:D4526"/>
    <mergeCell ref="C4527:D4527"/>
    <mergeCell ref="B4478:G4478"/>
    <mergeCell ref="F4480:I4480"/>
    <mergeCell ref="C4482:G4482"/>
    <mergeCell ref="C4483:D4483"/>
    <mergeCell ref="C4484:D4484"/>
    <mergeCell ref="F4488:I4488"/>
    <mergeCell ref="F4491:I4491"/>
    <mergeCell ref="B4498:D4498"/>
    <mergeCell ref="B4499:D4499"/>
    <mergeCell ref="D4502:G4502"/>
    <mergeCell ref="D4503:G4503"/>
    <mergeCell ref="C4505:G4505"/>
    <mergeCell ref="C4506:D4506"/>
    <mergeCell ref="O4506:P4506"/>
    <mergeCell ref="C4476:D4476"/>
    <mergeCell ref="C4507:D4507"/>
    <mergeCell ref="C4477:D4477"/>
    <mergeCell ref="F4462:I4462"/>
    <mergeCell ref="C4464:G4464"/>
    <mergeCell ref="C4465:D4465"/>
    <mergeCell ref="C4466:D4466"/>
    <mergeCell ref="F4471:I4471"/>
    <mergeCell ref="C4458:D4458"/>
    <mergeCell ref="C4459:D4459"/>
    <mergeCell ref="C4460:D4460"/>
    <mergeCell ref="C4467:D4467"/>
    <mergeCell ref="C4473:G4473"/>
    <mergeCell ref="C4474:D4474"/>
    <mergeCell ref="C4468:D4468"/>
    <mergeCell ref="C4469:D4469"/>
    <mergeCell ref="C4475:D4475"/>
    <mergeCell ref="C4432:D4432"/>
    <mergeCell ref="C4433:D4433"/>
    <mergeCell ref="F4435:I4435"/>
    <mergeCell ref="F4438:I4438"/>
    <mergeCell ref="F4442:I4442"/>
    <mergeCell ref="B4445:D4445"/>
    <mergeCell ref="B4446:D4446"/>
    <mergeCell ref="D4449:G4449"/>
    <mergeCell ref="D4450:G4450"/>
    <mergeCell ref="C4452:G4452"/>
    <mergeCell ref="C4453:D4453"/>
    <mergeCell ref="O4453:P4453"/>
    <mergeCell ref="C4454:D4454"/>
    <mergeCell ref="F4440:I4440"/>
    <mergeCell ref="C4455:D4455"/>
    <mergeCell ref="C4456:D4456"/>
    <mergeCell ref="C4457:D4457"/>
    <mergeCell ref="C4414:D4414"/>
    <mergeCell ref="C4415:D4415"/>
    <mergeCell ref="C4416:D4416"/>
    <mergeCell ref="F4418:I4418"/>
    <mergeCell ref="C4420:G4420"/>
    <mergeCell ref="C4422:D4422"/>
    <mergeCell ref="C4423:D4423"/>
    <mergeCell ref="C4424:D4424"/>
    <mergeCell ref="B4425:G4425"/>
    <mergeCell ref="F4427:I4427"/>
    <mergeCell ref="C4429:G4429"/>
    <mergeCell ref="C4430:D4430"/>
    <mergeCell ref="C4431:D4431"/>
    <mergeCell ref="O4349:P4349"/>
    <mergeCell ref="C4350:D4350"/>
    <mergeCell ref="F4386:I4386"/>
    <mergeCell ref="F4388:I4388"/>
    <mergeCell ref="F4390:I4390"/>
    <mergeCell ref="B4393:D4393"/>
    <mergeCell ref="B4394:D4394"/>
    <mergeCell ref="D4397:G4397"/>
    <mergeCell ref="D4398:G4398"/>
    <mergeCell ref="C4400:G4400"/>
    <mergeCell ref="C4401:D4401"/>
    <mergeCell ref="O4401:P4401"/>
    <mergeCell ref="C4402:D4402"/>
    <mergeCell ref="C4403:D4403"/>
    <mergeCell ref="C4404:D4404"/>
    <mergeCell ref="C4405:D4405"/>
    <mergeCell ref="F4409:I4409"/>
    <mergeCell ref="C4355:D4355"/>
    <mergeCell ref="F4357:I4357"/>
    <mergeCell ref="C4359:G4359"/>
    <mergeCell ref="C4360:D4360"/>
    <mergeCell ref="C4361:D4361"/>
    <mergeCell ref="C4362:D4362"/>
    <mergeCell ref="C4363:D4363"/>
    <mergeCell ref="C4369:D4369"/>
    <mergeCell ref="C4370:D4370"/>
    <mergeCell ref="C4371:D4371"/>
    <mergeCell ref="C4372:D4372"/>
    <mergeCell ref="C4351:D4351"/>
    <mergeCell ref="C4352:D4352"/>
    <mergeCell ref="C4353:D4353"/>
    <mergeCell ref="C4354:D4354"/>
    <mergeCell ref="F4323:I4323"/>
    <mergeCell ref="C4325:G4325"/>
    <mergeCell ref="C4326:D4326"/>
    <mergeCell ref="C4327:D4327"/>
    <mergeCell ref="C4328:D4328"/>
    <mergeCell ref="C4329:D4329"/>
    <mergeCell ref="F4331:I4331"/>
    <mergeCell ref="F4334:I4334"/>
    <mergeCell ref="F4338:I4338"/>
    <mergeCell ref="B4341:D4341"/>
    <mergeCell ref="B4342:D4342"/>
    <mergeCell ref="D4345:G4345"/>
    <mergeCell ref="D4346:G4346"/>
    <mergeCell ref="C4348:G4348"/>
    <mergeCell ref="C4349:D4349"/>
    <mergeCell ref="C4270:D4270"/>
    <mergeCell ref="B4272:G4272"/>
    <mergeCell ref="F4274:I4274"/>
    <mergeCell ref="C4276:G4276"/>
    <mergeCell ref="C4277:D4277"/>
    <mergeCell ref="C4278:D4278"/>
    <mergeCell ref="C4279:D4279"/>
    <mergeCell ref="F4282:I4282"/>
    <mergeCell ref="F4287:I4287"/>
    <mergeCell ref="F4289:I4289"/>
    <mergeCell ref="B4292:D4292"/>
    <mergeCell ref="B4293:D4293"/>
    <mergeCell ref="F4336:I4336"/>
    <mergeCell ref="C4271:D4271"/>
    <mergeCell ref="C4280:D4280"/>
    <mergeCell ref="D4296:G4296"/>
    <mergeCell ref="D4297:G4297"/>
    <mergeCell ref="C4299:G4299"/>
    <mergeCell ref="C4300:D4300"/>
    <mergeCell ref="C4301:D4301"/>
    <mergeCell ref="C4302:D4302"/>
    <mergeCell ref="C4303:D4303"/>
    <mergeCell ref="C4308:D4308"/>
    <mergeCell ref="C4317:D4317"/>
    <mergeCell ref="C4319:D4319"/>
    <mergeCell ref="F4305:I4305"/>
    <mergeCell ref="C4307:G4307"/>
    <mergeCell ref="C4309:D4309"/>
    <mergeCell ref="C4312:D4312"/>
    <mergeCell ref="F4314:I4314"/>
    <mergeCell ref="C4316:G4316"/>
    <mergeCell ref="C4318:D4318"/>
    <mergeCell ref="D4245:G4245"/>
    <mergeCell ref="D4246:G4246"/>
    <mergeCell ref="C4248:G4248"/>
    <mergeCell ref="C4249:D4249"/>
    <mergeCell ref="C4250:D4250"/>
    <mergeCell ref="C4251:D4251"/>
    <mergeCell ref="F4256:I4256"/>
    <mergeCell ref="C4258:G4258"/>
    <mergeCell ref="C4259:D4259"/>
    <mergeCell ref="C4260:D4260"/>
    <mergeCell ref="F4265:I4265"/>
    <mergeCell ref="C4267:G4267"/>
    <mergeCell ref="C4268:D4268"/>
    <mergeCell ref="C4269:D4269"/>
    <mergeCell ref="C4263:D4263"/>
    <mergeCell ref="C4252:D4252"/>
    <mergeCell ref="C4254:D4254"/>
    <mergeCell ref="C4217:D4217"/>
    <mergeCell ref="C4218:D4218"/>
    <mergeCell ref="C4219:D4219"/>
    <mergeCell ref="B4221:G4221"/>
    <mergeCell ref="F4223:I4223"/>
    <mergeCell ref="C4225:G4225"/>
    <mergeCell ref="C4226:D4226"/>
    <mergeCell ref="C4227:D4227"/>
    <mergeCell ref="C4228:D4228"/>
    <mergeCell ref="F4231:I4231"/>
    <mergeCell ref="F4236:I4236"/>
    <mergeCell ref="C4220:D4220"/>
    <mergeCell ref="C4229:D4229"/>
    <mergeCell ref="F4234:I4234"/>
    <mergeCell ref="F4238:I4238"/>
    <mergeCell ref="B4241:D4241"/>
    <mergeCell ref="B4242:D4242"/>
    <mergeCell ref="C4194:D4194"/>
    <mergeCell ref="C4195:D4195"/>
    <mergeCell ref="F4205:I4205"/>
    <mergeCell ref="C4207:G4207"/>
    <mergeCell ref="C4208:D4208"/>
    <mergeCell ref="C4209:D4209"/>
    <mergeCell ref="F4214:I4214"/>
    <mergeCell ref="C4216:G4216"/>
    <mergeCell ref="C4197:D4197"/>
    <mergeCell ref="C4198:D4198"/>
    <mergeCell ref="C4199:D4199"/>
    <mergeCell ref="C4200:D4200"/>
    <mergeCell ref="C4201:D4201"/>
    <mergeCell ref="C4202:D4202"/>
    <mergeCell ref="C4203:D4203"/>
    <mergeCell ref="C4212:D4212"/>
    <mergeCell ref="F4178:I4178"/>
    <mergeCell ref="C4196:D4196"/>
    <mergeCell ref="O4143:P4143"/>
    <mergeCell ref="F4149:I4149"/>
    <mergeCell ref="C4151:G4151"/>
    <mergeCell ref="C4152:D4152"/>
    <mergeCell ref="C4153:D4153"/>
    <mergeCell ref="C4154:D4154"/>
    <mergeCell ref="F4158:I4158"/>
    <mergeCell ref="C4160:G4160"/>
    <mergeCell ref="C4161:D4161"/>
    <mergeCell ref="C4162:D4162"/>
    <mergeCell ref="C4163:D4163"/>
    <mergeCell ref="B4165:G4165"/>
    <mergeCell ref="F4167:I4167"/>
    <mergeCell ref="C4169:G4169"/>
    <mergeCell ref="C4170:D4170"/>
    <mergeCell ref="C4171:D4171"/>
    <mergeCell ref="C4172:D4172"/>
    <mergeCell ref="C4144:D4144"/>
    <mergeCell ref="C4145:D4145"/>
    <mergeCell ref="C4146:D4146"/>
    <mergeCell ref="C4147:D4147"/>
    <mergeCell ref="C4155:D4155"/>
    <mergeCell ref="F4076:I4076"/>
    <mergeCell ref="F4078:I4078"/>
    <mergeCell ref="F4080:I4080"/>
    <mergeCell ref="B4083:D4083"/>
    <mergeCell ref="B4084:D4084"/>
    <mergeCell ref="O4091:P4091"/>
    <mergeCell ref="C4095:D4095"/>
    <mergeCell ref="C4096:D4096"/>
    <mergeCell ref="C4097:D4097"/>
    <mergeCell ref="F4099:I4099"/>
    <mergeCell ref="C4101:G4101"/>
    <mergeCell ref="C4102:D4102"/>
    <mergeCell ref="C4104:D4104"/>
    <mergeCell ref="C4105:D4105"/>
    <mergeCell ref="C4106:D4106"/>
    <mergeCell ref="F4108:I4108"/>
    <mergeCell ref="C4110:G4110"/>
    <mergeCell ref="C4042:D4042"/>
    <mergeCell ref="C4045:D4045"/>
    <mergeCell ref="F4047:I4047"/>
    <mergeCell ref="C4049:G4049"/>
    <mergeCell ref="C4050:D4050"/>
    <mergeCell ref="C4051:D4051"/>
    <mergeCell ref="F4056:I4056"/>
    <mergeCell ref="C4058:G4058"/>
    <mergeCell ref="C4059:D4059"/>
    <mergeCell ref="C4060:D4060"/>
    <mergeCell ref="B4063:G4063"/>
    <mergeCell ref="F4065:I4065"/>
    <mergeCell ref="C4067:G4067"/>
    <mergeCell ref="C4068:D4068"/>
    <mergeCell ref="C4069:D4069"/>
    <mergeCell ref="C4070:D4070"/>
    <mergeCell ref="C4071:D4071"/>
    <mergeCell ref="C4043:D4043"/>
    <mergeCell ref="F4020:I4020"/>
    <mergeCell ref="F4022:I4022"/>
    <mergeCell ref="C3996:D3996"/>
    <mergeCell ref="C3997:D3997"/>
    <mergeCell ref="C3998:D3998"/>
    <mergeCell ref="F4024:I4024"/>
    <mergeCell ref="B4027:D4027"/>
    <mergeCell ref="B4028:D4028"/>
    <mergeCell ref="D4031:G4031"/>
    <mergeCell ref="D4032:G4032"/>
    <mergeCell ref="C4034:G4034"/>
    <mergeCell ref="C4035:D4035"/>
    <mergeCell ref="O4035:P4035"/>
    <mergeCell ref="C4036:D4036"/>
    <mergeCell ref="C4039:D4039"/>
    <mergeCell ref="C4040:D4040"/>
    <mergeCell ref="C4041:D4041"/>
    <mergeCell ref="C4013:D4013"/>
    <mergeCell ref="C4014:D4014"/>
    <mergeCell ref="C4015:D4015"/>
    <mergeCell ref="O3979:P3979"/>
    <mergeCell ref="C3983:D3983"/>
    <mergeCell ref="C3984:D3984"/>
    <mergeCell ref="C3985:D3985"/>
    <mergeCell ref="C3986:D3986"/>
    <mergeCell ref="F3991:I3991"/>
    <mergeCell ref="C3993:G3993"/>
    <mergeCell ref="C3994:D3994"/>
    <mergeCell ref="C3995:D3995"/>
    <mergeCell ref="F4000:I4000"/>
    <mergeCell ref="C4002:G4002"/>
    <mergeCell ref="C4003:D4003"/>
    <mergeCell ref="C4004:D4004"/>
    <mergeCell ref="B4007:G4007"/>
    <mergeCell ref="F4009:I4009"/>
    <mergeCell ref="C4011:G4011"/>
    <mergeCell ref="C4012:D4012"/>
    <mergeCell ref="O3923:P3923"/>
    <mergeCell ref="C3924:D3924"/>
    <mergeCell ref="C3925:D3925"/>
    <mergeCell ref="C3926:D3926"/>
    <mergeCell ref="C3927:D3927"/>
    <mergeCell ref="C3928:D3928"/>
    <mergeCell ref="C3929:D3929"/>
    <mergeCell ref="C3932:D3932"/>
    <mergeCell ref="C3933:D3933"/>
    <mergeCell ref="F3935:I3935"/>
    <mergeCell ref="C3937:G3937"/>
    <mergeCell ref="C3942:D3942"/>
    <mergeCell ref="C3950:D3950"/>
    <mergeCell ref="B3951:G3951"/>
    <mergeCell ref="F3953:I3953"/>
    <mergeCell ref="C3955:G3955"/>
    <mergeCell ref="C3959:D3959"/>
    <mergeCell ref="O3867:P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F3879:I3879"/>
    <mergeCell ref="C3881:G3881"/>
    <mergeCell ref="C3884:D3884"/>
    <mergeCell ref="C3885:D3885"/>
    <mergeCell ref="C3886:D3886"/>
    <mergeCell ref="F3888:I3888"/>
    <mergeCell ref="C3890:G3890"/>
    <mergeCell ref="C3893:D3893"/>
    <mergeCell ref="C3882:D3882"/>
    <mergeCell ref="C3883:D3883"/>
    <mergeCell ref="C3891:D3891"/>
    <mergeCell ref="C3892:D3892"/>
    <mergeCell ref="C3876:D3876"/>
    <mergeCell ref="C3877:D3877"/>
    <mergeCell ref="C3820:D3820"/>
    <mergeCell ref="C3821:D3821"/>
    <mergeCell ref="F3823:I3823"/>
    <mergeCell ref="C3825:G3825"/>
    <mergeCell ref="C3829:D3829"/>
    <mergeCell ref="C3838:D3838"/>
    <mergeCell ref="B3839:G3839"/>
    <mergeCell ref="F3849:I3849"/>
    <mergeCell ref="F3852:I3852"/>
    <mergeCell ref="F3854:I3854"/>
    <mergeCell ref="C3826:D3826"/>
    <mergeCell ref="C3827:D3827"/>
    <mergeCell ref="C3828:D3828"/>
    <mergeCell ref="C3835:D3835"/>
    <mergeCell ref="C3836:D3836"/>
    <mergeCell ref="C3837:D3837"/>
    <mergeCell ref="F3841:I3841"/>
    <mergeCell ref="F3781:I3781"/>
    <mergeCell ref="C3783:G3783"/>
    <mergeCell ref="C3787:D3787"/>
    <mergeCell ref="B3788:G3788"/>
    <mergeCell ref="C3775:D3775"/>
    <mergeCell ref="C3776:D3776"/>
    <mergeCell ref="C3777:D3777"/>
    <mergeCell ref="C3784:D3784"/>
    <mergeCell ref="C3785:D3785"/>
    <mergeCell ref="C3786:D3786"/>
    <mergeCell ref="D3813:G3813"/>
    <mergeCell ref="C3815:G3815"/>
    <mergeCell ref="C3816:D3816"/>
    <mergeCell ref="O3816:P3816"/>
    <mergeCell ref="C3817:D3817"/>
    <mergeCell ref="C3818:D3818"/>
    <mergeCell ref="C3819:D3819"/>
    <mergeCell ref="C3793:D3793"/>
    <mergeCell ref="C3794:D3794"/>
    <mergeCell ref="F3805:I3805"/>
    <mergeCell ref="F3790:I3790"/>
    <mergeCell ref="C3792:G3792"/>
    <mergeCell ref="C3795:D3795"/>
    <mergeCell ref="C3796:D3796"/>
    <mergeCell ref="F3798:I3798"/>
    <mergeCell ref="F3801:I3801"/>
    <mergeCell ref="F3803:I3803"/>
    <mergeCell ref="C3733:D3733"/>
    <mergeCell ref="C3734:D3734"/>
    <mergeCell ref="C3736:D3736"/>
    <mergeCell ref="B3737:G3737"/>
    <mergeCell ref="F3739:I3739"/>
    <mergeCell ref="C3741:G3741"/>
    <mergeCell ref="C3744:D3744"/>
    <mergeCell ref="O3765:P3765"/>
    <mergeCell ref="C3766:D3766"/>
    <mergeCell ref="C3767:D3767"/>
    <mergeCell ref="C3768:D3768"/>
    <mergeCell ref="C3769:D3769"/>
    <mergeCell ref="C3770:D3770"/>
    <mergeCell ref="F3772:I3772"/>
    <mergeCell ref="C3774:G3774"/>
    <mergeCell ref="C3778:D3778"/>
    <mergeCell ref="C3779:D3779"/>
    <mergeCell ref="C3745:D3745"/>
    <mergeCell ref="F3747:I3747"/>
    <mergeCell ref="F3750:I3750"/>
    <mergeCell ref="F3752:I3752"/>
    <mergeCell ref="B3757:D3757"/>
    <mergeCell ref="B3758:D3758"/>
    <mergeCell ref="D3761:G3761"/>
    <mergeCell ref="C3764:G3764"/>
    <mergeCell ref="C3765:D3765"/>
    <mergeCell ref="B3701:D3701"/>
    <mergeCell ref="C3687:D3687"/>
    <mergeCell ref="C3688:D3688"/>
    <mergeCell ref="C3689:D3689"/>
    <mergeCell ref="O3709:P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F3721:I3721"/>
    <mergeCell ref="C3723:G3723"/>
    <mergeCell ref="C3727:D3727"/>
    <mergeCell ref="C3719:D3719"/>
    <mergeCell ref="C3724:D3724"/>
    <mergeCell ref="C3725:D3725"/>
    <mergeCell ref="C3726:D3726"/>
    <mergeCell ref="B3702:D3702"/>
    <mergeCell ref="D3705:G3705"/>
    <mergeCell ref="D3706:G3706"/>
    <mergeCell ref="C3708:G3708"/>
    <mergeCell ref="C3709:D3709"/>
    <mergeCell ref="C3660:D3660"/>
    <mergeCell ref="C3661:D3661"/>
    <mergeCell ref="C3662:D3662"/>
    <mergeCell ref="C3663:D3663"/>
    <mergeCell ref="F3665:I3665"/>
    <mergeCell ref="C3667:G3667"/>
    <mergeCell ref="F3674:I3674"/>
    <mergeCell ref="C3676:G3676"/>
    <mergeCell ref="C3677:D3677"/>
    <mergeCell ref="B3681:G3681"/>
    <mergeCell ref="F3683:I3683"/>
    <mergeCell ref="C3685:G3685"/>
    <mergeCell ref="C3686:D3686"/>
    <mergeCell ref="F3691:I3691"/>
    <mergeCell ref="F3694:I3694"/>
    <mergeCell ref="F3696:I3696"/>
    <mergeCell ref="F3698:I3698"/>
    <mergeCell ref="F3635:I3635"/>
    <mergeCell ref="F3638:I3638"/>
    <mergeCell ref="F3642:I3642"/>
    <mergeCell ref="B3645:D3645"/>
    <mergeCell ref="B3646:D3646"/>
    <mergeCell ref="D3649:G3649"/>
    <mergeCell ref="D3650:G3650"/>
    <mergeCell ref="C3652:G3652"/>
    <mergeCell ref="C3653:D3653"/>
    <mergeCell ref="O3653:P3653"/>
    <mergeCell ref="C3654:D3654"/>
    <mergeCell ref="C3655:D3655"/>
    <mergeCell ref="C3656:D3656"/>
    <mergeCell ref="C3657:D3657"/>
    <mergeCell ref="F3531:I3531"/>
    <mergeCell ref="B3534:D3534"/>
    <mergeCell ref="B3535:D3535"/>
    <mergeCell ref="D3593:G3593"/>
    <mergeCell ref="D3594:G3594"/>
    <mergeCell ref="C3596:G3596"/>
    <mergeCell ref="C3597:D3597"/>
    <mergeCell ref="O3597:P3597"/>
    <mergeCell ref="C3598:D3598"/>
    <mergeCell ref="C3599:D3599"/>
    <mergeCell ref="C3600:D3600"/>
    <mergeCell ref="C3601:D3601"/>
    <mergeCell ref="C3602:D3602"/>
    <mergeCell ref="C3603:D3603"/>
    <mergeCell ref="C3604:D3604"/>
    <mergeCell ref="C3575:D3575"/>
    <mergeCell ref="C3576:D3576"/>
    <mergeCell ref="C3577:D3577"/>
    <mergeCell ref="F3579:I3579"/>
    <mergeCell ref="F3582:I3582"/>
    <mergeCell ref="F3584:I3584"/>
    <mergeCell ref="F3586:I3586"/>
    <mergeCell ref="B3589:D3589"/>
    <mergeCell ref="B3590:D3590"/>
    <mergeCell ref="C3573:G3573"/>
    <mergeCell ref="C3574:D3574"/>
    <mergeCell ref="F3507:I3507"/>
    <mergeCell ref="C3509:G3509"/>
    <mergeCell ref="C3510:D3510"/>
    <mergeCell ref="C3511:D3511"/>
    <mergeCell ref="C3512:D3512"/>
    <mergeCell ref="C3513:D3513"/>
    <mergeCell ref="B3514:G3514"/>
    <mergeCell ref="F3516:I3516"/>
    <mergeCell ref="C3518:G3518"/>
    <mergeCell ref="C3519:D3519"/>
    <mergeCell ref="C3520:D3520"/>
    <mergeCell ref="C3521:D3521"/>
    <mergeCell ref="C3522:D3522"/>
    <mergeCell ref="F3529:I3529"/>
    <mergeCell ref="B3569:G3569"/>
    <mergeCell ref="F3571:I3571"/>
    <mergeCell ref="C3504:D3504"/>
    <mergeCell ref="C3505:D3505"/>
    <mergeCell ref="F3524:I3524"/>
    <mergeCell ref="F3527:I3527"/>
    <mergeCell ref="D3484:G3484"/>
    <mergeCell ref="C3486:G3486"/>
    <mergeCell ref="C3487:D3487"/>
    <mergeCell ref="O3487:P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F3476:I3476"/>
    <mergeCell ref="C3496:D3496"/>
    <mergeCell ref="F3498:I3498"/>
    <mergeCell ref="C3500:G3500"/>
    <mergeCell ref="C3501:D3501"/>
    <mergeCell ref="C3502:D3502"/>
    <mergeCell ref="C3503:D3503"/>
    <mergeCell ref="C3458:D3458"/>
    <mergeCell ref="B3459:G3459"/>
    <mergeCell ref="F3461:I3461"/>
    <mergeCell ref="C3463:G3463"/>
    <mergeCell ref="C3464:D3464"/>
    <mergeCell ref="C3466:D3466"/>
    <mergeCell ref="C3467:D3467"/>
    <mergeCell ref="C3455:D3455"/>
    <mergeCell ref="C3456:D3456"/>
    <mergeCell ref="C3449:D3449"/>
    <mergeCell ref="C3450:D3450"/>
    <mergeCell ref="C3465:D3465"/>
    <mergeCell ref="F3472:I3472"/>
    <mergeCell ref="F3474:I3474"/>
    <mergeCell ref="B3479:D3479"/>
    <mergeCell ref="B3480:D3480"/>
    <mergeCell ref="D3483:G3483"/>
    <mergeCell ref="F3469:I3469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F3443:I3443"/>
    <mergeCell ref="C3445:G3445"/>
    <mergeCell ref="C3446:D3446"/>
    <mergeCell ref="C3447:D3447"/>
    <mergeCell ref="C3448:D3448"/>
    <mergeCell ref="F3452:I3452"/>
    <mergeCell ref="C3454:G3454"/>
    <mergeCell ref="C3457:D3457"/>
    <mergeCell ref="C3408:G3408"/>
    <mergeCell ref="C3410:D3410"/>
    <mergeCell ref="C3411:D3411"/>
    <mergeCell ref="C3409:D3409"/>
    <mergeCell ref="C3401:D3401"/>
    <mergeCell ref="C3402:D3402"/>
    <mergeCell ref="C3403:D3403"/>
    <mergeCell ref="F3417:I3417"/>
    <mergeCell ref="F3419:I3419"/>
    <mergeCell ref="F3421:I3421"/>
    <mergeCell ref="B3424:D3424"/>
    <mergeCell ref="B3425:D3425"/>
    <mergeCell ref="D3428:G3428"/>
    <mergeCell ref="D3429:G3429"/>
    <mergeCell ref="C3431:G3431"/>
    <mergeCell ref="C3432:D3432"/>
    <mergeCell ref="O3432:P3432"/>
    <mergeCell ref="C3412:D3412"/>
    <mergeCell ref="F3414:I3414"/>
    <mergeCell ref="O3332:P3332"/>
    <mergeCell ref="C3333:D3333"/>
    <mergeCell ref="C3334:D3334"/>
    <mergeCell ref="C3335:D3335"/>
    <mergeCell ref="C3336:D3336"/>
    <mergeCell ref="F3338:I3338"/>
    <mergeCell ref="C3340:G3340"/>
    <mergeCell ref="F3347:I3347"/>
    <mergeCell ref="C3349:G3349"/>
    <mergeCell ref="C3350:D3350"/>
    <mergeCell ref="C3351:D3351"/>
    <mergeCell ref="B3354:G3354"/>
    <mergeCell ref="F3356:I3356"/>
    <mergeCell ref="C3358:G3358"/>
    <mergeCell ref="C3344:D3344"/>
    <mergeCell ref="C3382:D3382"/>
    <mergeCell ref="O3382:P3382"/>
    <mergeCell ref="F3367:I3367"/>
    <mergeCell ref="C3345:D3345"/>
    <mergeCell ref="F3214:I3214"/>
    <mergeCell ref="F3217:I3217"/>
    <mergeCell ref="F3219:I3219"/>
    <mergeCell ref="F3221:I3221"/>
    <mergeCell ref="B3224:D3224"/>
    <mergeCell ref="B3225:D3225"/>
    <mergeCell ref="D3278:G3278"/>
    <mergeCell ref="D3279:G3279"/>
    <mergeCell ref="C3281:G3281"/>
    <mergeCell ref="C3282:D3282"/>
    <mergeCell ref="O3282:P3282"/>
    <mergeCell ref="F3288:I3288"/>
    <mergeCell ref="C3283:D3283"/>
    <mergeCell ref="C3284:D3284"/>
    <mergeCell ref="C3285:D3285"/>
    <mergeCell ref="C3259:D3259"/>
    <mergeCell ref="C3260:D3260"/>
    <mergeCell ref="C3261:D3261"/>
    <mergeCell ref="C3262:D3262"/>
    <mergeCell ref="F3264:I3264"/>
    <mergeCell ref="F3267:I3267"/>
    <mergeCell ref="F3269:I3269"/>
    <mergeCell ref="F3271:I3271"/>
    <mergeCell ref="B3274:D3274"/>
    <mergeCell ref="C3258:G3258"/>
    <mergeCell ref="B3275:D3275"/>
    <mergeCell ref="C3250:D3250"/>
    <mergeCell ref="C3251:D3251"/>
    <mergeCell ref="C3252:D3252"/>
    <mergeCell ref="C3253:D3253"/>
    <mergeCell ref="O3232:P3232"/>
    <mergeCell ref="C3233:D3233"/>
    <mergeCell ref="F3014:I3014"/>
    <mergeCell ref="F3016:I3016"/>
    <mergeCell ref="F3018:I3018"/>
    <mergeCell ref="B3021:D3021"/>
    <mergeCell ref="B3022:D3022"/>
    <mergeCell ref="D3179:G3179"/>
    <mergeCell ref="D3180:G3180"/>
    <mergeCell ref="C3182:G3182"/>
    <mergeCell ref="C3183:D3183"/>
    <mergeCell ref="O3183:P3183"/>
    <mergeCell ref="C3184:D3184"/>
    <mergeCell ref="C3185:D3185"/>
    <mergeCell ref="C3186:D3186"/>
    <mergeCell ref="O3029:P3029"/>
    <mergeCell ref="C3030:D3030"/>
    <mergeCell ref="C3031:D3031"/>
    <mergeCell ref="C3032:D3032"/>
    <mergeCell ref="C3033:D3033"/>
    <mergeCell ref="C3034:D3034"/>
    <mergeCell ref="C3035:D3035"/>
    <mergeCell ref="C3036:D3036"/>
    <mergeCell ref="F3038:I3038"/>
    <mergeCell ref="C3040:G3040"/>
    <mergeCell ref="C3041:D3041"/>
    <mergeCell ref="C3042:D3042"/>
    <mergeCell ref="C3043:D3043"/>
    <mergeCell ref="C3044:D3044"/>
    <mergeCell ref="C3045:D3045"/>
    <mergeCell ref="F3047:I3047"/>
    <mergeCell ref="C3049:G3049"/>
    <mergeCell ref="C3050:D3050"/>
    <mergeCell ref="C3051:D3051"/>
    <mergeCell ref="C2990:D2990"/>
    <mergeCell ref="C2991:D2991"/>
    <mergeCell ref="C2992:D2992"/>
    <mergeCell ref="F2994:I2994"/>
    <mergeCell ref="C2996:G2996"/>
    <mergeCell ref="C2997:D2997"/>
    <mergeCell ref="C2998:D2998"/>
    <mergeCell ref="C2999:D2999"/>
    <mergeCell ref="C3000:D3000"/>
    <mergeCell ref="B3001:G3001"/>
    <mergeCell ref="F3003:I3003"/>
    <mergeCell ref="C3005:G3005"/>
    <mergeCell ref="C3006:D3006"/>
    <mergeCell ref="C3007:D3007"/>
    <mergeCell ref="C3008:D3008"/>
    <mergeCell ref="C3009:D3009"/>
    <mergeCell ref="F3011:I3011"/>
    <mergeCell ref="C2972:G2972"/>
    <mergeCell ref="C2973:D2973"/>
    <mergeCell ref="O2973:P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F2985:I2985"/>
    <mergeCell ref="C2987:G2987"/>
    <mergeCell ref="C2988:D2988"/>
    <mergeCell ref="C2989:D2989"/>
    <mergeCell ref="C2943:D2943"/>
    <mergeCell ref="C2944:D2944"/>
    <mergeCell ref="B2945:G2945"/>
    <mergeCell ref="F2947:I2947"/>
    <mergeCell ref="C2949:G2949"/>
    <mergeCell ref="C2950:D2950"/>
    <mergeCell ref="C2951:D2951"/>
    <mergeCell ref="C2952:D2952"/>
    <mergeCell ref="C2953:D2953"/>
    <mergeCell ref="F2955:I2955"/>
    <mergeCell ref="F2958:I2958"/>
    <mergeCell ref="F2960:I2960"/>
    <mergeCell ref="F2962:I2962"/>
    <mergeCell ref="B2965:D2965"/>
    <mergeCell ref="B2966:D2966"/>
    <mergeCell ref="D2969:G2969"/>
    <mergeCell ref="D2970:G2970"/>
    <mergeCell ref="C2922:D2922"/>
    <mergeCell ref="C2923:D2923"/>
    <mergeCell ref="C2924:D2924"/>
    <mergeCell ref="C2925:D2925"/>
    <mergeCell ref="C2926:D2926"/>
    <mergeCell ref="C2927:D2927"/>
    <mergeCell ref="F2929:I2929"/>
    <mergeCell ref="C2931:G2931"/>
    <mergeCell ref="C2932:D2932"/>
    <mergeCell ref="C2933:D2933"/>
    <mergeCell ref="C2934:D2934"/>
    <mergeCell ref="C2935:D2935"/>
    <mergeCell ref="C2936:D2936"/>
    <mergeCell ref="F2938:I2938"/>
    <mergeCell ref="C2940:G2940"/>
    <mergeCell ref="C2941:D2941"/>
    <mergeCell ref="C2942:D2942"/>
    <mergeCell ref="C2918:D2918"/>
    <mergeCell ref="O2917:P2917"/>
    <mergeCell ref="C2919:D2919"/>
    <mergeCell ref="C2920:D2920"/>
    <mergeCell ref="C2921:D2921"/>
    <mergeCell ref="C2876:D2876"/>
    <mergeCell ref="C2877:D2877"/>
    <mergeCell ref="C2878:D2878"/>
    <mergeCell ref="C2879:D2879"/>
    <mergeCell ref="C2880:D2880"/>
    <mergeCell ref="F2882:I2882"/>
    <mergeCell ref="C2884:G2884"/>
    <mergeCell ref="C2885:D2885"/>
    <mergeCell ref="C2886:D2886"/>
    <mergeCell ref="C2887:D2887"/>
    <mergeCell ref="C2888:D2888"/>
    <mergeCell ref="B2889:G2889"/>
    <mergeCell ref="F2891:I2891"/>
    <mergeCell ref="C2893:G2893"/>
    <mergeCell ref="C2896:D2896"/>
    <mergeCell ref="C2897:D2897"/>
    <mergeCell ref="F2899:I2899"/>
    <mergeCell ref="F2902:I2902"/>
    <mergeCell ref="F2904:I2904"/>
    <mergeCell ref="F2906:I2906"/>
    <mergeCell ref="B2909:D2909"/>
    <mergeCell ref="B2910:D2910"/>
    <mergeCell ref="D2913:G2913"/>
    <mergeCell ref="D2914:G2914"/>
    <mergeCell ref="C2916:G2916"/>
    <mergeCell ref="C2917:D2917"/>
    <mergeCell ref="C2861:D2861"/>
    <mergeCell ref="C2894:D2894"/>
    <mergeCell ref="C2895:D2895"/>
    <mergeCell ref="O2861:P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F2873:I2873"/>
    <mergeCell ref="C2875:G2875"/>
    <mergeCell ref="C2837:G2837"/>
    <mergeCell ref="C2838:D2838"/>
    <mergeCell ref="C2839:D2839"/>
    <mergeCell ref="C2840:D2840"/>
    <mergeCell ref="C2841:D2841"/>
    <mergeCell ref="F2843:I2843"/>
    <mergeCell ref="F2846:I2846"/>
    <mergeCell ref="F2848:I2848"/>
    <mergeCell ref="F2850:I2850"/>
    <mergeCell ref="B2853:D2853"/>
    <mergeCell ref="B2854:D2854"/>
    <mergeCell ref="D2857:G2857"/>
    <mergeCell ref="D2858:G2858"/>
    <mergeCell ref="C2860:G2860"/>
    <mergeCell ref="F2792:I2792"/>
    <mergeCell ref="F2794:I2794"/>
    <mergeCell ref="B2797:D2797"/>
    <mergeCell ref="B2798:D2798"/>
    <mergeCell ref="D2801:G2801"/>
    <mergeCell ref="D2802:G2802"/>
    <mergeCell ref="C2804:G2804"/>
    <mergeCell ref="C2805:D2805"/>
    <mergeCell ref="C2814:D2814"/>
    <mergeCell ref="C2815:D2815"/>
    <mergeCell ref="F2817:I2817"/>
    <mergeCell ref="C2819:G2819"/>
    <mergeCell ref="C2820:D2820"/>
    <mergeCell ref="C2821:D2821"/>
    <mergeCell ref="C2822:D2822"/>
    <mergeCell ref="C2823:D2823"/>
    <mergeCell ref="C2824:D2824"/>
    <mergeCell ref="F2826:I2826"/>
    <mergeCell ref="C2828:G2828"/>
    <mergeCell ref="C2829:D2829"/>
    <mergeCell ref="C2830:D2830"/>
    <mergeCell ref="C2831:D2831"/>
    <mergeCell ref="C2832:D2832"/>
    <mergeCell ref="B2833:G2833"/>
    <mergeCell ref="F2835:I2835"/>
    <mergeCell ref="O2805:P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767:D2767"/>
    <mergeCell ref="C2768:D2768"/>
    <mergeCell ref="F2770:I2770"/>
    <mergeCell ref="C2772:G2772"/>
    <mergeCell ref="C2773:D2773"/>
    <mergeCell ref="C2774:D2774"/>
    <mergeCell ref="C2775:D2775"/>
    <mergeCell ref="C2776:D2776"/>
    <mergeCell ref="B2777:G2777"/>
    <mergeCell ref="F2779:I2779"/>
    <mergeCell ref="C2781:G2781"/>
    <mergeCell ref="C2782:D2782"/>
    <mergeCell ref="C2783:D2783"/>
    <mergeCell ref="C2784:D2784"/>
    <mergeCell ref="C2785:D2785"/>
    <mergeCell ref="F2787:I2787"/>
    <mergeCell ref="F2790:I2790"/>
    <mergeCell ref="C2749:D2749"/>
    <mergeCell ref="O2749:P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F2761:I2761"/>
    <mergeCell ref="C2763:G2763"/>
    <mergeCell ref="C2764:D2764"/>
    <mergeCell ref="C2765:D2765"/>
    <mergeCell ref="C2766:D2766"/>
    <mergeCell ref="C2720:D2720"/>
    <mergeCell ref="B2721:G2721"/>
    <mergeCell ref="F2723:I2723"/>
    <mergeCell ref="C2725:G2725"/>
    <mergeCell ref="C2726:D2726"/>
    <mergeCell ref="C2727:D2727"/>
    <mergeCell ref="C2728:D2728"/>
    <mergeCell ref="C2729:D2729"/>
    <mergeCell ref="F2731:I2731"/>
    <mergeCell ref="F2734:I2734"/>
    <mergeCell ref="F2736:I2736"/>
    <mergeCell ref="F2738:I2738"/>
    <mergeCell ref="B2741:D2741"/>
    <mergeCell ref="B2742:D2742"/>
    <mergeCell ref="D2745:G2745"/>
    <mergeCell ref="D2746:G2746"/>
    <mergeCell ref="C2748:G2748"/>
    <mergeCell ref="C2699:D2699"/>
    <mergeCell ref="C2700:D2700"/>
    <mergeCell ref="C2701:D2701"/>
    <mergeCell ref="C2702:D2702"/>
    <mergeCell ref="C2703:D2703"/>
    <mergeCell ref="F2705:I2705"/>
    <mergeCell ref="C2707:G2707"/>
    <mergeCell ref="C2708:D2708"/>
    <mergeCell ref="C2709:D2709"/>
    <mergeCell ref="C2710:D2710"/>
    <mergeCell ref="C2711:D2711"/>
    <mergeCell ref="C2712:D2712"/>
    <mergeCell ref="F2714:I2714"/>
    <mergeCell ref="C2716:G2716"/>
    <mergeCell ref="C2717:D2717"/>
    <mergeCell ref="C2718:D2718"/>
    <mergeCell ref="C2719:D2719"/>
    <mergeCell ref="C2673:D2673"/>
    <mergeCell ref="F2675:I2675"/>
    <mergeCell ref="F2678:I2678"/>
    <mergeCell ref="F2680:I2680"/>
    <mergeCell ref="F2682:I2682"/>
    <mergeCell ref="B2685:D2685"/>
    <mergeCell ref="B2686:D2686"/>
    <mergeCell ref="D2689:G2689"/>
    <mergeCell ref="D2690:G2690"/>
    <mergeCell ref="C2692:G2692"/>
    <mergeCell ref="C2693:D2693"/>
    <mergeCell ref="O2693:P2693"/>
    <mergeCell ref="C2694:D2694"/>
    <mergeCell ref="C2695:D2695"/>
    <mergeCell ref="C2696:D2696"/>
    <mergeCell ref="C2697:D2697"/>
    <mergeCell ref="C2698:D2698"/>
    <mergeCell ref="C2652:D2652"/>
    <mergeCell ref="C2653:D2653"/>
    <mergeCell ref="C2654:D2654"/>
    <mergeCell ref="C2655:D2655"/>
    <mergeCell ref="C2656:D2656"/>
    <mergeCell ref="F2658:I2658"/>
    <mergeCell ref="C2660:G2660"/>
    <mergeCell ref="C2661:D2661"/>
    <mergeCell ref="C2662:D2662"/>
    <mergeCell ref="C2663:D2663"/>
    <mergeCell ref="C2664:D2664"/>
    <mergeCell ref="B2665:G2665"/>
    <mergeCell ref="F2667:I2667"/>
    <mergeCell ref="C2669:G2669"/>
    <mergeCell ref="C2670:D2670"/>
    <mergeCell ref="C2671:D2671"/>
    <mergeCell ref="C2672:D2672"/>
    <mergeCell ref="D2633:G2633"/>
    <mergeCell ref="D2634:G2634"/>
    <mergeCell ref="C2636:G2636"/>
    <mergeCell ref="C2637:D2637"/>
    <mergeCell ref="O2637:P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F2649:I2649"/>
    <mergeCell ref="C2651:G2651"/>
    <mergeCell ref="C2605:D2605"/>
    <mergeCell ref="C2606:D2606"/>
    <mergeCell ref="C2607:D2607"/>
    <mergeCell ref="C2608:D2608"/>
    <mergeCell ref="B2609:G2609"/>
    <mergeCell ref="F2611:I2611"/>
    <mergeCell ref="C2613:G2613"/>
    <mergeCell ref="C2614:D2614"/>
    <mergeCell ref="C2615:D2615"/>
    <mergeCell ref="C2616:D2616"/>
    <mergeCell ref="C2617:D2617"/>
    <mergeCell ref="F2619:I2619"/>
    <mergeCell ref="F2622:I2622"/>
    <mergeCell ref="F2624:I2624"/>
    <mergeCell ref="F2626:I2626"/>
    <mergeCell ref="B2629:D2629"/>
    <mergeCell ref="B2630:D2630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F2593:I2593"/>
    <mergeCell ref="C2595:G2595"/>
    <mergeCell ref="C2596:D2596"/>
    <mergeCell ref="C2597:D2597"/>
    <mergeCell ref="C2598:D2598"/>
    <mergeCell ref="C2599:D2599"/>
    <mergeCell ref="C2600:D2600"/>
    <mergeCell ref="F2602:I2602"/>
    <mergeCell ref="C2604:G2604"/>
    <mergeCell ref="C2559:D2559"/>
    <mergeCell ref="C2560:D2560"/>
    <mergeCell ref="C2561:D2561"/>
    <mergeCell ref="F2563:I2563"/>
    <mergeCell ref="F2566:I2566"/>
    <mergeCell ref="F2568:I2568"/>
    <mergeCell ref="F2570:I2570"/>
    <mergeCell ref="B2573:D2573"/>
    <mergeCell ref="B2574:D2574"/>
    <mergeCell ref="C2531:D2531"/>
    <mergeCell ref="D2577:G2577"/>
    <mergeCell ref="D2578:G2578"/>
    <mergeCell ref="C2580:G2580"/>
    <mergeCell ref="C2581:D2581"/>
    <mergeCell ref="O2581:P2581"/>
    <mergeCell ref="C2582:D2582"/>
    <mergeCell ref="C2583:D2583"/>
    <mergeCell ref="F2537:I2537"/>
    <mergeCell ref="C2539:G2539"/>
    <mergeCell ref="C2540:D2540"/>
    <mergeCell ref="C2541:D2541"/>
    <mergeCell ref="C2542:D2542"/>
    <mergeCell ref="C2543:D2543"/>
    <mergeCell ref="C2544:D2544"/>
    <mergeCell ref="F2546:I2546"/>
    <mergeCell ref="C2548:G2548"/>
    <mergeCell ref="C2549:D2549"/>
    <mergeCell ref="C2550:D2550"/>
    <mergeCell ref="C2551:D2551"/>
    <mergeCell ref="C2552:D2552"/>
    <mergeCell ref="B2553:G2553"/>
    <mergeCell ref="F2555:I2555"/>
    <mergeCell ref="F2512:I2512"/>
    <mergeCell ref="C2557:G2557"/>
    <mergeCell ref="C2558:D2558"/>
    <mergeCell ref="F2514:I2514"/>
    <mergeCell ref="B2517:D2517"/>
    <mergeCell ref="B2518:D2518"/>
    <mergeCell ref="D2521:G2521"/>
    <mergeCell ref="D2522:G2522"/>
    <mergeCell ref="C2524:G2524"/>
    <mergeCell ref="C2525:D2525"/>
    <mergeCell ref="O2525:P2525"/>
    <mergeCell ref="C2526:D2526"/>
    <mergeCell ref="C2527:D2527"/>
    <mergeCell ref="C2528:D2528"/>
    <mergeCell ref="C2529:D2529"/>
    <mergeCell ref="C2530:D2530"/>
    <mergeCell ref="C2532:D2532"/>
    <mergeCell ref="C2533:D2533"/>
    <mergeCell ref="C2534:D2534"/>
    <mergeCell ref="C2535:D2535"/>
    <mergeCell ref="C2487:D2487"/>
    <mergeCell ref="C2488:D2488"/>
    <mergeCell ref="F2490:I2490"/>
    <mergeCell ref="C2492:G2492"/>
    <mergeCell ref="C2493:D2493"/>
    <mergeCell ref="C2494:D2494"/>
    <mergeCell ref="C2495:D2495"/>
    <mergeCell ref="C2496:D2496"/>
    <mergeCell ref="B2497:G2497"/>
    <mergeCell ref="F2499:I2499"/>
    <mergeCell ref="C2501:G2501"/>
    <mergeCell ref="C2502:D2502"/>
    <mergeCell ref="C2503:D2503"/>
    <mergeCell ref="C2504:D2504"/>
    <mergeCell ref="C2505:D2505"/>
    <mergeCell ref="F2507:I2507"/>
    <mergeCell ref="F2510:I2510"/>
    <mergeCell ref="C2468:G2468"/>
    <mergeCell ref="C2469:D2469"/>
    <mergeCell ref="O2469:P2469"/>
    <mergeCell ref="C2470:D2470"/>
    <mergeCell ref="C2471:D2471"/>
    <mergeCell ref="C2472:D2472"/>
    <mergeCell ref="C2473:D2473"/>
    <mergeCell ref="C2474:D2474"/>
    <mergeCell ref="C2476:D2476"/>
    <mergeCell ref="C2477:D2477"/>
    <mergeCell ref="C2478:D2478"/>
    <mergeCell ref="C2479:D2479"/>
    <mergeCell ref="F2481:I2481"/>
    <mergeCell ref="C2483:G2483"/>
    <mergeCell ref="C2484:D2484"/>
    <mergeCell ref="C2485:D2485"/>
    <mergeCell ref="C2486:D2486"/>
    <mergeCell ref="O2416:P2416"/>
    <mergeCell ref="B2441:G2441"/>
    <mergeCell ref="F2443:I2443"/>
    <mergeCell ref="C2445:G2445"/>
    <mergeCell ref="C2447:D2447"/>
    <mergeCell ref="C2448:D2448"/>
    <mergeCell ref="C2449:D2449"/>
    <mergeCell ref="F2451:I2451"/>
    <mergeCell ref="F2454:I2454"/>
    <mergeCell ref="F2456:I2456"/>
    <mergeCell ref="F2458:I2458"/>
    <mergeCell ref="B2461:D2461"/>
    <mergeCell ref="B2462:D2462"/>
    <mergeCell ref="C2420:D2420"/>
    <mergeCell ref="C2421:D2421"/>
    <mergeCell ref="D2465:G2465"/>
    <mergeCell ref="D2466:G2466"/>
    <mergeCell ref="C2418:D2418"/>
    <mergeCell ref="C2419:D2419"/>
    <mergeCell ref="C2423:D2423"/>
    <mergeCell ref="C2446:D2446"/>
    <mergeCell ref="F2425:I2425"/>
    <mergeCell ref="C2427:G2427"/>
    <mergeCell ref="C2428:D2428"/>
    <mergeCell ref="C2429:D2429"/>
    <mergeCell ref="C2430:D2430"/>
    <mergeCell ref="C2431:D2431"/>
    <mergeCell ref="C2432:D2432"/>
    <mergeCell ref="F2434:I2434"/>
    <mergeCell ref="C2436:G2436"/>
    <mergeCell ref="C2437:D2437"/>
    <mergeCell ref="C2438:D2438"/>
    <mergeCell ref="F2381:I2381"/>
    <mergeCell ref="C2383:G2383"/>
    <mergeCell ref="C2384:D2384"/>
    <mergeCell ref="C2385:D2385"/>
    <mergeCell ref="C2386:D2386"/>
    <mergeCell ref="C2387:D2387"/>
    <mergeCell ref="B2388:G2388"/>
    <mergeCell ref="F2390:I2390"/>
    <mergeCell ref="C2392:G2392"/>
    <mergeCell ref="F2398:I2398"/>
    <mergeCell ref="F2401:I2401"/>
    <mergeCell ref="F2405:I2405"/>
    <mergeCell ref="B2408:D2408"/>
    <mergeCell ref="B2409:D2409"/>
    <mergeCell ref="D2412:G2412"/>
    <mergeCell ref="D2413:G2413"/>
    <mergeCell ref="C2415:G2415"/>
    <mergeCell ref="C2393:D2393"/>
    <mergeCell ref="C2394:D2394"/>
    <mergeCell ref="C2395:D2395"/>
    <mergeCell ref="C2364:G2364"/>
    <mergeCell ref="C2365:D2365"/>
    <mergeCell ref="O2365:P2365"/>
    <mergeCell ref="C2366:D2366"/>
    <mergeCell ref="C2367:D2367"/>
    <mergeCell ref="C2368:D2368"/>
    <mergeCell ref="F2372:I2372"/>
    <mergeCell ref="C2374:G2374"/>
    <mergeCell ref="C2375:D2375"/>
    <mergeCell ref="C2376:D2376"/>
    <mergeCell ref="C2377:D2377"/>
    <mergeCell ref="C2378:D2378"/>
    <mergeCell ref="C2379:D2379"/>
    <mergeCell ref="C2335:D2335"/>
    <mergeCell ref="C2336:D2336"/>
    <mergeCell ref="B2337:G2337"/>
    <mergeCell ref="F2339:I2339"/>
    <mergeCell ref="C2341:G2341"/>
    <mergeCell ref="C2342:D2342"/>
    <mergeCell ref="C2343:D2343"/>
    <mergeCell ref="C2344:D2344"/>
    <mergeCell ref="C2345:D2345"/>
    <mergeCell ref="F2347:I2347"/>
    <mergeCell ref="F2350:I2350"/>
    <mergeCell ref="F2352:I2352"/>
    <mergeCell ref="F2354:I2354"/>
    <mergeCell ref="B2357:D2357"/>
    <mergeCell ref="B2358:D2358"/>
    <mergeCell ref="D2361:G2361"/>
    <mergeCell ref="D2362:G2362"/>
    <mergeCell ref="C2316:D2316"/>
    <mergeCell ref="C2317:D2317"/>
    <mergeCell ref="F2321:I2321"/>
    <mergeCell ref="C2323:G2323"/>
    <mergeCell ref="C2324:D2324"/>
    <mergeCell ref="C2325:D2325"/>
    <mergeCell ref="C2326:D2326"/>
    <mergeCell ref="C2327:D2327"/>
    <mergeCell ref="C2328:D2328"/>
    <mergeCell ref="F2330:I2330"/>
    <mergeCell ref="C2332:G2332"/>
    <mergeCell ref="C2333:D2333"/>
    <mergeCell ref="C2334:D2334"/>
    <mergeCell ref="C2290:G2290"/>
    <mergeCell ref="C2291:D2291"/>
    <mergeCell ref="C2292:D2292"/>
    <mergeCell ref="C2293:D2293"/>
    <mergeCell ref="C2294:D2294"/>
    <mergeCell ref="F2296:I2296"/>
    <mergeCell ref="F2299:I2299"/>
    <mergeCell ref="F2301:I2301"/>
    <mergeCell ref="F2303:I2303"/>
    <mergeCell ref="B2306:D2306"/>
    <mergeCell ref="B2307:D2307"/>
    <mergeCell ref="D2310:G2310"/>
    <mergeCell ref="D2311:G2311"/>
    <mergeCell ref="C2313:G2313"/>
    <mergeCell ref="C2314:D2314"/>
    <mergeCell ref="C2315:D2315"/>
    <mergeCell ref="C2266:D2266"/>
    <mergeCell ref="O2314:P2314"/>
    <mergeCell ref="C2267:D2267"/>
    <mergeCell ref="C2268:D2268"/>
    <mergeCell ref="F2270:I2270"/>
    <mergeCell ref="C2272:G2272"/>
    <mergeCell ref="C2273:D2273"/>
    <mergeCell ref="C2274:D2274"/>
    <mergeCell ref="C2275:D2275"/>
    <mergeCell ref="C2276:D2276"/>
    <mergeCell ref="C2277:D2277"/>
    <mergeCell ref="F2279:I2279"/>
    <mergeCell ref="C2281:G2281"/>
    <mergeCell ref="C2282:D2282"/>
    <mergeCell ref="C2283:D2283"/>
    <mergeCell ref="C2284:D2284"/>
    <mergeCell ref="C2285:D2285"/>
    <mergeCell ref="B2286:G2286"/>
    <mergeCell ref="F2288:I2288"/>
    <mergeCell ref="C2237:D2237"/>
    <mergeCell ref="C2238:D2238"/>
    <mergeCell ref="F2240:I2240"/>
    <mergeCell ref="F2243:I2243"/>
    <mergeCell ref="F2245:I2245"/>
    <mergeCell ref="F2247:I2247"/>
    <mergeCell ref="B2250:D2250"/>
    <mergeCell ref="B2251:D2251"/>
    <mergeCell ref="D2254:G2254"/>
    <mergeCell ref="D2255:G2255"/>
    <mergeCell ref="C2257:G2257"/>
    <mergeCell ref="C2258:D2258"/>
    <mergeCell ref="O2258:P2258"/>
    <mergeCell ref="C2259:D2259"/>
    <mergeCell ref="C2260:D2260"/>
    <mergeCell ref="C2261:D2261"/>
    <mergeCell ref="C2265:D2265"/>
    <mergeCell ref="O2202:P2202"/>
    <mergeCell ref="C2203:D2203"/>
    <mergeCell ref="C2204:D2204"/>
    <mergeCell ref="C2205:D2205"/>
    <mergeCell ref="C2209:D2209"/>
    <mergeCell ref="C2210:D2210"/>
    <mergeCell ref="C2211:D2211"/>
    <mergeCell ref="C2212:D2212"/>
    <mergeCell ref="F2214:I2214"/>
    <mergeCell ref="C2216:G2216"/>
    <mergeCell ref="C2217:D2217"/>
    <mergeCell ref="C2218:D2218"/>
    <mergeCell ref="C2219:D2219"/>
    <mergeCell ref="C2220:D2220"/>
    <mergeCell ref="C2221:D2221"/>
    <mergeCell ref="F2223:I2223"/>
    <mergeCell ref="C2225:G2225"/>
    <mergeCell ref="F1976:I1976"/>
    <mergeCell ref="B1979:D1979"/>
    <mergeCell ref="B1980:D1980"/>
    <mergeCell ref="D2145:G2145"/>
    <mergeCell ref="D2146:G2146"/>
    <mergeCell ref="C2126:D2126"/>
    <mergeCell ref="C2058:D2058"/>
    <mergeCell ref="C2059:D2059"/>
    <mergeCell ref="F2061:I2061"/>
    <mergeCell ref="D1983:G1983"/>
    <mergeCell ref="D1984:G1984"/>
    <mergeCell ref="C2063:G2063"/>
    <mergeCell ref="C2064:D2064"/>
    <mergeCell ref="C2065:D2065"/>
    <mergeCell ref="C2066:D2066"/>
    <mergeCell ref="C2067:D2067"/>
    <mergeCell ref="C1986:G1986"/>
    <mergeCell ref="C1987:D1987"/>
    <mergeCell ref="B2068:G2068"/>
    <mergeCell ref="F2005:I2005"/>
    <mergeCell ref="F2123:I2123"/>
    <mergeCell ref="C2127:D2127"/>
    <mergeCell ref="F2131:I2131"/>
    <mergeCell ref="C2128:D2128"/>
    <mergeCell ref="C2129:D2129"/>
    <mergeCell ref="F2134:I2134"/>
    <mergeCell ref="F2136:I2136"/>
    <mergeCell ref="F2138:I2138"/>
    <mergeCell ref="C2050:D2050"/>
    <mergeCell ref="C2057:D2057"/>
    <mergeCell ref="C1990:D1990"/>
    <mergeCell ref="C1991:D1991"/>
    <mergeCell ref="C1949:D1949"/>
    <mergeCell ref="C1950:D1950"/>
    <mergeCell ref="F1952:I1952"/>
    <mergeCell ref="C1954:G1954"/>
    <mergeCell ref="C1955:D1955"/>
    <mergeCell ref="C1956:D1956"/>
    <mergeCell ref="C1958:D1958"/>
    <mergeCell ref="B1959:G1959"/>
    <mergeCell ref="F1961:I1961"/>
    <mergeCell ref="C1963:G1963"/>
    <mergeCell ref="C1964:D1964"/>
    <mergeCell ref="C1965:D1965"/>
    <mergeCell ref="C1966:D1966"/>
    <mergeCell ref="C1967:D1967"/>
    <mergeCell ref="F1969:I1969"/>
    <mergeCell ref="F1972:I1972"/>
    <mergeCell ref="F1974:I1974"/>
    <mergeCell ref="C1957:D1957"/>
    <mergeCell ref="C1933:D1933"/>
    <mergeCell ref="C1934:D1934"/>
    <mergeCell ref="C1935:D1935"/>
    <mergeCell ref="C1911:D1911"/>
    <mergeCell ref="F1913:I1913"/>
    <mergeCell ref="F1916:I1916"/>
    <mergeCell ref="F1918:I1918"/>
    <mergeCell ref="F1920:I1920"/>
    <mergeCell ref="B1923:D1923"/>
    <mergeCell ref="C1855:D1855"/>
    <mergeCell ref="F1857:I1857"/>
    <mergeCell ref="F1860:I1860"/>
    <mergeCell ref="F1862:I1862"/>
    <mergeCell ref="F1864:I1864"/>
    <mergeCell ref="B1867:D1867"/>
    <mergeCell ref="B1868:D1868"/>
    <mergeCell ref="D1928:G1928"/>
    <mergeCell ref="C1930:G1930"/>
    <mergeCell ref="C1931:D1931"/>
    <mergeCell ref="C1936:D1936"/>
    <mergeCell ref="C1937:D1937"/>
    <mergeCell ref="C1938:D1938"/>
    <mergeCell ref="C1939:D1939"/>
    <mergeCell ref="C1940:D1940"/>
    <mergeCell ref="C1941:D1941"/>
    <mergeCell ref="F1943:I1943"/>
    <mergeCell ref="C1945:G1945"/>
    <mergeCell ref="C1946:D1946"/>
    <mergeCell ref="C1947:D1947"/>
    <mergeCell ref="C1948:D1948"/>
    <mergeCell ref="O1931:P1931"/>
    <mergeCell ref="C1826:D1826"/>
    <mergeCell ref="C1827:D1827"/>
    <mergeCell ref="C1876:D1876"/>
    <mergeCell ref="C1877:D1877"/>
    <mergeCell ref="C1878:D1878"/>
    <mergeCell ref="C1885:D1885"/>
    <mergeCell ref="F1887:I1887"/>
    <mergeCell ref="D1872:G1872"/>
    <mergeCell ref="C1879:D1879"/>
    <mergeCell ref="C1880:D1880"/>
    <mergeCell ref="C1881:D1881"/>
    <mergeCell ref="C1882:D1882"/>
    <mergeCell ref="C1883:D1883"/>
    <mergeCell ref="C1884:D1884"/>
    <mergeCell ref="C1893:D1893"/>
    <mergeCell ref="C1894:D1894"/>
    <mergeCell ref="F1896:I1896"/>
    <mergeCell ref="C1898:G1898"/>
    <mergeCell ref="C1899:D1899"/>
    <mergeCell ref="C1932:D1932"/>
    <mergeCell ref="F1811:I1811"/>
    <mergeCell ref="B1814:D1814"/>
    <mergeCell ref="B1815:D1815"/>
    <mergeCell ref="D1927:G1927"/>
    <mergeCell ref="C1854:D1854"/>
    <mergeCell ref="B1924:D1924"/>
    <mergeCell ref="C1900:D1900"/>
    <mergeCell ref="C1901:D1901"/>
    <mergeCell ref="C1902:D1902"/>
    <mergeCell ref="B1903:G1903"/>
    <mergeCell ref="F1905:I1905"/>
    <mergeCell ref="C1907:G1907"/>
    <mergeCell ref="C1908:D1908"/>
    <mergeCell ref="C1909:D1909"/>
    <mergeCell ref="C1910:D1910"/>
    <mergeCell ref="C1889:G1889"/>
    <mergeCell ref="C1890:D1890"/>
    <mergeCell ref="C1891:D1891"/>
    <mergeCell ref="C1892:D1892"/>
    <mergeCell ref="C1874:G1874"/>
    <mergeCell ref="C1875:D1875"/>
    <mergeCell ref="C1785:D1785"/>
    <mergeCell ref="F1787:I1787"/>
    <mergeCell ref="C1789:G1789"/>
    <mergeCell ref="C1790:D1790"/>
    <mergeCell ref="C1791:D1791"/>
    <mergeCell ref="C1792:D1792"/>
    <mergeCell ref="C1793:D1793"/>
    <mergeCell ref="B1794:G1794"/>
    <mergeCell ref="F1796:I1796"/>
    <mergeCell ref="C1798:G1798"/>
    <mergeCell ref="C1799:D1799"/>
    <mergeCell ref="C1800:D1800"/>
    <mergeCell ref="C1801:D1801"/>
    <mergeCell ref="C1802:D1802"/>
    <mergeCell ref="F1804:I1804"/>
    <mergeCell ref="F1807:I1807"/>
    <mergeCell ref="F1809:I1809"/>
    <mergeCell ref="D1763:G1763"/>
    <mergeCell ref="C1765:G1765"/>
    <mergeCell ref="C1766:D1766"/>
    <mergeCell ref="O1766:P1766"/>
    <mergeCell ref="C1767:D1767"/>
    <mergeCell ref="C1768:D1768"/>
    <mergeCell ref="C1769:D1769"/>
    <mergeCell ref="C1770:D1770"/>
    <mergeCell ref="C1774:D1774"/>
    <mergeCell ref="C1775:D1775"/>
    <mergeCell ref="C1776:D1776"/>
    <mergeCell ref="F1778:I1778"/>
    <mergeCell ref="C1780:G1780"/>
    <mergeCell ref="C1781:D1781"/>
    <mergeCell ref="C1782:D1782"/>
    <mergeCell ref="C1783:D1783"/>
    <mergeCell ref="C1784:D1784"/>
    <mergeCell ref="C1735:D1735"/>
    <mergeCell ref="C1736:D1736"/>
    <mergeCell ref="C1737:D1737"/>
    <mergeCell ref="B1738:G1738"/>
    <mergeCell ref="F1740:I1740"/>
    <mergeCell ref="C1742:G1742"/>
    <mergeCell ref="C1743:D1743"/>
    <mergeCell ref="C1744:D1744"/>
    <mergeCell ref="C1745:D1745"/>
    <mergeCell ref="C1746:D1746"/>
    <mergeCell ref="F1748:I1748"/>
    <mergeCell ref="F1751:I1751"/>
    <mergeCell ref="F1753:I1753"/>
    <mergeCell ref="F1755:I1755"/>
    <mergeCell ref="B1758:D1758"/>
    <mergeCell ref="B1759:D1759"/>
    <mergeCell ref="D1762:G1762"/>
    <mergeCell ref="C1711:D1711"/>
    <mergeCell ref="C1712:D1712"/>
    <mergeCell ref="C1713:D1713"/>
    <mergeCell ref="C1714:D1714"/>
    <mergeCell ref="C1718:D1718"/>
    <mergeCell ref="C1719:D1719"/>
    <mergeCell ref="C1720:D1720"/>
    <mergeCell ref="F1722:I1722"/>
    <mergeCell ref="C1724:G1724"/>
    <mergeCell ref="C1725:D1725"/>
    <mergeCell ref="C1726:D1726"/>
    <mergeCell ref="C1727:D1727"/>
    <mergeCell ref="C1728:D1728"/>
    <mergeCell ref="C1729:D1729"/>
    <mergeCell ref="F1731:I1731"/>
    <mergeCell ref="C1733:G1733"/>
    <mergeCell ref="C1734:D1734"/>
    <mergeCell ref="F1684:I1684"/>
    <mergeCell ref="C1686:G1686"/>
    <mergeCell ref="C1687:D1687"/>
    <mergeCell ref="C1688:D1688"/>
    <mergeCell ref="C1689:D1689"/>
    <mergeCell ref="C1690:D1690"/>
    <mergeCell ref="F1692:I1692"/>
    <mergeCell ref="F1695:I1695"/>
    <mergeCell ref="F1697:I1697"/>
    <mergeCell ref="F1699:I1699"/>
    <mergeCell ref="B1702:D1702"/>
    <mergeCell ref="B1703:D1703"/>
    <mergeCell ref="D1706:G1706"/>
    <mergeCell ref="D1707:G1707"/>
    <mergeCell ref="C1709:G1709"/>
    <mergeCell ref="C1710:D1710"/>
    <mergeCell ref="O1710:P1710"/>
    <mergeCell ref="C1662:D1662"/>
    <mergeCell ref="C1663:D1663"/>
    <mergeCell ref="C1664:D1664"/>
    <mergeCell ref="F1666:I1666"/>
    <mergeCell ref="C1668:G1668"/>
    <mergeCell ref="C1669:D1669"/>
    <mergeCell ref="C1670:D1670"/>
    <mergeCell ref="C1671:D1671"/>
    <mergeCell ref="C1672:D1672"/>
    <mergeCell ref="C1673:D1673"/>
    <mergeCell ref="F1675:I1675"/>
    <mergeCell ref="C1677:G1677"/>
    <mergeCell ref="C1678:D1678"/>
    <mergeCell ref="C1679:D1679"/>
    <mergeCell ref="C1680:D1680"/>
    <mergeCell ref="C1681:D1681"/>
    <mergeCell ref="B1682:G1682"/>
    <mergeCell ref="C1523:D1523"/>
    <mergeCell ref="C1524:D1524"/>
    <mergeCell ref="C1525:D1525"/>
    <mergeCell ref="F1527:I1527"/>
    <mergeCell ref="F1530:I1530"/>
    <mergeCell ref="F1532:I1532"/>
    <mergeCell ref="F1534:I1534"/>
    <mergeCell ref="B1537:D1537"/>
    <mergeCell ref="B1538:D1538"/>
    <mergeCell ref="D1597:G1597"/>
    <mergeCell ref="D1598:G1598"/>
    <mergeCell ref="C1600:G1600"/>
    <mergeCell ref="C1601:D1601"/>
    <mergeCell ref="O1601:P1601"/>
    <mergeCell ref="C1602:D1602"/>
    <mergeCell ref="C1603:D1603"/>
    <mergeCell ref="C1604:D1604"/>
    <mergeCell ref="O1545:P1545"/>
    <mergeCell ref="C1554:D1554"/>
    <mergeCell ref="C1555:D1555"/>
    <mergeCell ref="F1557:I1557"/>
    <mergeCell ref="C1559:G1559"/>
    <mergeCell ref="C1560:D1560"/>
    <mergeCell ref="C1561:D1561"/>
    <mergeCell ref="C1553:D1553"/>
    <mergeCell ref="C1562:D1562"/>
    <mergeCell ref="C1563:D1563"/>
    <mergeCell ref="C1564:D1564"/>
    <mergeCell ref="C1578:D1578"/>
    <mergeCell ref="C1579:D1579"/>
    <mergeCell ref="C1580:D1580"/>
    <mergeCell ref="C1581:D1581"/>
    <mergeCell ref="F1501:I1501"/>
    <mergeCell ref="C1503:G1503"/>
    <mergeCell ref="C1504:D1504"/>
    <mergeCell ref="C1505:D1505"/>
    <mergeCell ref="C1506:D1506"/>
    <mergeCell ref="C1507:D1507"/>
    <mergeCell ref="C1508:D1508"/>
    <mergeCell ref="F1510:I1510"/>
    <mergeCell ref="C1512:G1512"/>
    <mergeCell ref="C1513:D1513"/>
    <mergeCell ref="C1514:D1514"/>
    <mergeCell ref="C1515:D1515"/>
    <mergeCell ref="C1516:D1516"/>
    <mergeCell ref="B1517:G1517"/>
    <mergeCell ref="F1519:I1519"/>
    <mergeCell ref="C1521:G1521"/>
    <mergeCell ref="C1522:D1522"/>
    <mergeCell ref="F1366:I1366"/>
    <mergeCell ref="B1369:D1369"/>
    <mergeCell ref="B1370:D1370"/>
    <mergeCell ref="D1485:G1485"/>
    <mergeCell ref="D1486:G1486"/>
    <mergeCell ref="C1488:G1488"/>
    <mergeCell ref="C1489:D1489"/>
    <mergeCell ref="C1490:D1490"/>
    <mergeCell ref="C1491:D1491"/>
    <mergeCell ref="C1492:D1492"/>
    <mergeCell ref="C1493:D1493"/>
    <mergeCell ref="C1494:D1494"/>
    <mergeCell ref="C1497:D1497"/>
    <mergeCell ref="C1498:D1498"/>
    <mergeCell ref="C1499:D1499"/>
    <mergeCell ref="C1340:D1340"/>
    <mergeCell ref="F1342:I1342"/>
    <mergeCell ref="C1344:G1344"/>
    <mergeCell ref="C1345:D1345"/>
    <mergeCell ref="C1346:D1346"/>
    <mergeCell ref="C1347:D1347"/>
    <mergeCell ref="C1348:D1348"/>
    <mergeCell ref="B1349:G1349"/>
    <mergeCell ref="F1351:I1351"/>
    <mergeCell ref="C1353:G1353"/>
    <mergeCell ref="C1354:D1354"/>
    <mergeCell ref="C1355:D1355"/>
    <mergeCell ref="C1356:D1356"/>
    <mergeCell ref="C1357:D1357"/>
    <mergeCell ref="F1359:I1359"/>
    <mergeCell ref="F1362:I1362"/>
    <mergeCell ref="F1364:I1364"/>
    <mergeCell ref="D1317:G1317"/>
    <mergeCell ref="D1318:G1318"/>
    <mergeCell ref="C1320:G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1:D1331"/>
    <mergeCell ref="F1333:I1333"/>
    <mergeCell ref="C1335:G1335"/>
    <mergeCell ref="C1336:D1336"/>
    <mergeCell ref="C1337:D1337"/>
    <mergeCell ref="C1289:D1289"/>
    <mergeCell ref="C1290:D1290"/>
    <mergeCell ref="C1291:D1291"/>
    <mergeCell ref="C1292:D1292"/>
    <mergeCell ref="B1293:G1293"/>
    <mergeCell ref="F1295:I1295"/>
    <mergeCell ref="C1297:G1297"/>
    <mergeCell ref="C1298:D1298"/>
    <mergeCell ref="C1299:D1299"/>
    <mergeCell ref="C1300:D1300"/>
    <mergeCell ref="C1301:D1301"/>
    <mergeCell ref="F1303:I1303"/>
    <mergeCell ref="F1306:I1306"/>
    <mergeCell ref="F1308:I1308"/>
    <mergeCell ref="F1310:I1310"/>
    <mergeCell ref="B1313:D1313"/>
    <mergeCell ref="B1314:D1314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5:D1275"/>
    <mergeCell ref="F1277:I1277"/>
    <mergeCell ref="C1279:G1279"/>
    <mergeCell ref="C1280:D1280"/>
    <mergeCell ref="C1281:D1281"/>
    <mergeCell ref="C1284:D1284"/>
    <mergeCell ref="F1286:I1286"/>
    <mergeCell ref="C1288:G1288"/>
    <mergeCell ref="B1237:G1237"/>
    <mergeCell ref="F1239:I1239"/>
    <mergeCell ref="C1241:G1241"/>
    <mergeCell ref="C1242:D1242"/>
    <mergeCell ref="C1243:D1243"/>
    <mergeCell ref="C1244:D1244"/>
    <mergeCell ref="C1245:D1245"/>
    <mergeCell ref="F1247:I1247"/>
    <mergeCell ref="F1250:I1250"/>
    <mergeCell ref="F1252:I1252"/>
    <mergeCell ref="F1254:I1254"/>
    <mergeCell ref="B1257:D1257"/>
    <mergeCell ref="B1258:D1258"/>
    <mergeCell ref="D1261:G1261"/>
    <mergeCell ref="D1262:G1262"/>
    <mergeCell ref="C1264:G1264"/>
    <mergeCell ref="C1212:D1212"/>
    <mergeCell ref="C1213:D1213"/>
    <mergeCell ref="C1265:D1265"/>
    <mergeCell ref="C1214:D1214"/>
    <mergeCell ref="C1215:D1215"/>
    <mergeCell ref="C1216:D1216"/>
    <mergeCell ref="C1217:D1217"/>
    <mergeCell ref="C1218:D1218"/>
    <mergeCell ref="C1219:D1219"/>
    <mergeCell ref="F1221:I1221"/>
    <mergeCell ref="C1223:G1223"/>
    <mergeCell ref="C1224:D1224"/>
    <mergeCell ref="C1225:D1225"/>
    <mergeCell ref="C1228:D1228"/>
    <mergeCell ref="F1230:I1230"/>
    <mergeCell ref="C1232:G1232"/>
    <mergeCell ref="C1233:D1233"/>
    <mergeCell ref="C1234:D1234"/>
    <mergeCell ref="C1235:D1235"/>
    <mergeCell ref="C1236:D1236"/>
    <mergeCell ref="C1185:G1185"/>
    <mergeCell ref="C1186:D1186"/>
    <mergeCell ref="C1187:D1187"/>
    <mergeCell ref="C1188:D1188"/>
    <mergeCell ref="C1189:D1189"/>
    <mergeCell ref="F1191:I1191"/>
    <mergeCell ref="F1194:I1194"/>
    <mergeCell ref="F1196:I1196"/>
    <mergeCell ref="F1198:I1198"/>
    <mergeCell ref="B1201:D1201"/>
    <mergeCell ref="B1202:D1202"/>
    <mergeCell ref="D1205:G1205"/>
    <mergeCell ref="D1206:G1206"/>
    <mergeCell ref="C1208:G1208"/>
    <mergeCell ref="C1209:D1209"/>
    <mergeCell ref="C1210:D1210"/>
    <mergeCell ref="C1211:D1211"/>
    <mergeCell ref="C1160:D1160"/>
    <mergeCell ref="C1161:D1161"/>
    <mergeCell ref="C1162:D1162"/>
    <mergeCell ref="C1163:D1163"/>
    <mergeCell ref="F1165:I1165"/>
    <mergeCell ref="C1167:G1167"/>
    <mergeCell ref="C1168:D1168"/>
    <mergeCell ref="C1169:D1169"/>
    <mergeCell ref="C1172:D1172"/>
    <mergeCell ref="F1174:I1174"/>
    <mergeCell ref="C1176:G1176"/>
    <mergeCell ref="C1177:D1177"/>
    <mergeCell ref="C1178:D1178"/>
    <mergeCell ref="C1179:D1179"/>
    <mergeCell ref="C1180:D1180"/>
    <mergeCell ref="B1181:G1181"/>
    <mergeCell ref="F1183:I1183"/>
    <mergeCell ref="C1133:D1133"/>
    <mergeCell ref="F1135:I1135"/>
    <mergeCell ref="F1138:I1138"/>
    <mergeCell ref="F1140:I1140"/>
    <mergeCell ref="F1142:I1142"/>
    <mergeCell ref="B1145:D1145"/>
    <mergeCell ref="B1146:D1146"/>
    <mergeCell ref="D1149:G1149"/>
    <mergeCell ref="D1150:G1150"/>
    <mergeCell ref="C1152:G1152"/>
    <mergeCell ref="C1153:D1153"/>
    <mergeCell ref="C1154:D1154"/>
    <mergeCell ref="C1155:D1155"/>
    <mergeCell ref="C1156:D1156"/>
    <mergeCell ref="C1157:D1157"/>
    <mergeCell ref="C1158:D1158"/>
    <mergeCell ref="C1159:D1159"/>
    <mergeCell ref="F1109:I1109"/>
    <mergeCell ref="C1111:G1111"/>
    <mergeCell ref="C1112:D1112"/>
    <mergeCell ref="C1113:D1113"/>
    <mergeCell ref="C1116:D1116"/>
    <mergeCell ref="F1118:I1118"/>
    <mergeCell ref="C1120:G1120"/>
    <mergeCell ref="C1121:D1121"/>
    <mergeCell ref="C1122:D1122"/>
    <mergeCell ref="C1123:D1123"/>
    <mergeCell ref="C1124:D1124"/>
    <mergeCell ref="B1125:G1125"/>
    <mergeCell ref="F1127:I1127"/>
    <mergeCell ref="C1129:G1129"/>
    <mergeCell ref="C1130:D1130"/>
    <mergeCell ref="C1131:D1131"/>
    <mergeCell ref="C1132:D1132"/>
    <mergeCell ref="F1086:I1086"/>
    <mergeCell ref="B1089:D1089"/>
    <mergeCell ref="B1090:D1090"/>
    <mergeCell ref="D1093:G1093"/>
    <mergeCell ref="D1094:G1094"/>
    <mergeCell ref="C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060:D1060"/>
    <mergeCell ref="F1062:I1062"/>
    <mergeCell ref="C1064:G1064"/>
    <mergeCell ref="C1065:D1065"/>
    <mergeCell ref="C1066:D1066"/>
    <mergeCell ref="C1067:D1067"/>
    <mergeCell ref="C1068:D1068"/>
    <mergeCell ref="B1069:G1069"/>
    <mergeCell ref="F1071:I1071"/>
    <mergeCell ref="C1073:G1073"/>
    <mergeCell ref="C1074:D1074"/>
    <mergeCell ref="C1075:D1075"/>
    <mergeCell ref="C1076:D1076"/>
    <mergeCell ref="C1077:D1077"/>
    <mergeCell ref="F1079:I1079"/>
    <mergeCell ref="F1082:I1082"/>
    <mergeCell ref="F1084:I1084"/>
    <mergeCell ref="D1038:G1038"/>
    <mergeCell ref="C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F1053:I1053"/>
    <mergeCell ref="C1055:G1055"/>
    <mergeCell ref="C1056:D1056"/>
    <mergeCell ref="C1057:D1057"/>
    <mergeCell ref="C1010:D1010"/>
    <mergeCell ref="C1011:D1011"/>
    <mergeCell ref="C1012:D1012"/>
    <mergeCell ref="B1013:G1013"/>
    <mergeCell ref="F1015:I1015"/>
    <mergeCell ref="C1017:G1017"/>
    <mergeCell ref="C1018:D1018"/>
    <mergeCell ref="C1019:D1019"/>
    <mergeCell ref="C1020:D1020"/>
    <mergeCell ref="C1021:D1021"/>
    <mergeCell ref="F1023:I1023"/>
    <mergeCell ref="F1026:I1026"/>
    <mergeCell ref="F1028:I1028"/>
    <mergeCell ref="F1030:I1030"/>
    <mergeCell ref="B1033:D1033"/>
    <mergeCell ref="B1034:D1034"/>
    <mergeCell ref="D1037:G1037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F997:I997"/>
    <mergeCell ref="C999:G999"/>
    <mergeCell ref="C1000:D1000"/>
    <mergeCell ref="C1001:D1001"/>
    <mergeCell ref="C1004:D1004"/>
    <mergeCell ref="F1006:I1006"/>
    <mergeCell ref="C1008:G1008"/>
    <mergeCell ref="C1009:D1009"/>
    <mergeCell ref="F959:I959"/>
    <mergeCell ref="C961:G961"/>
    <mergeCell ref="C962:D962"/>
    <mergeCell ref="C963:D963"/>
    <mergeCell ref="C964:D964"/>
    <mergeCell ref="C965:D965"/>
    <mergeCell ref="F967:I967"/>
    <mergeCell ref="F970:I970"/>
    <mergeCell ref="F972:I972"/>
    <mergeCell ref="F974:I974"/>
    <mergeCell ref="B977:D977"/>
    <mergeCell ref="B978:D978"/>
    <mergeCell ref="D981:G981"/>
    <mergeCell ref="D982:G982"/>
    <mergeCell ref="C984:G984"/>
    <mergeCell ref="C985:D985"/>
    <mergeCell ref="C986:D986"/>
    <mergeCell ref="F686:I686"/>
    <mergeCell ref="F689:I689"/>
    <mergeCell ref="F691:I691"/>
    <mergeCell ref="F693:I693"/>
    <mergeCell ref="B696:D696"/>
    <mergeCell ref="B697:D697"/>
    <mergeCell ref="D925:G925"/>
    <mergeCell ref="D926:G926"/>
    <mergeCell ref="C928:G928"/>
    <mergeCell ref="C929:D929"/>
    <mergeCell ref="C930:D930"/>
    <mergeCell ref="C931:D931"/>
    <mergeCell ref="C932:D932"/>
    <mergeCell ref="C933:D933"/>
    <mergeCell ref="F725:I725"/>
    <mergeCell ref="C727:G727"/>
    <mergeCell ref="C728:D728"/>
    <mergeCell ref="C729:D729"/>
    <mergeCell ref="C730:D730"/>
    <mergeCell ref="C731:D731"/>
    <mergeCell ref="B732:G732"/>
    <mergeCell ref="F734:I734"/>
    <mergeCell ref="C736:G736"/>
    <mergeCell ref="C737:D737"/>
    <mergeCell ref="C738:D738"/>
    <mergeCell ref="C739:D739"/>
    <mergeCell ref="C740:D740"/>
    <mergeCell ref="F742:I742"/>
    <mergeCell ref="F745:I745"/>
    <mergeCell ref="C720:D720"/>
    <mergeCell ref="C723:D723"/>
    <mergeCell ref="D700:G700"/>
    <mergeCell ref="C662:G662"/>
    <mergeCell ref="C663:D663"/>
    <mergeCell ref="C664:D664"/>
    <mergeCell ref="C667:D667"/>
    <mergeCell ref="F669:I669"/>
    <mergeCell ref="C671:G671"/>
    <mergeCell ref="C672:D672"/>
    <mergeCell ref="C673:D673"/>
    <mergeCell ref="C674:D674"/>
    <mergeCell ref="C675:D675"/>
    <mergeCell ref="B676:G676"/>
    <mergeCell ref="F678:I678"/>
    <mergeCell ref="C680:G680"/>
    <mergeCell ref="C681:D681"/>
    <mergeCell ref="C682:D682"/>
    <mergeCell ref="C683:D683"/>
    <mergeCell ref="C684:D684"/>
    <mergeCell ref="F637:I637"/>
    <mergeCell ref="F639:I639"/>
    <mergeCell ref="B642:D642"/>
    <mergeCell ref="B643:D643"/>
    <mergeCell ref="D646:G646"/>
    <mergeCell ref="D647:G647"/>
    <mergeCell ref="C649:G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F660:I660"/>
    <mergeCell ref="C5799:D5799"/>
    <mergeCell ref="F581:I581"/>
    <mergeCell ref="F583:I583"/>
    <mergeCell ref="F585:I585"/>
    <mergeCell ref="B588:D588"/>
    <mergeCell ref="B589:D589"/>
    <mergeCell ref="D592:G592"/>
    <mergeCell ref="D593:G593"/>
    <mergeCell ref="C595:G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F606:I606"/>
    <mergeCell ref="C608:G608"/>
    <mergeCell ref="C609:D609"/>
    <mergeCell ref="C610:D610"/>
    <mergeCell ref="C613:D613"/>
    <mergeCell ref="F615:I615"/>
    <mergeCell ref="C617:G617"/>
    <mergeCell ref="C618:D618"/>
    <mergeCell ref="C619:D619"/>
    <mergeCell ref="C620:D620"/>
    <mergeCell ref="C621:D621"/>
    <mergeCell ref="B622:G622"/>
    <mergeCell ref="F624:I624"/>
    <mergeCell ref="C626:G626"/>
    <mergeCell ref="F5808:I5808"/>
    <mergeCell ref="B5811:D5811"/>
    <mergeCell ref="B5812:D5812"/>
    <mergeCell ref="B5735:G5735"/>
    <mergeCell ref="F5737:I5737"/>
    <mergeCell ref="C5739:G5739"/>
    <mergeCell ref="C5742:D5742"/>
    <mergeCell ref="C5743:D5743"/>
    <mergeCell ref="F5745:I5745"/>
    <mergeCell ref="F5748:I5748"/>
    <mergeCell ref="F5750:I5750"/>
    <mergeCell ref="B5755:D5755"/>
    <mergeCell ref="B5756:D5756"/>
    <mergeCell ref="D5759:G5759"/>
    <mergeCell ref="D5760:G5760"/>
    <mergeCell ref="C5762:G5762"/>
    <mergeCell ref="C5763:D5763"/>
    <mergeCell ref="C5777:G5777"/>
    <mergeCell ref="C5778:D5778"/>
    <mergeCell ref="C5779:D5779"/>
    <mergeCell ref="C5780:D5780"/>
    <mergeCell ref="C5781:D5781"/>
    <mergeCell ref="C5782:D5782"/>
    <mergeCell ref="C5790:D5790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F5672:I5672"/>
    <mergeCell ref="C5674:G5674"/>
    <mergeCell ref="B5679:G5679"/>
    <mergeCell ref="F5681:I5681"/>
    <mergeCell ref="C5683:G5683"/>
    <mergeCell ref="F5692:I5692"/>
    <mergeCell ref="C5670:D5670"/>
    <mergeCell ref="C5675:D5675"/>
    <mergeCell ref="C5678:D5678"/>
    <mergeCell ref="C5684:D5684"/>
    <mergeCell ref="C5685:D5685"/>
    <mergeCell ref="C5686:D5686"/>
    <mergeCell ref="C5687:D5687"/>
    <mergeCell ref="C5676:D5676"/>
    <mergeCell ref="C5677:D5677"/>
    <mergeCell ref="F5804:I5804"/>
    <mergeCell ref="F5806:I5806"/>
    <mergeCell ref="C5772:D5772"/>
    <mergeCell ref="C5773:D5773"/>
    <mergeCell ref="F5775:I5775"/>
    <mergeCell ref="F5784:I5784"/>
    <mergeCell ref="C5786:G5786"/>
    <mergeCell ref="C5787:D5787"/>
    <mergeCell ref="C5788:D5788"/>
    <mergeCell ref="C5789:D5789"/>
    <mergeCell ref="B5791:G5791"/>
    <mergeCell ref="F5793:I5793"/>
    <mergeCell ref="C5795:G5795"/>
    <mergeCell ref="C5796:D5796"/>
    <mergeCell ref="C5797:D5797"/>
    <mergeCell ref="C5798:D5798"/>
    <mergeCell ref="F5801:I5801"/>
    <mergeCell ref="D5704:G5704"/>
    <mergeCell ref="C5708:D5708"/>
    <mergeCell ref="C5709:D5709"/>
    <mergeCell ref="C5710:D5710"/>
    <mergeCell ref="C5711:D5711"/>
    <mergeCell ref="C5712:D5712"/>
    <mergeCell ref="C5713:D5713"/>
    <mergeCell ref="C5553:G5553"/>
    <mergeCell ref="C5554:D5554"/>
    <mergeCell ref="C5498:D5498"/>
    <mergeCell ref="C5499:D5499"/>
    <mergeCell ref="C5502:D5502"/>
    <mergeCell ref="F5504:I5504"/>
    <mergeCell ref="C5506:G5506"/>
    <mergeCell ref="B5511:G5511"/>
    <mergeCell ref="F5513:I5513"/>
    <mergeCell ref="C5515:G5515"/>
    <mergeCell ref="C5516:D5516"/>
    <mergeCell ref="C5517:D5517"/>
    <mergeCell ref="C5518:D5518"/>
    <mergeCell ref="C5519:D5519"/>
    <mergeCell ref="F5521:I5521"/>
    <mergeCell ref="F5524:I5524"/>
    <mergeCell ref="F5528:I5528"/>
    <mergeCell ref="B5531:D5531"/>
    <mergeCell ref="B5532:D5532"/>
    <mergeCell ref="C5508:D5508"/>
    <mergeCell ref="C5658:D5658"/>
    <mergeCell ref="C5659:D5659"/>
    <mergeCell ref="C5660:D5660"/>
    <mergeCell ref="C5661:D5661"/>
    <mergeCell ref="F5663:I5663"/>
    <mergeCell ref="C5427:D5427"/>
    <mergeCell ref="C5428:D5428"/>
    <mergeCell ref="C5429:D5429"/>
    <mergeCell ref="C5430:D5430"/>
    <mergeCell ref="C5431:D5431"/>
    <mergeCell ref="C5432:D5432"/>
    <mergeCell ref="C5433:D5433"/>
    <mergeCell ref="F5468:I5468"/>
    <mergeCell ref="C5405:D5405"/>
    <mergeCell ref="C5406:D5406"/>
    <mergeCell ref="B5419:D5419"/>
    <mergeCell ref="C5371:D5371"/>
    <mergeCell ref="C5372:D5372"/>
    <mergeCell ref="C5374:D5374"/>
    <mergeCell ref="C5375:D5375"/>
    <mergeCell ref="C5397:D5397"/>
    <mergeCell ref="C5404:D5404"/>
    <mergeCell ref="D5423:G5423"/>
    <mergeCell ref="C5442:D5442"/>
    <mergeCell ref="B5455:G5455"/>
    <mergeCell ref="F5457:I5457"/>
    <mergeCell ref="C5459:G5459"/>
    <mergeCell ref="C5460:D5460"/>
    <mergeCell ref="C5461:D5461"/>
    <mergeCell ref="C5462:D5462"/>
    <mergeCell ref="D5424:G5424"/>
    <mergeCell ref="C5426:G5426"/>
    <mergeCell ref="C5387:D5387"/>
    <mergeCell ref="C5388:D5388"/>
    <mergeCell ref="C5277:D5277"/>
    <mergeCell ref="C5278:D5278"/>
    <mergeCell ref="F5280:I5280"/>
    <mergeCell ref="C5282:G5282"/>
    <mergeCell ref="C5284:D5284"/>
    <mergeCell ref="C5285:D5285"/>
    <mergeCell ref="C5286:D5286"/>
    <mergeCell ref="B5287:G5287"/>
    <mergeCell ref="F5289:I5289"/>
    <mergeCell ref="C5291:G5291"/>
    <mergeCell ref="C5293:D5293"/>
    <mergeCell ref="C5294:D5294"/>
    <mergeCell ref="C5262:D5262"/>
    <mergeCell ref="C5263:D5263"/>
    <mergeCell ref="C5264:D5264"/>
    <mergeCell ref="C5265:D5265"/>
    <mergeCell ref="C5266:D5266"/>
    <mergeCell ref="C4775:G4775"/>
    <mergeCell ref="C4904:G4904"/>
    <mergeCell ref="C4905:D4905"/>
    <mergeCell ref="B4909:G4909"/>
    <mergeCell ref="F4911:I4911"/>
    <mergeCell ref="C4913:G4913"/>
    <mergeCell ref="C4914:D4914"/>
    <mergeCell ref="F4919:I4919"/>
    <mergeCell ref="F4922:I4922"/>
    <mergeCell ref="C5124:D5124"/>
    <mergeCell ref="C5125:D5125"/>
    <mergeCell ref="C5126:D5126"/>
    <mergeCell ref="C4994:D4994"/>
    <mergeCell ref="C4995:D4995"/>
    <mergeCell ref="C4996:D4996"/>
    <mergeCell ref="C4997:D4997"/>
    <mergeCell ref="D4983:G4983"/>
    <mergeCell ref="D4984:G4984"/>
    <mergeCell ref="C4986:G4986"/>
    <mergeCell ref="C4987:D4987"/>
    <mergeCell ref="C4988:D4988"/>
    <mergeCell ref="C4989:D4989"/>
    <mergeCell ref="C4990:D4990"/>
    <mergeCell ref="C4991:D4991"/>
    <mergeCell ref="C5099:D5099"/>
    <mergeCell ref="C5103:D5103"/>
    <mergeCell ref="C5104:D5104"/>
    <mergeCell ref="D5040:G5040"/>
    <mergeCell ref="C5042:G5042"/>
    <mergeCell ref="C5043:D5043"/>
    <mergeCell ref="C5044:D5044"/>
    <mergeCell ref="C5045:D5045"/>
    <mergeCell ref="C3900:D3900"/>
    <mergeCell ref="C3894:D3894"/>
    <mergeCell ref="B3895:G3895"/>
    <mergeCell ref="F3897:I3897"/>
    <mergeCell ref="C3899:G3899"/>
    <mergeCell ref="D3538:G3538"/>
    <mergeCell ref="D3539:G3539"/>
    <mergeCell ref="C3541:G3541"/>
    <mergeCell ref="C3542:D3542"/>
    <mergeCell ref="O3542:P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F3553:I3553"/>
    <mergeCell ref="C3557:D3557"/>
    <mergeCell ref="C3558:D3558"/>
    <mergeCell ref="C3559:D3559"/>
    <mergeCell ref="C3560:D3560"/>
    <mergeCell ref="F3562:I3562"/>
    <mergeCell ref="C3564:G3564"/>
    <mergeCell ref="C3565:D3565"/>
    <mergeCell ref="C3566:D3566"/>
    <mergeCell ref="C3567:D3567"/>
    <mergeCell ref="C3568:D3568"/>
    <mergeCell ref="C3658:D3658"/>
    <mergeCell ref="C3659:D3659"/>
    <mergeCell ref="F3314:I3314"/>
    <mergeCell ref="C3555:G3555"/>
    <mergeCell ref="C3556:D3556"/>
    <mergeCell ref="C3360:D3360"/>
    <mergeCell ref="C3361:D3361"/>
    <mergeCell ref="C3362:D3362"/>
    <mergeCell ref="C3359:D3359"/>
    <mergeCell ref="F3364:I3364"/>
    <mergeCell ref="F3369:I3369"/>
    <mergeCell ref="F3371:I3371"/>
    <mergeCell ref="B3374:D3374"/>
    <mergeCell ref="B3375:D3375"/>
    <mergeCell ref="D3378:G3378"/>
    <mergeCell ref="D3379:G3379"/>
    <mergeCell ref="C3381:G3381"/>
    <mergeCell ref="C3300:D3300"/>
    <mergeCell ref="C3301:D3301"/>
    <mergeCell ref="D3329:G3329"/>
    <mergeCell ref="C3331:G3331"/>
    <mergeCell ref="C3332:D3332"/>
    <mergeCell ref="C3383:D3383"/>
    <mergeCell ref="C3384:D3384"/>
    <mergeCell ref="C3385:D3385"/>
    <mergeCell ref="C3386:D3386"/>
    <mergeCell ref="F3388:I3388"/>
    <mergeCell ref="C3390:G3390"/>
    <mergeCell ref="C3391:D3391"/>
    <mergeCell ref="C3392:D3392"/>
    <mergeCell ref="F3397:I3397"/>
    <mergeCell ref="C3399:G3399"/>
    <mergeCell ref="B3404:G3404"/>
    <mergeCell ref="F3406:I3406"/>
    <mergeCell ref="C242:G242"/>
    <mergeCell ref="C226:D226"/>
    <mergeCell ref="C3290:G3290"/>
    <mergeCell ref="C3293:D3293"/>
    <mergeCell ref="C3294:D3294"/>
    <mergeCell ref="C3295:D3295"/>
    <mergeCell ref="F3297:I3297"/>
    <mergeCell ref="C3299:G3299"/>
    <mergeCell ref="C3302:D3302"/>
    <mergeCell ref="C3303:D3303"/>
    <mergeCell ref="B3304:G3304"/>
    <mergeCell ref="F3306:I3306"/>
    <mergeCell ref="C3308:G3308"/>
    <mergeCell ref="C3310:D3310"/>
    <mergeCell ref="C3311:D3311"/>
    <mergeCell ref="C3312:D3312"/>
    <mergeCell ref="C3291:D3291"/>
    <mergeCell ref="F561:I561"/>
    <mergeCell ref="C563:G563"/>
    <mergeCell ref="C564:D564"/>
    <mergeCell ref="C565:D565"/>
    <mergeCell ref="C566:D566"/>
    <mergeCell ref="C567:D567"/>
    <mergeCell ref="B568:G568"/>
    <mergeCell ref="F570:I570"/>
    <mergeCell ref="C572:G572"/>
    <mergeCell ref="C573:D573"/>
    <mergeCell ref="C574:D574"/>
    <mergeCell ref="C575:D575"/>
    <mergeCell ref="C576:D576"/>
    <mergeCell ref="F578:I578"/>
    <mergeCell ref="B268:D268"/>
    <mergeCell ref="D538:G538"/>
    <mergeCell ref="D539:G539"/>
    <mergeCell ref="C541:G541"/>
    <mergeCell ref="C542:D542"/>
    <mergeCell ref="C543:D543"/>
    <mergeCell ref="C544:D544"/>
    <mergeCell ref="C545:D545"/>
    <mergeCell ref="C546:D546"/>
    <mergeCell ref="C547:D547"/>
    <mergeCell ref="C548:D548"/>
    <mergeCell ref="C5333:D5333"/>
    <mergeCell ref="C5334:D5334"/>
    <mergeCell ref="C5373:D5373"/>
    <mergeCell ref="C5379:D5379"/>
    <mergeCell ref="C5386:D5386"/>
    <mergeCell ref="C5377:D5377"/>
    <mergeCell ref="C5378:D5378"/>
    <mergeCell ref="C5274:D5274"/>
    <mergeCell ref="C5275:D5275"/>
    <mergeCell ref="F5297:I5297"/>
    <mergeCell ref="C5342:D5342"/>
    <mergeCell ref="C4856:D4856"/>
    <mergeCell ref="C5292:D5292"/>
    <mergeCell ref="C5283:D5283"/>
    <mergeCell ref="C4735:D4735"/>
    <mergeCell ref="C4736:D4736"/>
    <mergeCell ref="C4737:D4737"/>
    <mergeCell ref="C4509:D4509"/>
    <mergeCell ref="C4510:D4510"/>
    <mergeCell ref="C4525:D4525"/>
    <mergeCell ref="C2097:D2097"/>
    <mergeCell ref="F3856:I3856"/>
    <mergeCell ref="C251:G251"/>
    <mergeCell ref="C252:D252"/>
    <mergeCell ref="C253:D253"/>
    <mergeCell ref="C254:D254"/>
    <mergeCell ref="C255:D255"/>
    <mergeCell ref="F257:I257"/>
    <mergeCell ref="F260:I260"/>
    <mergeCell ref="F262:I262"/>
    <mergeCell ref="F264:I264"/>
    <mergeCell ref="C1994:D1994"/>
    <mergeCell ref="F1996:I1996"/>
    <mergeCell ref="C1998:G1998"/>
    <mergeCell ref="C1999:D1999"/>
    <mergeCell ref="C2000:D2000"/>
    <mergeCell ref="C2001:D2001"/>
    <mergeCell ref="C2002:D2002"/>
    <mergeCell ref="C2003:D2003"/>
    <mergeCell ref="D1541:G1541"/>
    <mergeCell ref="D1542:G1542"/>
    <mergeCell ref="C1544:G1544"/>
    <mergeCell ref="C1545:D1545"/>
    <mergeCell ref="C1546:D1546"/>
    <mergeCell ref="C1547:D1547"/>
    <mergeCell ref="C1548:D1548"/>
    <mergeCell ref="C1549:D1549"/>
    <mergeCell ref="D1818:G1818"/>
    <mergeCell ref="D1819:G1819"/>
    <mergeCell ref="C306:D306"/>
    <mergeCell ref="C307:D307"/>
    <mergeCell ref="F309:I309"/>
    <mergeCell ref="F312:I312"/>
    <mergeCell ref="F314:I314"/>
    <mergeCell ref="B3859:D3859"/>
    <mergeCell ref="F2105:I2105"/>
    <mergeCell ref="C2107:G2107"/>
    <mergeCell ref="C3901:D3901"/>
    <mergeCell ref="C3902:D3902"/>
    <mergeCell ref="C3903:D3903"/>
    <mergeCell ref="F3905:I3905"/>
    <mergeCell ref="F3908:I3908"/>
    <mergeCell ref="F3910:I3910"/>
    <mergeCell ref="F3912:I3912"/>
    <mergeCell ref="B3915:D3915"/>
    <mergeCell ref="C4094:D4094"/>
    <mergeCell ref="C4103:D4103"/>
    <mergeCell ref="C4253:D4253"/>
    <mergeCell ref="C4037:D4037"/>
    <mergeCell ref="C4038:D4038"/>
    <mergeCell ref="C3979:D3979"/>
    <mergeCell ref="C3980:D3980"/>
    <mergeCell ref="C3981:D3981"/>
    <mergeCell ref="B3916:D3916"/>
    <mergeCell ref="D3919:G3919"/>
    <mergeCell ref="D3920:G3920"/>
    <mergeCell ref="C3922:G3922"/>
    <mergeCell ref="C3923:D3923"/>
    <mergeCell ref="F3961:I3961"/>
    <mergeCell ref="F3964:I3964"/>
    <mergeCell ref="F3966:I3966"/>
    <mergeCell ref="F3968:I3968"/>
    <mergeCell ref="B3972:D3972"/>
    <mergeCell ref="D3976:G3976"/>
    <mergeCell ref="C3978:G3978"/>
    <mergeCell ref="C3208:G3208"/>
    <mergeCell ref="F5137:I5137"/>
    <mergeCell ref="C5106:D5106"/>
    <mergeCell ref="C5107:D5107"/>
    <mergeCell ref="C5108:D5108"/>
    <mergeCell ref="F5111:I5111"/>
    <mergeCell ref="C5113:G5113"/>
    <mergeCell ref="C5114:D5114"/>
    <mergeCell ref="C5115:D5115"/>
    <mergeCell ref="C5118:D5118"/>
    <mergeCell ref="F5120:I5120"/>
    <mergeCell ref="F5129:I5129"/>
    <mergeCell ref="C5131:G5131"/>
    <mergeCell ref="C5132:D5132"/>
    <mergeCell ref="C5133:D5133"/>
    <mergeCell ref="C5134:D5134"/>
    <mergeCell ref="C5135:D5135"/>
    <mergeCell ref="C5047:D5047"/>
    <mergeCell ref="B5071:G5071"/>
    <mergeCell ref="F5073:I5073"/>
    <mergeCell ref="C5075:G5075"/>
    <mergeCell ref="B5127:G5127"/>
    <mergeCell ref="C5109:D5109"/>
    <mergeCell ref="C5100:D5100"/>
    <mergeCell ref="C5101:D5101"/>
    <mergeCell ref="C5102:D5102"/>
    <mergeCell ref="C5057:G5057"/>
    <mergeCell ref="C5077:D5077"/>
    <mergeCell ref="C5078:D5078"/>
    <mergeCell ref="C5079:D5079"/>
    <mergeCell ref="B5092:D5092"/>
    <mergeCell ref="C5122:G5122"/>
    <mergeCell ref="C5123:D5123"/>
    <mergeCell ref="C5049:D5049"/>
    <mergeCell ref="C5050:D5050"/>
    <mergeCell ref="C5051:D5051"/>
    <mergeCell ref="C5052:D5052"/>
    <mergeCell ref="C5053:D5053"/>
    <mergeCell ref="C5059:D5059"/>
    <mergeCell ref="C5062:D5062"/>
    <mergeCell ref="C5068:D5068"/>
    <mergeCell ref="C5069:D5069"/>
    <mergeCell ref="C5070:D5070"/>
    <mergeCell ref="C5058:D5058"/>
    <mergeCell ref="F5064:I5064"/>
    <mergeCell ref="C5066:G5066"/>
    <mergeCell ref="C5067:D5067"/>
    <mergeCell ref="C5048:D5048"/>
    <mergeCell ref="F5032:I5032"/>
    <mergeCell ref="B4980:D4980"/>
    <mergeCell ref="C5001:G5001"/>
    <mergeCell ref="C5002:D5002"/>
    <mergeCell ref="C5003:D5003"/>
    <mergeCell ref="C5006:D5006"/>
    <mergeCell ref="F5008:I5008"/>
    <mergeCell ref="C5010:G5010"/>
    <mergeCell ref="C5011:D5011"/>
    <mergeCell ref="C5012:D5012"/>
    <mergeCell ref="C5046:D5046"/>
    <mergeCell ref="F5055:I5055"/>
    <mergeCell ref="D4881:G4881"/>
    <mergeCell ref="D4882:G4882"/>
    <mergeCell ref="C4884:G4884"/>
    <mergeCell ref="B4929:D4929"/>
    <mergeCell ref="C4947:D4947"/>
    <mergeCell ref="C4948:D4948"/>
    <mergeCell ref="C4938:D4938"/>
    <mergeCell ref="C4939:D4939"/>
    <mergeCell ref="C4940:D4940"/>
    <mergeCell ref="C4946:D4946"/>
    <mergeCell ref="C4861:G4861"/>
    <mergeCell ref="F4859:I4859"/>
    <mergeCell ref="C4848:D4848"/>
    <mergeCell ref="F4850:I4850"/>
    <mergeCell ref="C4852:G4852"/>
    <mergeCell ref="C4908:D4908"/>
    <mergeCell ref="B4857:G4857"/>
    <mergeCell ref="C4885:D4885"/>
    <mergeCell ref="C4887:D4887"/>
    <mergeCell ref="C4888:D4888"/>
    <mergeCell ref="C4889:D4889"/>
    <mergeCell ref="C4890:D4890"/>
    <mergeCell ref="C4891:D4891"/>
    <mergeCell ref="C4917:D4917"/>
    <mergeCell ref="O4776:P4776"/>
    <mergeCell ref="C4784:D4784"/>
    <mergeCell ref="C4785:D4785"/>
    <mergeCell ref="C4786:D4786"/>
    <mergeCell ref="C4886:D4886"/>
    <mergeCell ref="C4791:D4791"/>
    <mergeCell ref="C4792:D4792"/>
    <mergeCell ref="F4867:I4867"/>
    <mergeCell ref="F4870:I4870"/>
    <mergeCell ref="F4872:I4872"/>
    <mergeCell ref="F4874:I4874"/>
    <mergeCell ref="B4930:D4930"/>
    <mergeCell ref="B4878:D4878"/>
    <mergeCell ref="C4776:D4776"/>
    <mergeCell ref="C4777:D4777"/>
    <mergeCell ref="C4778:D4778"/>
    <mergeCell ref="C4779:D4779"/>
    <mergeCell ref="C4843:G4843"/>
    <mergeCell ref="C4897:D4897"/>
    <mergeCell ref="C4898:D4898"/>
    <mergeCell ref="C4800:D4800"/>
    <mergeCell ref="C4783:D4783"/>
    <mergeCell ref="C4865:D4865"/>
    <mergeCell ref="C4780:D4780"/>
    <mergeCell ref="C4781:D4781"/>
    <mergeCell ref="C4782:D4782"/>
    <mergeCell ref="F4924:I4924"/>
    <mergeCell ref="F4926:I4926"/>
    <mergeCell ref="C4906:D4906"/>
    <mergeCell ref="C4907:D4907"/>
    <mergeCell ref="C4915:D4915"/>
    <mergeCell ref="C4916:D4916"/>
    <mergeCell ref="B4373:G4373"/>
    <mergeCell ref="F4375:I4375"/>
    <mergeCell ref="C4377:G4377"/>
    <mergeCell ref="C4378:D4378"/>
    <mergeCell ref="C4379:D4379"/>
    <mergeCell ref="C4380:D4380"/>
    <mergeCell ref="C4381:D4381"/>
    <mergeCell ref="F4383:I4383"/>
    <mergeCell ref="C4412:D4412"/>
    <mergeCell ref="C4421:D4421"/>
    <mergeCell ref="C4679:D4679"/>
    <mergeCell ref="C4672:D4672"/>
    <mergeCell ref="C4623:D4623"/>
    <mergeCell ref="C4632:D4632"/>
    <mergeCell ref="C4633:D4633"/>
    <mergeCell ref="C4634:D4634"/>
    <mergeCell ref="C4635:D4635"/>
    <mergeCell ref="C4641:D4641"/>
    <mergeCell ref="C4642:D4642"/>
    <mergeCell ref="C4485:D4485"/>
    <mergeCell ref="C4486:D4486"/>
    <mergeCell ref="F4493:I4493"/>
    <mergeCell ref="F4495:I4495"/>
    <mergeCell ref="C4508:D4508"/>
    <mergeCell ref="C4528:D4528"/>
    <mergeCell ref="F4531:I4531"/>
    <mergeCell ref="C4533:G4533"/>
    <mergeCell ref="C4534:D4534"/>
    <mergeCell ref="C4411:G4411"/>
    <mergeCell ref="C4413:D4413"/>
    <mergeCell ref="C4406:D4406"/>
    <mergeCell ref="C4407:D4407"/>
    <mergeCell ref="C4364:D4364"/>
    <mergeCell ref="F4366:I4366"/>
    <mergeCell ref="C4368:G4368"/>
    <mergeCell ref="C4091:D4091"/>
    <mergeCell ref="C4092:D4092"/>
    <mergeCell ref="C4093:D4093"/>
    <mergeCell ref="C4111:D4111"/>
    <mergeCell ref="C4156:D4156"/>
    <mergeCell ref="C4164:D4164"/>
    <mergeCell ref="F4285:I4285"/>
    <mergeCell ref="C4320:D4320"/>
    <mergeCell ref="B4321:G4321"/>
    <mergeCell ref="F4132:I4132"/>
    <mergeCell ref="B4135:D4135"/>
    <mergeCell ref="B4136:D4136"/>
    <mergeCell ref="C4112:D4112"/>
    <mergeCell ref="C4113:D4113"/>
    <mergeCell ref="C4114:D4114"/>
    <mergeCell ref="B4115:G4115"/>
    <mergeCell ref="F4117:I4117"/>
    <mergeCell ref="D4139:G4139"/>
    <mergeCell ref="D4140:G4140"/>
    <mergeCell ref="C4142:G4142"/>
    <mergeCell ref="F4175:I4175"/>
    <mergeCell ref="F4180:I4180"/>
    <mergeCell ref="F4182:I4182"/>
    <mergeCell ref="B4185:D4185"/>
    <mergeCell ref="B4186:D4186"/>
    <mergeCell ref="D4189:G4189"/>
    <mergeCell ref="D4190:G4190"/>
    <mergeCell ref="C4192:G4192"/>
    <mergeCell ref="C4193:D4193"/>
    <mergeCell ref="C3209:D3209"/>
    <mergeCell ref="C3210:D3210"/>
    <mergeCell ref="C3211:D3211"/>
    <mergeCell ref="C3212:D3212"/>
    <mergeCell ref="C3309:D3309"/>
    <mergeCell ref="C3286:D3286"/>
    <mergeCell ref="C3292:D3292"/>
    <mergeCell ref="F3317:I3317"/>
    <mergeCell ref="F3319:I3319"/>
    <mergeCell ref="F3321:I3321"/>
    <mergeCell ref="B3324:D3324"/>
    <mergeCell ref="B3325:D3325"/>
    <mergeCell ref="D3328:G3328"/>
    <mergeCell ref="C3159:G3159"/>
    <mergeCell ref="C3160:D3160"/>
    <mergeCell ref="C3161:D3161"/>
    <mergeCell ref="C3162:D3162"/>
    <mergeCell ref="C3163:D3163"/>
    <mergeCell ref="F3165:I3165"/>
    <mergeCell ref="F3168:I3168"/>
    <mergeCell ref="F3170:I3170"/>
    <mergeCell ref="F3172:I3172"/>
    <mergeCell ref="B3175:D3175"/>
    <mergeCell ref="B3176:D3176"/>
    <mergeCell ref="D3228:G3228"/>
    <mergeCell ref="D3229:G3229"/>
    <mergeCell ref="C3231:G3231"/>
    <mergeCell ref="C3232:D3232"/>
    <mergeCell ref="F3247:I3247"/>
    <mergeCell ref="C3249:G3249"/>
    <mergeCell ref="F3188:I3188"/>
    <mergeCell ref="B3254:G3254"/>
    <mergeCell ref="F3256:I3256"/>
    <mergeCell ref="C3234:D3234"/>
    <mergeCell ref="C3236:D3236"/>
    <mergeCell ref="F3238:I3238"/>
    <mergeCell ref="C3240:G3240"/>
    <mergeCell ref="C3241:D3241"/>
    <mergeCell ref="C3242:D3242"/>
    <mergeCell ref="C3243:D3243"/>
    <mergeCell ref="C3244:D3244"/>
    <mergeCell ref="C3245:D3245"/>
    <mergeCell ref="C3235:D3235"/>
    <mergeCell ref="O2040:P2040"/>
    <mergeCell ref="C2041:D2041"/>
    <mergeCell ref="C2042:D2042"/>
    <mergeCell ref="C2043:D2043"/>
    <mergeCell ref="C2044:D2044"/>
    <mergeCell ref="C3141:G3141"/>
    <mergeCell ref="C3142:D3142"/>
    <mergeCell ref="C3143:D3143"/>
    <mergeCell ref="C3144:D3144"/>
    <mergeCell ref="D3130:G3130"/>
    <mergeCell ref="D3131:G3131"/>
    <mergeCell ref="C3133:G3133"/>
    <mergeCell ref="C3134:D3134"/>
    <mergeCell ref="C3145:D3145"/>
    <mergeCell ref="C3146:D3146"/>
    <mergeCell ref="C2108:D2108"/>
    <mergeCell ref="F2114:I2114"/>
    <mergeCell ref="C2116:G2116"/>
    <mergeCell ref="C2117:D2117"/>
    <mergeCell ref="B2121:G2121"/>
    <mergeCell ref="C2120:D2120"/>
    <mergeCell ref="O1987:P1987"/>
    <mergeCell ref="C1988:D1988"/>
    <mergeCell ref="C1989:D1989"/>
    <mergeCell ref="C3195:D3195"/>
    <mergeCell ref="F3197:I3197"/>
    <mergeCell ref="C3199:G3199"/>
    <mergeCell ref="C3200:D3200"/>
    <mergeCell ref="C3201:D3201"/>
    <mergeCell ref="C3202:D3202"/>
    <mergeCell ref="C3203:D3203"/>
    <mergeCell ref="B3204:G3204"/>
    <mergeCell ref="F3206:I3206"/>
    <mergeCell ref="C3190:G3190"/>
    <mergeCell ref="C3191:D3191"/>
    <mergeCell ref="C3192:D3192"/>
    <mergeCell ref="C3193:D3193"/>
    <mergeCell ref="C3194:D3194"/>
    <mergeCell ref="O2096:P2096"/>
    <mergeCell ref="C2098:D2098"/>
    <mergeCell ref="C2099:D2099"/>
    <mergeCell ref="C2100:D2100"/>
    <mergeCell ref="C2109:D2109"/>
    <mergeCell ref="C2110:D2110"/>
    <mergeCell ref="C2111:D2111"/>
    <mergeCell ref="C2112:D2112"/>
    <mergeCell ref="C2118:D2118"/>
    <mergeCell ref="C2119:D2119"/>
    <mergeCell ref="O3134:P3134"/>
    <mergeCell ref="C3135:D3135"/>
    <mergeCell ref="C3136:D3136"/>
    <mergeCell ref="C3137:D3137"/>
    <mergeCell ref="F3139:I3139"/>
    <mergeCell ref="O2149:P2149"/>
    <mergeCell ref="C2150:D2150"/>
    <mergeCell ref="C2151:D2151"/>
    <mergeCell ref="C2152:D2152"/>
    <mergeCell ref="C2153:D2153"/>
    <mergeCell ref="C3151:D3151"/>
    <mergeCell ref="C3152:D3152"/>
    <mergeCell ref="C3153:D3153"/>
    <mergeCell ref="C3154:D3154"/>
    <mergeCell ref="B3155:G3155"/>
    <mergeCell ref="F3157:I3157"/>
    <mergeCell ref="F3119:I3119"/>
    <mergeCell ref="F3121:I3121"/>
    <mergeCell ref="F3123:I3123"/>
    <mergeCell ref="B3126:D3126"/>
    <mergeCell ref="B3127:D3127"/>
    <mergeCell ref="O3082:P3082"/>
    <mergeCell ref="B3074:D3074"/>
    <mergeCell ref="F3071:I3071"/>
    <mergeCell ref="C2396:D2396"/>
    <mergeCell ref="C2416:D2416"/>
    <mergeCell ref="C2417:D2417"/>
    <mergeCell ref="C2149:D2149"/>
    <mergeCell ref="F2191:I2191"/>
    <mergeCell ref="C2170:D2170"/>
    <mergeCell ref="C2171:D2171"/>
    <mergeCell ref="C2172:D2172"/>
    <mergeCell ref="C2173:D2173"/>
    <mergeCell ref="B2174:G2174"/>
    <mergeCell ref="F2176:I2176"/>
    <mergeCell ref="C2178:G2178"/>
    <mergeCell ref="C2179:D2179"/>
    <mergeCell ref="C19:D19"/>
    <mergeCell ref="C33:D33"/>
    <mergeCell ref="C34:D34"/>
    <mergeCell ref="C35:D35"/>
    <mergeCell ref="C36:D36"/>
    <mergeCell ref="C24:D24"/>
    <mergeCell ref="D3078:G3078"/>
    <mergeCell ref="D3079:G3079"/>
    <mergeCell ref="C3081:G3081"/>
    <mergeCell ref="C3082:D3082"/>
    <mergeCell ref="C32:G32"/>
    <mergeCell ref="B267:D267"/>
    <mergeCell ref="C141:D141"/>
    <mergeCell ref="C142:D142"/>
    <mergeCell ref="C143:D143"/>
    <mergeCell ref="D169:G169"/>
    <mergeCell ref="D168:G168"/>
    <mergeCell ref="C173:D173"/>
    <mergeCell ref="C225:D225"/>
    <mergeCell ref="C280:D280"/>
    <mergeCell ref="C1846:D1846"/>
    <mergeCell ref="B1847:G1847"/>
    <mergeCell ref="F1849:I1849"/>
    <mergeCell ref="C1851:G1851"/>
    <mergeCell ref="C1852:D1852"/>
    <mergeCell ref="C1853:D1853"/>
    <mergeCell ref="C276:D276"/>
    <mergeCell ref="C277:D277"/>
    <mergeCell ref="C278:D278"/>
    <mergeCell ref="C279:D279"/>
    <mergeCell ref="F128:I128"/>
    <mergeCell ref="C2125:G2125"/>
    <mergeCell ref="C130:G130"/>
    <mergeCell ref="C123:D123"/>
    <mergeCell ref="C124:D124"/>
    <mergeCell ref="D117:G117"/>
    <mergeCell ref="D118:G118"/>
    <mergeCell ref="C120:G120"/>
    <mergeCell ref="C121:D121"/>
    <mergeCell ref="C122:D122"/>
    <mergeCell ref="C275:D275"/>
    <mergeCell ref="C193:D193"/>
    <mergeCell ref="C194:D194"/>
    <mergeCell ref="B195:G195"/>
    <mergeCell ref="F197:I197"/>
    <mergeCell ref="C199:G199"/>
    <mergeCell ref="C201:D201"/>
    <mergeCell ref="C202:D202"/>
    <mergeCell ref="C203:D203"/>
    <mergeCell ref="F208:I208"/>
    <mergeCell ref="D272:G272"/>
    <mergeCell ref="C223:D223"/>
    <mergeCell ref="C175:D175"/>
    <mergeCell ref="C176:D176"/>
    <mergeCell ref="C177:D177"/>
    <mergeCell ref="C182:D182"/>
    <mergeCell ref="C183:D183"/>
    <mergeCell ref="F205:I205"/>
    <mergeCell ref="C186:D186"/>
    <mergeCell ref="F188:I188"/>
    <mergeCell ref="C190:G190"/>
    <mergeCell ref="C192:D192"/>
    <mergeCell ref="F179:I179"/>
    <mergeCell ref="C181:G181"/>
    <mergeCell ref="B2:B7"/>
    <mergeCell ref="D2:K2"/>
    <mergeCell ref="D4:I4"/>
    <mergeCell ref="D5:I5"/>
    <mergeCell ref="K5:K7"/>
    <mergeCell ref="D7:I7"/>
    <mergeCell ref="B9:K9"/>
    <mergeCell ref="D11:G11"/>
    <mergeCell ref="D12:G12"/>
    <mergeCell ref="C14:G14"/>
    <mergeCell ref="C15:D15"/>
    <mergeCell ref="B58:D58"/>
    <mergeCell ref="F39:I39"/>
    <mergeCell ref="C41:G41"/>
    <mergeCell ref="C42:D42"/>
    <mergeCell ref="C43:D43"/>
    <mergeCell ref="C44:D44"/>
    <mergeCell ref="C45:D45"/>
    <mergeCell ref="F47:I47"/>
    <mergeCell ref="F50:I50"/>
    <mergeCell ref="F52:I52"/>
    <mergeCell ref="F54:I54"/>
    <mergeCell ref="B57:D57"/>
    <mergeCell ref="F21:I21"/>
    <mergeCell ref="C23:G23"/>
    <mergeCell ref="B37:G37"/>
    <mergeCell ref="C25:D25"/>
    <mergeCell ref="C28:D28"/>
    <mergeCell ref="F30:I30"/>
    <mergeCell ref="D6:I6"/>
    <mergeCell ref="C17:D17"/>
    <mergeCell ref="C18:D18"/>
    <mergeCell ref="C191:D191"/>
    <mergeCell ref="C200:D200"/>
    <mergeCell ref="C243:D243"/>
    <mergeCell ref="C244:D244"/>
    <mergeCell ref="C16:D16"/>
    <mergeCell ref="C224:D224"/>
    <mergeCell ref="C227:D227"/>
    <mergeCell ref="F210:I210"/>
    <mergeCell ref="F212:I212"/>
    <mergeCell ref="B215:D215"/>
    <mergeCell ref="B216:D216"/>
    <mergeCell ref="D219:G219"/>
    <mergeCell ref="D220:G220"/>
    <mergeCell ref="C222:G222"/>
    <mergeCell ref="C228:D228"/>
    <mergeCell ref="F231:I231"/>
    <mergeCell ref="C233:G233"/>
    <mergeCell ref="C234:D234"/>
    <mergeCell ref="C235:D235"/>
    <mergeCell ref="F240:I240"/>
    <mergeCell ref="C73:D73"/>
    <mergeCell ref="C74:D74"/>
    <mergeCell ref="C75:D75"/>
    <mergeCell ref="F77:I77"/>
    <mergeCell ref="C79:G79"/>
    <mergeCell ref="C80:D80"/>
    <mergeCell ref="D61:G61"/>
    <mergeCell ref="D62:G62"/>
    <mergeCell ref="C64:G64"/>
    <mergeCell ref="C65:D65"/>
    <mergeCell ref="C66:D66"/>
    <mergeCell ref="C67:D67"/>
    <mergeCell ref="C245:D245"/>
    <mergeCell ref="B247:G247"/>
    <mergeCell ref="F249:I249"/>
    <mergeCell ref="C229:D229"/>
    <mergeCell ref="C238:D238"/>
    <mergeCell ref="C125:D125"/>
    <mergeCell ref="C126:D126"/>
    <mergeCell ref="D271:G271"/>
    <mergeCell ref="C274:G274"/>
    <mergeCell ref="F159:I159"/>
    <mergeCell ref="F161:I161"/>
    <mergeCell ref="B164:D164"/>
    <mergeCell ref="B165:D165"/>
    <mergeCell ref="B144:G144"/>
    <mergeCell ref="F146:I146"/>
    <mergeCell ref="C148:G148"/>
    <mergeCell ref="C149:D149"/>
    <mergeCell ref="C150:D150"/>
    <mergeCell ref="C151:D151"/>
    <mergeCell ref="C152:D152"/>
    <mergeCell ref="F154:I154"/>
    <mergeCell ref="F157:I157"/>
    <mergeCell ref="C131:D131"/>
    <mergeCell ref="C132:D132"/>
    <mergeCell ref="C135:D135"/>
    <mergeCell ref="F137:I137"/>
    <mergeCell ref="C139:G139"/>
    <mergeCell ref="C140:D140"/>
    <mergeCell ref="C171:G171"/>
    <mergeCell ref="C172:D172"/>
    <mergeCell ref="C246:D246"/>
    <mergeCell ref="C174:D174"/>
    <mergeCell ref="F316:I316"/>
    <mergeCell ref="B319:D319"/>
    <mergeCell ref="C341:D341"/>
    <mergeCell ref="C344:D344"/>
    <mergeCell ref="F346:I346"/>
    <mergeCell ref="C348:G348"/>
    <mergeCell ref="C349:D349"/>
    <mergeCell ref="C350:D350"/>
    <mergeCell ref="C351:D351"/>
    <mergeCell ref="C352:D352"/>
    <mergeCell ref="C549:D549"/>
    <mergeCell ref="C550:D550"/>
    <mergeCell ref="F552:I552"/>
    <mergeCell ref="C554:G554"/>
    <mergeCell ref="C555:D555"/>
    <mergeCell ref="C556:D556"/>
    <mergeCell ref="C559:D559"/>
    <mergeCell ref="C403:D403"/>
    <mergeCell ref="C382:D382"/>
    <mergeCell ref="C383:D383"/>
    <mergeCell ref="C384:D384"/>
    <mergeCell ref="C385:D385"/>
    <mergeCell ref="C386:D386"/>
    <mergeCell ref="F388:I388"/>
    <mergeCell ref="C390:G390"/>
    <mergeCell ref="C391:D391"/>
    <mergeCell ref="C442:D442"/>
    <mergeCell ref="F444:I444"/>
    <mergeCell ref="C446:G446"/>
    <mergeCell ref="C447:D447"/>
    <mergeCell ref="C448:D448"/>
    <mergeCell ref="C451:D451"/>
    <mergeCell ref="C295:D295"/>
    <mergeCell ref="C296:D296"/>
    <mergeCell ref="C297:D297"/>
    <mergeCell ref="C298:D298"/>
    <mergeCell ref="B299:G299"/>
    <mergeCell ref="F301:I301"/>
    <mergeCell ref="C303:G303"/>
    <mergeCell ref="B320:D320"/>
    <mergeCell ref="C281:D281"/>
    <mergeCell ref="F283:I283"/>
    <mergeCell ref="C285:G285"/>
    <mergeCell ref="C286:D286"/>
    <mergeCell ref="C287:D287"/>
    <mergeCell ref="C290:D290"/>
    <mergeCell ref="F292:I292"/>
    <mergeCell ref="C294:G294"/>
    <mergeCell ref="F1583:I1583"/>
    <mergeCell ref="C392:D392"/>
    <mergeCell ref="C393:D393"/>
    <mergeCell ref="C340:D340"/>
    <mergeCell ref="B353:G353"/>
    <mergeCell ref="F355:I355"/>
    <mergeCell ref="C357:G357"/>
    <mergeCell ref="C358:D358"/>
    <mergeCell ref="C359:D359"/>
    <mergeCell ref="C360:D360"/>
    <mergeCell ref="C395:D395"/>
    <mergeCell ref="F397:I397"/>
    <mergeCell ref="C399:G399"/>
    <mergeCell ref="C400:D400"/>
    <mergeCell ref="C401:D401"/>
    <mergeCell ref="C402:D402"/>
    <mergeCell ref="O1875:P1875"/>
    <mergeCell ref="O1822:P1822"/>
    <mergeCell ref="C1828:D1828"/>
    <mergeCell ref="C1829:D1829"/>
    <mergeCell ref="F1831:I1831"/>
    <mergeCell ref="C1833:G1833"/>
    <mergeCell ref="C1834:D1834"/>
    <mergeCell ref="C1605:D1605"/>
    <mergeCell ref="C1609:D1609"/>
    <mergeCell ref="C1610:D1610"/>
    <mergeCell ref="C1611:D1611"/>
    <mergeCell ref="F1613:I1613"/>
    <mergeCell ref="C1615:G1615"/>
    <mergeCell ref="C1616:D1616"/>
    <mergeCell ref="C1617:D1617"/>
    <mergeCell ref="C1618:D1618"/>
    <mergeCell ref="D1871:G1871"/>
    <mergeCell ref="F1644:I1644"/>
    <mergeCell ref="F1646:I1646"/>
    <mergeCell ref="B1649:D1649"/>
    <mergeCell ref="B1650:D1650"/>
    <mergeCell ref="D1653:G1653"/>
    <mergeCell ref="D1654:G1654"/>
    <mergeCell ref="C1656:G1656"/>
    <mergeCell ref="C1657:D1657"/>
    <mergeCell ref="O1657:P1657"/>
    <mergeCell ref="C1658:D1658"/>
    <mergeCell ref="C1659:D1659"/>
    <mergeCell ref="C1660:D1660"/>
    <mergeCell ref="C1661:D1661"/>
    <mergeCell ref="B1629:G1629"/>
    <mergeCell ref="F1631:I1631"/>
    <mergeCell ref="C1633:G1633"/>
    <mergeCell ref="C1634:D1634"/>
    <mergeCell ref="C1635:D1635"/>
    <mergeCell ref="C1636:D1636"/>
    <mergeCell ref="C1637:D1637"/>
    <mergeCell ref="F1639:I1639"/>
    <mergeCell ref="F1642:I1642"/>
    <mergeCell ref="F1586:I1586"/>
    <mergeCell ref="F1588:I1588"/>
    <mergeCell ref="F1590:I1590"/>
    <mergeCell ref="B1593:D1593"/>
    <mergeCell ref="F1566:I1566"/>
    <mergeCell ref="C1568:G1568"/>
    <mergeCell ref="C1569:D1569"/>
    <mergeCell ref="C1570:D1570"/>
    <mergeCell ref="C1571:D1571"/>
    <mergeCell ref="C1572:D1572"/>
    <mergeCell ref="B1573:G1573"/>
    <mergeCell ref="F1575:I1575"/>
    <mergeCell ref="C1577:G1577"/>
    <mergeCell ref="C2010:D2010"/>
    <mergeCell ref="C2011:D2011"/>
    <mergeCell ref="B2012:G2012"/>
    <mergeCell ref="C2048:D2048"/>
    <mergeCell ref="C2049:D2049"/>
    <mergeCell ref="D2036:G2036"/>
    <mergeCell ref="D2037:G2037"/>
    <mergeCell ref="C2039:G2039"/>
    <mergeCell ref="C2040:D2040"/>
    <mergeCell ref="B1594:D1594"/>
    <mergeCell ref="C1835:D1835"/>
    <mergeCell ref="C1836:D1836"/>
    <mergeCell ref="C1837:D1837"/>
    <mergeCell ref="C1838:D1838"/>
    <mergeCell ref="F1840:I1840"/>
    <mergeCell ref="C1842:G1842"/>
    <mergeCell ref="C1843:D1843"/>
    <mergeCell ref="C1844:D1844"/>
    <mergeCell ref="C1845:D1845"/>
    <mergeCell ref="C1824:D1824"/>
    <mergeCell ref="C1825:D1825"/>
    <mergeCell ref="C1821:G1821"/>
    <mergeCell ref="C1822:D1822"/>
    <mergeCell ref="C1823:D1823"/>
    <mergeCell ref="C1619:D1619"/>
    <mergeCell ref="C1620:D1620"/>
    <mergeCell ref="F1622:I1622"/>
    <mergeCell ref="C1624:G1624"/>
    <mergeCell ref="C1625:D1625"/>
    <mergeCell ref="C1626:D1626"/>
    <mergeCell ref="C1627:D1627"/>
    <mergeCell ref="C1628:D1628"/>
    <mergeCell ref="F2083:I2083"/>
    <mergeCell ref="F2085:I2085"/>
    <mergeCell ref="B2088:D2088"/>
    <mergeCell ref="B2089:D2089"/>
    <mergeCell ref="D2092:G2092"/>
    <mergeCell ref="D2093:G2093"/>
    <mergeCell ref="C2095:G2095"/>
    <mergeCell ref="C2096:D2096"/>
    <mergeCell ref="B2142:D2142"/>
    <mergeCell ref="B2141:D2141"/>
    <mergeCell ref="F2403:I2403"/>
    <mergeCell ref="C1992:D1992"/>
    <mergeCell ref="C1993:D1993"/>
    <mergeCell ref="F2052:I2052"/>
    <mergeCell ref="C2054:G2054"/>
    <mergeCell ref="C2055:D2055"/>
    <mergeCell ref="C2056:D2056"/>
    <mergeCell ref="F2014:I2014"/>
    <mergeCell ref="C2016:G2016"/>
    <mergeCell ref="C2017:D2017"/>
    <mergeCell ref="C2018:D2018"/>
    <mergeCell ref="C2019:D2019"/>
    <mergeCell ref="C2020:D2020"/>
    <mergeCell ref="F2022:I2022"/>
    <mergeCell ref="F2025:I2025"/>
    <mergeCell ref="F2027:I2027"/>
    <mergeCell ref="F2029:I2029"/>
    <mergeCell ref="B2032:D2032"/>
    <mergeCell ref="B2033:D2033"/>
    <mergeCell ref="C2007:G2007"/>
    <mergeCell ref="C2008:D2008"/>
    <mergeCell ref="C2009:D2009"/>
    <mergeCell ref="F2158:I2158"/>
    <mergeCell ref="C2160:G2160"/>
    <mergeCell ref="C2161:D2161"/>
    <mergeCell ref="C2162:D2162"/>
    <mergeCell ref="C2163:D2163"/>
    <mergeCell ref="C2164:D2164"/>
    <mergeCell ref="C2165:D2165"/>
    <mergeCell ref="F2167:I2167"/>
    <mergeCell ref="C2169:G2169"/>
    <mergeCell ref="C3092:G3092"/>
    <mergeCell ref="C3093:D3093"/>
    <mergeCell ref="F2070:I2070"/>
    <mergeCell ref="C2072:G2072"/>
    <mergeCell ref="C2073:D2073"/>
    <mergeCell ref="C2074:D2074"/>
    <mergeCell ref="C2075:D2075"/>
    <mergeCell ref="C3052:D3052"/>
    <mergeCell ref="C3053:D3053"/>
    <mergeCell ref="B3054:G3054"/>
    <mergeCell ref="F3056:I3056"/>
    <mergeCell ref="C3058:G3058"/>
    <mergeCell ref="C3059:D3059"/>
    <mergeCell ref="C3060:D3060"/>
    <mergeCell ref="C3061:D3061"/>
    <mergeCell ref="C3062:D3062"/>
    <mergeCell ref="F3064:I3064"/>
    <mergeCell ref="F3067:I3067"/>
    <mergeCell ref="F3069:I3069"/>
    <mergeCell ref="C2148:G2148"/>
    <mergeCell ref="C2076:D2076"/>
    <mergeCell ref="F2078:I2078"/>
    <mergeCell ref="F2081:I2081"/>
    <mergeCell ref="C3102:D3102"/>
    <mergeCell ref="C3103:D3103"/>
    <mergeCell ref="C3104:D3104"/>
    <mergeCell ref="C3105:D3105"/>
    <mergeCell ref="B3106:G3106"/>
    <mergeCell ref="F3108:I3108"/>
    <mergeCell ref="C3110:G3110"/>
    <mergeCell ref="F3148:I3148"/>
    <mergeCell ref="C3150:G3150"/>
    <mergeCell ref="C2439:D2439"/>
    <mergeCell ref="C2440:D2440"/>
    <mergeCell ref="C2180:D2180"/>
    <mergeCell ref="C2181:D2181"/>
    <mergeCell ref="C2182:D2182"/>
    <mergeCell ref="F2184:I2184"/>
    <mergeCell ref="F2187:I2187"/>
    <mergeCell ref="F2189:I2189"/>
    <mergeCell ref="B2194:D2194"/>
    <mergeCell ref="B2195:D2195"/>
    <mergeCell ref="D2198:G2198"/>
    <mergeCell ref="D2199:G2199"/>
    <mergeCell ref="C2201:G2201"/>
    <mergeCell ref="C2202:D2202"/>
    <mergeCell ref="C2226:D2226"/>
    <mergeCell ref="C2227:D2227"/>
    <mergeCell ref="C2228:D2228"/>
    <mergeCell ref="C2229:D2229"/>
    <mergeCell ref="B2230:G2230"/>
    <mergeCell ref="F2232:I2232"/>
    <mergeCell ref="C2234:G2234"/>
    <mergeCell ref="C2235:D2235"/>
    <mergeCell ref="C2236:D2236"/>
    <mergeCell ref="C3395:D3395"/>
    <mergeCell ref="C3400:D3400"/>
    <mergeCell ref="C3111:D3111"/>
    <mergeCell ref="C3112:D3112"/>
    <mergeCell ref="C3113:D3113"/>
    <mergeCell ref="C3114:D3114"/>
    <mergeCell ref="F3116:I3116"/>
    <mergeCell ref="C3393:D3393"/>
    <mergeCell ref="C3394:D3394"/>
    <mergeCell ref="C3352:D3352"/>
    <mergeCell ref="C3353:D3353"/>
    <mergeCell ref="C3342:D3342"/>
    <mergeCell ref="C3343:D3343"/>
    <mergeCell ref="D3025:G3025"/>
    <mergeCell ref="D3026:G3026"/>
    <mergeCell ref="C3028:G3028"/>
    <mergeCell ref="C3029:D3029"/>
    <mergeCell ref="B3075:D3075"/>
    <mergeCell ref="C3341:D3341"/>
    <mergeCell ref="C3083:D3083"/>
    <mergeCell ref="C3084:D3084"/>
    <mergeCell ref="C3085:D3085"/>
    <mergeCell ref="C3086:D3086"/>
    <mergeCell ref="C3087:D3087"/>
    <mergeCell ref="C3088:D3088"/>
    <mergeCell ref="F3090:I3090"/>
    <mergeCell ref="C3094:D3094"/>
    <mergeCell ref="C3095:D3095"/>
    <mergeCell ref="C3096:D3096"/>
    <mergeCell ref="C3097:D3097"/>
    <mergeCell ref="F3099:I3099"/>
    <mergeCell ref="C3101:G3101"/>
    <mergeCell ref="C3605:D3605"/>
    <mergeCell ref="C3606:D3606"/>
    <mergeCell ref="C3607:D3607"/>
    <mergeCell ref="F3609:I3609"/>
    <mergeCell ref="C3611:G3611"/>
    <mergeCell ref="C3612:D3612"/>
    <mergeCell ref="F3640:I3640"/>
    <mergeCell ref="C3678:D3678"/>
    <mergeCell ref="C3679:D3679"/>
    <mergeCell ref="C3680:D3680"/>
    <mergeCell ref="C3613:D3613"/>
    <mergeCell ref="C3614:D3614"/>
    <mergeCell ref="C3615:D3615"/>
    <mergeCell ref="C3616:D3616"/>
    <mergeCell ref="C3668:D3668"/>
    <mergeCell ref="C3669:D3669"/>
    <mergeCell ref="C3670:D3670"/>
    <mergeCell ref="C3671:D3671"/>
    <mergeCell ref="C3672:D3672"/>
    <mergeCell ref="F3618:I3618"/>
    <mergeCell ref="C3620:G3620"/>
    <mergeCell ref="C3621:D3621"/>
    <mergeCell ref="C3622:D3622"/>
    <mergeCell ref="C3623:D3623"/>
    <mergeCell ref="C3624:D3624"/>
    <mergeCell ref="B3625:G3625"/>
    <mergeCell ref="F3627:I3627"/>
    <mergeCell ref="C3629:G3629"/>
    <mergeCell ref="C3630:D3630"/>
    <mergeCell ref="C3631:D3631"/>
    <mergeCell ref="C3632:D3632"/>
    <mergeCell ref="C3633:D3633"/>
    <mergeCell ref="C3728:D3728"/>
    <mergeCell ref="F3730:I3730"/>
    <mergeCell ref="C3732:G3732"/>
    <mergeCell ref="D3762:G3762"/>
    <mergeCell ref="F3754:I3754"/>
    <mergeCell ref="C3735:D3735"/>
    <mergeCell ref="C3742:D3742"/>
    <mergeCell ref="C3743:D3743"/>
    <mergeCell ref="B3808:D3808"/>
    <mergeCell ref="B3809:D3809"/>
    <mergeCell ref="D3812:G3812"/>
    <mergeCell ref="C4143:D4143"/>
    <mergeCell ref="C3930:D3930"/>
    <mergeCell ref="C3939:D3939"/>
    <mergeCell ref="C3940:D3940"/>
    <mergeCell ref="C3941:D3941"/>
    <mergeCell ref="C3947:D3947"/>
    <mergeCell ref="C3948:D3948"/>
    <mergeCell ref="C3931:D3931"/>
    <mergeCell ref="C3843:G3843"/>
    <mergeCell ref="C3844:D3844"/>
    <mergeCell ref="C3845:D3845"/>
    <mergeCell ref="C3846:D3846"/>
    <mergeCell ref="C3847:D3847"/>
    <mergeCell ref="C3830:D3830"/>
    <mergeCell ref="F3832:I3832"/>
    <mergeCell ref="C3834:G3834"/>
    <mergeCell ref="D4088:G4088"/>
    <mergeCell ref="C4090:G4090"/>
    <mergeCell ref="C4119:G4119"/>
    <mergeCell ref="C4121:D4121"/>
    <mergeCell ref="C4122:D4122"/>
    <mergeCell ref="C4123:D4123"/>
    <mergeCell ref="F4128:I4128"/>
    <mergeCell ref="F4130:I4130"/>
    <mergeCell ref="B3860:D3860"/>
    <mergeCell ref="D3863:G3863"/>
    <mergeCell ref="D3864:G3864"/>
    <mergeCell ref="C3866:G3866"/>
    <mergeCell ref="C3867:D3867"/>
    <mergeCell ref="C5539:D5539"/>
    <mergeCell ref="C3949:D3949"/>
    <mergeCell ref="C3957:D3957"/>
    <mergeCell ref="C3958:D3958"/>
    <mergeCell ref="C3938:D3938"/>
    <mergeCell ref="C3982:D3982"/>
    <mergeCell ref="C3987:D3987"/>
    <mergeCell ref="C3988:D3988"/>
    <mergeCell ref="C3989:D3989"/>
    <mergeCell ref="C3956:D3956"/>
    <mergeCell ref="B3971:D3971"/>
    <mergeCell ref="D3975:G3975"/>
    <mergeCell ref="F3944:I3944"/>
    <mergeCell ref="C3946:G3946"/>
    <mergeCell ref="C4005:D4005"/>
    <mergeCell ref="C4006:D4006"/>
    <mergeCell ref="F4017:I4017"/>
    <mergeCell ref="C5396:D5396"/>
    <mergeCell ref="C5395:D5395"/>
    <mergeCell ref="F4073:I4073"/>
    <mergeCell ref="C4044:D4044"/>
    <mergeCell ref="C4052:D4052"/>
    <mergeCell ref="C4053:D4053"/>
    <mergeCell ref="C4054:D4054"/>
    <mergeCell ref="C4173:D4173"/>
    <mergeCell ref="C4061:D4061"/>
    <mergeCell ref="C4062:D4062"/>
    <mergeCell ref="C4120:D4120"/>
    <mergeCell ref="F4125:I4125"/>
    <mergeCell ref="D4087:G4087"/>
    <mergeCell ref="C5706:G5706"/>
    <mergeCell ref="F5689:I5689"/>
    <mergeCell ref="C5509:D5509"/>
    <mergeCell ref="C5510:D5510"/>
    <mergeCell ref="F5526:I5526"/>
    <mergeCell ref="C5483:D5483"/>
    <mergeCell ref="C5484:D5484"/>
    <mergeCell ref="C5485:D5485"/>
    <mergeCell ref="C5487:D5487"/>
    <mergeCell ref="C5488:D5488"/>
    <mergeCell ref="C5493:D5493"/>
    <mergeCell ref="F5495:I5495"/>
    <mergeCell ref="C5497:G5497"/>
    <mergeCell ref="C5507:D5507"/>
    <mergeCell ref="C5489:D5489"/>
    <mergeCell ref="C5490:D5490"/>
    <mergeCell ref="C5555:D5555"/>
    <mergeCell ref="C5558:D5558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F5551:I5551"/>
    <mergeCell ref="D5535:G5535"/>
    <mergeCell ref="D5536:G5536"/>
    <mergeCell ref="C5538:G5538"/>
    <mergeCell ref="F5560:I5560"/>
    <mergeCell ref="C5665:G5665"/>
    <mergeCell ref="C5666:D5666"/>
    <mergeCell ref="C5667:D5667"/>
    <mergeCell ref="C5563:D5563"/>
    <mergeCell ref="C5564:D5564"/>
    <mergeCell ref="C5573:D5573"/>
    <mergeCell ref="F5584:I5584"/>
    <mergeCell ref="C5562:G5562"/>
    <mergeCell ref="C5565:D5565"/>
    <mergeCell ref="C5566:D5566"/>
    <mergeCell ref="B5567:G5567"/>
    <mergeCell ref="F5569:I5569"/>
    <mergeCell ref="C5571:G5571"/>
    <mergeCell ref="C5572:D5572"/>
    <mergeCell ref="C5574:D5574"/>
    <mergeCell ref="C5575:D5575"/>
    <mergeCell ref="F5577:I5577"/>
    <mergeCell ref="F5580:I5580"/>
    <mergeCell ref="F5582:I5582"/>
    <mergeCell ref="B5587:D5587"/>
    <mergeCell ref="B5588:D5588"/>
    <mergeCell ref="D5647:G5647"/>
    <mergeCell ref="D5648:G5648"/>
    <mergeCell ref="C5650:G5650"/>
    <mergeCell ref="C5651:D5651"/>
    <mergeCell ref="C5652:D5652"/>
    <mergeCell ref="C5653:D5653"/>
    <mergeCell ref="C5654:D5654"/>
    <mergeCell ref="C5655:D5655"/>
    <mergeCell ref="C5656:D5656"/>
    <mergeCell ref="C5657:D5657"/>
    <mergeCell ref="C5740:D5740"/>
    <mergeCell ref="C5741:D5741"/>
    <mergeCell ref="F5752:I5752"/>
    <mergeCell ref="C5724:D5724"/>
    <mergeCell ref="C5725:D5725"/>
    <mergeCell ref="C5726:D5726"/>
    <mergeCell ref="C5731:D5731"/>
    <mergeCell ref="C5732:D5732"/>
    <mergeCell ref="C5707:D5707"/>
    <mergeCell ref="C5714:D5714"/>
    <mergeCell ref="C5715:D5715"/>
    <mergeCell ref="C5716:D5716"/>
    <mergeCell ref="C5717:D5717"/>
    <mergeCell ref="F5719:I5719"/>
    <mergeCell ref="C5721:G5721"/>
    <mergeCell ref="C5722:D5722"/>
    <mergeCell ref="C5723:D5723"/>
    <mergeCell ref="F5728:I5728"/>
    <mergeCell ref="C5730:G5730"/>
    <mergeCell ref="C5733:D5733"/>
    <mergeCell ref="C5734:D5734"/>
    <mergeCell ref="F5694:I5694"/>
    <mergeCell ref="F5696:I5696"/>
    <mergeCell ref="B5699:D5699"/>
    <mergeCell ref="B5700:D5700"/>
    <mergeCell ref="D5703:G5703"/>
    <mergeCell ref="C304:D304"/>
    <mergeCell ref="C305:D305"/>
    <mergeCell ref="B404:G404"/>
    <mergeCell ref="F406:I406"/>
    <mergeCell ref="C408:G408"/>
    <mergeCell ref="C409:D409"/>
    <mergeCell ref="C410:D410"/>
    <mergeCell ref="C361:D361"/>
    <mergeCell ref="F363:I363"/>
    <mergeCell ref="F366:I366"/>
    <mergeCell ref="D323:G323"/>
    <mergeCell ref="D324:G324"/>
    <mergeCell ref="C326:G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F337:I337"/>
    <mergeCell ref="C339:G339"/>
    <mergeCell ref="F368:I368"/>
    <mergeCell ref="F370:I370"/>
    <mergeCell ref="B373:D373"/>
    <mergeCell ref="B374:D374"/>
    <mergeCell ref="D377:G377"/>
    <mergeCell ref="D378:G378"/>
    <mergeCell ref="C380:G380"/>
    <mergeCell ref="C381:D381"/>
    <mergeCell ref="F462:I462"/>
    <mergeCell ref="C464:G464"/>
    <mergeCell ref="C465:D465"/>
    <mergeCell ref="C466:D466"/>
    <mergeCell ref="C467:D467"/>
    <mergeCell ref="C468:D468"/>
    <mergeCell ref="F470:I470"/>
    <mergeCell ref="F473:I473"/>
    <mergeCell ref="F475:I475"/>
    <mergeCell ref="F477:I477"/>
    <mergeCell ref="B480:D480"/>
    <mergeCell ref="B481:D481"/>
    <mergeCell ref="C502:D502"/>
    <mergeCell ref="F453:I453"/>
    <mergeCell ref="C455:G455"/>
    <mergeCell ref="C456:D456"/>
    <mergeCell ref="C411:D411"/>
    <mergeCell ref="C412:D412"/>
    <mergeCell ref="F414:I414"/>
    <mergeCell ref="F417:I417"/>
    <mergeCell ref="F419:I419"/>
    <mergeCell ref="F421:I421"/>
    <mergeCell ref="B424:D424"/>
    <mergeCell ref="B425:D425"/>
    <mergeCell ref="D428:G428"/>
    <mergeCell ref="D429:G429"/>
    <mergeCell ref="C431:G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57:D457"/>
    <mergeCell ref="C458:D458"/>
    <mergeCell ref="C459:D459"/>
    <mergeCell ref="B460:G460"/>
    <mergeCell ref="C795:D795"/>
    <mergeCell ref="D484:G484"/>
    <mergeCell ref="D485:G485"/>
    <mergeCell ref="C487:G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F498:I498"/>
    <mergeCell ref="C500:G500"/>
    <mergeCell ref="C501:D501"/>
    <mergeCell ref="C505:D505"/>
    <mergeCell ref="F507:I507"/>
    <mergeCell ref="C509:G509"/>
    <mergeCell ref="C510:D510"/>
    <mergeCell ref="C511:D511"/>
    <mergeCell ref="C512:D512"/>
    <mergeCell ref="C513:D513"/>
    <mergeCell ref="C794:D794"/>
    <mergeCell ref="C824:D824"/>
    <mergeCell ref="C825:D825"/>
    <mergeCell ref="C826:D826"/>
    <mergeCell ref="C827:D827"/>
    <mergeCell ref="F829:I829"/>
    <mergeCell ref="C831:G831"/>
    <mergeCell ref="C832:D832"/>
    <mergeCell ref="C833:D833"/>
    <mergeCell ref="B514:G514"/>
    <mergeCell ref="F516:I516"/>
    <mergeCell ref="F527:I527"/>
    <mergeCell ref="C518:G518"/>
    <mergeCell ref="C519:D519"/>
    <mergeCell ref="C520:D520"/>
    <mergeCell ref="C521:D521"/>
    <mergeCell ref="C522:D522"/>
    <mergeCell ref="F524:I524"/>
    <mergeCell ref="C770:D770"/>
    <mergeCell ref="C771:D771"/>
    <mergeCell ref="F773:I773"/>
    <mergeCell ref="C775:G775"/>
    <mergeCell ref="C776:D776"/>
    <mergeCell ref="C777:D777"/>
    <mergeCell ref="C780:D780"/>
    <mergeCell ref="F782:I782"/>
    <mergeCell ref="C627:D627"/>
    <mergeCell ref="C628:D628"/>
    <mergeCell ref="C629:D629"/>
    <mergeCell ref="C630:D630"/>
    <mergeCell ref="F632:I632"/>
    <mergeCell ref="F635:I635"/>
    <mergeCell ref="C836:D836"/>
    <mergeCell ref="F838:I838"/>
    <mergeCell ref="C840:G840"/>
    <mergeCell ref="C841:D841"/>
    <mergeCell ref="C842:D842"/>
    <mergeCell ref="C843:D843"/>
    <mergeCell ref="C844:D844"/>
    <mergeCell ref="B845:G845"/>
    <mergeCell ref="F529:I529"/>
    <mergeCell ref="F531:I531"/>
    <mergeCell ref="B534:D534"/>
    <mergeCell ref="B535:D535"/>
    <mergeCell ref="D757:G757"/>
    <mergeCell ref="D758:G758"/>
    <mergeCell ref="C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84:G784"/>
    <mergeCell ref="C785:D785"/>
    <mergeCell ref="C786:D786"/>
    <mergeCell ref="C787:D787"/>
    <mergeCell ref="C788:D788"/>
    <mergeCell ref="B789:G789"/>
    <mergeCell ref="F791:I791"/>
    <mergeCell ref="C793:G793"/>
    <mergeCell ref="C878:D878"/>
    <mergeCell ref="C879:D879"/>
    <mergeCell ref="C880:D880"/>
    <mergeCell ref="C881:D881"/>
    <mergeCell ref="C882:D882"/>
    <mergeCell ref="C883:D883"/>
    <mergeCell ref="F885:I885"/>
    <mergeCell ref="C887:G887"/>
    <mergeCell ref="C888:D888"/>
    <mergeCell ref="C889:D889"/>
    <mergeCell ref="C892:D892"/>
    <mergeCell ref="F894:I894"/>
    <mergeCell ref="C896:G896"/>
    <mergeCell ref="C897:D897"/>
    <mergeCell ref="C796:D796"/>
    <mergeCell ref="C797:D797"/>
    <mergeCell ref="F799:I799"/>
    <mergeCell ref="F802:I802"/>
    <mergeCell ref="F804:I804"/>
    <mergeCell ref="F806:I806"/>
    <mergeCell ref="B809:D809"/>
    <mergeCell ref="B810:D810"/>
    <mergeCell ref="D813:G813"/>
    <mergeCell ref="D814:G814"/>
    <mergeCell ref="C816:G816"/>
    <mergeCell ref="C817:D817"/>
    <mergeCell ref="C818:D818"/>
    <mergeCell ref="C819:D819"/>
    <mergeCell ref="C820:D820"/>
    <mergeCell ref="C821:D821"/>
    <mergeCell ref="C822:D822"/>
    <mergeCell ref="C823:D823"/>
    <mergeCell ref="C1396:D1396"/>
    <mergeCell ref="F1398:I1398"/>
    <mergeCell ref="C1400:G1400"/>
    <mergeCell ref="C1401:D1401"/>
    <mergeCell ref="C1402:D1402"/>
    <mergeCell ref="C1403:D1403"/>
    <mergeCell ref="C1404:D1404"/>
    <mergeCell ref="B1405:G1405"/>
    <mergeCell ref="F1407:I1407"/>
    <mergeCell ref="C1409:G1409"/>
    <mergeCell ref="C1410:D1410"/>
    <mergeCell ref="C1411:D1411"/>
    <mergeCell ref="F847:I847"/>
    <mergeCell ref="C849:G849"/>
    <mergeCell ref="C850:D850"/>
    <mergeCell ref="C851:D851"/>
    <mergeCell ref="C852:D852"/>
    <mergeCell ref="C853:D853"/>
    <mergeCell ref="F855:I855"/>
    <mergeCell ref="F858:I858"/>
    <mergeCell ref="F860:I860"/>
    <mergeCell ref="F862:I862"/>
    <mergeCell ref="B865:D865"/>
    <mergeCell ref="B866:D866"/>
    <mergeCell ref="D869:G869"/>
    <mergeCell ref="D870:G870"/>
    <mergeCell ref="C872:G872"/>
    <mergeCell ref="C873:D873"/>
    <mergeCell ref="C874:D874"/>
    <mergeCell ref="C875:D875"/>
    <mergeCell ref="C876:D876"/>
    <mergeCell ref="C877:D877"/>
    <mergeCell ref="B901:G901"/>
    <mergeCell ref="F903:I903"/>
    <mergeCell ref="C905:G905"/>
    <mergeCell ref="C906:D906"/>
    <mergeCell ref="C907:D907"/>
    <mergeCell ref="C908:D908"/>
    <mergeCell ref="C909:D909"/>
    <mergeCell ref="F911:I911"/>
    <mergeCell ref="F914:I914"/>
    <mergeCell ref="F916:I916"/>
    <mergeCell ref="F918:I918"/>
    <mergeCell ref="B921:D921"/>
    <mergeCell ref="B922:D922"/>
    <mergeCell ref="C1395:D1395"/>
    <mergeCell ref="C934:D934"/>
    <mergeCell ref="C935:D935"/>
    <mergeCell ref="C936:D936"/>
    <mergeCell ref="C937:D937"/>
    <mergeCell ref="C938:D938"/>
    <mergeCell ref="C939:D939"/>
    <mergeCell ref="F941:I941"/>
    <mergeCell ref="C943:G943"/>
    <mergeCell ref="C944:D944"/>
    <mergeCell ref="C945:D945"/>
    <mergeCell ref="C948:D948"/>
    <mergeCell ref="F950:I950"/>
    <mergeCell ref="C952:G952"/>
    <mergeCell ref="C953:D953"/>
    <mergeCell ref="C954:D954"/>
    <mergeCell ref="C955:D955"/>
    <mergeCell ref="C956:D956"/>
    <mergeCell ref="B957:G957"/>
    <mergeCell ref="C1468:D1468"/>
    <mergeCell ref="C1469:D1469"/>
    <mergeCell ref="F1471:I1471"/>
    <mergeCell ref="C1448:D1448"/>
    <mergeCell ref="C1449:D1449"/>
    <mergeCell ref="C1450:D1450"/>
    <mergeCell ref="C1412:D1412"/>
    <mergeCell ref="C1413:D1413"/>
    <mergeCell ref="C1439:D1439"/>
    <mergeCell ref="C1440:D1440"/>
    <mergeCell ref="C1441:D1441"/>
    <mergeCell ref="C1451:D1451"/>
    <mergeCell ref="C1452:D1452"/>
    <mergeCell ref="C1437:D1437"/>
    <mergeCell ref="C1438:D1438"/>
    <mergeCell ref="C1459:D1459"/>
    <mergeCell ref="C1460:D1460"/>
    <mergeCell ref="B1461:G1461"/>
    <mergeCell ref="F1463:I1463"/>
    <mergeCell ref="D1429:G1429"/>
    <mergeCell ref="D1430:G1430"/>
    <mergeCell ref="C1432:G1432"/>
    <mergeCell ref="C1433:D1433"/>
    <mergeCell ref="C1434:D1434"/>
    <mergeCell ref="C1435:D1435"/>
    <mergeCell ref="C1436:D1436"/>
    <mergeCell ref="F1415:I1415"/>
    <mergeCell ref="F1418:I1418"/>
    <mergeCell ref="F1420:I1420"/>
    <mergeCell ref="C1456:G1456"/>
    <mergeCell ref="C1457:D1457"/>
    <mergeCell ref="C1458:D1458"/>
    <mergeCell ref="B1481:D1481"/>
    <mergeCell ref="B1482:D1482"/>
    <mergeCell ref="D1373:G1373"/>
    <mergeCell ref="D1374:G1374"/>
    <mergeCell ref="C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F1389:I1389"/>
    <mergeCell ref="C1391:G1391"/>
    <mergeCell ref="C1392:D1392"/>
    <mergeCell ref="C1393:D1393"/>
    <mergeCell ref="C1394:D1394"/>
    <mergeCell ref="C1442:D1442"/>
    <mergeCell ref="C1443:D1443"/>
    <mergeCell ref="F1445:I1445"/>
    <mergeCell ref="C1447:G1447"/>
    <mergeCell ref="F1474:I1474"/>
    <mergeCell ref="F1476:I1476"/>
    <mergeCell ref="F1478:I1478"/>
    <mergeCell ref="F1454:I1454"/>
    <mergeCell ref="C1465:G1465"/>
    <mergeCell ref="C1466:D1466"/>
    <mergeCell ref="C1467:D1467"/>
    <mergeCell ref="F1422:I1422"/>
    <mergeCell ref="B1425:D1425"/>
    <mergeCell ref="B1426:D1426"/>
    <mergeCell ref="C68:D68"/>
    <mergeCell ref="C69:D69"/>
    <mergeCell ref="C70:D70"/>
    <mergeCell ref="C71:D71"/>
    <mergeCell ref="F108:I108"/>
    <mergeCell ref="F110:I110"/>
    <mergeCell ref="B113:D113"/>
    <mergeCell ref="B114:D114"/>
    <mergeCell ref="C81:D81"/>
    <mergeCell ref="C84:D84"/>
    <mergeCell ref="F86:I86"/>
    <mergeCell ref="C88:G88"/>
    <mergeCell ref="C89:D89"/>
    <mergeCell ref="C90:D90"/>
    <mergeCell ref="C91:D91"/>
    <mergeCell ref="C92:D92"/>
    <mergeCell ref="B93:G93"/>
    <mergeCell ref="F95:I95"/>
    <mergeCell ref="C97:G97"/>
    <mergeCell ref="C98:D98"/>
    <mergeCell ref="C99:D99"/>
    <mergeCell ref="C100:D100"/>
    <mergeCell ref="C101:D101"/>
    <mergeCell ref="F103:I103"/>
    <mergeCell ref="F106:I106"/>
    <mergeCell ref="C72:D72"/>
    <mergeCell ref="C898:D898"/>
    <mergeCell ref="C899:D899"/>
    <mergeCell ref="C900:D900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360"/>
  <sheetViews>
    <sheetView showGridLines="0" view="pageBreakPreview" topLeftCell="E934" zoomScale="70" zoomScaleNormal="60" zoomScaleSheetLayoutView="70" workbookViewId="0">
      <selection activeCell="F932" sqref="F932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24.28515625" style="36" bestFit="1" customWidth="1"/>
    <col min="17" max="17" width="31.28515625" customWidth="1"/>
    <col min="19" max="19" width="31.5703125" bestFit="1" customWidth="1"/>
  </cols>
  <sheetData>
    <row r="1" spans="1:16" ht="17.25" thickBot="1" x14ac:dyDescent="0.35"/>
    <row r="2" spans="1:16" ht="18" thickTop="1" thickBot="1" x14ac:dyDescent="0.35">
      <c r="B2" s="439"/>
      <c r="D2" s="442" t="s">
        <v>454</v>
      </c>
      <c r="E2" s="443"/>
      <c r="F2" s="443"/>
      <c r="G2" s="443"/>
      <c r="H2" s="443"/>
      <c r="I2" s="443"/>
      <c r="J2" s="443"/>
      <c r="K2" s="444"/>
      <c r="M2" s="97" t="s">
        <v>188</v>
      </c>
      <c r="N2" s="98">
        <v>0.4</v>
      </c>
    </row>
    <row r="3" spans="1:16" ht="8.25" customHeight="1" thickBot="1" x14ac:dyDescent="0.35">
      <c r="B3" s="440"/>
    </row>
    <row r="4" spans="1:16" ht="18" thickTop="1" thickBot="1" x14ac:dyDescent="0.35">
      <c r="A4" s="54"/>
      <c r="B4" s="440"/>
      <c r="C4" s="99"/>
      <c r="D4" s="445" t="str">
        <f>CATALOGO!B2</f>
        <v>EVENTO No. UCEE-14-2022</v>
      </c>
      <c r="E4" s="446"/>
      <c r="F4" s="446"/>
      <c r="G4" s="446"/>
      <c r="H4" s="446"/>
      <c r="I4" s="447"/>
      <c r="J4" s="100"/>
      <c r="K4" s="235" t="s">
        <v>0</v>
      </c>
      <c r="M4" s="97" t="s">
        <v>191</v>
      </c>
      <c r="N4" s="101">
        <f>1+N2</f>
        <v>1.4</v>
      </c>
    </row>
    <row r="5" spans="1:16" x14ac:dyDescent="0.3">
      <c r="A5" s="54"/>
      <c r="B5" s="440"/>
      <c r="C5" s="99"/>
      <c r="D5" s="448" t="str">
        <f>CATALOGO!B3</f>
        <v>GRUPO 14 QUE COMPRENDE:</v>
      </c>
      <c r="E5" s="394"/>
      <c r="F5" s="394"/>
      <c r="G5" s="394"/>
      <c r="H5" s="394"/>
      <c r="I5" s="449"/>
      <c r="J5" s="100"/>
      <c r="K5" s="450">
        <v>44761</v>
      </c>
    </row>
    <row r="6" spans="1:16" ht="34.5" customHeight="1" x14ac:dyDescent="0.3">
      <c r="A6" s="54"/>
      <c r="B6" s="440"/>
      <c r="C6" s="99"/>
      <c r="D6" s="448" t="str">
        <f>CATALOGO!B4</f>
        <v>REMOZAMIENTO DE EDIFICACIONES ESCOLARES AFECTADAS POR EL CICLÓN TROPICAL BLAS Y CELIA DEL DEPARTAMENTO DE PETEN</v>
      </c>
      <c r="E6" s="394"/>
      <c r="F6" s="394"/>
      <c r="G6" s="394"/>
      <c r="H6" s="394"/>
      <c r="I6" s="449"/>
      <c r="J6" s="100"/>
      <c r="K6" s="451"/>
    </row>
    <row r="7" spans="1:16" ht="17.25" thickBot="1" x14ac:dyDescent="0.35">
      <c r="A7" s="54"/>
      <c r="B7" s="441"/>
      <c r="C7" s="99"/>
      <c r="D7" s="453" t="str">
        <f>CATALOGO!B5</f>
        <v>- EODP ANEXA A ESCUELA RURAL MIXTA, EL CRUZADERO, MELCHOR DE MENCOS, PETEN -</v>
      </c>
      <c r="E7" s="454"/>
      <c r="F7" s="454"/>
      <c r="G7" s="454"/>
      <c r="H7" s="454"/>
      <c r="I7" s="455"/>
      <c r="J7" s="100"/>
      <c r="K7" s="452"/>
    </row>
    <row r="8" spans="1:16" ht="17.25" thickBot="1" x14ac:dyDescent="0.35"/>
    <row r="9" spans="1:16" s="4" customFormat="1" ht="24" customHeight="1" thickBot="1" x14ac:dyDescent="0.3">
      <c r="A9" s="31"/>
      <c r="B9" s="456" t="s">
        <v>422</v>
      </c>
      <c r="C9" s="457"/>
      <c r="D9" s="457"/>
      <c r="E9" s="457"/>
      <c r="F9" s="457"/>
      <c r="G9" s="457"/>
      <c r="H9" s="457"/>
      <c r="I9" s="457"/>
      <c r="J9" s="457"/>
      <c r="K9" s="458"/>
      <c r="L9" s="71"/>
      <c r="M9" s="71"/>
      <c r="N9" s="102"/>
      <c r="O9" s="37"/>
      <c r="P9" s="37"/>
    </row>
    <row r="10" spans="1:16" x14ac:dyDescent="0.3">
      <c r="B10" s="281"/>
      <c r="C10" s="281"/>
      <c r="D10" s="281"/>
      <c r="J10" s="78"/>
    </row>
    <row r="11" spans="1:16" x14ac:dyDescent="0.3">
      <c r="B11" s="103" t="s">
        <v>43</v>
      </c>
      <c r="C11" s="104"/>
      <c r="D11" s="422" t="s">
        <v>1</v>
      </c>
      <c r="E11" s="422"/>
      <c r="F11" s="422"/>
      <c r="G11" s="422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87">
        <f>CATALOGO!B12</f>
        <v>101.01</v>
      </c>
      <c r="C12" s="71"/>
      <c r="D12" s="423" t="str">
        <f>CATALOGO!C12</f>
        <v>LIMPIEZA GENERAL</v>
      </c>
      <c r="E12" s="423"/>
      <c r="F12" s="423"/>
      <c r="G12" s="423"/>
      <c r="H12" s="71"/>
      <c r="I12" s="287">
        <f>CATALOGO!E12</f>
        <v>45.6</v>
      </c>
      <c r="J12" s="107"/>
      <c r="K12" s="222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413" t="s">
        <v>5</v>
      </c>
      <c r="D14" s="413"/>
      <c r="E14" s="413"/>
      <c r="F14" s="413"/>
      <c r="G14" s="414"/>
    </row>
    <row r="15" spans="1:16" x14ac:dyDescent="0.3">
      <c r="B15" s="109" t="s">
        <v>6</v>
      </c>
      <c r="C15" s="424" t="s">
        <v>1</v>
      </c>
      <c r="D15" s="42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3" t="s">
        <v>8</v>
      </c>
      <c r="L15" s="113" t="s">
        <v>193</v>
      </c>
    </row>
    <row r="16" spans="1:16" x14ac:dyDescent="0.3">
      <c r="B16" s="74"/>
      <c r="C16" s="409"/>
      <c r="D16" s="40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409"/>
      <c r="D17" s="40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410"/>
      <c r="D18" s="410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410"/>
      <c r="D19" s="410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402" t="s">
        <v>9</v>
      </c>
      <c r="G21" s="403"/>
      <c r="H21" s="403"/>
      <c r="I21" s="404"/>
      <c r="K21" s="224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413" t="s">
        <v>11</v>
      </c>
      <c r="D23" s="413"/>
      <c r="E23" s="413"/>
      <c r="F23" s="413"/>
      <c r="G23" s="414"/>
    </row>
    <row r="24" spans="2:12" x14ac:dyDescent="0.3">
      <c r="B24" s="112" t="s">
        <v>6</v>
      </c>
      <c r="C24" s="415" t="s">
        <v>1</v>
      </c>
      <c r="D24" s="41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411"/>
      <c r="D25" s="412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82"/>
      <c r="D26" s="283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82"/>
      <c r="D27" s="283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411"/>
      <c r="D28" s="412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402" t="s">
        <v>12</v>
      </c>
      <c r="G30" s="403"/>
      <c r="H30" s="403"/>
      <c r="I30" s="404"/>
      <c r="K30" s="224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413" t="s">
        <v>14</v>
      </c>
      <c r="D32" s="413"/>
      <c r="E32" s="413"/>
      <c r="F32" s="413"/>
      <c r="G32" s="414"/>
    </row>
    <row r="33" spans="2:12" x14ac:dyDescent="0.3">
      <c r="B33" s="112" t="s">
        <v>6</v>
      </c>
      <c r="C33" s="415" t="s">
        <v>1</v>
      </c>
      <c r="D33" s="41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409" t="s">
        <v>187</v>
      </c>
      <c r="D34" s="409"/>
      <c r="E34" s="114">
        <f>I12</f>
        <v>45.6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912</v>
      </c>
    </row>
    <row r="35" spans="2:12" x14ac:dyDescent="0.3">
      <c r="B35" s="120"/>
      <c r="C35" s="409"/>
      <c r="D35" s="40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417"/>
      <c r="D36" s="418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419" t="s">
        <v>15</v>
      </c>
      <c r="C37" s="420"/>
      <c r="D37" s="420"/>
      <c r="E37" s="420"/>
      <c r="F37" s="420"/>
      <c r="G37" s="421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402" t="s">
        <v>16</v>
      </c>
      <c r="G39" s="403"/>
      <c r="H39" s="403"/>
      <c r="I39" s="404"/>
      <c r="K39" s="224">
        <f>+SUM(K34:K37)</f>
        <v>20</v>
      </c>
      <c r="L39" s="117">
        <f>+SUM(L34:L37)</f>
        <v>912</v>
      </c>
    </row>
    <row r="40" spans="2:12" ht="17.25" thickBot="1" x14ac:dyDescent="0.35"/>
    <row r="41" spans="2:12" ht="17.25" thickBot="1" x14ac:dyDescent="0.35">
      <c r="B41" s="108" t="s">
        <v>17</v>
      </c>
      <c r="C41" s="413" t="s">
        <v>18</v>
      </c>
      <c r="D41" s="413"/>
      <c r="E41" s="413"/>
      <c r="F41" s="413"/>
      <c r="G41" s="414"/>
    </row>
    <row r="42" spans="2:12" x14ac:dyDescent="0.3">
      <c r="B42" s="112" t="s">
        <v>6</v>
      </c>
      <c r="C42" s="415" t="s">
        <v>1</v>
      </c>
      <c r="D42" s="41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411"/>
      <c r="D43" s="412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411"/>
      <c r="D44" s="412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411"/>
      <c r="D45" s="412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402" t="s">
        <v>19</v>
      </c>
      <c r="G47" s="403"/>
      <c r="H47" s="403"/>
      <c r="I47" s="404"/>
      <c r="K47" s="224">
        <f>+SUM(K43:K45)</f>
        <v>0</v>
      </c>
      <c r="L47" s="117">
        <f>+SUM(L42:L45)</f>
        <v>0</v>
      </c>
    </row>
    <row r="48" spans="2:12" ht="15" customHeight="1" x14ac:dyDescent="0.3">
      <c r="F48" s="126"/>
      <c r="G48" s="280"/>
      <c r="H48" s="128"/>
      <c r="I48" s="106"/>
      <c r="K48" s="225"/>
    </row>
    <row r="49" spans="1:16" ht="15" customHeight="1" thickBot="1" x14ac:dyDescent="0.35"/>
    <row r="50" spans="1:16" ht="17.25" thickBot="1" x14ac:dyDescent="0.35">
      <c r="F50" s="402" t="s">
        <v>20</v>
      </c>
      <c r="G50" s="403"/>
      <c r="H50" s="403"/>
      <c r="I50" s="404"/>
      <c r="K50" s="224">
        <f>(+K21+K30+K39+K47)</f>
        <v>20</v>
      </c>
      <c r="L50" s="117">
        <f>(+L21+L30+L39+L47)</f>
        <v>912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402" t="s">
        <v>21</v>
      </c>
      <c r="G52" s="403"/>
      <c r="H52" s="403"/>
      <c r="I52" s="404"/>
      <c r="K52" s="224">
        <f>K50*$N$2</f>
        <v>8</v>
      </c>
      <c r="L52" s="117">
        <f>L50*$N$2</f>
        <v>364.8</v>
      </c>
    </row>
    <row r="53" spans="1:16" ht="7.5" customHeight="1" thickBot="1" x14ac:dyDescent="0.35"/>
    <row r="54" spans="1:16" ht="17.25" thickBot="1" x14ac:dyDescent="0.35">
      <c r="F54" s="402" t="s">
        <v>22</v>
      </c>
      <c r="G54" s="403"/>
      <c r="H54" s="403"/>
      <c r="I54" s="404"/>
      <c r="K54" s="224">
        <f>+K50+K52</f>
        <v>28</v>
      </c>
      <c r="L54" s="117">
        <f>+L50+L52</f>
        <v>1276.8</v>
      </c>
    </row>
    <row r="55" spans="1:16" ht="17.25" thickBot="1" x14ac:dyDescent="0.35">
      <c r="F55" s="126"/>
      <c r="G55" s="280"/>
      <c r="H55" s="128"/>
      <c r="I55" s="106"/>
      <c r="K55" s="226"/>
      <c r="L55" s="130">
        <f>L54/I12</f>
        <v>27.999999999999996</v>
      </c>
      <c r="M55" s="131">
        <f>(K54-L55)*I12</f>
        <v>1.6200374375330285E-13</v>
      </c>
    </row>
    <row r="56" spans="1:16" x14ac:dyDescent="0.3">
      <c r="F56" s="126"/>
      <c r="G56" s="280"/>
      <c r="H56" s="128"/>
      <c r="I56" s="106"/>
      <c r="K56" s="227"/>
      <c r="L56" s="129"/>
      <c r="M56" s="132"/>
      <c r="N56" s="133"/>
    </row>
    <row r="57" spans="1:16" ht="17.25" thickBot="1" x14ac:dyDescent="0.35">
      <c r="B57" s="405"/>
      <c r="C57" s="405"/>
      <c r="D57" s="405"/>
    </row>
    <row r="58" spans="1:16" x14ac:dyDescent="0.3">
      <c r="B58" s="406" t="s">
        <v>23</v>
      </c>
      <c r="C58" s="406"/>
      <c r="D58" s="406"/>
    </row>
    <row r="59" spans="1:16" x14ac:dyDescent="0.3">
      <c r="B59" s="281"/>
      <c r="C59" s="281"/>
      <c r="D59" s="281"/>
    </row>
    <row r="60" spans="1:16" x14ac:dyDescent="0.3">
      <c r="B60" s="281"/>
      <c r="C60" s="281"/>
      <c r="D60" s="281"/>
      <c r="J60" s="78"/>
    </row>
    <row r="61" spans="1:16" x14ac:dyDescent="0.3">
      <c r="B61" s="103" t="s">
        <v>43</v>
      </c>
      <c r="C61" s="104"/>
      <c r="D61" s="422" t="s">
        <v>1</v>
      </c>
      <c r="E61" s="422"/>
      <c r="F61" s="422"/>
      <c r="G61" s="422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87">
        <f>CATALOGO!B13</f>
        <v>108.03</v>
      </c>
      <c r="C62" s="71"/>
      <c r="D62" s="423" t="str">
        <f>CATALOGO!C13</f>
        <v>TRAZO Y ESTAQUEADO</v>
      </c>
      <c r="E62" s="423"/>
      <c r="F62" s="423"/>
      <c r="G62" s="423"/>
      <c r="H62" s="71"/>
      <c r="I62" s="287">
        <f>CATALOGO!E13</f>
        <v>15.6</v>
      </c>
      <c r="J62" s="107"/>
      <c r="K62" s="222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413" t="s">
        <v>5</v>
      </c>
      <c r="D64" s="413"/>
      <c r="E64" s="413"/>
      <c r="F64" s="413"/>
      <c r="G64" s="414"/>
    </row>
    <row r="65" spans="2:12" x14ac:dyDescent="0.3">
      <c r="B65" s="109" t="s">
        <v>6</v>
      </c>
      <c r="C65" s="424" t="s">
        <v>1</v>
      </c>
      <c r="D65" s="42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3" t="s">
        <v>8</v>
      </c>
      <c r="L65" s="113" t="s">
        <v>193</v>
      </c>
    </row>
    <row r="66" spans="2:12" x14ac:dyDescent="0.3">
      <c r="B66" s="120">
        <v>1</v>
      </c>
      <c r="C66" s="407" t="s">
        <v>658</v>
      </c>
      <c r="D66" s="408"/>
      <c r="E66" s="114">
        <v>1</v>
      </c>
      <c r="F66" s="83">
        <f>ROUND(E66/I62,2)-0.01</f>
        <v>4.9999999999999996E-2</v>
      </c>
      <c r="G66" s="74" t="str">
        <f>IF(C66=0,0,VLOOKUP(C66,PRECIOSM[],2,FALSE))</f>
        <v>Libra</v>
      </c>
      <c r="I66" s="115">
        <f>IF(C66=0,0,VLOOKUP(C66,PRECIOSM[],3,FALSE))</f>
        <v>10</v>
      </c>
      <c r="K66" s="84">
        <f>+F66*I66</f>
        <v>0.49999999999999994</v>
      </c>
      <c r="L66" s="116">
        <f>E66*I66</f>
        <v>10</v>
      </c>
    </row>
    <row r="67" spans="2:12" x14ac:dyDescent="0.3">
      <c r="B67" s="120">
        <v>2</v>
      </c>
      <c r="C67" s="407" t="s">
        <v>659</v>
      </c>
      <c r="D67" s="408"/>
      <c r="E67" s="114">
        <v>10</v>
      </c>
      <c r="F67" s="83">
        <f>ROUND(E67/I62,2)</f>
        <v>0.64</v>
      </c>
      <c r="G67" s="74" t="str">
        <f>IF(C67=0,0,VLOOKUP(C67,PRECIOSM[],2,FALSE))</f>
        <v>Regla</v>
      </c>
      <c r="I67" s="115">
        <f>IF(C67=0,0,VLOOKUP(C67,PRECIOSM[],3,FALSE))</f>
        <v>25</v>
      </c>
      <c r="K67" s="84">
        <f t="shared" ref="K67:K75" si="0">+F67*I67</f>
        <v>16</v>
      </c>
      <c r="L67" s="116">
        <f t="shared" ref="L67:L75" si="1">E67*I67</f>
        <v>250</v>
      </c>
    </row>
    <row r="68" spans="2:12" x14ac:dyDescent="0.3">
      <c r="B68" s="120">
        <v>3</v>
      </c>
      <c r="C68" s="407" t="s">
        <v>661</v>
      </c>
      <c r="D68" s="408"/>
      <c r="E68" s="114">
        <v>2</v>
      </c>
      <c r="F68" s="83">
        <f>ROUND(E68/I62,2)</f>
        <v>0.13</v>
      </c>
      <c r="G68" s="74" t="str">
        <f>IF(C68=0,0,VLOOKUP(C68,PRECIOSM[],2,FALSE))</f>
        <v>Bolsa</v>
      </c>
      <c r="I68" s="115">
        <f>IF(C68=0,0,VLOOKUP(C68,PRECIOSM[],3,FALSE))</f>
        <v>50</v>
      </c>
      <c r="K68" s="84">
        <f t="shared" si="0"/>
        <v>6.5</v>
      </c>
      <c r="L68" s="116">
        <f t="shared" si="1"/>
        <v>100</v>
      </c>
    </row>
    <row r="69" spans="2:12" x14ac:dyDescent="0.3">
      <c r="B69" s="120">
        <v>4</v>
      </c>
      <c r="C69" s="409" t="s">
        <v>217</v>
      </c>
      <c r="D69" s="409"/>
      <c r="E69" s="114">
        <v>15.6</v>
      </c>
      <c r="F69" s="83">
        <f>ROUND(E69/I62,2)</f>
        <v>1</v>
      </c>
      <c r="G69" s="74" t="str">
        <f>IF(C69=0,0,VLOOKUP(C69,PRECIOSM[],2,FALSE))</f>
        <v>Unidad</v>
      </c>
      <c r="I69" s="115">
        <f>IF(C69=0,0,VLOOKUP(C69,PRECIOSM[],3,FALSE))</f>
        <v>1</v>
      </c>
      <c r="K69" s="84">
        <f>+F69*I69</f>
        <v>1</v>
      </c>
      <c r="L69" s="116">
        <f t="shared" si="1"/>
        <v>15.6</v>
      </c>
    </row>
    <row r="70" spans="2:12" x14ac:dyDescent="0.3">
      <c r="B70" s="74"/>
      <c r="C70" s="410"/>
      <c r="D70" s="410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410"/>
      <c r="D71" s="410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410"/>
      <c r="D72" s="410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410"/>
      <c r="D73" s="410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410"/>
      <c r="D74" s="410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410"/>
      <c r="D75" s="410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402" t="s">
        <v>9</v>
      </c>
      <c r="G77" s="403"/>
      <c r="H77" s="403"/>
      <c r="I77" s="404"/>
      <c r="K77" s="224">
        <f>+SUM(K66:K75)</f>
        <v>24</v>
      </c>
      <c r="L77" s="117">
        <f>+SUM(L66:L75)</f>
        <v>375.6</v>
      </c>
    </row>
    <row r="78" spans="2:12" ht="17.25" thickBot="1" x14ac:dyDescent="0.35"/>
    <row r="79" spans="2:12" ht="17.25" thickBot="1" x14ac:dyDescent="0.35">
      <c r="B79" s="108" t="s">
        <v>10</v>
      </c>
      <c r="C79" s="413" t="s">
        <v>11</v>
      </c>
      <c r="D79" s="413"/>
      <c r="E79" s="413"/>
      <c r="F79" s="413"/>
      <c r="G79" s="414"/>
    </row>
    <row r="80" spans="2:12" x14ac:dyDescent="0.3">
      <c r="B80" s="112" t="s">
        <v>6</v>
      </c>
      <c r="C80" s="415" t="s">
        <v>1</v>
      </c>
      <c r="D80" s="41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411"/>
      <c r="D81" s="412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82"/>
      <c r="D82" s="283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82"/>
      <c r="D83" s="283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411"/>
      <c r="D84" s="412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402" t="s">
        <v>12</v>
      </c>
      <c r="G86" s="403"/>
      <c r="H86" s="403"/>
      <c r="I86" s="404"/>
      <c r="K86" s="224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413" t="s">
        <v>14</v>
      </c>
      <c r="D88" s="413"/>
      <c r="E88" s="413"/>
      <c r="F88" s="413"/>
      <c r="G88" s="414"/>
    </row>
    <row r="89" spans="2:12" x14ac:dyDescent="0.3">
      <c r="B89" s="112" t="s">
        <v>6</v>
      </c>
      <c r="C89" s="415" t="s">
        <v>1</v>
      </c>
      <c r="D89" s="41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409" t="s">
        <v>491</v>
      </c>
      <c r="D90" s="409"/>
      <c r="E90" s="114">
        <f>I62</f>
        <v>15.6</v>
      </c>
      <c r="F90" s="83">
        <f>ROUND(E90/I62,2)</f>
        <v>1</v>
      </c>
      <c r="G90" s="74" t="str">
        <f>IF(C90=0,0,VLOOKUP(C90,PRECIOSMO[],2,FALSE))</f>
        <v>m</v>
      </c>
      <c r="I90" s="115">
        <f>IF(C90=0,0,VLOOKUP(C90,PRECIOSMO[],3,FALSE))</f>
        <v>90</v>
      </c>
      <c r="K90" s="84">
        <f>+F90*I90</f>
        <v>90</v>
      </c>
      <c r="L90" s="116">
        <f>E90*I90</f>
        <v>1404</v>
      </c>
    </row>
    <row r="91" spans="2:12" x14ac:dyDescent="0.3">
      <c r="B91" s="120"/>
      <c r="C91" s="409"/>
      <c r="D91" s="40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417"/>
      <c r="D92" s="418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419" t="s">
        <v>15</v>
      </c>
      <c r="C93" s="420"/>
      <c r="D93" s="420"/>
      <c r="E93" s="420"/>
      <c r="F93" s="420"/>
      <c r="G93" s="421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402" t="s">
        <v>16</v>
      </c>
      <c r="G95" s="403"/>
      <c r="H95" s="403"/>
      <c r="I95" s="404"/>
      <c r="K95" s="224">
        <f>+SUM(K90:K93)</f>
        <v>90</v>
      </c>
      <c r="L95" s="117">
        <f>+SUM(L90:L93)</f>
        <v>1404</v>
      </c>
    </row>
    <row r="96" spans="2:12" ht="17.25" thickBot="1" x14ac:dyDescent="0.35"/>
    <row r="97" spans="2:16" ht="17.25" thickBot="1" x14ac:dyDescent="0.35">
      <c r="B97" s="108" t="s">
        <v>17</v>
      </c>
      <c r="C97" s="413" t="s">
        <v>18</v>
      </c>
      <c r="D97" s="413"/>
      <c r="E97" s="413"/>
      <c r="F97" s="413"/>
      <c r="G97" s="414"/>
    </row>
    <row r="98" spans="2:16" x14ac:dyDescent="0.3">
      <c r="B98" s="112" t="s">
        <v>6</v>
      </c>
      <c r="C98" s="415" t="s">
        <v>1</v>
      </c>
      <c r="D98" s="41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411"/>
      <c r="D99" s="412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411"/>
      <c r="D100" s="412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411"/>
      <c r="D101" s="412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402" t="s">
        <v>19</v>
      </c>
      <c r="G103" s="403"/>
      <c r="H103" s="403"/>
      <c r="I103" s="404"/>
      <c r="K103" s="224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280"/>
      <c r="H104" s="128"/>
      <c r="I104" s="106"/>
      <c r="K104" s="225"/>
    </row>
    <row r="105" spans="2:16" ht="15" customHeight="1" thickBot="1" x14ac:dyDescent="0.35"/>
    <row r="106" spans="2:16" ht="17.25" thickBot="1" x14ac:dyDescent="0.35">
      <c r="F106" s="402" t="s">
        <v>20</v>
      </c>
      <c r="G106" s="403"/>
      <c r="H106" s="403"/>
      <c r="I106" s="404"/>
      <c r="K106" s="224">
        <f>(+K77+K86+K95+K103)</f>
        <v>114</v>
      </c>
      <c r="L106" s="117">
        <f>(+L77+L86+L95+L103)</f>
        <v>1779.6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402" t="s">
        <v>21</v>
      </c>
      <c r="G108" s="403"/>
      <c r="H108" s="403"/>
      <c r="I108" s="404"/>
      <c r="K108" s="224">
        <f>K106*$N$2</f>
        <v>45.6</v>
      </c>
      <c r="L108" s="117">
        <f>L106*$N$2</f>
        <v>711.84</v>
      </c>
    </row>
    <row r="109" spans="2:16" ht="7.5" customHeight="1" thickBot="1" x14ac:dyDescent="0.35"/>
    <row r="110" spans="2:16" ht="17.25" thickBot="1" x14ac:dyDescent="0.35">
      <c r="F110" s="402" t="s">
        <v>22</v>
      </c>
      <c r="G110" s="403"/>
      <c r="H110" s="403"/>
      <c r="I110" s="404"/>
      <c r="K110" s="224">
        <f>+K106+K108</f>
        <v>159.6</v>
      </c>
      <c r="L110" s="117">
        <f>+L106+L108</f>
        <v>2491.44</v>
      </c>
    </row>
    <row r="111" spans="2:16" ht="17.25" thickBot="1" x14ac:dyDescent="0.35">
      <c r="F111" s="126"/>
      <c r="G111" s="280"/>
      <c r="H111" s="128"/>
      <c r="I111" s="106"/>
      <c r="K111" s="226"/>
      <c r="L111" s="130">
        <f>L110/I62</f>
        <v>159.70769230769233</v>
      </c>
      <c r="M111" s="131">
        <f>(K110-L111)*I62</f>
        <v>-1.6800000000003819</v>
      </c>
    </row>
    <row r="112" spans="2:16" x14ac:dyDescent="0.3">
      <c r="F112" s="126"/>
      <c r="G112" s="280"/>
      <c r="H112" s="128"/>
      <c r="I112" s="106"/>
      <c r="K112" s="227"/>
      <c r="L112" s="129"/>
      <c r="M112" s="132"/>
      <c r="N112" s="133"/>
    </row>
    <row r="113" spans="1:16" ht="17.25" thickBot="1" x14ac:dyDescent="0.35">
      <c r="B113" s="405"/>
      <c r="C113" s="405"/>
      <c r="D113" s="405"/>
    </row>
    <row r="114" spans="1:16" x14ac:dyDescent="0.3">
      <c r="B114" s="406" t="s">
        <v>23</v>
      </c>
      <c r="C114" s="406"/>
      <c r="D114" s="406"/>
    </row>
    <row r="115" spans="1:16" x14ac:dyDescent="0.3">
      <c r="B115" s="281"/>
      <c r="C115" s="281"/>
      <c r="D115" s="281"/>
    </row>
    <row r="117" spans="1:16" x14ac:dyDescent="0.3">
      <c r="B117" s="103" t="s">
        <v>43</v>
      </c>
      <c r="C117" s="104"/>
      <c r="D117" s="422" t="s">
        <v>1</v>
      </c>
      <c r="E117" s="422"/>
      <c r="F117" s="422"/>
      <c r="G117" s="422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87">
        <f>CATALOGO!B14</f>
        <v>111.03</v>
      </c>
      <c r="C118" s="135"/>
      <c r="D118" s="435" t="str">
        <f>CATALOGO!C14</f>
        <v>DEMOLICIÓN DE PISO CERÁMICO/PORCELANATO</v>
      </c>
      <c r="E118" s="435"/>
      <c r="F118" s="435"/>
      <c r="G118" s="435"/>
      <c r="H118" s="135"/>
      <c r="I118" s="287">
        <f>CATALOGO!E14</f>
        <v>27.7</v>
      </c>
      <c r="J118" s="107"/>
      <c r="K118" s="222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413" t="s">
        <v>5</v>
      </c>
      <c r="D120" s="413"/>
      <c r="E120" s="413"/>
      <c r="F120" s="413"/>
      <c r="G120" s="414"/>
    </row>
    <row r="121" spans="1:16" x14ac:dyDescent="0.3">
      <c r="B121" s="109" t="s">
        <v>6</v>
      </c>
      <c r="C121" s="424" t="s">
        <v>1</v>
      </c>
      <c r="D121" s="42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3" t="s">
        <v>8</v>
      </c>
      <c r="L121" s="113" t="s">
        <v>193</v>
      </c>
    </row>
    <row r="122" spans="1:16" x14ac:dyDescent="0.3">
      <c r="B122" s="74"/>
      <c r="C122" s="409"/>
      <c r="D122" s="40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409"/>
      <c r="D123" s="40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409"/>
      <c r="D124" s="40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409"/>
      <c r="D125" s="40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410"/>
      <c r="D126" s="410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402" t="s">
        <v>9</v>
      </c>
      <c r="G128" s="403"/>
      <c r="H128" s="403"/>
      <c r="I128" s="404"/>
      <c r="K128" s="224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413" t="s">
        <v>11</v>
      </c>
      <c r="D130" s="413"/>
      <c r="E130" s="413"/>
      <c r="F130" s="413"/>
      <c r="G130" s="414"/>
    </row>
    <row r="131" spans="2:12" x14ac:dyDescent="0.3">
      <c r="B131" s="112" t="s">
        <v>6</v>
      </c>
      <c r="C131" s="415" t="s">
        <v>1</v>
      </c>
      <c r="D131" s="41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>
        <v>1</v>
      </c>
      <c r="C132" s="409" t="s">
        <v>650</v>
      </c>
      <c r="D132" s="409"/>
      <c r="E132" s="114">
        <v>2</v>
      </c>
      <c r="F132" s="83">
        <f>ROUND(E132/I118,2)</f>
        <v>7.0000000000000007E-2</v>
      </c>
      <c r="G132" s="74" t="str">
        <f>IF(C132=0,0,VLOOKUP(C132,PRECIOSH[],2,FALSE))</f>
        <v>Unidad</v>
      </c>
      <c r="I132" s="115">
        <f>IF(C132=0,0,VLOOKUP(C132,PRECIOSH[],3,FALSE))</f>
        <v>100</v>
      </c>
      <c r="K132" s="84">
        <f>+F132*I132</f>
        <v>7.0000000000000009</v>
      </c>
      <c r="L132" s="116">
        <f>E132*I132</f>
        <v>200</v>
      </c>
    </row>
    <row r="133" spans="2:12" x14ac:dyDescent="0.3">
      <c r="B133" s="120">
        <v>2</v>
      </c>
      <c r="C133" s="409" t="s">
        <v>651</v>
      </c>
      <c r="D133" s="409"/>
      <c r="E133" s="119">
        <v>2</v>
      </c>
      <c r="F133" s="83">
        <f>ROUND(E133/I118,2)</f>
        <v>7.0000000000000007E-2</v>
      </c>
      <c r="G133" s="74" t="str">
        <f>IF(C133=0,0,VLOOKUP(C133,PRECIOSH[],2,FALSE))</f>
        <v>Unidad</v>
      </c>
      <c r="I133" s="115">
        <f>IF(C133=0,0,VLOOKUP(C133,PRECIOSH[],3,FALSE))</f>
        <v>200</v>
      </c>
      <c r="K133" s="84">
        <f>+F133*I133</f>
        <v>14.000000000000002</v>
      </c>
      <c r="L133" s="116">
        <f>E133*I133</f>
        <v>400</v>
      </c>
    </row>
    <row r="134" spans="2:12" x14ac:dyDescent="0.3">
      <c r="B134" s="120">
        <v>3</v>
      </c>
      <c r="C134" s="409" t="s">
        <v>652</v>
      </c>
      <c r="D134" s="409"/>
      <c r="E134" s="119">
        <v>1</v>
      </c>
      <c r="F134" s="83">
        <f>ROUND(E134/I118,2)</f>
        <v>0.04</v>
      </c>
      <c r="G134" s="74" t="str">
        <f>IF(C134=0,0,VLOOKUP(C134,PRECIOSH[],2,FALSE))</f>
        <v>Unidad</v>
      </c>
      <c r="I134" s="115">
        <f>IF(C134=0,0,VLOOKUP(C134,PRECIOSH[],3,FALSE))</f>
        <v>700</v>
      </c>
      <c r="K134" s="84">
        <f>+F134*I134</f>
        <v>28</v>
      </c>
      <c r="L134" s="116">
        <f>E134*I134</f>
        <v>700</v>
      </c>
    </row>
    <row r="135" spans="2:12" x14ac:dyDescent="0.3">
      <c r="B135" s="74"/>
      <c r="C135" s="411"/>
      <c r="D135" s="412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402" t="s">
        <v>12</v>
      </c>
      <c r="G137" s="403"/>
      <c r="H137" s="403"/>
      <c r="I137" s="404"/>
      <c r="K137" s="224">
        <f>+SUM(K132:K135)</f>
        <v>49</v>
      </c>
      <c r="L137" s="117">
        <f>+SUM(L132:L135)</f>
        <v>1300</v>
      </c>
    </row>
    <row r="138" spans="2:12" ht="17.25" thickBot="1" x14ac:dyDescent="0.35"/>
    <row r="139" spans="2:12" ht="17.25" thickBot="1" x14ac:dyDescent="0.35">
      <c r="B139" s="108" t="s">
        <v>13</v>
      </c>
      <c r="C139" s="413" t="s">
        <v>14</v>
      </c>
      <c r="D139" s="413"/>
      <c r="E139" s="413"/>
      <c r="F139" s="413"/>
      <c r="G139" s="414"/>
    </row>
    <row r="140" spans="2:12" x14ac:dyDescent="0.3">
      <c r="B140" s="112" t="s">
        <v>6</v>
      </c>
      <c r="C140" s="415" t="s">
        <v>1</v>
      </c>
      <c r="D140" s="41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409" t="s">
        <v>649</v>
      </c>
      <c r="D141" s="409"/>
      <c r="E141" s="114">
        <f>I118</f>
        <v>27.7</v>
      </c>
      <c r="F141" s="83">
        <f>ROUND(E141/I118,2)</f>
        <v>1</v>
      </c>
      <c r="G141" s="74" t="str">
        <f>IF(C141=0,0,VLOOKUP(C141,PRECIOSMO[],2,FALSE))</f>
        <v>m²</v>
      </c>
      <c r="I141" s="115">
        <f>IF(C141=0,0,VLOOKUP(C141,PRECIOSMO[],3,FALSE))</f>
        <v>65</v>
      </c>
      <c r="K141" s="84">
        <f>+F141*I141</f>
        <v>65</v>
      </c>
      <c r="L141" s="116">
        <f>E141*I141</f>
        <v>1800.5</v>
      </c>
    </row>
    <row r="142" spans="2:12" x14ac:dyDescent="0.3">
      <c r="B142" s="120"/>
      <c r="C142" s="409"/>
      <c r="D142" s="40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417"/>
      <c r="D143" s="418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419" t="s">
        <v>15</v>
      </c>
      <c r="C144" s="420"/>
      <c r="D144" s="420"/>
      <c r="E144" s="420"/>
      <c r="F144" s="420"/>
      <c r="G144" s="421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402" t="s">
        <v>16</v>
      </c>
      <c r="G146" s="403"/>
      <c r="H146" s="403"/>
      <c r="I146" s="404"/>
      <c r="K146" s="224">
        <f>+SUM(K141:K144)</f>
        <v>65</v>
      </c>
      <c r="L146" s="117">
        <f>+SUM(L141:L144)</f>
        <v>1800.5</v>
      </c>
    </row>
    <row r="147" spans="2:16" ht="17.25" thickBot="1" x14ac:dyDescent="0.35"/>
    <row r="148" spans="2:16" ht="17.25" thickBot="1" x14ac:dyDescent="0.35">
      <c r="B148" s="108" t="s">
        <v>17</v>
      </c>
      <c r="C148" s="413" t="s">
        <v>18</v>
      </c>
      <c r="D148" s="413"/>
      <c r="E148" s="413"/>
      <c r="F148" s="413"/>
      <c r="G148" s="414"/>
    </row>
    <row r="149" spans="2:16" x14ac:dyDescent="0.3">
      <c r="B149" s="112" t="s">
        <v>6</v>
      </c>
      <c r="C149" s="415" t="s">
        <v>1</v>
      </c>
      <c r="D149" s="41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411"/>
      <c r="D150" s="412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411"/>
      <c r="D151" s="412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411"/>
      <c r="D152" s="412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402" t="s">
        <v>19</v>
      </c>
      <c r="G154" s="403"/>
      <c r="H154" s="403"/>
      <c r="I154" s="404"/>
      <c r="K154" s="224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280"/>
      <c r="H155" s="128"/>
      <c r="I155" s="106"/>
      <c r="K155" s="225"/>
    </row>
    <row r="156" spans="2:16" ht="15" customHeight="1" thickBot="1" x14ac:dyDescent="0.35"/>
    <row r="157" spans="2:16" ht="17.25" thickBot="1" x14ac:dyDescent="0.35">
      <c r="F157" s="402" t="s">
        <v>20</v>
      </c>
      <c r="G157" s="403"/>
      <c r="H157" s="403"/>
      <c r="I157" s="404"/>
      <c r="K157" s="224">
        <f>(+K128+K137+K146+K154)</f>
        <v>114</v>
      </c>
      <c r="L157" s="117">
        <f>(+L128+L137+L146+L154)</f>
        <v>3100.5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402" t="s">
        <v>21</v>
      </c>
      <c r="G159" s="403"/>
      <c r="H159" s="403"/>
      <c r="I159" s="404"/>
      <c r="K159" s="224">
        <f>K157*$N$2</f>
        <v>45.6</v>
      </c>
      <c r="L159" s="117">
        <f>L157*$N$2</f>
        <v>1240.2</v>
      </c>
    </row>
    <row r="160" spans="2:16" ht="7.5" customHeight="1" thickBot="1" x14ac:dyDescent="0.35"/>
    <row r="161" spans="1:16" ht="17.25" thickBot="1" x14ac:dyDescent="0.35">
      <c r="F161" s="402" t="s">
        <v>22</v>
      </c>
      <c r="G161" s="403"/>
      <c r="H161" s="403"/>
      <c r="I161" s="404"/>
      <c r="K161" s="224">
        <f>+K157+K159</f>
        <v>159.6</v>
      </c>
      <c r="L161" s="117">
        <f>+L157+L159</f>
        <v>4340.7</v>
      </c>
    </row>
    <row r="162" spans="1:16" ht="17.25" thickBot="1" x14ac:dyDescent="0.35">
      <c r="F162" s="126"/>
      <c r="G162" s="280"/>
      <c r="H162" s="128"/>
      <c r="I162" s="106"/>
      <c r="K162" s="226"/>
      <c r="L162" s="130">
        <f>L161/I118</f>
        <v>156.70397111913357</v>
      </c>
      <c r="M162" s="131">
        <f>(K161-L162)*I118</f>
        <v>80.219999999999956</v>
      </c>
    </row>
    <row r="163" spans="1:16" x14ac:dyDescent="0.3">
      <c r="F163" s="126"/>
      <c r="G163" s="280"/>
      <c r="H163" s="128"/>
      <c r="I163" s="106"/>
      <c r="K163" s="227"/>
      <c r="L163" s="129"/>
      <c r="M163" s="132"/>
      <c r="N163" s="133"/>
    </row>
    <row r="164" spans="1:16" ht="17.25" thickBot="1" x14ac:dyDescent="0.35">
      <c r="B164" s="405"/>
      <c r="C164" s="405"/>
      <c r="D164" s="405"/>
    </row>
    <row r="165" spans="1:16" x14ac:dyDescent="0.3">
      <c r="B165" s="406" t="s">
        <v>23</v>
      </c>
      <c r="C165" s="406"/>
      <c r="D165" s="406"/>
    </row>
    <row r="166" spans="1:16" x14ac:dyDescent="0.3">
      <c r="B166" s="281"/>
      <c r="C166" s="281"/>
      <c r="D166" s="281"/>
    </row>
    <row r="168" spans="1:16" x14ac:dyDescent="0.3">
      <c r="B168" s="103" t="s">
        <v>43</v>
      </c>
      <c r="C168" s="104"/>
      <c r="D168" s="422" t="s">
        <v>1</v>
      </c>
      <c r="E168" s="422"/>
      <c r="F168" s="422"/>
      <c r="G168" s="422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87">
        <f>CATALOGO!B15</f>
        <v>114.03</v>
      </c>
      <c r="C169" s="135"/>
      <c r="D169" s="435" t="str">
        <f>CATALOGO!C15</f>
        <v>DESMONTAJE DE CUBIERTA DE TECHO</v>
      </c>
      <c r="E169" s="435"/>
      <c r="F169" s="435"/>
      <c r="G169" s="435"/>
      <c r="H169" s="135"/>
      <c r="I169" s="287">
        <f>CATALOGO!E15</f>
        <v>38.5</v>
      </c>
      <c r="J169" s="107"/>
      <c r="K169" s="222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413" t="s">
        <v>5</v>
      </c>
      <c r="D171" s="413"/>
      <c r="E171" s="413"/>
      <c r="F171" s="413"/>
      <c r="G171" s="414"/>
    </row>
    <row r="172" spans="1:16" x14ac:dyDescent="0.3">
      <c r="B172" s="109" t="s">
        <v>6</v>
      </c>
      <c r="C172" s="424" t="s">
        <v>1</v>
      </c>
      <c r="D172" s="42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3" t="s">
        <v>8</v>
      </c>
      <c r="L172" s="113" t="s">
        <v>193</v>
      </c>
    </row>
    <row r="173" spans="1:16" x14ac:dyDescent="0.3">
      <c r="B173" s="74"/>
      <c r="C173" s="409"/>
      <c r="D173" s="40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409"/>
      <c r="D174" s="40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409"/>
      <c r="D175" s="40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409"/>
      <c r="D176" s="40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410"/>
      <c r="D177" s="410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402" t="s">
        <v>9</v>
      </c>
      <c r="G179" s="403"/>
      <c r="H179" s="403"/>
      <c r="I179" s="404"/>
      <c r="K179" s="224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413" t="s">
        <v>11</v>
      </c>
      <c r="D181" s="413"/>
      <c r="E181" s="413"/>
      <c r="F181" s="413"/>
      <c r="G181" s="414"/>
    </row>
    <row r="182" spans="2:12" x14ac:dyDescent="0.3">
      <c r="B182" s="112" t="s">
        <v>6</v>
      </c>
      <c r="C182" s="415" t="s">
        <v>1</v>
      </c>
      <c r="D182" s="41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>
        <v>1</v>
      </c>
      <c r="C183" s="409" t="s">
        <v>648</v>
      </c>
      <c r="D183" s="409"/>
      <c r="E183" s="114">
        <v>2</v>
      </c>
      <c r="F183" s="83">
        <f>ROUND(E183/I169,2)</f>
        <v>0.05</v>
      </c>
      <c r="G183" s="74" t="str">
        <f>IF(C183=0,0,VLOOKUP(C183,PRECIOSH[],2,FALSE))</f>
        <v>Unidad</v>
      </c>
      <c r="I183" s="115">
        <f>IF(C183=0,0,VLOOKUP(C183,PRECIOSH[],3,FALSE))</f>
        <v>2000</v>
      </c>
      <c r="K183" s="84">
        <f>+F183*I183</f>
        <v>100</v>
      </c>
      <c r="L183" s="116">
        <f>E183*I183</f>
        <v>4000</v>
      </c>
    </row>
    <row r="184" spans="2:12" x14ac:dyDescent="0.3">
      <c r="B184" s="74"/>
      <c r="C184" s="282"/>
      <c r="D184" s="283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82"/>
      <c r="D185" s="283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411"/>
      <c r="D186" s="412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402" t="s">
        <v>12</v>
      </c>
      <c r="G188" s="403"/>
      <c r="H188" s="403"/>
      <c r="I188" s="404"/>
      <c r="K188" s="224">
        <f>+SUM(K183:K186)</f>
        <v>100</v>
      </c>
      <c r="L188" s="117">
        <f>+SUM(L183:L186)</f>
        <v>4000</v>
      </c>
    </row>
    <row r="189" spans="2:12" ht="17.25" thickBot="1" x14ac:dyDescent="0.35"/>
    <row r="190" spans="2:12" ht="17.25" thickBot="1" x14ac:dyDescent="0.35">
      <c r="B190" s="108" t="s">
        <v>13</v>
      </c>
      <c r="C190" s="413" t="s">
        <v>14</v>
      </c>
      <c r="D190" s="413"/>
      <c r="E190" s="413"/>
      <c r="F190" s="413"/>
      <c r="G190" s="414"/>
    </row>
    <row r="191" spans="2:12" x14ac:dyDescent="0.3">
      <c r="B191" s="112" t="s">
        <v>6</v>
      </c>
      <c r="C191" s="415" t="s">
        <v>1</v>
      </c>
      <c r="D191" s="41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409" t="s">
        <v>276</v>
      </c>
      <c r="D192" s="409"/>
      <c r="E192" s="114">
        <f>I169</f>
        <v>38.5</v>
      </c>
      <c r="F192" s="83">
        <f>ROUND(E192/I169,2)</f>
        <v>1</v>
      </c>
      <c r="G192" s="74" t="str">
        <f>IF(C192=0,0,VLOOKUP(C192,PRECIOSMO[],2,FALSE))</f>
        <v>m²</v>
      </c>
      <c r="I192" s="115">
        <f>IF(C192=0,0,VLOOKUP(C192,PRECIOSMO[],3,FALSE))</f>
        <v>10</v>
      </c>
      <c r="K192" s="84">
        <f>+F192*I192</f>
        <v>10</v>
      </c>
      <c r="L192" s="116">
        <f>E192*I192</f>
        <v>385</v>
      </c>
    </row>
    <row r="193" spans="2:16" x14ac:dyDescent="0.3">
      <c r="B193" s="120">
        <v>2</v>
      </c>
      <c r="C193" s="409" t="s">
        <v>277</v>
      </c>
      <c r="D193" s="409"/>
      <c r="E193" s="114">
        <f>I169</f>
        <v>38.5</v>
      </c>
      <c r="F193" s="83">
        <v>1</v>
      </c>
      <c r="G193" s="74" t="str">
        <f>IF(C193=0,0,VLOOKUP(C193,PRECIOSMO[],2,FALSE))</f>
        <v>m²</v>
      </c>
      <c r="I193" s="115">
        <f>IF(C193=0,0,VLOOKUP(C193,PRECIOSMO[],3,FALSE))</f>
        <v>10</v>
      </c>
      <c r="K193" s="84">
        <f>+F193*I193</f>
        <v>10</v>
      </c>
      <c r="L193" s="116">
        <f>E193*I193</f>
        <v>385</v>
      </c>
    </row>
    <row r="194" spans="2:16" ht="17.25" thickBot="1" x14ac:dyDescent="0.35">
      <c r="B194" s="121"/>
      <c r="C194" s="417"/>
      <c r="D194" s="418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419" t="s">
        <v>15</v>
      </c>
      <c r="C195" s="420"/>
      <c r="D195" s="420"/>
      <c r="E195" s="420"/>
      <c r="F195" s="420"/>
      <c r="G195" s="421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402" t="s">
        <v>16</v>
      </c>
      <c r="G197" s="403"/>
      <c r="H197" s="403"/>
      <c r="I197" s="404"/>
      <c r="K197" s="224">
        <f>+SUM(K192:K195)</f>
        <v>20</v>
      </c>
      <c r="L197" s="117">
        <f>+SUM(L192:L195)</f>
        <v>770</v>
      </c>
    </row>
    <row r="198" spans="2:16" ht="17.25" thickBot="1" x14ac:dyDescent="0.35"/>
    <row r="199" spans="2:16" ht="17.25" thickBot="1" x14ac:dyDescent="0.35">
      <c r="B199" s="108" t="s">
        <v>17</v>
      </c>
      <c r="C199" s="413" t="s">
        <v>18</v>
      </c>
      <c r="D199" s="413"/>
      <c r="E199" s="413"/>
      <c r="F199" s="413"/>
      <c r="G199" s="414"/>
    </row>
    <row r="200" spans="2:16" x14ac:dyDescent="0.3">
      <c r="B200" s="112" t="s">
        <v>6</v>
      </c>
      <c r="C200" s="415" t="s">
        <v>1</v>
      </c>
      <c r="D200" s="41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411"/>
      <c r="D201" s="412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411"/>
      <c r="D202" s="412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411"/>
      <c r="D203" s="412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402" t="s">
        <v>19</v>
      </c>
      <c r="G205" s="403"/>
      <c r="H205" s="403"/>
      <c r="I205" s="404"/>
      <c r="K205" s="224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280"/>
      <c r="H206" s="128"/>
      <c r="I206" s="106"/>
      <c r="K206" s="225"/>
    </row>
    <row r="207" spans="2:16" ht="15" customHeight="1" thickBot="1" x14ac:dyDescent="0.35"/>
    <row r="208" spans="2:16" ht="17.25" thickBot="1" x14ac:dyDescent="0.35">
      <c r="F208" s="402" t="s">
        <v>20</v>
      </c>
      <c r="G208" s="403"/>
      <c r="H208" s="403"/>
      <c r="I208" s="404"/>
      <c r="K208" s="224">
        <f>(+K179+K188+K197+K205)</f>
        <v>120</v>
      </c>
      <c r="L208" s="117">
        <f>(+L179+L188+L197+L205)</f>
        <v>4770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402" t="s">
        <v>21</v>
      </c>
      <c r="G210" s="403"/>
      <c r="H210" s="403"/>
      <c r="I210" s="404"/>
      <c r="K210" s="224">
        <f>K208*$N$2</f>
        <v>48</v>
      </c>
      <c r="L210" s="117">
        <f>L208*$N$2</f>
        <v>1908</v>
      </c>
    </row>
    <row r="211" spans="1:16" ht="7.5" customHeight="1" thickBot="1" x14ac:dyDescent="0.35"/>
    <row r="212" spans="1:16" ht="17.25" thickBot="1" x14ac:dyDescent="0.35">
      <c r="F212" s="402" t="s">
        <v>22</v>
      </c>
      <c r="G212" s="403"/>
      <c r="H212" s="403"/>
      <c r="I212" s="404"/>
      <c r="K212" s="224">
        <f>+K208+K210</f>
        <v>168</v>
      </c>
      <c r="L212" s="117">
        <f>+L208+L210</f>
        <v>6678</v>
      </c>
    </row>
    <row r="213" spans="1:16" ht="17.25" thickBot="1" x14ac:dyDescent="0.35">
      <c r="F213" s="126"/>
      <c r="G213" s="280"/>
      <c r="H213" s="128"/>
      <c r="I213" s="106"/>
      <c r="K213" s="226"/>
      <c r="L213" s="303">
        <f>L212/I169</f>
        <v>173.45454545454547</v>
      </c>
      <c r="M213" s="131">
        <f>(K212-L213)*I169</f>
        <v>-210.00000000000051</v>
      </c>
    </row>
    <row r="214" spans="1:16" x14ac:dyDescent="0.3">
      <c r="F214" s="126"/>
      <c r="G214" s="280"/>
      <c r="H214" s="128"/>
      <c r="I214" s="106"/>
      <c r="K214" s="227"/>
      <c r="L214" s="129"/>
      <c r="M214" s="132"/>
      <c r="N214" s="133"/>
    </row>
    <row r="215" spans="1:16" ht="17.25" thickBot="1" x14ac:dyDescent="0.35">
      <c r="B215" s="405"/>
      <c r="C215" s="405"/>
      <c r="D215" s="405"/>
    </row>
    <row r="216" spans="1:16" x14ac:dyDescent="0.3">
      <c r="B216" s="406" t="s">
        <v>23</v>
      </c>
      <c r="C216" s="406"/>
      <c r="D216" s="406"/>
    </row>
    <row r="217" spans="1:16" x14ac:dyDescent="0.3">
      <c r="B217" s="281"/>
      <c r="C217" s="281"/>
      <c r="D217" s="281"/>
    </row>
    <row r="219" spans="1:16" x14ac:dyDescent="0.3">
      <c r="B219" s="103" t="s">
        <v>43</v>
      </c>
      <c r="C219" s="104"/>
      <c r="D219" s="422" t="s">
        <v>1</v>
      </c>
      <c r="E219" s="422"/>
      <c r="F219" s="422"/>
      <c r="G219" s="422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87">
        <f>CATALOGO!B16</f>
        <v>117.01</v>
      </c>
      <c r="C220" s="135"/>
      <c r="D220" s="435" t="str">
        <f>CATALOGO!C16</f>
        <v>DESMONTAJE DE ARTEFACTOS SANITARIOS</v>
      </c>
      <c r="E220" s="435"/>
      <c r="F220" s="435"/>
      <c r="G220" s="435"/>
      <c r="H220" s="135"/>
      <c r="I220" s="287">
        <f>CATALOGO!E16</f>
        <v>2</v>
      </c>
      <c r="J220" s="107"/>
      <c r="K220" s="222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413" t="s">
        <v>5</v>
      </c>
      <c r="D222" s="413"/>
      <c r="E222" s="413"/>
      <c r="F222" s="413"/>
      <c r="G222" s="414"/>
    </row>
    <row r="223" spans="1:16" x14ac:dyDescent="0.3">
      <c r="B223" s="109" t="s">
        <v>6</v>
      </c>
      <c r="C223" s="424" t="s">
        <v>1</v>
      </c>
      <c r="D223" s="42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3" t="s">
        <v>8</v>
      </c>
      <c r="L223" s="113" t="s">
        <v>193</v>
      </c>
    </row>
    <row r="224" spans="1:16" x14ac:dyDescent="0.3">
      <c r="B224" s="74"/>
      <c r="C224" s="409"/>
      <c r="D224" s="40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409"/>
      <c r="D225" s="40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409"/>
      <c r="D226" s="40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409"/>
      <c r="D227" s="40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410"/>
      <c r="D228" s="410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410"/>
      <c r="D229" s="410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402" t="s">
        <v>9</v>
      </c>
      <c r="G231" s="403"/>
      <c r="H231" s="403"/>
      <c r="I231" s="404"/>
      <c r="K231" s="224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413" t="s">
        <v>11</v>
      </c>
      <c r="D233" s="413"/>
      <c r="E233" s="413"/>
      <c r="F233" s="413"/>
      <c r="G233" s="414"/>
    </row>
    <row r="234" spans="2:12" x14ac:dyDescent="0.3">
      <c r="B234" s="112" t="s">
        <v>6</v>
      </c>
      <c r="C234" s="415" t="s">
        <v>1</v>
      </c>
      <c r="D234" s="41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/>
      <c r="C235" s="409"/>
      <c r="D235" s="409"/>
      <c r="E235" s="114"/>
      <c r="F235" s="83"/>
      <c r="G235" s="74"/>
      <c r="I235" s="115">
        <f>IF(C235=0,0,VLOOKUP(C235,Tabla3[],3,FALSE))</f>
        <v>0</v>
      </c>
      <c r="K235" s="84">
        <f>+F235*I235</f>
        <v>0</v>
      </c>
      <c r="L235" s="116">
        <f>E235*I235</f>
        <v>0</v>
      </c>
    </row>
    <row r="236" spans="2:12" x14ac:dyDescent="0.3">
      <c r="B236" s="74"/>
      <c r="C236" s="282"/>
      <c r="D236" s="283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82"/>
      <c r="D237" s="283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411"/>
      <c r="D238" s="412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402" t="s">
        <v>12</v>
      </c>
      <c r="G240" s="403"/>
      <c r="H240" s="403"/>
      <c r="I240" s="404"/>
      <c r="K240" s="224">
        <f>+SUM(K235:K238)</f>
        <v>0</v>
      </c>
      <c r="L240" s="117">
        <f>+SUM(L235:L238)</f>
        <v>0</v>
      </c>
    </row>
    <row r="241" spans="2:12" ht="17.25" thickBot="1" x14ac:dyDescent="0.35"/>
    <row r="242" spans="2:12" ht="17.25" thickBot="1" x14ac:dyDescent="0.35">
      <c r="B242" s="108" t="s">
        <v>13</v>
      </c>
      <c r="C242" s="413" t="s">
        <v>14</v>
      </c>
      <c r="D242" s="413"/>
      <c r="E242" s="413"/>
      <c r="F242" s="413"/>
      <c r="G242" s="414"/>
    </row>
    <row r="243" spans="2:12" x14ac:dyDescent="0.3">
      <c r="B243" s="112" t="s">
        <v>6</v>
      </c>
      <c r="C243" s="415" t="s">
        <v>1</v>
      </c>
      <c r="D243" s="41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409" t="s">
        <v>385</v>
      </c>
      <c r="D244" s="409"/>
      <c r="E244" s="114">
        <v>1</v>
      </c>
      <c r="F244" s="83">
        <f>ROUND(E244/I220,2)</f>
        <v>0.5</v>
      </c>
      <c r="G244" s="74" t="str">
        <f>IF(C244=0,0,VLOOKUP(C244,PRECIOSMO[],2,FALSE))</f>
        <v>Unidad</v>
      </c>
      <c r="I244" s="115">
        <f>IF(C244=0,0,VLOOKUP(C244,PRECIOSMO[],3,FALSE))</f>
        <v>300</v>
      </c>
      <c r="K244" s="84">
        <f>+F244*I244</f>
        <v>150</v>
      </c>
      <c r="L244" s="116">
        <f>E244*I244</f>
        <v>300</v>
      </c>
    </row>
    <row r="245" spans="2:12" x14ac:dyDescent="0.3">
      <c r="B245" s="120">
        <v>2</v>
      </c>
      <c r="C245" s="409" t="s">
        <v>662</v>
      </c>
      <c r="D245" s="409"/>
      <c r="E245" s="114">
        <v>1</v>
      </c>
      <c r="F245" s="83">
        <f>ROUND(E245/I220,2)</f>
        <v>0.5</v>
      </c>
      <c r="G245" s="74" t="str">
        <f>IF(C245=0,0,VLOOKUP(C245,PRECIOSMO[],2,FALSE))</f>
        <v>Unidad</v>
      </c>
      <c r="I245" s="115">
        <f>IF(C245=0,0,VLOOKUP(C245,PRECIOSMO[],3,FALSE))</f>
        <v>150</v>
      </c>
      <c r="K245" s="84">
        <f>+F245*I245</f>
        <v>75</v>
      </c>
      <c r="L245" s="116">
        <f>E245*I245</f>
        <v>150</v>
      </c>
    </row>
    <row r="246" spans="2:12" ht="17.25" thickBot="1" x14ac:dyDescent="0.35">
      <c r="B246" s="121"/>
      <c r="C246" s="417"/>
      <c r="D246" s="418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419" t="s">
        <v>15</v>
      </c>
      <c r="C247" s="420"/>
      <c r="D247" s="420"/>
      <c r="E247" s="420"/>
      <c r="F247" s="420"/>
      <c r="G247" s="421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402" t="s">
        <v>16</v>
      </c>
      <c r="G249" s="403"/>
      <c r="H249" s="403"/>
      <c r="I249" s="404"/>
      <c r="K249" s="224">
        <f>+SUM(K244:K247)</f>
        <v>225</v>
      </c>
      <c r="L249" s="117">
        <f>+SUM(L244:L247)</f>
        <v>450</v>
      </c>
    </row>
    <row r="250" spans="2:12" ht="17.25" thickBot="1" x14ac:dyDescent="0.35"/>
    <row r="251" spans="2:12" ht="17.25" thickBot="1" x14ac:dyDescent="0.35">
      <c r="B251" s="108" t="s">
        <v>17</v>
      </c>
      <c r="C251" s="413" t="s">
        <v>18</v>
      </c>
      <c r="D251" s="413"/>
      <c r="E251" s="413"/>
      <c r="F251" s="413"/>
      <c r="G251" s="414"/>
    </row>
    <row r="252" spans="2:12" x14ac:dyDescent="0.3">
      <c r="B252" s="112" t="s">
        <v>6</v>
      </c>
      <c r="C252" s="415" t="s">
        <v>1</v>
      </c>
      <c r="D252" s="41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411"/>
      <c r="D253" s="412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411"/>
      <c r="D254" s="412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411"/>
      <c r="D255" s="412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402" t="s">
        <v>19</v>
      </c>
      <c r="G257" s="403"/>
      <c r="H257" s="403"/>
      <c r="I257" s="404"/>
      <c r="K257" s="224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280"/>
      <c r="H258" s="128"/>
      <c r="I258" s="106"/>
      <c r="K258" s="225"/>
    </row>
    <row r="259" spans="1:16" ht="15" customHeight="1" thickBot="1" x14ac:dyDescent="0.35"/>
    <row r="260" spans="1:16" ht="17.25" thickBot="1" x14ac:dyDescent="0.35">
      <c r="F260" s="402" t="s">
        <v>20</v>
      </c>
      <c r="G260" s="403"/>
      <c r="H260" s="403"/>
      <c r="I260" s="404"/>
      <c r="K260" s="224">
        <f>(+K231+K240+K249+K257)</f>
        <v>225</v>
      </c>
      <c r="L260" s="117">
        <f>(+L231+L240+L249+L257)</f>
        <v>450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402" t="s">
        <v>21</v>
      </c>
      <c r="G262" s="403"/>
      <c r="H262" s="403"/>
      <c r="I262" s="404"/>
      <c r="K262" s="224">
        <f>K260*$N$2</f>
        <v>90</v>
      </c>
      <c r="L262" s="117">
        <f>L260*$N$2</f>
        <v>180</v>
      </c>
    </row>
    <row r="263" spans="1:16" ht="7.5" customHeight="1" thickBot="1" x14ac:dyDescent="0.35"/>
    <row r="264" spans="1:16" ht="17.25" thickBot="1" x14ac:dyDescent="0.35">
      <c r="F264" s="402" t="s">
        <v>22</v>
      </c>
      <c r="G264" s="403"/>
      <c r="H264" s="403"/>
      <c r="I264" s="404"/>
      <c r="K264" s="224">
        <f>+K260+K262</f>
        <v>315</v>
      </c>
      <c r="L264" s="117">
        <f>+L260+L262</f>
        <v>630</v>
      </c>
    </row>
    <row r="265" spans="1:16" ht="17.25" thickBot="1" x14ac:dyDescent="0.35">
      <c r="F265" s="126"/>
      <c r="G265" s="280"/>
      <c r="H265" s="128"/>
      <c r="I265" s="106"/>
      <c r="K265" s="226"/>
      <c r="L265" s="130">
        <f>L264/I220</f>
        <v>315</v>
      </c>
      <c r="M265" s="131">
        <f>(K264-L265)*I220</f>
        <v>0</v>
      </c>
    </row>
    <row r="266" spans="1:16" x14ac:dyDescent="0.3">
      <c r="F266" s="126"/>
      <c r="G266" s="280"/>
      <c r="H266" s="128"/>
      <c r="I266" s="106"/>
      <c r="K266" s="227"/>
      <c r="L266" s="129"/>
      <c r="M266" s="132"/>
      <c r="N266" s="133"/>
    </row>
    <row r="267" spans="1:16" ht="17.25" thickBot="1" x14ac:dyDescent="0.35">
      <c r="B267" s="405"/>
      <c r="C267" s="405"/>
      <c r="D267" s="405"/>
    </row>
    <row r="268" spans="1:16" x14ac:dyDescent="0.3">
      <c r="B268" s="406" t="s">
        <v>23</v>
      </c>
      <c r="C268" s="406"/>
      <c r="D268" s="406"/>
    </row>
    <row r="269" spans="1:16" x14ac:dyDescent="0.3">
      <c r="B269" s="281"/>
      <c r="C269" s="281"/>
      <c r="D269" s="281"/>
    </row>
    <row r="270" spans="1:16" x14ac:dyDescent="0.3">
      <c r="B270" s="281"/>
      <c r="C270" s="281"/>
      <c r="D270" s="281"/>
    </row>
    <row r="271" spans="1:16" x14ac:dyDescent="0.3">
      <c r="B271" s="103" t="s">
        <v>43</v>
      </c>
      <c r="C271" s="104"/>
      <c r="D271" s="422" t="s">
        <v>1</v>
      </c>
      <c r="E271" s="422"/>
      <c r="F271" s="422"/>
      <c r="G271" s="422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87">
        <f>CATALOGO!B17</f>
        <v>118.01</v>
      </c>
      <c r="C272" s="135"/>
      <c r="D272" s="435" t="str">
        <f>CATALOGO!C17</f>
        <v>DESMONTAJE DE ACCESORIOS ELECTRICOS</v>
      </c>
      <c r="E272" s="435"/>
      <c r="F272" s="435"/>
      <c r="G272" s="435"/>
      <c r="H272" s="135"/>
      <c r="I272" s="287">
        <f>CATALOGO!E17</f>
        <v>4</v>
      </c>
      <c r="J272" s="107"/>
      <c r="K272" s="222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413" t="s">
        <v>5</v>
      </c>
      <c r="D274" s="413"/>
      <c r="E274" s="413"/>
      <c r="F274" s="413"/>
      <c r="G274" s="414"/>
    </row>
    <row r="275" spans="2:12" x14ac:dyDescent="0.3">
      <c r="B275" s="109" t="s">
        <v>6</v>
      </c>
      <c r="C275" s="424" t="s">
        <v>1</v>
      </c>
      <c r="D275" s="42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3" t="s">
        <v>8</v>
      </c>
      <c r="L275" s="113" t="s">
        <v>193</v>
      </c>
    </row>
    <row r="276" spans="2:12" x14ac:dyDescent="0.3">
      <c r="B276" s="74"/>
      <c r="C276" s="409"/>
      <c r="D276" s="40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409"/>
      <c r="D277" s="40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409"/>
      <c r="D278" s="40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409"/>
      <c r="D279" s="40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410"/>
      <c r="D280" s="410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410"/>
      <c r="D281" s="410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402" t="s">
        <v>9</v>
      </c>
      <c r="G283" s="403"/>
      <c r="H283" s="403"/>
      <c r="I283" s="404"/>
      <c r="K283" s="224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413" t="s">
        <v>11</v>
      </c>
      <c r="D285" s="413"/>
      <c r="E285" s="413"/>
      <c r="F285" s="413"/>
      <c r="G285" s="414"/>
    </row>
    <row r="286" spans="2:12" x14ac:dyDescent="0.3">
      <c r="B286" s="112" t="s">
        <v>6</v>
      </c>
      <c r="C286" s="415" t="s">
        <v>1</v>
      </c>
      <c r="D286" s="41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409"/>
      <c r="D287" s="40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82"/>
      <c r="D288" s="283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82"/>
      <c r="D289" s="283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411"/>
      <c r="D290" s="412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402" t="s">
        <v>12</v>
      </c>
      <c r="G292" s="403"/>
      <c r="H292" s="403"/>
      <c r="I292" s="404"/>
      <c r="K292" s="224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413" t="s">
        <v>14</v>
      </c>
      <c r="D294" s="413"/>
      <c r="E294" s="413"/>
      <c r="F294" s="413"/>
      <c r="G294" s="414"/>
    </row>
    <row r="295" spans="2:12" x14ac:dyDescent="0.3">
      <c r="B295" s="112" t="s">
        <v>6</v>
      </c>
      <c r="C295" s="415" t="s">
        <v>1</v>
      </c>
      <c r="D295" s="41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409" t="s">
        <v>463</v>
      </c>
      <c r="D296" s="409"/>
      <c r="E296" s="114">
        <f>I272</f>
        <v>4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240</v>
      </c>
    </row>
    <row r="297" spans="2:12" x14ac:dyDescent="0.3">
      <c r="B297" s="120"/>
      <c r="C297" s="409"/>
      <c r="D297" s="40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417"/>
      <c r="D298" s="418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419" t="s">
        <v>15</v>
      </c>
      <c r="C299" s="420"/>
      <c r="D299" s="420"/>
      <c r="E299" s="420"/>
      <c r="F299" s="420"/>
      <c r="G299" s="421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402" t="s">
        <v>16</v>
      </c>
      <c r="G301" s="403"/>
      <c r="H301" s="403"/>
      <c r="I301" s="404"/>
      <c r="K301" s="224">
        <f>+SUM(K296:K299)</f>
        <v>60</v>
      </c>
      <c r="L301" s="117">
        <f>+SUM(L296:L299)</f>
        <v>240</v>
      </c>
    </row>
    <row r="302" spans="2:12" ht="17.25" thickBot="1" x14ac:dyDescent="0.35"/>
    <row r="303" spans="2:12" ht="17.25" thickBot="1" x14ac:dyDescent="0.35">
      <c r="B303" s="108" t="s">
        <v>17</v>
      </c>
      <c r="C303" s="413" t="s">
        <v>18</v>
      </c>
      <c r="D303" s="413"/>
      <c r="E303" s="413"/>
      <c r="F303" s="413"/>
      <c r="G303" s="414"/>
    </row>
    <row r="304" spans="2:12" x14ac:dyDescent="0.3">
      <c r="B304" s="112" t="s">
        <v>6</v>
      </c>
      <c r="C304" s="415" t="s">
        <v>1</v>
      </c>
      <c r="D304" s="41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411"/>
      <c r="D305" s="412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411"/>
      <c r="D306" s="412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411"/>
      <c r="D307" s="412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402" t="s">
        <v>19</v>
      </c>
      <c r="G309" s="403"/>
      <c r="H309" s="403"/>
      <c r="I309" s="404"/>
      <c r="K309" s="224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280"/>
      <c r="H310" s="128"/>
      <c r="I310" s="106"/>
      <c r="K310" s="225"/>
    </row>
    <row r="311" spans="2:16" ht="15" customHeight="1" thickBot="1" x14ac:dyDescent="0.35"/>
    <row r="312" spans="2:16" ht="17.25" thickBot="1" x14ac:dyDescent="0.35">
      <c r="F312" s="402" t="s">
        <v>20</v>
      </c>
      <c r="G312" s="403"/>
      <c r="H312" s="403"/>
      <c r="I312" s="404"/>
      <c r="K312" s="224">
        <f>(+K283+K292+K301+K309)</f>
        <v>60</v>
      </c>
      <c r="L312" s="117">
        <f>(+L283+L292+L301+L309)</f>
        <v>240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402" t="s">
        <v>21</v>
      </c>
      <c r="G314" s="403"/>
      <c r="H314" s="403"/>
      <c r="I314" s="404"/>
      <c r="K314" s="224">
        <f>K312*$N$2</f>
        <v>24</v>
      </c>
      <c r="L314" s="117">
        <f>L312*$N$2</f>
        <v>96</v>
      </c>
    </row>
    <row r="315" spans="2:16" ht="7.5" customHeight="1" thickBot="1" x14ac:dyDescent="0.35"/>
    <row r="316" spans="2:16" ht="17.25" thickBot="1" x14ac:dyDescent="0.35">
      <c r="F316" s="402" t="s">
        <v>22</v>
      </c>
      <c r="G316" s="403"/>
      <c r="H316" s="403"/>
      <c r="I316" s="404"/>
      <c r="K316" s="224">
        <f>+K312+K314</f>
        <v>84</v>
      </c>
      <c r="L316" s="117">
        <f>+L312+L314</f>
        <v>336</v>
      </c>
    </row>
    <row r="317" spans="2:16" ht="17.25" thickBot="1" x14ac:dyDescent="0.35">
      <c r="F317" s="126"/>
      <c r="G317" s="280"/>
      <c r="H317" s="128"/>
      <c r="I317" s="106"/>
      <c r="K317" s="226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280"/>
      <c r="H318" s="128"/>
      <c r="I318" s="106"/>
      <c r="K318" s="227"/>
      <c r="L318" s="129"/>
      <c r="M318" s="132"/>
      <c r="N318" s="133"/>
    </row>
    <row r="319" spans="2:16" ht="17.25" thickBot="1" x14ac:dyDescent="0.35">
      <c r="B319" s="405"/>
      <c r="C319" s="405"/>
      <c r="D319" s="405"/>
    </row>
    <row r="320" spans="2:16" x14ac:dyDescent="0.3">
      <c r="B320" s="406" t="s">
        <v>23</v>
      </c>
      <c r="C320" s="406"/>
      <c r="D320" s="406"/>
    </row>
    <row r="321" spans="1:16" x14ac:dyDescent="0.3">
      <c r="B321" s="281"/>
      <c r="C321" s="281"/>
      <c r="D321" s="281"/>
    </row>
    <row r="322" spans="1:16" x14ac:dyDescent="0.3">
      <c r="B322" s="289"/>
      <c r="C322" s="289"/>
      <c r="D322" s="289"/>
    </row>
    <row r="323" spans="1:16" x14ac:dyDescent="0.3">
      <c r="B323" s="103" t="s">
        <v>43</v>
      </c>
      <c r="C323" s="104"/>
      <c r="D323" s="422" t="s">
        <v>1</v>
      </c>
      <c r="E323" s="422"/>
      <c r="F323" s="422"/>
      <c r="G323" s="422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92" t="str">
        <f>CATALOGO!B18</f>
        <v>?????</v>
      </c>
      <c r="C324" s="135"/>
      <c r="D324" s="435" t="str">
        <f>CATALOGO!C18</f>
        <v>DESMONTAJE DE PAREDES</v>
      </c>
      <c r="E324" s="435"/>
      <c r="F324" s="435"/>
      <c r="G324" s="435"/>
      <c r="H324" s="135"/>
      <c r="I324" s="292">
        <f>CATALOGO!E18</f>
        <v>53</v>
      </c>
      <c r="J324" s="107"/>
      <c r="K324" s="222" t="str">
        <f>CATALOGO!G18</f>
        <v>m²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413" t="s">
        <v>5</v>
      </c>
      <c r="D326" s="413"/>
      <c r="E326" s="413"/>
      <c r="F326" s="413"/>
      <c r="G326" s="414"/>
    </row>
    <row r="327" spans="1:16" x14ac:dyDescent="0.3">
      <c r="B327" s="109" t="s">
        <v>6</v>
      </c>
      <c r="C327" s="424" t="s">
        <v>1</v>
      </c>
      <c r="D327" s="42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3" t="s">
        <v>8</v>
      </c>
      <c r="L327" s="113" t="s">
        <v>193</v>
      </c>
    </row>
    <row r="328" spans="1:16" x14ac:dyDescent="0.3">
      <c r="B328" s="74"/>
      <c r="C328" s="409"/>
      <c r="D328" s="409"/>
      <c r="E328" s="114"/>
      <c r="F328" s="83"/>
      <c r="G328" s="74"/>
      <c r="I328" s="115">
        <f>IF(C328=0,0,VLOOKUP(C328,Tabla1[],3,FALSE))</f>
        <v>0</v>
      </c>
      <c r="K328" s="84">
        <f t="shared" ref="K328:K333" si="6">+F328*I328</f>
        <v>0</v>
      </c>
      <c r="L328" s="116">
        <f t="shared" ref="L328:L333" si="7">E328*I328</f>
        <v>0</v>
      </c>
    </row>
    <row r="329" spans="1:16" x14ac:dyDescent="0.3">
      <c r="B329" s="74"/>
      <c r="C329" s="409"/>
      <c r="D329" s="409"/>
      <c r="E329" s="114"/>
      <c r="F329" s="83"/>
      <c r="G329" s="74"/>
      <c r="I329" s="115">
        <f>IF(C329=0,0,VLOOKUP(C329,Tabla1[],3,FALSE))</f>
        <v>0</v>
      </c>
      <c r="K329" s="84">
        <f t="shared" si="6"/>
        <v>0</v>
      </c>
      <c r="L329" s="116">
        <f t="shared" si="7"/>
        <v>0</v>
      </c>
    </row>
    <row r="330" spans="1:16" x14ac:dyDescent="0.3">
      <c r="B330" s="74"/>
      <c r="C330" s="409"/>
      <c r="D330" s="409"/>
      <c r="E330" s="114"/>
      <c r="F330" s="83"/>
      <c r="G330" s="74"/>
      <c r="I330" s="115">
        <f>IF(C330=0,0,VLOOKUP(C330,Tabla1[],3,FALSE))</f>
        <v>0</v>
      </c>
      <c r="K330" s="84">
        <f t="shared" si="6"/>
        <v>0</v>
      </c>
      <c r="L330" s="116">
        <f t="shared" si="7"/>
        <v>0</v>
      </c>
    </row>
    <row r="331" spans="1:16" x14ac:dyDescent="0.3">
      <c r="B331" s="74"/>
      <c r="C331" s="409"/>
      <c r="D331" s="40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74"/>
      <c r="C332" s="410"/>
      <c r="D332" s="410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74"/>
      <c r="C333" s="410"/>
      <c r="D333" s="410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ht="17.25" thickBot="1" x14ac:dyDescent="0.35"/>
    <row r="335" spans="1:16" ht="17.25" thickBot="1" x14ac:dyDescent="0.35">
      <c r="F335" s="402" t="s">
        <v>9</v>
      </c>
      <c r="G335" s="403"/>
      <c r="H335" s="403"/>
      <c r="I335" s="404"/>
      <c r="K335" s="224">
        <f>+SUM(K328:K333)</f>
        <v>0</v>
      </c>
      <c r="L335" s="117">
        <f>+SUM(L328:L333)</f>
        <v>0</v>
      </c>
    </row>
    <row r="336" spans="1:16" ht="17.25" thickBot="1" x14ac:dyDescent="0.35"/>
    <row r="337" spans="2:12" ht="17.25" thickBot="1" x14ac:dyDescent="0.35">
      <c r="B337" s="108" t="s">
        <v>10</v>
      </c>
      <c r="C337" s="413" t="s">
        <v>11</v>
      </c>
      <c r="D337" s="413"/>
      <c r="E337" s="413"/>
      <c r="F337" s="413"/>
      <c r="G337" s="414"/>
    </row>
    <row r="338" spans="2:12" x14ac:dyDescent="0.3">
      <c r="B338" s="112" t="s">
        <v>6</v>
      </c>
      <c r="C338" s="415" t="s">
        <v>1</v>
      </c>
      <c r="D338" s="416"/>
      <c r="E338" s="110" t="s">
        <v>192</v>
      </c>
      <c r="F338" s="118" t="s">
        <v>2</v>
      </c>
      <c r="G338" s="112" t="s">
        <v>3</v>
      </c>
      <c r="H338" s="104"/>
      <c r="I338" s="105" t="s">
        <v>7</v>
      </c>
      <c r="J338" s="134"/>
      <c r="K338" s="105" t="s">
        <v>8</v>
      </c>
      <c r="L338" s="113" t="s">
        <v>193</v>
      </c>
    </row>
    <row r="339" spans="2:12" x14ac:dyDescent="0.3">
      <c r="B339" s="120"/>
      <c r="C339" s="409"/>
      <c r="D339" s="409"/>
      <c r="E339" s="114"/>
      <c r="F339" s="83"/>
      <c r="G339" s="74"/>
      <c r="I339" s="115">
        <f>IF(C339=0,0,VLOOKUP(C339,Tabla3[],3,FALSE))</f>
        <v>0</v>
      </c>
      <c r="K339" s="84">
        <f>+F339*I339</f>
        <v>0</v>
      </c>
      <c r="L339" s="116">
        <f>E339*I339</f>
        <v>0</v>
      </c>
    </row>
    <row r="340" spans="2:12" x14ac:dyDescent="0.3">
      <c r="B340" s="74"/>
      <c r="C340" s="290"/>
      <c r="D340" s="291"/>
      <c r="E340" s="119"/>
      <c r="F340" s="72"/>
      <c r="G340" s="74"/>
      <c r="I340" s="115">
        <f>IF(C340=0,0,VLOOKUP(C340,Tabla3[],3,FALSE))</f>
        <v>0</v>
      </c>
      <c r="K340" s="84">
        <f>+F340*I340</f>
        <v>0</v>
      </c>
      <c r="L340" s="116">
        <f>E340*I340</f>
        <v>0</v>
      </c>
    </row>
    <row r="341" spans="2:12" x14ac:dyDescent="0.3">
      <c r="B341" s="74"/>
      <c r="C341" s="290"/>
      <c r="D341" s="291"/>
      <c r="E341" s="119"/>
      <c r="F341" s="72"/>
      <c r="G341" s="74"/>
      <c r="I341" s="115">
        <f>IF(C341=0,0,VLOOKUP(C341,Tabla3[],3,FALSE))</f>
        <v>0</v>
      </c>
      <c r="K341" s="84">
        <f>+F341*I341</f>
        <v>0</v>
      </c>
      <c r="L341" s="116">
        <f>E341*I341</f>
        <v>0</v>
      </c>
    </row>
    <row r="342" spans="2:12" x14ac:dyDescent="0.3">
      <c r="B342" s="74"/>
      <c r="C342" s="411"/>
      <c r="D342" s="412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ht="17.25" thickBot="1" x14ac:dyDescent="0.35"/>
    <row r="344" spans="2:12" ht="17.25" thickBot="1" x14ac:dyDescent="0.35">
      <c r="F344" s="402" t="s">
        <v>12</v>
      </c>
      <c r="G344" s="403"/>
      <c r="H344" s="403"/>
      <c r="I344" s="404"/>
      <c r="K344" s="224">
        <f>+SUM(K339:K342)</f>
        <v>0</v>
      </c>
      <c r="L344" s="117">
        <f>+SUM(L339:L342)</f>
        <v>0</v>
      </c>
    </row>
    <row r="345" spans="2:12" ht="17.25" thickBot="1" x14ac:dyDescent="0.35"/>
    <row r="346" spans="2:12" ht="17.25" thickBot="1" x14ac:dyDescent="0.35">
      <c r="B346" s="108" t="s">
        <v>13</v>
      </c>
      <c r="C346" s="413" t="s">
        <v>14</v>
      </c>
      <c r="D346" s="413"/>
      <c r="E346" s="413"/>
      <c r="F346" s="413"/>
      <c r="G346" s="414"/>
    </row>
    <row r="347" spans="2:12" x14ac:dyDescent="0.3">
      <c r="B347" s="112" t="s">
        <v>6</v>
      </c>
      <c r="C347" s="415" t="s">
        <v>1</v>
      </c>
      <c r="D347" s="416"/>
      <c r="E347" s="110" t="s">
        <v>192</v>
      </c>
      <c r="F347" s="118" t="s">
        <v>2</v>
      </c>
      <c r="G347" s="112" t="s">
        <v>3</v>
      </c>
      <c r="H347" s="104"/>
      <c r="I347" s="105" t="s">
        <v>7</v>
      </c>
      <c r="J347" s="134"/>
      <c r="K347" s="105" t="s">
        <v>8</v>
      </c>
      <c r="L347" s="113" t="s">
        <v>193</v>
      </c>
    </row>
    <row r="348" spans="2:12" x14ac:dyDescent="0.3">
      <c r="B348" s="120">
        <v>1</v>
      </c>
      <c r="C348" s="409" t="s">
        <v>664</v>
      </c>
      <c r="D348" s="409"/>
      <c r="E348" s="114">
        <f>I324</f>
        <v>53</v>
      </c>
      <c r="F348" s="83">
        <f>ROUND(E348/I324,2)</f>
        <v>1</v>
      </c>
      <c r="G348" s="74" t="str">
        <f>IF(C348=0,0,VLOOKUP(C348,PRECIOSMO[],2,FALSE))</f>
        <v>m²</v>
      </c>
      <c r="I348" s="115">
        <f>IF(C348=0,0,VLOOKUP(C348,PRECIOSMO[],3,FALSE))</f>
        <v>45</v>
      </c>
      <c r="K348" s="84">
        <f>+F348*I348</f>
        <v>45</v>
      </c>
      <c r="L348" s="116">
        <f>E348*I348</f>
        <v>2385</v>
      </c>
    </row>
    <row r="349" spans="2:12" x14ac:dyDescent="0.3">
      <c r="B349" s="120"/>
      <c r="C349" s="409"/>
      <c r="D349" s="409"/>
      <c r="E349" s="114"/>
      <c r="F349" s="83"/>
      <c r="G349" s="74"/>
      <c r="I349" s="115">
        <f>IF(C349=0,0,VLOOKUP(C349,Tabla2[],3,FALSE))</f>
        <v>0</v>
      </c>
      <c r="K349" s="84">
        <f>+F349*I349</f>
        <v>0</v>
      </c>
      <c r="L349" s="116">
        <f>E349*I349</f>
        <v>0</v>
      </c>
    </row>
    <row r="350" spans="2:12" ht="17.25" thickBot="1" x14ac:dyDescent="0.35">
      <c r="B350" s="121"/>
      <c r="C350" s="417"/>
      <c r="D350" s="418"/>
      <c r="E350" s="122"/>
      <c r="F350" s="123"/>
      <c r="G350" s="74"/>
      <c r="I350" s="115">
        <f>IF(C350=0,0,VLOOKUP(C350,Tabla2[],3,FALSE))</f>
        <v>0</v>
      </c>
      <c r="K350" s="84">
        <f>+F350*I350</f>
        <v>0</v>
      </c>
      <c r="L350" s="116">
        <f>E350*I350</f>
        <v>0</v>
      </c>
    </row>
    <row r="351" spans="2:12" ht="17.25" thickBot="1" x14ac:dyDescent="0.35">
      <c r="B351" s="419" t="s">
        <v>15</v>
      </c>
      <c r="C351" s="420"/>
      <c r="D351" s="420"/>
      <c r="E351" s="420"/>
      <c r="F351" s="420"/>
      <c r="G351" s="421"/>
      <c r="I351" s="84">
        <v>0</v>
      </c>
      <c r="K351" s="84">
        <v>0</v>
      </c>
      <c r="L351" s="116">
        <f>E351*I351</f>
        <v>0</v>
      </c>
    </row>
    <row r="352" spans="2:12" ht="17.25" thickBot="1" x14ac:dyDescent="0.35"/>
    <row r="353" spans="2:16" ht="17.25" thickBot="1" x14ac:dyDescent="0.35">
      <c r="F353" s="402" t="s">
        <v>16</v>
      </c>
      <c r="G353" s="403"/>
      <c r="H353" s="403"/>
      <c r="I353" s="404"/>
      <c r="K353" s="224">
        <f>+SUM(K348:K351)</f>
        <v>45</v>
      </c>
      <c r="L353" s="117">
        <f>+SUM(L348:L351)</f>
        <v>2385</v>
      </c>
    </row>
    <row r="354" spans="2:16" ht="17.25" thickBot="1" x14ac:dyDescent="0.35"/>
    <row r="355" spans="2:16" ht="17.25" thickBot="1" x14ac:dyDescent="0.35">
      <c r="B355" s="108" t="s">
        <v>17</v>
      </c>
      <c r="C355" s="413" t="s">
        <v>18</v>
      </c>
      <c r="D355" s="413"/>
      <c r="E355" s="413"/>
      <c r="F355" s="413"/>
      <c r="G355" s="414"/>
    </row>
    <row r="356" spans="2:16" x14ac:dyDescent="0.3">
      <c r="B356" s="112" t="s">
        <v>6</v>
      </c>
      <c r="C356" s="415" t="s">
        <v>1</v>
      </c>
      <c r="D356" s="416"/>
      <c r="E356" s="124"/>
      <c r="F356" s="118" t="s">
        <v>2</v>
      </c>
      <c r="G356" s="112" t="s">
        <v>3</v>
      </c>
      <c r="H356" s="104"/>
      <c r="I356" s="105" t="s">
        <v>7</v>
      </c>
      <c r="J356" s="134"/>
      <c r="K356" s="105" t="s">
        <v>8</v>
      </c>
      <c r="L356" s="113" t="s">
        <v>193</v>
      </c>
    </row>
    <row r="357" spans="2:16" x14ac:dyDescent="0.3">
      <c r="B357" s="74"/>
      <c r="C357" s="411"/>
      <c r="D357" s="412"/>
      <c r="E357" s="125"/>
      <c r="F357" s="72"/>
      <c r="G357" s="74"/>
      <c r="I357" s="84">
        <v>0</v>
      </c>
      <c r="K357" s="84">
        <f>+F357*I357</f>
        <v>0</v>
      </c>
      <c r="L357" s="116">
        <f>E357*I357</f>
        <v>0</v>
      </c>
    </row>
    <row r="358" spans="2:16" x14ac:dyDescent="0.3">
      <c r="B358" s="74"/>
      <c r="C358" s="411"/>
      <c r="D358" s="412"/>
      <c r="E358" s="125"/>
      <c r="F358" s="72"/>
      <c r="G358" s="74"/>
      <c r="I358" s="84">
        <v>0</v>
      </c>
      <c r="K358" s="84">
        <f>+F358*I358</f>
        <v>0</v>
      </c>
      <c r="L358" s="116">
        <f>E358*I358</f>
        <v>0</v>
      </c>
    </row>
    <row r="359" spans="2:16" x14ac:dyDescent="0.3">
      <c r="B359" s="74"/>
      <c r="C359" s="411"/>
      <c r="D359" s="412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ht="17.25" thickBot="1" x14ac:dyDescent="0.35">
      <c r="L360" s="116"/>
    </row>
    <row r="361" spans="2:16" ht="17.25" thickBot="1" x14ac:dyDescent="0.35">
      <c r="F361" s="402" t="s">
        <v>19</v>
      </c>
      <c r="G361" s="403"/>
      <c r="H361" s="403"/>
      <c r="I361" s="404"/>
      <c r="K361" s="224">
        <f>+SUM(K357:K359)</f>
        <v>0</v>
      </c>
      <c r="L361" s="117">
        <f>+SUM(L356:L359)</f>
        <v>0</v>
      </c>
    </row>
    <row r="362" spans="2:16" ht="15" customHeight="1" x14ac:dyDescent="0.3">
      <c r="F362" s="126"/>
      <c r="G362" s="288"/>
      <c r="H362" s="128"/>
      <c r="I362" s="106"/>
      <c r="K362" s="225"/>
    </row>
    <row r="363" spans="2:16" ht="15" customHeight="1" thickBot="1" x14ac:dyDescent="0.35"/>
    <row r="364" spans="2:16" ht="17.25" thickBot="1" x14ac:dyDescent="0.35">
      <c r="F364" s="402" t="s">
        <v>20</v>
      </c>
      <c r="G364" s="403"/>
      <c r="H364" s="403"/>
      <c r="I364" s="404"/>
      <c r="K364" s="224">
        <f>(+K335+K344+K353+K361)</f>
        <v>45</v>
      </c>
      <c r="L364" s="117">
        <f>(+L335+L344+L353+L361)</f>
        <v>2385</v>
      </c>
      <c r="N364" s="129"/>
      <c r="O364" s="39"/>
      <c r="P364" s="40"/>
    </row>
    <row r="365" spans="2:16" ht="7.5" customHeight="1" thickBot="1" x14ac:dyDescent="0.35">
      <c r="N365" s="129"/>
      <c r="O365" s="41"/>
      <c r="P365" s="40"/>
    </row>
    <row r="366" spans="2:16" ht="17.25" thickBot="1" x14ac:dyDescent="0.35">
      <c r="F366" s="402" t="s">
        <v>21</v>
      </c>
      <c r="G366" s="403"/>
      <c r="H366" s="403"/>
      <c r="I366" s="404"/>
      <c r="K366" s="224">
        <f>K364*$N$2</f>
        <v>18</v>
      </c>
      <c r="L366" s="117">
        <f>L364*$N$2</f>
        <v>954</v>
      </c>
    </row>
    <row r="367" spans="2:16" ht="7.5" customHeight="1" thickBot="1" x14ac:dyDescent="0.35"/>
    <row r="368" spans="2:16" ht="17.25" thickBot="1" x14ac:dyDescent="0.35">
      <c r="F368" s="402" t="s">
        <v>22</v>
      </c>
      <c r="G368" s="403"/>
      <c r="H368" s="403"/>
      <c r="I368" s="404"/>
      <c r="K368" s="224">
        <f>+K364+K366</f>
        <v>63</v>
      </c>
      <c r="L368" s="117">
        <f>+L364+L366</f>
        <v>3339</v>
      </c>
    </row>
    <row r="369" spans="1:16" ht="17.25" thickBot="1" x14ac:dyDescent="0.35">
      <c r="F369" s="126"/>
      <c r="G369" s="288"/>
      <c r="H369" s="128"/>
      <c r="I369" s="106"/>
      <c r="K369" s="226"/>
      <c r="L369" s="130">
        <f>L368/I324</f>
        <v>63</v>
      </c>
      <c r="M369" s="131">
        <f>(K368-L369)*I324</f>
        <v>0</v>
      </c>
    </row>
    <row r="370" spans="1:16" x14ac:dyDescent="0.3">
      <c r="F370" s="126"/>
      <c r="G370" s="288"/>
      <c r="H370" s="128"/>
      <c r="I370" s="106"/>
      <c r="K370" s="227"/>
      <c r="L370" s="129"/>
      <c r="M370" s="132"/>
      <c r="N370" s="133"/>
    </row>
    <row r="371" spans="1:16" ht="17.25" thickBot="1" x14ac:dyDescent="0.35">
      <c r="B371" s="405"/>
      <c r="C371" s="405"/>
      <c r="D371" s="405"/>
    </row>
    <row r="372" spans="1:16" x14ac:dyDescent="0.3">
      <c r="B372" s="406" t="s">
        <v>23</v>
      </c>
      <c r="C372" s="406"/>
      <c r="D372" s="406"/>
    </row>
    <row r="373" spans="1:16" x14ac:dyDescent="0.3">
      <c r="B373" s="289"/>
      <c r="C373" s="289"/>
      <c r="D373" s="289"/>
    </row>
    <row r="374" spans="1:16" x14ac:dyDescent="0.3">
      <c r="B374" s="289"/>
      <c r="C374" s="289"/>
      <c r="D374" s="289"/>
    </row>
    <row r="375" spans="1:16" x14ac:dyDescent="0.3">
      <c r="B375" s="103" t="s">
        <v>43</v>
      </c>
      <c r="C375" s="104"/>
      <c r="D375" s="422" t="s">
        <v>1</v>
      </c>
      <c r="E375" s="422"/>
      <c r="F375" s="422"/>
      <c r="G375" s="422"/>
      <c r="H375" s="104"/>
      <c r="I375" s="105" t="s">
        <v>2</v>
      </c>
      <c r="J375" s="134"/>
      <c r="K375" s="105" t="s">
        <v>3</v>
      </c>
    </row>
    <row r="376" spans="1:16" s="4" customFormat="1" ht="30.75" customHeight="1" x14ac:dyDescent="0.25">
      <c r="A376" s="31"/>
      <c r="B376" s="292" t="str">
        <f>CATALOGO!B19</f>
        <v>?????</v>
      </c>
      <c r="C376" s="135"/>
      <c r="D376" s="435" t="str">
        <f>CATALOGO!C19</f>
        <v>DESMONTAJE DE CIMIENTO CORRIDO</v>
      </c>
      <c r="E376" s="435"/>
      <c r="F376" s="435"/>
      <c r="G376" s="435"/>
      <c r="H376" s="135"/>
      <c r="I376" s="292">
        <f>CATALOGO!E19</f>
        <v>15.6</v>
      </c>
      <c r="J376" s="107"/>
      <c r="K376" s="222" t="str">
        <f>CATALOGO!G19</f>
        <v>ml</v>
      </c>
      <c r="L376" s="71"/>
      <c r="M376" s="71"/>
      <c r="N376" s="102"/>
      <c r="O376" s="37"/>
      <c r="P376" s="37"/>
    </row>
    <row r="377" spans="1:16" ht="17.25" thickBot="1" x14ac:dyDescent="0.35"/>
    <row r="378" spans="1:16" ht="17.25" thickBot="1" x14ac:dyDescent="0.35">
      <c r="B378" s="108" t="s">
        <v>4</v>
      </c>
      <c r="C378" s="413" t="s">
        <v>5</v>
      </c>
      <c r="D378" s="413"/>
      <c r="E378" s="413"/>
      <c r="F378" s="413"/>
      <c r="G378" s="414"/>
    </row>
    <row r="379" spans="1:16" x14ac:dyDescent="0.3">
      <c r="B379" s="109" t="s">
        <v>6</v>
      </c>
      <c r="C379" s="424" t="s">
        <v>1</v>
      </c>
      <c r="D379" s="425"/>
      <c r="E379" s="110" t="s">
        <v>192</v>
      </c>
      <c r="F379" s="111" t="s">
        <v>2</v>
      </c>
      <c r="G379" s="112" t="s">
        <v>3</v>
      </c>
      <c r="H379" s="104"/>
      <c r="I379" s="105" t="s">
        <v>7</v>
      </c>
      <c r="J379" s="134"/>
      <c r="K379" s="223" t="s">
        <v>8</v>
      </c>
      <c r="L379" s="113" t="s">
        <v>193</v>
      </c>
    </row>
    <row r="380" spans="1:16" x14ac:dyDescent="0.3">
      <c r="B380" s="74"/>
      <c r="C380" s="409"/>
      <c r="D380" s="409"/>
      <c r="E380" s="114"/>
      <c r="F380" s="83"/>
      <c r="G380" s="74"/>
      <c r="I380" s="115">
        <f>IF(C380=0,0,VLOOKUP(C380,Tabla1[],3,FALSE))</f>
        <v>0</v>
      </c>
      <c r="K380" s="84">
        <f t="shared" ref="K380:K385" si="8">+F380*I380</f>
        <v>0</v>
      </c>
      <c r="L380" s="116">
        <f t="shared" ref="L380:L385" si="9">E380*I380</f>
        <v>0</v>
      </c>
    </row>
    <row r="381" spans="1:16" x14ac:dyDescent="0.3">
      <c r="B381" s="74"/>
      <c r="C381" s="409"/>
      <c r="D381" s="409"/>
      <c r="E381" s="114"/>
      <c r="F381" s="83"/>
      <c r="G381" s="74"/>
      <c r="I381" s="115">
        <f>IF(C381=0,0,VLOOKUP(C381,Tabla1[],3,FALSE))</f>
        <v>0</v>
      </c>
      <c r="K381" s="84">
        <f t="shared" si="8"/>
        <v>0</v>
      </c>
      <c r="L381" s="116">
        <f t="shared" si="9"/>
        <v>0</v>
      </c>
    </row>
    <row r="382" spans="1:16" x14ac:dyDescent="0.3">
      <c r="B382" s="74"/>
      <c r="C382" s="409"/>
      <c r="D382" s="409"/>
      <c r="E382" s="114"/>
      <c r="F382" s="83"/>
      <c r="G382" s="74"/>
      <c r="I382" s="115">
        <f>IF(C382=0,0,VLOOKUP(C382,Tabla1[],3,FALSE))</f>
        <v>0</v>
      </c>
      <c r="K382" s="84">
        <f t="shared" si="8"/>
        <v>0</v>
      </c>
      <c r="L382" s="116">
        <f t="shared" si="9"/>
        <v>0</v>
      </c>
    </row>
    <row r="383" spans="1:16" x14ac:dyDescent="0.3">
      <c r="B383" s="74"/>
      <c r="C383" s="409"/>
      <c r="D383" s="409"/>
      <c r="E383" s="114"/>
      <c r="F383" s="83"/>
      <c r="G383" s="74"/>
      <c r="I383" s="115">
        <f>IF(C383=0,0,VLOOKUP(C383,Tabla1[],3,FALSE))</f>
        <v>0</v>
      </c>
      <c r="K383" s="84">
        <f t="shared" si="8"/>
        <v>0</v>
      </c>
      <c r="L383" s="116">
        <f t="shared" si="9"/>
        <v>0</v>
      </c>
    </row>
    <row r="384" spans="1:16" x14ac:dyDescent="0.3">
      <c r="B384" s="74"/>
      <c r="C384" s="410"/>
      <c r="D384" s="410"/>
      <c r="E384" s="114"/>
      <c r="F384" s="83"/>
      <c r="G384" s="74"/>
      <c r="I384" s="115">
        <f>IF(C384=0,0,VLOOKUP(C384,Tabla1[],3,FALSE))</f>
        <v>0</v>
      </c>
      <c r="K384" s="84">
        <f t="shared" si="8"/>
        <v>0</v>
      </c>
      <c r="L384" s="116">
        <f t="shared" si="9"/>
        <v>0</v>
      </c>
    </row>
    <row r="385" spans="2:12" x14ac:dyDescent="0.3">
      <c r="B385" s="74"/>
      <c r="C385" s="410"/>
      <c r="D385" s="410"/>
      <c r="E385" s="114"/>
      <c r="F385" s="72"/>
      <c r="G385" s="74"/>
      <c r="I385" s="115">
        <f>IF(C385=0,0,VLOOKUP(C385,Tabla1[],3,FALSE))</f>
        <v>0</v>
      </c>
      <c r="K385" s="84">
        <f t="shared" si="8"/>
        <v>0</v>
      </c>
      <c r="L385" s="116">
        <f t="shared" si="9"/>
        <v>0</v>
      </c>
    </row>
    <row r="386" spans="2:12" ht="17.25" thickBot="1" x14ac:dyDescent="0.35"/>
    <row r="387" spans="2:12" ht="17.25" thickBot="1" x14ac:dyDescent="0.35">
      <c r="F387" s="402" t="s">
        <v>9</v>
      </c>
      <c r="G387" s="403"/>
      <c r="H387" s="403"/>
      <c r="I387" s="404"/>
      <c r="K387" s="224">
        <f>+SUM(K380:K385)</f>
        <v>0</v>
      </c>
      <c r="L387" s="117">
        <f>+SUM(L380:L385)</f>
        <v>0</v>
      </c>
    </row>
    <row r="388" spans="2:12" ht="17.25" thickBot="1" x14ac:dyDescent="0.35"/>
    <row r="389" spans="2:12" ht="17.25" thickBot="1" x14ac:dyDescent="0.35">
      <c r="B389" s="108" t="s">
        <v>10</v>
      </c>
      <c r="C389" s="413" t="s">
        <v>11</v>
      </c>
      <c r="D389" s="413"/>
      <c r="E389" s="413"/>
      <c r="F389" s="413"/>
      <c r="G389" s="414"/>
    </row>
    <row r="390" spans="2:12" x14ac:dyDescent="0.3">
      <c r="B390" s="112" t="s">
        <v>6</v>
      </c>
      <c r="C390" s="415" t="s">
        <v>1</v>
      </c>
      <c r="D390" s="416"/>
      <c r="E390" s="110" t="s">
        <v>192</v>
      </c>
      <c r="F390" s="118" t="s">
        <v>2</v>
      </c>
      <c r="G390" s="112" t="s">
        <v>3</v>
      </c>
      <c r="H390" s="104"/>
      <c r="I390" s="105" t="s">
        <v>7</v>
      </c>
      <c r="J390" s="134"/>
      <c r="K390" s="105" t="s">
        <v>8</v>
      </c>
      <c r="L390" s="113" t="s">
        <v>193</v>
      </c>
    </row>
    <row r="391" spans="2:12" x14ac:dyDescent="0.3">
      <c r="B391" s="120"/>
      <c r="C391" s="409"/>
      <c r="D391" s="409"/>
      <c r="E391" s="114"/>
      <c r="F391" s="83"/>
      <c r="G391" s="74"/>
      <c r="I391" s="115">
        <f>IF(C391=0,0,VLOOKUP(C391,Tabla3[],3,FALSE))</f>
        <v>0</v>
      </c>
      <c r="K391" s="84">
        <f>+F391*I391</f>
        <v>0</v>
      </c>
      <c r="L391" s="116">
        <f>E391*I391</f>
        <v>0</v>
      </c>
    </row>
    <row r="392" spans="2:12" x14ac:dyDescent="0.3">
      <c r="B392" s="74"/>
      <c r="C392" s="290"/>
      <c r="D392" s="291"/>
      <c r="E392" s="119"/>
      <c r="F392" s="72"/>
      <c r="G392" s="74"/>
      <c r="I392" s="115">
        <f>IF(C392=0,0,VLOOKUP(C392,Tabla3[],3,FALSE))</f>
        <v>0</v>
      </c>
      <c r="K392" s="84">
        <f>+F392*I392</f>
        <v>0</v>
      </c>
      <c r="L392" s="116">
        <f>E392*I392</f>
        <v>0</v>
      </c>
    </row>
    <row r="393" spans="2:12" x14ac:dyDescent="0.3">
      <c r="B393" s="74"/>
      <c r="C393" s="290"/>
      <c r="D393" s="291"/>
      <c r="E393" s="119"/>
      <c r="F393" s="72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411"/>
      <c r="D394" s="412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ht="17.25" thickBot="1" x14ac:dyDescent="0.35"/>
    <row r="396" spans="2:12" ht="17.25" thickBot="1" x14ac:dyDescent="0.35">
      <c r="F396" s="402" t="s">
        <v>12</v>
      </c>
      <c r="G396" s="403"/>
      <c r="H396" s="403"/>
      <c r="I396" s="404"/>
      <c r="K396" s="224">
        <f>+SUM(K391:K394)</f>
        <v>0</v>
      </c>
      <c r="L396" s="117">
        <f>+SUM(L391:L394)</f>
        <v>0</v>
      </c>
    </row>
    <row r="397" spans="2:12" ht="17.25" thickBot="1" x14ac:dyDescent="0.35"/>
    <row r="398" spans="2:12" ht="17.25" thickBot="1" x14ac:dyDescent="0.35">
      <c r="B398" s="108" t="s">
        <v>13</v>
      </c>
      <c r="C398" s="413" t="s">
        <v>14</v>
      </c>
      <c r="D398" s="413"/>
      <c r="E398" s="413"/>
      <c r="F398" s="413"/>
      <c r="G398" s="414"/>
    </row>
    <row r="399" spans="2:12" x14ac:dyDescent="0.3">
      <c r="B399" s="112" t="s">
        <v>6</v>
      </c>
      <c r="C399" s="415" t="s">
        <v>1</v>
      </c>
      <c r="D399" s="416"/>
      <c r="E399" s="110" t="s">
        <v>192</v>
      </c>
      <c r="F399" s="118" t="s">
        <v>2</v>
      </c>
      <c r="G399" s="112" t="s">
        <v>3</v>
      </c>
      <c r="H399" s="104"/>
      <c r="I399" s="105" t="s">
        <v>7</v>
      </c>
      <c r="J399" s="134"/>
      <c r="K399" s="105" t="s">
        <v>8</v>
      </c>
      <c r="L399" s="113" t="s">
        <v>193</v>
      </c>
    </row>
    <row r="400" spans="2:12" x14ac:dyDescent="0.3">
      <c r="B400" s="120">
        <v>1</v>
      </c>
      <c r="C400" s="409" t="s">
        <v>665</v>
      </c>
      <c r="D400" s="409"/>
      <c r="E400" s="114">
        <f>I376</f>
        <v>15.6</v>
      </c>
      <c r="F400" s="83">
        <f>ROUND(E400/I376,2)</f>
        <v>1</v>
      </c>
      <c r="G400" s="74" t="str">
        <f>IF(C400=0,0,VLOOKUP(C400,PRECIOSMO[],2,FALSE))</f>
        <v>ml</v>
      </c>
      <c r="I400" s="115">
        <f>IF(C400=0,0,VLOOKUP(C400,PRECIOSMO[],3,FALSE))</f>
        <v>155</v>
      </c>
      <c r="K400" s="84">
        <f>+F400*I400</f>
        <v>155</v>
      </c>
      <c r="L400" s="116">
        <f>E400*I400</f>
        <v>2418</v>
      </c>
    </row>
    <row r="401" spans="2:16" x14ac:dyDescent="0.3">
      <c r="B401" s="120"/>
      <c r="C401" s="409"/>
      <c r="D401" s="409"/>
      <c r="E401" s="114"/>
      <c r="F401" s="83"/>
      <c r="G401" s="74"/>
      <c r="I401" s="115">
        <f>IF(C401=0,0,VLOOKUP(C401,Tabla2[],3,FALSE))</f>
        <v>0</v>
      </c>
      <c r="K401" s="84">
        <f>+F401*I401</f>
        <v>0</v>
      </c>
      <c r="L401" s="116">
        <f>E401*I401</f>
        <v>0</v>
      </c>
    </row>
    <row r="402" spans="2:16" ht="17.25" thickBot="1" x14ac:dyDescent="0.35">
      <c r="B402" s="121"/>
      <c r="C402" s="417"/>
      <c r="D402" s="418"/>
      <c r="E402" s="122"/>
      <c r="F402" s="123"/>
      <c r="G402" s="74"/>
      <c r="I402" s="115">
        <f>IF(C402=0,0,VLOOKUP(C402,Tabla2[],3,FALSE))</f>
        <v>0</v>
      </c>
      <c r="K402" s="84">
        <f>+F402*I402</f>
        <v>0</v>
      </c>
      <c r="L402" s="116">
        <f>E402*I402</f>
        <v>0</v>
      </c>
    </row>
    <row r="403" spans="2:16" ht="17.25" thickBot="1" x14ac:dyDescent="0.35">
      <c r="B403" s="419" t="s">
        <v>15</v>
      </c>
      <c r="C403" s="420"/>
      <c r="D403" s="420"/>
      <c r="E403" s="420"/>
      <c r="F403" s="420"/>
      <c r="G403" s="421"/>
      <c r="I403" s="84">
        <v>0</v>
      </c>
      <c r="K403" s="84">
        <v>0</v>
      </c>
      <c r="L403" s="116">
        <f>E403*I403</f>
        <v>0</v>
      </c>
    </row>
    <row r="404" spans="2:16" ht="17.25" thickBot="1" x14ac:dyDescent="0.35"/>
    <row r="405" spans="2:16" ht="17.25" thickBot="1" x14ac:dyDescent="0.35">
      <c r="F405" s="402" t="s">
        <v>16</v>
      </c>
      <c r="G405" s="403"/>
      <c r="H405" s="403"/>
      <c r="I405" s="404"/>
      <c r="K405" s="224">
        <f>+SUM(K400:K403)</f>
        <v>155</v>
      </c>
      <c r="L405" s="117">
        <f>+SUM(L400:L403)</f>
        <v>2418</v>
      </c>
    </row>
    <row r="406" spans="2:16" ht="17.25" thickBot="1" x14ac:dyDescent="0.35"/>
    <row r="407" spans="2:16" ht="17.25" thickBot="1" x14ac:dyDescent="0.35">
      <c r="B407" s="108" t="s">
        <v>17</v>
      </c>
      <c r="C407" s="413" t="s">
        <v>18</v>
      </c>
      <c r="D407" s="413"/>
      <c r="E407" s="413"/>
      <c r="F407" s="413"/>
      <c r="G407" s="414"/>
    </row>
    <row r="408" spans="2:16" x14ac:dyDescent="0.3">
      <c r="B408" s="112" t="s">
        <v>6</v>
      </c>
      <c r="C408" s="415" t="s">
        <v>1</v>
      </c>
      <c r="D408" s="416"/>
      <c r="E408" s="124"/>
      <c r="F408" s="118" t="s">
        <v>2</v>
      </c>
      <c r="G408" s="112" t="s">
        <v>3</v>
      </c>
      <c r="H408" s="104"/>
      <c r="I408" s="105" t="s">
        <v>7</v>
      </c>
      <c r="J408" s="134"/>
      <c r="K408" s="105" t="s">
        <v>8</v>
      </c>
      <c r="L408" s="113" t="s">
        <v>193</v>
      </c>
    </row>
    <row r="409" spans="2:16" x14ac:dyDescent="0.3">
      <c r="B409" s="74"/>
      <c r="C409" s="411"/>
      <c r="D409" s="412"/>
      <c r="E409" s="125"/>
      <c r="F409" s="72"/>
      <c r="G409" s="74"/>
      <c r="I409" s="84">
        <v>0</v>
      </c>
      <c r="K409" s="84">
        <f>+F409*I409</f>
        <v>0</v>
      </c>
      <c r="L409" s="116">
        <f>E409*I409</f>
        <v>0</v>
      </c>
    </row>
    <row r="410" spans="2:16" x14ac:dyDescent="0.3">
      <c r="B410" s="74"/>
      <c r="C410" s="411"/>
      <c r="D410" s="412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6" x14ac:dyDescent="0.3">
      <c r="B411" s="74"/>
      <c r="C411" s="411"/>
      <c r="D411" s="412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6" ht="17.25" thickBot="1" x14ac:dyDescent="0.35">
      <c r="L412" s="116"/>
    </row>
    <row r="413" spans="2:16" ht="17.25" thickBot="1" x14ac:dyDescent="0.35">
      <c r="F413" s="402" t="s">
        <v>19</v>
      </c>
      <c r="G413" s="403"/>
      <c r="H413" s="403"/>
      <c r="I413" s="404"/>
      <c r="K413" s="224">
        <f>+SUM(K409:K411)</f>
        <v>0</v>
      </c>
      <c r="L413" s="117">
        <f>+SUM(L408:L411)</f>
        <v>0</v>
      </c>
    </row>
    <row r="414" spans="2:16" ht="15" customHeight="1" x14ac:dyDescent="0.3">
      <c r="F414" s="126"/>
      <c r="G414" s="288"/>
      <c r="H414" s="128"/>
      <c r="I414" s="106"/>
      <c r="K414" s="225"/>
    </row>
    <row r="415" spans="2:16" ht="15" customHeight="1" thickBot="1" x14ac:dyDescent="0.35"/>
    <row r="416" spans="2:16" ht="17.25" thickBot="1" x14ac:dyDescent="0.35">
      <c r="F416" s="402" t="s">
        <v>20</v>
      </c>
      <c r="G416" s="403"/>
      <c r="H416" s="403"/>
      <c r="I416" s="404"/>
      <c r="K416" s="224">
        <f>(+K387+K396+K405+K413)</f>
        <v>155</v>
      </c>
      <c r="L416" s="117">
        <f>(+L387+L396+L405+L413)</f>
        <v>2418</v>
      </c>
      <c r="N416" s="129"/>
      <c r="O416" s="39"/>
      <c r="P416" s="40"/>
    </row>
    <row r="417" spans="1:16" ht="7.5" customHeight="1" thickBot="1" x14ac:dyDescent="0.35">
      <c r="N417" s="129"/>
      <c r="O417" s="41"/>
      <c r="P417" s="40"/>
    </row>
    <row r="418" spans="1:16" ht="17.25" thickBot="1" x14ac:dyDescent="0.35">
      <c r="F418" s="402" t="s">
        <v>21</v>
      </c>
      <c r="G418" s="403"/>
      <c r="H418" s="403"/>
      <c r="I418" s="404"/>
      <c r="K418" s="224">
        <f>K416*$N$2</f>
        <v>62</v>
      </c>
      <c r="L418" s="117">
        <f>L416*$N$2</f>
        <v>967.2</v>
      </c>
    </row>
    <row r="419" spans="1:16" ht="7.5" customHeight="1" thickBot="1" x14ac:dyDescent="0.35"/>
    <row r="420" spans="1:16" ht="17.25" thickBot="1" x14ac:dyDescent="0.35">
      <c r="F420" s="402" t="s">
        <v>22</v>
      </c>
      <c r="G420" s="403"/>
      <c r="H420" s="403"/>
      <c r="I420" s="404"/>
      <c r="K420" s="224">
        <f>+K416+K418</f>
        <v>217</v>
      </c>
      <c r="L420" s="117">
        <f>+L416+L418</f>
        <v>3385.2</v>
      </c>
    </row>
    <row r="421" spans="1:16" ht="17.25" thickBot="1" x14ac:dyDescent="0.35">
      <c r="F421" s="126"/>
      <c r="G421" s="288"/>
      <c r="H421" s="128"/>
      <c r="I421" s="106"/>
      <c r="K421" s="226"/>
      <c r="L421" s="130">
        <f>L420/I376</f>
        <v>217</v>
      </c>
      <c r="M421" s="131">
        <f>(K420-L421)*I376</f>
        <v>0</v>
      </c>
    </row>
    <row r="422" spans="1:16" x14ac:dyDescent="0.3">
      <c r="F422" s="126"/>
      <c r="G422" s="288"/>
      <c r="H422" s="128"/>
      <c r="I422" s="106"/>
      <c r="K422" s="227"/>
      <c r="L422" s="129"/>
      <c r="M422" s="132"/>
      <c r="N422" s="133"/>
    </row>
    <row r="423" spans="1:16" ht="17.25" thickBot="1" x14ac:dyDescent="0.35">
      <c r="B423" s="405"/>
      <c r="C423" s="405"/>
      <c r="D423" s="405"/>
    </row>
    <row r="424" spans="1:16" x14ac:dyDescent="0.3">
      <c r="B424" s="406" t="s">
        <v>23</v>
      </c>
      <c r="C424" s="406"/>
      <c r="D424" s="406"/>
    </row>
    <row r="425" spans="1:16" x14ac:dyDescent="0.3">
      <c r="B425" s="289"/>
      <c r="C425" s="289"/>
      <c r="D425" s="289"/>
    </row>
    <row r="426" spans="1:16" x14ac:dyDescent="0.3">
      <c r="B426" s="281"/>
      <c r="C426" s="281"/>
      <c r="D426" s="281"/>
    </row>
    <row r="427" spans="1:16" x14ac:dyDescent="0.3">
      <c r="B427" s="103" t="s">
        <v>43</v>
      </c>
      <c r="C427" s="104"/>
      <c r="D427" s="422" t="s">
        <v>1</v>
      </c>
      <c r="E427" s="422"/>
      <c r="F427" s="422"/>
      <c r="G427" s="422"/>
      <c r="H427" s="104"/>
      <c r="I427" s="105" t="s">
        <v>2</v>
      </c>
      <c r="J427" s="134"/>
      <c r="K427" s="105" t="s">
        <v>3</v>
      </c>
    </row>
    <row r="428" spans="1:16" s="4" customFormat="1" ht="30.75" customHeight="1" x14ac:dyDescent="0.25">
      <c r="A428" s="31"/>
      <c r="B428" s="287">
        <f>CATALOGO!B21</f>
        <v>201.01</v>
      </c>
      <c r="C428" s="71"/>
      <c r="D428" s="423" t="str">
        <f>CATALOGO!C21</f>
        <v>EXCAVACIÓN ESTRUCTURAL A MANO</v>
      </c>
      <c r="E428" s="423"/>
      <c r="F428" s="423"/>
      <c r="G428" s="423"/>
      <c r="H428" s="71"/>
      <c r="I428" s="287">
        <f>CATALOGO!E21</f>
        <v>11.8</v>
      </c>
      <c r="J428" s="107"/>
      <c r="K428" s="222" t="str">
        <f>CATALOGO!G21</f>
        <v>m³</v>
      </c>
      <c r="L428" s="71"/>
      <c r="M428" s="71"/>
      <c r="N428" s="102"/>
      <c r="O428" s="37"/>
      <c r="P428" s="37"/>
    </row>
    <row r="429" spans="1:16" ht="17.25" thickBot="1" x14ac:dyDescent="0.35"/>
    <row r="430" spans="1:16" ht="17.25" thickBot="1" x14ac:dyDescent="0.35">
      <c r="B430" s="108" t="s">
        <v>4</v>
      </c>
      <c r="C430" s="413" t="s">
        <v>5</v>
      </c>
      <c r="D430" s="413"/>
      <c r="E430" s="413"/>
      <c r="F430" s="413"/>
      <c r="G430" s="414"/>
    </row>
    <row r="431" spans="1:16" x14ac:dyDescent="0.3">
      <c r="B431" s="109" t="s">
        <v>6</v>
      </c>
      <c r="C431" s="424" t="s">
        <v>1</v>
      </c>
      <c r="D431" s="425"/>
      <c r="E431" s="110" t="s">
        <v>192</v>
      </c>
      <c r="F431" s="111" t="s">
        <v>2</v>
      </c>
      <c r="G431" s="112" t="s">
        <v>3</v>
      </c>
      <c r="H431" s="104"/>
      <c r="I431" s="105" t="s">
        <v>7</v>
      </c>
      <c r="J431" s="134"/>
      <c r="K431" s="223" t="s">
        <v>8</v>
      </c>
      <c r="L431" s="113" t="s">
        <v>193</v>
      </c>
    </row>
    <row r="432" spans="1:16" x14ac:dyDescent="0.3">
      <c r="B432" s="120"/>
      <c r="C432" s="409"/>
      <c r="D432" s="409"/>
      <c r="E432" s="114"/>
      <c r="F432" s="83"/>
      <c r="G432" s="74"/>
      <c r="I432" s="115">
        <f>IF(C432=0,0,VLOOKUP(C432,Tabla1[],3,FALSE))</f>
        <v>0</v>
      </c>
      <c r="K432" s="84">
        <f>+F432*I432</f>
        <v>0</v>
      </c>
      <c r="L432" s="116">
        <f>E432*I432</f>
        <v>0</v>
      </c>
    </row>
    <row r="433" spans="2:12" x14ac:dyDescent="0.3">
      <c r="B433" s="120"/>
      <c r="C433" s="409"/>
      <c r="D433" s="409"/>
      <c r="E433" s="114"/>
      <c r="F433" s="83"/>
      <c r="G433" s="74"/>
      <c r="I433" s="115">
        <f>IF(C433=0,0,VLOOKUP(C433,Tabla1[],3,FALSE))</f>
        <v>0</v>
      </c>
      <c r="K433" s="84">
        <f t="shared" ref="K433:K439" si="10">+F433*I433</f>
        <v>0</v>
      </c>
      <c r="L433" s="116">
        <f t="shared" ref="L433:L439" si="11">E433*I433</f>
        <v>0</v>
      </c>
    </row>
    <row r="434" spans="2:12" x14ac:dyDescent="0.3">
      <c r="B434" s="120"/>
      <c r="C434" s="409"/>
      <c r="D434" s="409"/>
      <c r="E434" s="114"/>
      <c r="F434" s="83"/>
      <c r="G434" s="74"/>
      <c r="I434" s="115">
        <f>IF(C434=0,0,VLOOKUP(C434,Tabla1[],3,FALSE))</f>
        <v>0</v>
      </c>
      <c r="K434" s="84">
        <f t="shared" si="10"/>
        <v>0</v>
      </c>
      <c r="L434" s="116">
        <f t="shared" si="11"/>
        <v>0</v>
      </c>
    </row>
    <row r="435" spans="2:12" x14ac:dyDescent="0.3">
      <c r="B435" s="120"/>
      <c r="C435" s="409"/>
      <c r="D435" s="409"/>
      <c r="E435" s="114"/>
      <c r="F435" s="83"/>
      <c r="G435" s="74"/>
      <c r="I435" s="115">
        <f>IF(C435=0,0,VLOOKUP(C435,Tabla1[],3,FALSE))</f>
        <v>0</v>
      </c>
      <c r="K435" s="84">
        <f t="shared" si="10"/>
        <v>0</v>
      </c>
      <c r="L435" s="116">
        <f t="shared" si="11"/>
        <v>0</v>
      </c>
    </row>
    <row r="436" spans="2:12" x14ac:dyDescent="0.3">
      <c r="B436" s="120"/>
      <c r="C436" s="410"/>
      <c r="D436" s="410"/>
      <c r="E436" s="114"/>
      <c r="F436" s="83"/>
      <c r="G436" s="74"/>
      <c r="I436" s="115">
        <f>IF(C436=0,0,VLOOKUP(C436,Tabla1[],3,FALSE))</f>
        <v>0</v>
      </c>
      <c r="K436" s="84">
        <f t="shared" si="10"/>
        <v>0</v>
      </c>
      <c r="L436" s="116">
        <f t="shared" si="11"/>
        <v>0</v>
      </c>
    </row>
    <row r="437" spans="2:12" x14ac:dyDescent="0.3">
      <c r="B437" s="120"/>
      <c r="C437" s="410"/>
      <c r="D437" s="410"/>
      <c r="E437" s="114"/>
      <c r="F437" s="72"/>
      <c r="G437" s="74"/>
      <c r="I437" s="115">
        <f>IF(C437=0,0,VLOOKUP(C437,Tabla1[],3,FALSE))</f>
        <v>0</v>
      </c>
      <c r="K437" s="84">
        <f t="shared" si="10"/>
        <v>0</v>
      </c>
      <c r="L437" s="116">
        <f t="shared" si="11"/>
        <v>0</v>
      </c>
    </row>
    <row r="438" spans="2:12" x14ac:dyDescent="0.3">
      <c r="B438" s="120"/>
      <c r="C438" s="410"/>
      <c r="D438" s="410"/>
      <c r="E438" s="114"/>
      <c r="F438" s="72"/>
      <c r="G438" s="74"/>
      <c r="I438" s="115">
        <f>IF(C438=0,0,VLOOKUP(C438,Tabla1[],3,FALSE))</f>
        <v>0</v>
      </c>
      <c r="K438" s="84">
        <f t="shared" si="10"/>
        <v>0</v>
      </c>
      <c r="L438" s="116">
        <f t="shared" si="11"/>
        <v>0</v>
      </c>
    </row>
    <row r="439" spans="2:12" x14ac:dyDescent="0.3">
      <c r="B439" s="120"/>
      <c r="C439" s="410"/>
      <c r="D439" s="410"/>
      <c r="E439" s="114"/>
      <c r="F439" s="72"/>
      <c r="G439" s="74"/>
      <c r="I439" s="115">
        <f>IF(C439=0,0,VLOOKUP(C439,Tabla1[],3,FALSE))</f>
        <v>0</v>
      </c>
      <c r="K439" s="84">
        <f t="shared" si="10"/>
        <v>0</v>
      </c>
      <c r="L439" s="116">
        <f t="shared" si="11"/>
        <v>0</v>
      </c>
    </row>
    <row r="440" spans="2:12" ht="17.25" thickBot="1" x14ac:dyDescent="0.35"/>
    <row r="441" spans="2:12" ht="17.25" thickBot="1" x14ac:dyDescent="0.35">
      <c r="F441" s="402" t="s">
        <v>9</v>
      </c>
      <c r="G441" s="403"/>
      <c r="H441" s="403"/>
      <c r="I441" s="404"/>
      <c r="K441" s="224">
        <f>+SUM(K432:K439)</f>
        <v>0</v>
      </c>
      <c r="L441" s="117">
        <f>+SUM(L432:L439)</f>
        <v>0</v>
      </c>
    </row>
    <row r="442" spans="2:12" ht="17.25" thickBot="1" x14ac:dyDescent="0.35"/>
    <row r="443" spans="2:12" ht="17.25" thickBot="1" x14ac:dyDescent="0.35">
      <c r="B443" s="108" t="s">
        <v>10</v>
      </c>
      <c r="C443" s="413" t="s">
        <v>11</v>
      </c>
      <c r="D443" s="413"/>
      <c r="E443" s="413"/>
      <c r="F443" s="413"/>
      <c r="G443" s="414"/>
    </row>
    <row r="444" spans="2:12" x14ac:dyDescent="0.3">
      <c r="B444" s="112" t="s">
        <v>6</v>
      </c>
      <c r="C444" s="415" t="s">
        <v>1</v>
      </c>
      <c r="D444" s="416"/>
      <c r="E444" s="110" t="s">
        <v>192</v>
      </c>
      <c r="F444" s="118" t="s">
        <v>2</v>
      </c>
      <c r="G444" s="112" t="s">
        <v>3</v>
      </c>
      <c r="H444" s="104"/>
      <c r="I444" s="105" t="s">
        <v>7</v>
      </c>
      <c r="J444" s="134"/>
      <c r="K444" s="105" t="s">
        <v>8</v>
      </c>
      <c r="L444" s="113" t="s">
        <v>193</v>
      </c>
    </row>
    <row r="445" spans="2:12" x14ac:dyDescent="0.3">
      <c r="B445" s="120">
        <v>1</v>
      </c>
      <c r="C445" s="409" t="s">
        <v>706</v>
      </c>
      <c r="D445" s="409"/>
      <c r="E445" s="114">
        <v>3</v>
      </c>
      <c r="F445" s="83">
        <f>ROUND(E445/I428,2)</f>
        <v>0.25</v>
      </c>
      <c r="G445" s="74" t="str">
        <f>IF(C445=0,0,VLOOKUP(C445,PRECIOSH[],2,FALSE))</f>
        <v>Unidad</v>
      </c>
      <c r="I445" s="115">
        <f>IF(C445=0,0,VLOOKUP(C445,PRECIOSH[],3,FALSE))</f>
        <v>150</v>
      </c>
      <c r="K445" s="84">
        <f>+F445*I445</f>
        <v>37.5</v>
      </c>
      <c r="L445" s="116">
        <f>E445*I445</f>
        <v>450</v>
      </c>
    </row>
    <row r="446" spans="2:12" x14ac:dyDescent="0.3">
      <c r="B446" s="74"/>
      <c r="C446" s="282"/>
      <c r="D446" s="283"/>
      <c r="E446" s="119"/>
      <c r="F446" s="72"/>
      <c r="G446" s="74"/>
      <c r="I446" s="115">
        <f>IF(C446=0,0,VLOOKUP(C446,Tabla3[],3,FALSE))</f>
        <v>0</v>
      </c>
      <c r="K446" s="84">
        <f>+F446*I446</f>
        <v>0</v>
      </c>
      <c r="L446" s="116">
        <f>E446*I446</f>
        <v>0</v>
      </c>
    </row>
    <row r="447" spans="2:12" x14ac:dyDescent="0.3">
      <c r="B447" s="74"/>
      <c r="C447" s="282"/>
      <c r="D447" s="283"/>
      <c r="E447" s="119"/>
      <c r="F447" s="72"/>
      <c r="G447" s="74"/>
      <c r="I447" s="115">
        <f>IF(C447=0,0,VLOOKUP(C447,Tabla3[],3,FALSE))</f>
        <v>0</v>
      </c>
      <c r="K447" s="84">
        <f>+F447*I447</f>
        <v>0</v>
      </c>
      <c r="L447" s="116">
        <f>E447*I447</f>
        <v>0</v>
      </c>
    </row>
    <row r="448" spans="2:12" x14ac:dyDescent="0.3">
      <c r="B448" s="74"/>
      <c r="C448" s="411"/>
      <c r="D448" s="412"/>
      <c r="E448" s="119"/>
      <c r="F448" s="72"/>
      <c r="G448" s="74"/>
      <c r="I448" s="115">
        <f>IF(C448=0,0,VLOOKUP(C448,Tabla3[],3,FALSE))</f>
        <v>0</v>
      </c>
      <c r="K448" s="84">
        <f>+F448*I448</f>
        <v>0</v>
      </c>
      <c r="L448" s="116">
        <f>E448*I448</f>
        <v>0</v>
      </c>
    </row>
    <row r="449" spans="2:12" ht="17.25" thickBot="1" x14ac:dyDescent="0.35"/>
    <row r="450" spans="2:12" ht="17.25" thickBot="1" x14ac:dyDescent="0.35">
      <c r="F450" s="402" t="s">
        <v>12</v>
      </c>
      <c r="G450" s="403"/>
      <c r="H450" s="403"/>
      <c r="I450" s="404"/>
      <c r="K450" s="224">
        <f>+SUM(K445:K448)</f>
        <v>37.5</v>
      </c>
      <c r="L450" s="117">
        <f>+SUM(L445:L448)</f>
        <v>450</v>
      </c>
    </row>
    <row r="451" spans="2:12" ht="17.25" thickBot="1" x14ac:dyDescent="0.35"/>
    <row r="452" spans="2:12" ht="17.25" thickBot="1" x14ac:dyDescent="0.35">
      <c r="B452" s="108" t="s">
        <v>13</v>
      </c>
      <c r="C452" s="413" t="s">
        <v>14</v>
      </c>
      <c r="D452" s="413"/>
      <c r="E452" s="413"/>
      <c r="F452" s="413"/>
      <c r="G452" s="414"/>
    </row>
    <row r="453" spans="2:12" x14ac:dyDescent="0.3">
      <c r="B453" s="112" t="s">
        <v>6</v>
      </c>
      <c r="C453" s="415" t="s">
        <v>1</v>
      </c>
      <c r="D453" s="416"/>
      <c r="E453" s="110" t="s">
        <v>192</v>
      </c>
      <c r="F453" s="118" t="s">
        <v>2</v>
      </c>
      <c r="G453" s="112" t="s">
        <v>3</v>
      </c>
      <c r="H453" s="104"/>
      <c r="I453" s="105" t="s">
        <v>7</v>
      </c>
      <c r="J453" s="134"/>
      <c r="K453" s="105" t="s">
        <v>8</v>
      </c>
      <c r="L453" s="113" t="s">
        <v>193</v>
      </c>
    </row>
    <row r="454" spans="2:12" x14ac:dyDescent="0.3">
      <c r="B454" s="120">
        <v>1</v>
      </c>
      <c r="C454" s="409" t="s">
        <v>398</v>
      </c>
      <c r="D454" s="409"/>
      <c r="E454" s="114">
        <f>I428</f>
        <v>11.8</v>
      </c>
      <c r="F454" s="83">
        <f>ROUND(E454/I428,2)</f>
        <v>1</v>
      </c>
      <c r="G454" s="74" t="str">
        <f>IF(C454=0,0,VLOOKUP(C454,Tabla2[],2,FALSE))</f>
        <v>m³</v>
      </c>
      <c r="I454" s="115">
        <f>IF(C454=0,0,VLOOKUP(C454,Tabla2[],3,FALSE))</f>
        <v>50</v>
      </c>
      <c r="K454" s="84">
        <f>+F454*I454</f>
        <v>50</v>
      </c>
      <c r="L454" s="116">
        <f>E454*I454</f>
        <v>590</v>
      </c>
    </row>
    <row r="455" spans="2:12" x14ac:dyDescent="0.3">
      <c r="B455" s="120"/>
      <c r="C455" s="409"/>
      <c r="D455" s="409"/>
      <c r="E455" s="114"/>
      <c r="F455" s="83"/>
      <c r="G455" s="74"/>
      <c r="I455" s="115">
        <f>IF(C455=0,0,VLOOKUP(C455,Tabla2[],3,FALSE))</f>
        <v>0</v>
      </c>
      <c r="K455" s="84">
        <f>+F455*I455</f>
        <v>0</v>
      </c>
      <c r="L455" s="116">
        <f>E455*I455</f>
        <v>0</v>
      </c>
    </row>
    <row r="456" spans="2:12" ht="17.25" thickBot="1" x14ac:dyDescent="0.35">
      <c r="B456" s="121"/>
      <c r="C456" s="417"/>
      <c r="D456" s="418"/>
      <c r="E456" s="122"/>
      <c r="F456" s="123"/>
      <c r="G456" s="74"/>
      <c r="I456" s="115">
        <f>IF(C456=0,0,VLOOKUP(C456,Tabla2[],3,FALSE))</f>
        <v>0</v>
      </c>
      <c r="K456" s="84">
        <f>+F456*I456</f>
        <v>0</v>
      </c>
      <c r="L456" s="116">
        <f>E456*I456</f>
        <v>0</v>
      </c>
    </row>
    <row r="457" spans="2:12" ht="17.25" thickBot="1" x14ac:dyDescent="0.35">
      <c r="B457" s="419" t="s">
        <v>15</v>
      </c>
      <c r="C457" s="420"/>
      <c r="D457" s="420"/>
      <c r="E457" s="420"/>
      <c r="F457" s="420"/>
      <c r="G457" s="421"/>
      <c r="I457" s="84">
        <v>0</v>
      </c>
      <c r="K457" s="84">
        <v>0</v>
      </c>
      <c r="L457" s="116">
        <f>E457*I457</f>
        <v>0</v>
      </c>
    </row>
    <row r="458" spans="2:12" ht="17.25" thickBot="1" x14ac:dyDescent="0.35"/>
    <row r="459" spans="2:12" ht="17.25" thickBot="1" x14ac:dyDescent="0.35">
      <c r="F459" s="402" t="s">
        <v>16</v>
      </c>
      <c r="G459" s="403"/>
      <c r="H459" s="403"/>
      <c r="I459" s="404"/>
      <c r="K459" s="224">
        <f>+SUM(K454:K457)</f>
        <v>50</v>
      </c>
      <c r="L459" s="117">
        <f>+SUM(L454:L457)</f>
        <v>590</v>
      </c>
    </row>
    <row r="460" spans="2:12" ht="17.25" thickBot="1" x14ac:dyDescent="0.35"/>
    <row r="461" spans="2:12" ht="17.25" thickBot="1" x14ac:dyDescent="0.35">
      <c r="B461" s="108" t="s">
        <v>17</v>
      </c>
      <c r="C461" s="413" t="s">
        <v>18</v>
      </c>
      <c r="D461" s="413"/>
      <c r="E461" s="413"/>
      <c r="F461" s="413"/>
      <c r="G461" s="414"/>
    </row>
    <row r="462" spans="2:12" x14ac:dyDescent="0.3">
      <c r="B462" s="112" t="s">
        <v>6</v>
      </c>
      <c r="C462" s="415" t="s">
        <v>1</v>
      </c>
      <c r="D462" s="416"/>
      <c r="E462" s="124"/>
      <c r="F462" s="118" t="s">
        <v>2</v>
      </c>
      <c r="G462" s="112" t="s">
        <v>3</v>
      </c>
      <c r="H462" s="104"/>
      <c r="I462" s="105" t="s">
        <v>7</v>
      </c>
      <c r="J462" s="134"/>
      <c r="K462" s="105" t="s">
        <v>8</v>
      </c>
      <c r="L462" s="113" t="s">
        <v>193</v>
      </c>
    </row>
    <row r="463" spans="2:12" x14ac:dyDescent="0.3">
      <c r="B463" s="74"/>
      <c r="C463" s="411"/>
      <c r="D463" s="412"/>
      <c r="E463" s="125"/>
      <c r="F463" s="72"/>
      <c r="G463" s="74"/>
      <c r="I463" s="84">
        <v>0</v>
      </c>
      <c r="K463" s="84">
        <f>+F463*I463</f>
        <v>0</v>
      </c>
      <c r="L463" s="116">
        <f>E463*I463</f>
        <v>0</v>
      </c>
    </row>
    <row r="464" spans="2:12" x14ac:dyDescent="0.3">
      <c r="B464" s="74"/>
      <c r="C464" s="411"/>
      <c r="D464" s="412"/>
      <c r="E464" s="125"/>
      <c r="F464" s="72"/>
      <c r="G464" s="74"/>
      <c r="I464" s="84">
        <v>0</v>
      </c>
      <c r="K464" s="84">
        <f>+F464*I464</f>
        <v>0</v>
      </c>
      <c r="L464" s="116">
        <f>E464*I464</f>
        <v>0</v>
      </c>
    </row>
    <row r="465" spans="2:16" x14ac:dyDescent="0.3">
      <c r="B465" s="74"/>
      <c r="C465" s="411"/>
      <c r="D465" s="412"/>
      <c r="E465" s="125"/>
      <c r="F465" s="72"/>
      <c r="G465" s="74"/>
      <c r="I465" s="84">
        <v>0</v>
      </c>
      <c r="K465" s="84">
        <f>+F465*I465</f>
        <v>0</v>
      </c>
      <c r="L465" s="116">
        <f>E465*I465</f>
        <v>0</v>
      </c>
    </row>
    <row r="466" spans="2:16" ht="17.25" thickBot="1" x14ac:dyDescent="0.35">
      <c r="L466" s="116"/>
    </row>
    <row r="467" spans="2:16" ht="17.25" thickBot="1" x14ac:dyDescent="0.35">
      <c r="F467" s="402" t="s">
        <v>19</v>
      </c>
      <c r="G467" s="403"/>
      <c r="H467" s="403"/>
      <c r="I467" s="404"/>
      <c r="K467" s="224">
        <f>+SUM(K463:K465)</f>
        <v>0</v>
      </c>
      <c r="L467" s="117">
        <f>+SUM(L462:L465)</f>
        <v>0</v>
      </c>
    </row>
    <row r="468" spans="2:16" ht="15" customHeight="1" x14ac:dyDescent="0.3">
      <c r="F468" s="126"/>
      <c r="G468" s="280"/>
      <c r="H468" s="128"/>
      <c r="I468" s="106"/>
      <c r="K468" s="225"/>
    </row>
    <row r="469" spans="2:16" ht="15" customHeight="1" thickBot="1" x14ac:dyDescent="0.35"/>
    <row r="470" spans="2:16" ht="17.25" thickBot="1" x14ac:dyDescent="0.35">
      <c r="F470" s="402" t="s">
        <v>20</v>
      </c>
      <c r="G470" s="403"/>
      <c r="H470" s="403"/>
      <c r="I470" s="404"/>
      <c r="K470" s="224">
        <f>(+K441+K450+K459+K467)</f>
        <v>87.5</v>
      </c>
      <c r="L470" s="117">
        <f>(+L441+L450+L459+L467)</f>
        <v>1040</v>
      </c>
      <c r="N470" s="129"/>
      <c r="O470" s="39"/>
      <c r="P470" s="40"/>
    </row>
    <row r="471" spans="2:16" ht="7.5" customHeight="1" thickBot="1" x14ac:dyDescent="0.35">
      <c r="N471" s="129"/>
      <c r="O471" s="41"/>
      <c r="P471" s="40"/>
    </row>
    <row r="472" spans="2:16" ht="17.25" thickBot="1" x14ac:dyDescent="0.35">
      <c r="F472" s="402" t="s">
        <v>21</v>
      </c>
      <c r="G472" s="403"/>
      <c r="H472" s="403"/>
      <c r="I472" s="404"/>
      <c r="K472" s="224">
        <f>K470*$N$2</f>
        <v>35</v>
      </c>
      <c r="L472" s="117">
        <f>L470*$N$2</f>
        <v>416</v>
      </c>
    </row>
    <row r="473" spans="2:16" ht="7.5" customHeight="1" thickBot="1" x14ac:dyDescent="0.35"/>
    <row r="474" spans="2:16" ht="17.25" thickBot="1" x14ac:dyDescent="0.35">
      <c r="F474" s="402" t="s">
        <v>22</v>
      </c>
      <c r="G474" s="403"/>
      <c r="H474" s="403"/>
      <c r="I474" s="404"/>
      <c r="K474" s="224">
        <f>+K470+K472</f>
        <v>122.5</v>
      </c>
      <c r="L474" s="117">
        <f>+L470+L472</f>
        <v>1456</v>
      </c>
    </row>
    <row r="475" spans="2:16" ht="17.25" thickBot="1" x14ac:dyDescent="0.35">
      <c r="F475" s="126"/>
      <c r="G475" s="280"/>
      <c r="H475" s="128"/>
      <c r="I475" s="106"/>
      <c r="K475" s="226"/>
      <c r="L475" s="130">
        <f>L474/I428</f>
        <v>123.38983050847457</v>
      </c>
      <c r="M475" s="131">
        <f>(K474-L475)*I428</f>
        <v>-10.499999999999979</v>
      </c>
    </row>
    <row r="476" spans="2:16" x14ac:dyDescent="0.3">
      <c r="F476" s="126"/>
      <c r="G476" s="280"/>
      <c r="H476" s="128"/>
      <c r="I476" s="106"/>
      <c r="K476" s="227"/>
      <c r="L476" s="129"/>
      <c r="M476" s="132"/>
      <c r="N476" s="133"/>
    </row>
    <row r="477" spans="2:16" ht="17.25" thickBot="1" x14ac:dyDescent="0.35">
      <c r="B477" s="405"/>
      <c r="C477" s="405"/>
      <c r="D477" s="405"/>
    </row>
    <row r="478" spans="2:16" x14ac:dyDescent="0.3">
      <c r="B478" s="406" t="s">
        <v>23</v>
      </c>
      <c r="C478" s="406"/>
      <c r="D478" s="406"/>
    </row>
    <row r="479" spans="2:16" x14ac:dyDescent="0.3">
      <c r="B479" s="281"/>
      <c r="C479" s="281"/>
      <c r="D479" s="281"/>
    </row>
    <row r="480" spans="2:16" x14ac:dyDescent="0.3">
      <c r="B480" s="281"/>
      <c r="C480" s="281"/>
      <c r="D480" s="281"/>
    </row>
    <row r="481" spans="1:16" x14ac:dyDescent="0.3">
      <c r="B481" s="103" t="s">
        <v>43</v>
      </c>
      <c r="C481" s="104"/>
      <c r="D481" s="422" t="s">
        <v>1</v>
      </c>
      <c r="E481" s="422"/>
      <c r="F481" s="422"/>
      <c r="G481" s="422"/>
      <c r="H481" s="104"/>
      <c r="I481" s="105" t="s">
        <v>2</v>
      </c>
      <c r="J481" s="134"/>
      <c r="K481" s="105" t="s">
        <v>3</v>
      </c>
    </row>
    <row r="482" spans="1:16" s="4" customFormat="1" ht="30.75" customHeight="1" x14ac:dyDescent="0.25">
      <c r="A482" s="31"/>
      <c r="B482" s="287">
        <f>CATALOGO!B22</f>
        <v>201.03</v>
      </c>
      <c r="C482" s="71"/>
      <c r="D482" s="423" t="str">
        <f>CATALOGO!C22</f>
        <v>RELLENO Y COMPACTACIÓN DE CIMIENTO CON MATERIAL DE EXCAVACIÓN</v>
      </c>
      <c r="E482" s="423"/>
      <c r="F482" s="423"/>
      <c r="G482" s="423"/>
      <c r="H482" s="71"/>
      <c r="I482" s="287">
        <f>CATALOGO!E22</f>
        <v>5.3</v>
      </c>
      <c r="J482" s="107"/>
      <c r="K482" s="222" t="str">
        <f>CATALOGO!G22</f>
        <v>m³</v>
      </c>
      <c r="L482" s="71"/>
      <c r="M482" s="71"/>
      <c r="N482" s="102"/>
      <c r="O482" s="37"/>
      <c r="P482" s="37"/>
    </row>
    <row r="483" spans="1:16" ht="17.25" thickBot="1" x14ac:dyDescent="0.35"/>
    <row r="484" spans="1:16" ht="17.25" thickBot="1" x14ac:dyDescent="0.35">
      <c r="B484" s="108" t="s">
        <v>4</v>
      </c>
      <c r="C484" s="413" t="s">
        <v>5</v>
      </c>
      <c r="D484" s="413"/>
      <c r="E484" s="413"/>
      <c r="F484" s="413"/>
      <c r="G484" s="414"/>
    </row>
    <row r="485" spans="1:16" x14ac:dyDescent="0.3">
      <c r="B485" s="109" t="s">
        <v>6</v>
      </c>
      <c r="C485" s="424" t="s">
        <v>1</v>
      </c>
      <c r="D485" s="425"/>
      <c r="E485" s="110" t="s">
        <v>192</v>
      </c>
      <c r="F485" s="111" t="s">
        <v>2</v>
      </c>
      <c r="G485" s="112" t="s">
        <v>3</v>
      </c>
      <c r="H485" s="104"/>
      <c r="I485" s="105" t="s">
        <v>7</v>
      </c>
      <c r="J485" s="134"/>
      <c r="K485" s="223" t="s">
        <v>8</v>
      </c>
      <c r="L485" s="113" t="s">
        <v>193</v>
      </c>
    </row>
    <row r="486" spans="1:16" x14ac:dyDescent="0.3">
      <c r="B486" s="120"/>
      <c r="C486" s="409"/>
      <c r="D486" s="409"/>
      <c r="E486" s="114"/>
      <c r="F486" s="83"/>
      <c r="G486" s="74"/>
      <c r="I486" s="115">
        <f>IF(C486=0,0,VLOOKUP(C486,Tabla1[],3,FALSE))</f>
        <v>0</v>
      </c>
      <c r="K486" s="84">
        <f>+F486*I486</f>
        <v>0</v>
      </c>
      <c r="L486" s="116">
        <f>E486*I486</f>
        <v>0</v>
      </c>
    </row>
    <row r="487" spans="1:16" x14ac:dyDescent="0.3">
      <c r="B487" s="120"/>
      <c r="C487" s="409"/>
      <c r="D487" s="409"/>
      <c r="E487" s="114"/>
      <c r="F487" s="83"/>
      <c r="G487" s="74"/>
      <c r="I487" s="115">
        <f>IF(C487=0,0,VLOOKUP(C487,Tabla1[],3,FALSE))</f>
        <v>0</v>
      </c>
      <c r="K487" s="84">
        <f>+F487*I487</f>
        <v>0</v>
      </c>
      <c r="L487" s="116">
        <f>E487*I487</f>
        <v>0</v>
      </c>
    </row>
    <row r="488" spans="1:16" x14ac:dyDescent="0.3">
      <c r="B488" s="120"/>
      <c r="C488" s="409"/>
      <c r="D488" s="409"/>
      <c r="E488" s="114"/>
      <c r="F488" s="83"/>
      <c r="G488" s="74"/>
      <c r="I488" s="115">
        <f>IF(C488=0,0,VLOOKUP(C488,Tabla1[],3,FALSE))</f>
        <v>0</v>
      </c>
      <c r="K488" s="84">
        <f>+F488*I488</f>
        <v>0</v>
      </c>
      <c r="L488" s="116">
        <f>E488*I488</f>
        <v>0</v>
      </c>
    </row>
    <row r="489" spans="1:16" x14ac:dyDescent="0.3">
      <c r="B489" s="120"/>
      <c r="C489" s="409"/>
      <c r="D489" s="409"/>
      <c r="E489" s="114"/>
      <c r="F489" s="83"/>
      <c r="G489" s="74"/>
      <c r="I489" s="115">
        <f>IF(C489=0,0,VLOOKUP(C489,Tabla1[],3,FALSE))</f>
        <v>0</v>
      </c>
      <c r="K489" s="84">
        <f>+F489*I489</f>
        <v>0</v>
      </c>
      <c r="L489" s="116">
        <f>E489*I489</f>
        <v>0</v>
      </c>
    </row>
    <row r="490" spans="1:16" x14ac:dyDescent="0.3">
      <c r="B490" s="120"/>
      <c r="C490" s="410"/>
      <c r="D490" s="410"/>
      <c r="E490" s="114"/>
      <c r="F490" s="72"/>
      <c r="G490" s="74"/>
      <c r="I490" s="115">
        <f>IF(C490=0,0,VLOOKUP(C490,Tabla1[],3,FALSE))</f>
        <v>0</v>
      </c>
      <c r="K490" s="84">
        <f>+F490*I490</f>
        <v>0</v>
      </c>
      <c r="L490" s="116">
        <f>E490*I490</f>
        <v>0</v>
      </c>
    </row>
    <row r="491" spans="1:16" ht="17.25" thickBot="1" x14ac:dyDescent="0.35"/>
    <row r="492" spans="1:16" ht="17.25" thickBot="1" x14ac:dyDescent="0.35">
      <c r="F492" s="402" t="s">
        <v>9</v>
      </c>
      <c r="G492" s="403"/>
      <c r="H492" s="403"/>
      <c r="I492" s="404"/>
      <c r="K492" s="224">
        <f>+SUM(K486:K490)</f>
        <v>0</v>
      </c>
      <c r="L492" s="117">
        <f>+SUM(L486:L490)</f>
        <v>0</v>
      </c>
    </row>
    <row r="493" spans="1:16" ht="17.25" thickBot="1" x14ac:dyDescent="0.35"/>
    <row r="494" spans="1:16" ht="17.25" thickBot="1" x14ac:dyDescent="0.35">
      <c r="B494" s="108" t="s">
        <v>10</v>
      </c>
      <c r="C494" s="413" t="s">
        <v>11</v>
      </c>
      <c r="D494" s="413"/>
      <c r="E494" s="413"/>
      <c r="F494" s="413"/>
      <c r="G494" s="414"/>
    </row>
    <row r="495" spans="1:16" x14ac:dyDescent="0.3">
      <c r="B495" s="112" t="s">
        <v>6</v>
      </c>
      <c r="C495" s="415" t="s">
        <v>1</v>
      </c>
      <c r="D495" s="416"/>
      <c r="E495" s="110" t="s">
        <v>192</v>
      </c>
      <c r="F495" s="118" t="s">
        <v>2</v>
      </c>
      <c r="G495" s="112" t="s">
        <v>3</v>
      </c>
      <c r="H495" s="104"/>
      <c r="I495" s="105" t="s">
        <v>7</v>
      </c>
      <c r="J495" s="134"/>
      <c r="K495" s="105" t="s">
        <v>8</v>
      </c>
      <c r="L495" s="113" t="s">
        <v>193</v>
      </c>
    </row>
    <row r="496" spans="1:16" x14ac:dyDescent="0.3">
      <c r="B496" s="120">
        <v>1</v>
      </c>
      <c r="C496" s="409" t="s">
        <v>189</v>
      </c>
      <c r="D496" s="409"/>
      <c r="E496" s="114">
        <v>1</v>
      </c>
      <c r="F496" s="83">
        <f>ROUND(E496/I482,2)</f>
        <v>0.19</v>
      </c>
      <c r="G496" s="74" t="str">
        <f>IF(C496=0,0,VLOOKUP(C496,Tabla3[],2,FALSE))</f>
        <v>Viaje</v>
      </c>
      <c r="I496" s="115">
        <f>IF(C496=0,0,VLOOKUP(C496,Tabla3[],3,FALSE))</f>
        <v>200</v>
      </c>
      <c r="K496" s="84">
        <f>+F496*I496</f>
        <v>38</v>
      </c>
      <c r="L496" s="116">
        <f>E496*I496</f>
        <v>200</v>
      </c>
    </row>
    <row r="497" spans="2:12" x14ac:dyDescent="0.3">
      <c r="B497" s="120"/>
      <c r="C497" s="431"/>
      <c r="D497" s="432"/>
      <c r="E497" s="114"/>
      <c r="F497" s="83"/>
      <c r="G497" s="74"/>
      <c r="I497" s="115">
        <f>IF(C497=0,0,VLOOKUP(C497,Tabla3[],3,FALSE))</f>
        <v>0</v>
      </c>
      <c r="K497" s="84">
        <f>+F497*I497</f>
        <v>0</v>
      </c>
      <c r="L497" s="116">
        <f>E497*I497</f>
        <v>0</v>
      </c>
    </row>
    <row r="498" spans="2:12" x14ac:dyDescent="0.3">
      <c r="B498" s="74"/>
      <c r="C498" s="282"/>
      <c r="D498" s="283"/>
      <c r="E498" s="119"/>
      <c r="F498" s="72"/>
      <c r="G498" s="74"/>
      <c r="I498" s="115">
        <f>IF(C498=0,0,VLOOKUP(C498,Tabla3[],3,FALSE))</f>
        <v>0</v>
      </c>
      <c r="K498" s="84">
        <f>+F498*I498</f>
        <v>0</v>
      </c>
      <c r="L498" s="116">
        <f>E498*I498</f>
        <v>0</v>
      </c>
    </row>
    <row r="499" spans="2:12" x14ac:dyDescent="0.3">
      <c r="B499" s="74"/>
      <c r="C499" s="411"/>
      <c r="D499" s="412"/>
      <c r="E499" s="119"/>
      <c r="F499" s="72"/>
      <c r="G499" s="74"/>
      <c r="I499" s="115">
        <f>IF(C499=0,0,VLOOKUP(C499,Tabla3[],3,FALSE))</f>
        <v>0</v>
      </c>
      <c r="K499" s="84">
        <f>+F499*I499</f>
        <v>0</v>
      </c>
      <c r="L499" s="116">
        <f>E499*I499</f>
        <v>0</v>
      </c>
    </row>
    <row r="500" spans="2:12" ht="17.25" thickBot="1" x14ac:dyDescent="0.35"/>
    <row r="501" spans="2:12" ht="17.25" thickBot="1" x14ac:dyDescent="0.35">
      <c r="F501" s="402" t="s">
        <v>12</v>
      </c>
      <c r="G501" s="403"/>
      <c r="H501" s="403"/>
      <c r="I501" s="404"/>
      <c r="K501" s="224">
        <f>+SUM(K496:K499)</f>
        <v>38</v>
      </c>
      <c r="L501" s="117">
        <f>+SUM(L496:L499)</f>
        <v>200</v>
      </c>
    </row>
    <row r="502" spans="2:12" ht="17.25" thickBot="1" x14ac:dyDescent="0.35"/>
    <row r="503" spans="2:12" ht="17.25" thickBot="1" x14ac:dyDescent="0.35">
      <c r="B503" s="108" t="s">
        <v>13</v>
      </c>
      <c r="C503" s="413" t="s">
        <v>14</v>
      </c>
      <c r="D503" s="413"/>
      <c r="E503" s="413"/>
      <c r="F503" s="413"/>
      <c r="G503" s="414"/>
    </row>
    <row r="504" spans="2:12" x14ac:dyDescent="0.3">
      <c r="B504" s="112" t="s">
        <v>6</v>
      </c>
      <c r="C504" s="415" t="s">
        <v>1</v>
      </c>
      <c r="D504" s="416"/>
      <c r="E504" s="110" t="s">
        <v>192</v>
      </c>
      <c r="F504" s="118" t="s">
        <v>2</v>
      </c>
      <c r="G504" s="112" t="s">
        <v>3</v>
      </c>
      <c r="H504" s="104"/>
      <c r="I504" s="105" t="s">
        <v>7</v>
      </c>
      <c r="J504" s="134"/>
      <c r="K504" s="105" t="s">
        <v>8</v>
      </c>
      <c r="L504" s="113" t="s">
        <v>193</v>
      </c>
    </row>
    <row r="505" spans="2:12" x14ac:dyDescent="0.3">
      <c r="B505" s="120">
        <v>1</v>
      </c>
      <c r="C505" s="409" t="s">
        <v>571</v>
      </c>
      <c r="D505" s="409"/>
      <c r="E505" s="114">
        <f>I482*1.3</f>
        <v>6.89</v>
      </c>
      <c r="F505" s="83">
        <f>ROUND(E505/I482,2)</f>
        <v>1.3</v>
      </c>
      <c r="G505" s="74" t="str">
        <f>IF(C505=0,0,VLOOKUP(C505,Tabla2[],2,FALSE))</f>
        <v>m²</v>
      </c>
      <c r="I505" s="115">
        <f>IF(C505=0,0,VLOOKUP(C505,Tabla2[],3,FALSE))</f>
        <v>20</v>
      </c>
      <c r="K505" s="84">
        <f>+F505*I505</f>
        <v>26</v>
      </c>
      <c r="L505" s="116">
        <f>E505*I505</f>
        <v>137.79999999999998</v>
      </c>
    </row>
    <row r="506" spans="2:12" x14ac:dyDescent="0.3">
      <c r="B506" s="120">
        <v>2</v>
      </c>
      <c r="C506" s="409" t="s">
        <v>572</v>
      </c>
      <c r="D506" s="409"/>
      <c r="E506" s="114">
        <f>I482*1.3</f>
        <v>6.89</v>
      </c>
      <c r="F506" s="83">
        <f>ROUND(E506/I482,2)</f>
        <v>1.3</v>
      </c>
      <c r="G506" s="74" t="str">
        <f>IF(C506=0,0,VLOOKUP(C506,Tabla2[],2,FALSE))</f>
        <v>m²</v>
      </c>
      <c r="I506" s="115">
        <f>IF(C506=0,0,VLOOKUP(C506,Tabla2[],3,FALSE))</f>
        <v>40</v>
      </c>
      <c r="K506" s="84">
        <f>+F506*I506</f>
        <v>52</v>
      </c>
      <c r="L506" s="116">
        <f>E506*I506</f>
        <v>275.59999999999997</v>
      </c>
    </row>
    <row r="507" spans="2:12" ht="17.25" thickBot="1" x14ac:dyDescent="0.35">
      <c r="B507" s="121"/>
      <c r="C507" s="417"/>
      <c r="D507" s="418"/>
      <c r="E507" s="122"/>
      <c r="F507" s="123"/>
      <c r="G507" s="74"/>
      <c r="I507" s="115">
        <f>IF(C507=0,0,VLOOKUP(C507,Tabla2[],3,FALSE))</f>
        <v>0</v>
      </c>
      <c r="K507" s="84">
        <f>+F507*I507</f>
        <v>0</v>
      </c>
      <c r="L507" s="116">
        <f>E507*I507</f>
        <v>0</v>
      </c>
    </row>
    <row r="508" spans="2:12" ht="17.25" thickBot="1" x14ac:dyDescent="0.35">
      <c r="B508" s="419" t="s">
        <v>15</v>
      </c>
      <c r="C508" s="420"/>
      <c r="D508" s="420"/>
      <c r="E508" s="420"/>
      <c r="F508" s="420"/>
      <c r="G508" s="421"/>
      <c r="I508" s="84">
        <v>0</v>
      </c>
      <c r="K508" s="84">
        <v>0</v>
      </c>
      <c r="L508" s="116">
        <f>E508*I508</f>
        <v>0</v>
      </c>
    </row>
    <row r="509" spans="2:12" ht="17.25" thickBot="1" x14ac:dyDescent="0.35"/>
    <row r="510" spans="2:12" ht="17.25" thickBot="1" x14ac:dyDescent="0.35">
      <c r="F510" s="402" t="s">
        <v>16</v>
      </c>
      <c r="G510" s="403"/>
      <c r="H510" s="403"/>
      <c r="I510" s="404"/>
      <c r="K510" s="224">
        <f>+SUM(K505:K508)</f>
        <v>78</v>
      </c>
      <c r="L510" s="117">
        <f>+SUM(L505:L508)</f>
        <v>413.4</v>
      </c>
    </row>
    <row r="511" spans="2:12" ht="17.25" thickBot="1" x14ac:dyDescent="0.35"/>
    <row r="512" spans="2:12" ht="17.25" thickBot="1" x14ac:dyDescent="0.35">
      <c r="B512" s="108" t="s">
        <v>17</v>
      </c>
      <c r="C512" s="413" t="s">
        <v>18</v>
      </c>
      <c r="D512" s="413"/>
      <c r="E512" s="413"/>
      <c r="F512" s="413"/>
      <c r="G512" s="414"/>
    </row>
    <row r="513" spans="2:16" x14ac:dyDescent="0.3">
      <c r="B513" s="112" t="s">
        <v>6</v>
      </c>
      <c r="C513" s="415" t="s">
        <v>1</v>
      </c>
      <c r="D513" s="416"/>
      <c r="E513" s="124"/>
      <c r="F513" s="118" t="s">
        <v>2</v>
      </c>
      <c r="G513" s="112" t="s">
        <v>3</v>
      </c>
      <c r="H513" s="104"/>
      <c r="I513" s="105" t="s">
        <v>7</v>
      </c>
      <c r="J513" s="134"/>
      <c r="K513" s="105" t="s">
        <v>8</v>
      </c>
      <c r="L513" s="113" t="s">
        <v>193</v>
      </c>
    </row>
    <row r="514" spans="2:16" x14ac:dyDescent="0.3">
      <c r="B514" s="74"/>
      <c r="C514" s="411"/>
      <c r="D514" s="412"/>
      <c r="E514" s="125"/>
      <c r="F514" s="72"/>
      <c r="G514" s="74"/>
      <c r="I514" s="84">
        <v>0</v>
      </c>
      <c r="K514" s="84">
        <f>+F514*I514</f>
        <v>0</v>
      </c>
      <c r="L514" s="116">
        <f>E514*I514</f>
        <v>0</v>
      </c>
    </row>
    <row r="515" spans="2:16" x14ac:dyDescent="0.3">
      <c r="B515" s="74"/>
      <c r="C515" s="411"/>
      <c r="D515" s="412"/>
      <c r="E515" s="125"/>
      <c r="F515" s="72"/>
      <c r="G515" s="74"/>
      <c r="I515" s="84">
        <v>0</v>
      </c>
      <c r="K515" s="84">
        <f>+F515*I515</f>
        <v>0</v>
      </c>
      <c r="L515" s="116">
        <f>E515*I515</f>
        <v>0</v>
      </c>
    </row>
    <row r="516" spans="2:16" x14ac:dyDescent="0.3">
      <c r="B516" s="74"/>
      <c r="C516" s="411"/>
      <c r="D516" s="412"/>
      <c r="E516" s="125"/>
      <c r="F516" s="72"/>
      <c r="G516" s="74"/>
      <c r="I516" s="84">
        <v>0</v>
      </c>
      <c r="K516" s="84">
        <f>+F516*I516</f>
        <v>0</v>
      </c>
      <c r="L516" s="116">
        <f>E516*I516</f>
        <v>0</v>
      </c>
    </row>
    <row r="517" spans="2:16" ht="17.25" thickBot="1" x14ac:dyDescent="0.35">
      <c r="L517" s="116"/>
    </row>
    <row r="518" spans="2:16" ht="17.25" thickBot="1" x14ac:dyDescent="0.35">
      <c r="F518" s="402" t="s">
        <v>19</v>
      </c>
      <c r="G518" s="403"/>
      <c r="H518" s="403"/>
      <c r="I518" s="404"/>
      <c r="K518" s="224">
        <f>+SUM(K514:K516)</f>
        <v>0</v>
      </c>
      <c r="L518" s="117">
        <f>+SUM(L513:L516)</f>
        <v>0</v>
      </c>
    </row>
    <row r="519" spans="2:16" ht="15" customHeight="1" x14ac:dyDescent="0.3">
      <c r="F519" s="126"/>
      <c r="G519" s="280"/>
      <c r="H519" s="128"/>
      <c r="I519" s="106"/>
      <c r="K519" s="225"/>
    </row>
    <row r="520" spans="2:16" ht="15" customHeight="1" thickBot="1" x14ac:dyDescent="0.35"/>
    <row r="521" spans="2:16" ht="17.25" thickBot="1" x14ac:dyDescent="0.35">
      <c r="F521" s="402" t="s">
        <v>20</v>
      </c>
      <c r="G521" s="403"/>
      <c r="H521" s="403"/>
      <c r="I521" s="404"/>
      <c r="K521" s="224">
        <f>(+K492+K501+K510+K518)</f>
        <v>116</v>
      </c>
      <c r="L521" s="117">
        <f>(+L492+L501+L510+L518)</f>
        <v>613.4</v>
      </c>
      <c r="N521" s="129"/>
      <c r="O521" s="39"/>
      <c r="P521" s="40"/>
    </row>
    <row r="522" spans="2:16" ht="7.5" customHeight="1" thickBot="1" x14ac:dyDescent="0.35">
      <c r="N522" s="129"/>
      <c r="O522" s="41"/>
      <c r="P522" s="40"/>
    </row>
    <row r="523" spans="2:16" ht="17.25" thickBot="1" x14ac:dyDescent="0.35">
      <c r="F523" s="402" t="s">
        <v>21</v>
      </c>
      <c r="G523" s="403"/>
      <c r="H523" s="403"/>
      <c r="I523" s="404"/>
      <c r="K523" s="224">
        <f>K521*$N$2</f>
        <v>46.400000000000006</v>
      </c>
      <c r="L523" s="117">
        <f>L521*$N$2</f>
        <v>245.36</v>
      </c>
    </row>
    <row r="524" spans="2:16" ht="7.5" customHeight="1" thickBot="1" x14ac:dyDescent="0.35"/>
    <row r="525" spans="2:16" ht="17.25" thickBot="1" x14ac:dyDescent="0.35">
      <c r="F525" s="402" t="s">
        <v>22</v>
      </c>
      <c r="G525" s="403"/>
      <c r="H525" s="403"/>
      <c r="I525" s="404"/>
      <c r="K525" s="224">
        <f>+K521+K523</f>
        <v>162.4</v>
      </c>
      <c r="L525" s="117">
        <f>+L521+L523</f>
        <v>858.76</v>
      </c>
    </row>
    <row r="526" spans="2:16" ht="17.25" thickBot="1" x14ac:dyDescent="0.35">
      <c r="F526" s="126"/>
      <c r="G526" s="280"/>
      <c r="H526" s="128"/>
      <c r="I526" s="106"/>
      <c r="K526" s="226"/>
      <c r="L526" s="130">
        <f>L525/I482</f>
        <v>162.0301886792453</v>
      </c>
      <c r="M526" s="131">
        <f>(K525-L526)*I482</f>
        <v>1.9599999999999453</v>
      </c>
    </row>
    <row r="527" spans="2:16" x14ac:dyDescent="0.3">
      <c r="F527" s="126"/>
      <c r="G527" s="280"/>
      <c r="H527" s="128"/>
      <c r="I527" s="106"/>
      <c r="K527" s="227"/>
      <c r="L527" s="129"/>
      <c r="M527" s="132"/>
      <c r="N527" s="133"/>
    </row>
    <row r="528" spans="2:16" ht="17.25" thickBot="1" x14ac:dyDescent="0.35">
      <c r="B528" s="405"/>
      <c r="C528" s="405"/>
      <c r="D528" s="405"/>
    </row>
    <row r="529" spans="1:36" x14ac:dyDescent="0.3">
      <c r="B529" s="406" t="s">
        <v>23</v>
      </c>
      <c r="C529" s="406"/>
      <c r="D529" s="406"/>
    </row>
    <row r="530" spans="1:36" x14ac:dyDescent="0.3">
      <c r="B530" s="281"/>
      <c r="C530" s="281"/>
      <c r="D530" s="281"/>
    </row>
    <row r="531" spans="1:36" ht="17.25" thickBot="1" x14ac:dyDescent="0.35">
      <c r="B531" s="281"/>
      <c r="C531" s="281"/>
      <c r="D531" s="281"/>
    </row>
    <row r="532" spans="1:36" x14ac:dyDescent="0.3">
      <c r="B532" s="103" t="s">
        <v>43</v>
      </c>
      <c r="C532" s="104"/>
      <c r="D532" s="422" t="s">
        <v>1</v>
      </c>
      <c r="E532" s="422"/>
      <c r="F532" s="422"/>
      <c r="G532" s="422"/>
      <c r="H532" s="104"/>
      <c r="I532" s="105" t="s">
        <v>2</v>
      </c>
      <c r="J532" s="134"/>
      <c r="K532" s="105" t="s">
        <v>3</v>
      </c>
      <c r="P532" s="461" t="s">
        <v>666</v>
      </c>
      <c r="Q532" s="462"/>
      <c r="S532" s="463" t="s">
        <v>667</v>
      </c>
      <c r="T532" s="463"/>
      <c r="U532" s="316"/>
      <c r="V532" s="316"/>
      <c r="W532" s="464" t="s">
        <v>668</v>
      </c>
      <c r="X532" s="466" t="s">
        <v>669</v>
      </c>
      <c r="Y532" s="467"/>
      <c r="Z532" s="468"/>
      <c r="AA532" s="469" t="s">
        <v>670</v>
      </c>
      <c r="AB532" s="471" t="s">
        <v>671</v>
      </c>
      <c r="AC532" s="473" t="s">
        <v>672</v>
      </c>
      <c r="AD532" s="475" t="s">
        <v>673</v>
      </c>
      <c r="AH532" s="316"/>
    </row>
    <row r="533" spans="1:36" s="4" customFormat="1" ht="30.75" customHeight="1" x14ac:dyDescent="0.25">
      <c r="A533" s="31"/>
      <c r="B533" s="287">
        <f>CATALOGO!B23</f>
        <v>206.06</v>
      </c>
      <c r="C533" s="71"/>
      <c r="D533" s="437" t="str">
        <f>CATALOGO!C23</f>
        <v>CIMIENTO CORRIDO DE 0.20m X 0.60m, CONCRETO 3000 PSI, REFUERZO 3NO3 + ESL NO3 @ 0.20m</v>
      </c>
      <c r="E533" s="437"/>
      <c r="F533" s="437"/>
      <c r="G533" s="437"/>
      <c r="H533" s="71"/>
      <c r="I533" s="287">
        <f>CATALOGO!E23</f>
        <v>19.600000000000001</v>
      </c>
      <c r="J533" s="107"/>
      <c r="K533" s="222" t="str">
        <f>CATALOGO!G23</f>
        <v>ml</v>
      </c>
      <c r="L533" s="71"/>
      <c r="M533" s="71"/>
      <c r="N533" s="102"/>
      <c r="O533" s="37"/>
      <c r="P533" s="317" t="s">
        <v>6</v>
      </c>
      <c r="Q533" s="318" t="s">
        <v>674</v>
      </c>
      <c r="R533"/>
      <c r="S533" s="477" t="s">
        <v>675</v>
      </c>
      <c r="T533" s="477"/>
      <c r="U533" s="316"/>
      <c r="V533" s="316"/>
      <c r="W533" s="465"/>
      <c r="X533" s="319" t="s">
        <v>676</v>
      </c>
      <c r="Y533" s="319" t="s">
        <v>677</v>
      </c>
      <c r="Z533" s="319" t="s">
        <v>678</v>
      </c>
      <c r="AA533" s="470"/>
      <c r="AB533" s="472"/>
      <c r="AC533" s="474"/>
      <c r="AD533" s="476"/>
      <c r="AE533"/>
      <c r="AF533"/>
      <c r="AG533"/>
      <c r="AH533" s="316"/>
    </row>
    <row r="534" spans="1:36" ht="17.25" thickBot="1" x14ac:dyDescent="0.35">
      <c r="P534" s="320" t="s">
        <v>679</v>
      </c>
      <c r="Q534" s="321">
        <v>30</v>
      </c>
      <c r="S534" s="322" t="s">
        <v>680</v>
      </c>
      <c r="T534" s="323">
        <f>I533</f>
        <v>19.600000000000001</v>
      </c>
      <c r="U534" s="316"/>
      <c r="V534" s="316"/>
      <c r="W534" s="324">
        <v>1</v>
      </c>
      <c r="X534" s="325">
        <v>1</v>
      </c>
      <c r="Y534" s="325">
        <v>1.5</v>
      </c>
      <c r="Z534" s="325">
        <v>1.5</v>
      </c>
      <c r="AA534" s="326">
        <v>303</v>
      </c>
      <c r="AB534" s="327">
        <v>12.6</v>
      </c>
      <c r="AC534" s="327">
        <v>0.53</v>
      </c>
      <c r="AD534" s="328">
        <v>0.55000000000000004</v>
      </c>
      <c r="AH534" s="316"/>
    </row>
    <row r="535" spans="1:36" ht="17.25" thickBot="1" x14ac:dyDescent="0.35">
      <c r="B535" s="108" t="s">
        <v>4</v>
      </c>
      <c r="C535" s="413" t="s">
        <v>5</v>
      </c>
      <c r="D535" s="413"/>
      <c r="E535" s="413"/>
      <c r="F535" s="413"/>
      <c r="G535" s="414"/>
      <c r="P535" s="320" t="s">
        <v>681</v>
      </c>
      <c r="Q535" s="321">
        <v>13</v>
      </c>
      <c r="S535" s="322" t="s">
        <v>682</v>
      </c>
      <c r="T535" s="329">
        <v>0.6</v>
      </c>
      <c r="U535" s="316"/>
      <c r="V535" s="316"/>
      <c r="W535" s="324"/>
      <c r="X535" s="325"/>
      <c r="Y535" s="325"/>
      <c r="Z535" s="325"/>
      <c r="AA535" s="326">
        <v>281</v>
      </c>
      <c r="AB535" s="327">
        <v>11.7</v>
      </c>
      <c r="AC535" s="327">
        <v>0.5</v>
      </c>
      <c r="AD535" s="328">
        <v>0.61</v>
      </c>
      <c r="AH535" s="316"/>
    </row>
    <row r="536" spans="1:36" x14ac:dyDescent="0.3">
      <c r="B536" s="109" t="s">
        <v>6</v>
      </c>
      <c r="C536" s="424" t="s">
        <v>1</v>
      </c>
      <c r="D536" s="425"/>
      <c r="E536" s="110" t="s">
        <v>192</v>
      </c>
      <c r="F536" s="111" t="s">
        <v>2</v>
      </c>
      <c r="G536" s="112" t="s">
        <v>3</v>
      </c>
      <c r="H536" s="104"/>
      <c r="I536" s="105" t="s">
        <v>7</v>
      </c>
      <c r="J536" s="134"/>
      <c r="K536" s="223" t="s">
        <v>8</v>
      </c>
      <c r="L536" s="113" t="s">
        <v>193</v>
      </c>
      <c r="P536" s="320" t="s">
        <v>683</v>
      </c>
      <c r="Q536" s="321">
        <v>7</v>
      </c>
      <c r="S536" s="330" t="s">
        <v>684</v>
      </c>
      <c r="T536" s="331">
        <v>0.2</v>
      </c>
      <c r="U536" s="316"/>
      <c r="V536" s="316"/>
      <c r="W536" s="324">
        <v>2</v>
      </c>
      <c r="X536" s="325">
        <v>1</v>
      </c>
      <c r="Y536" s="325">
        <v>1.5</v>
      </c>
      <c r="Z536" s="325">
        <v>2</v>
      </c>
      <c r="AA536" s="326">
        <v>270</v>
      </c>
      <c r="AB536" s="327">
        <v>11.3</v>
      </c>
      <c r="AC536" s="327">
        <v>0.48</v>
      </c>
      <c r="AD536" s="328">
        <v>0.64</v>
      </c>
      <c r="AH536" s="316"/>
    </row>
    <row r="537" spans="1:36" ht="17.25" thickBot="1" x14ac:dyDescent="0.35">
      <c r="B537" s="120">
        <v>1</v>
      </c>
      <c r="C537" s="407" t="s">
        <v>168</v>
      </c>
      <c r="D537" s="408"/>
      <c r="E537" s="114">
        <f>T543+T549</f>
        <v>26</v>
      </c>
      <c r="F537" s="83">
        <f>ROUND(E537/I533,2)</f>
        <v>1.33</v>
      </c>
      <c r="G537" s="74" t="str">
        <f>IF(C537=0,0,VLOOKUP(C537,PRECIOSM[],2,FALSE))</f>
        <v>Varilla</v>
      </c>
      <c r="I537" s="115">
        <f>IF(C537=0,0,VLOOKUP(C537,PRECIOSM[],3,FALSE))</f>
        <v>40</v>
      </c>
      <c r="K537" s="84">
        <f>+F537*I537</f>
        <v>53.2</v>
      </c>
      <c r="L537" s="116">
        <f>E537*I537</f>
        <v>1040</v>
      </c>
      <c r="P537" s="332" t="s">
        <v>685</v>
      </c>
      <c r="Q537" s="333">
        <v>4</v>
      </c>
      <c r="S537" s="334" t="s">
        <v>686</v>
      </c>
      <c r="T537" s="331">
        <v>7.4999999999999997E-2</v>
      </c>
      <c r="U537" s="316"/>
      <c r="V537" s="316"/>
      <c r="W537" s="324">
        <v>3</v>
      </c>
      <c r="X537" s="325">
        <v>1</v>
      </c>
      <c r="Y537" s="325">
        <v>1.5</v>
      </c>
      <c r="Z537" s="325">
        <v>2.5</v>
      </c>
      <c r="AA537" s="326">
        <v>245</v>
      </c>
      <c r="AB537" s="327">
        <v>10.1</v>
      </c>
      <c r="AC537" s="327">
        <v>0.43</v>
      </c>
      <c r="AD537" s="328">
        <v>0.71</v>
      </c>
      <c r="AH537" s="316"/>
    </row>
    <row r="538" spans="1:36" ht="17.25" thickBot="1" x14ac:dyDescent="0.35">
      <c r="B538" s="120">
        <v>2</v>
      </c>
      <c r="C538" s="407" t="s">
        <v>368</v>
      </c>
      <c r="D538" s="408"/>
      <c r="E538" s="114">
        <f>T550</f>
        <v>6</v>
      </c>
      <c r="F538" s="83">
        <f>ROUND(E538/I533,2)-0.01</f>
        <v>0.3</v>
      </c>
      <c r="G538" s="74" t="str">
        <f>IF(C538=0,0,VLOOKUP(C538,PRECIOSM[],2,FALSE))</f>
        <v>Libra</v>
      </c>
      <c r="I538" s="115">
        <f>IF(C538=0,0,VLOOKUP(C538,PRECIOSM[],3,FALSE))</f>
        <v>8</v>
      </c>
      <c r="K538" s="84">
        <f>+F538*I538</f>
        <v>2.4</v>
      </c>
      <c r="L538" s="116">
        <f>E538*I538</f>
        <v>48</v>
      </c>
      <c r="P538" s="335"/>
      <c r="Q538" s="336"/>
      <c r="S538" s="322" t="s">
        <v>687</v>
      </c>
      <c r="T538" s="331">
        <v>0.8</v>
      </c>
      <c r="U538" s="316"/>
      <c r="V538" s="316"/>
      <c r="W538" s="324">
        <v>4</v>
      </c>
      <c r="X538" s="325">
        <v>1</v>
      </c>
      <c r="Y538" s="325">
        <v>1.5</v>
      </c>
      <c r="Z538" s="325">
        <v>3</v>
      </c>
      <c r="AA538" s="337">
        <v>230</v>
      </c>
      <c r="AB538" s="327">
        <v>9.3000000000000007</v>
      </c>
      <c r="AC538" s="327">
        <v>0.37</v>
      </c>
      <c r="AD538" s="328">
        <v>0.79</v>
      </c>
      <c r="AH538" s="316"/>
    </row>
    <row r="539" spans="1:36" ht="17.25" thickBot="1" x14ac:dyDescent="0.35">
      <c r="B539" s="120">
        <v>3</v>
      </c>
      <c r="C539" s="428" t="s">
        <v>213</v>
      </c>
      <c r="D539" s="429"/>
      <c r="E539" s="114">
        <f>AI547</f>
        <v>28</v>
      </c>
      <c r="F539" s="83">
        <f>ROUND(E539/I533,2)</f>
        <v>1.43</v>
      </c>
      <c r="G539" s="74" t="str">
        <f>IF(C539=0,0,VLOOKUP(C539,PRECIOSM[],2,FALSE))</f>
        <v>Saco</v>
      </c>
      <c r="I539" s="115">
        <f>IF(C539=0,0,VLOOKUP(C539,PRECIOSM[],3,FALSE))</f>
        <v>80</v>
      </c>
      <c r="K539" s="84">
        <f t="shared" ref="K539:K546" si="12">+F539*I539</f>
        <v>114.39999999999999</v>
      </c>
      <c r="L539" s="116">
        <f t="shared" ref="L539:L546" si="13">E539*I539</f>
        <v>2240</v>
      </c>
      <c r="P539"/>
      <c r="S539" s="338" t="s">
        <v>688</v>
      </c>
      <c r="T539" s="339">
        <f>T534*T535*T536</f>
        <v>2.3519999999999999</v>
      </c>
      <c r="U539" s="316"/>
      <c r="V539" s="316"/>
      <c r="W539" s="340">
        <v>5</v>
      </c>
      <c r="X539" s="341">
        <v>1</v>
      </c>
      <c r="Y539" s="341">
        <v>2</v>
      </c>
      <c r="Z539" s="341">
        <v>2</v>
      </c>
      <c r="AA539" s="337">
        <v>217</v>
      </c>
      <c r="AB539" s="342">
        <v>9.8000000000000007</v>
      </c>
      <c r="AC539" s="342">
        <v>0.55000000000000004</v>
      </c>
      <c r="AD539" s="343">
        <v>0.55000000000000004</v>
      </c>
      <c r="AH539" s="316"/>
    </row>
    <row r="540" spans="1:36" x14ac:dyDescent="0.3">
      <c r="B540" s="120">
        <v>4</v>
      </c>
      <c r="C540" s="430" t="s">
        <v>72</v>
      </c>
      <c r="D540" s="429"/>
      <c r="E540" s="114">
        <f>AI548</f>
        <v>2</v>
      </c>
      <c r="F540" s="83">
        <f>ROUND(E540/I533,2)</f>
        <v>0.1</v>
      </c>
      <c r="G540" s="74" t="str">
        <f>IF(C540=0,0,VLOOKUP(C540,PRECIOSM[],2,FALSE))</f>
        <v>m³</v>
      </c>
      <c r="I540" s="115">
        <f>IF(C540=0,0,VLOOKUP(C540,PRECIOSM[],3,FALSE))</f>
        <v>250</v>
      </c>
      <c r="K540" s="84">
        <f t="shared" si="12"/>
        <v>25</v>
      </c>
      <c r="L540" s="116">
        <f t="shared" si="13"/>
        <v>500</v>
      </c>
      <c r="P540"/>
      <c r="S540" s="338" t="s">
        <v>689</v>
      </c>
      <c r="T540" s="344">
        <f>T534*T535*T538*1.3</f>
        <v>12.230399999999999</v>
      </c>
      <c r="U540" s="345"/>
      <c r="V540" s="316"/>
      <c r="W540" s="324">
        <v>6</v>
      </c>
      <c r="X540" s="325">
        <v>1</v>
      </c>
      <c r="Y540" s="325">
        <v>2</v>
      </c>
      <c r="Z540" s="325">
        <v>2.5</v>
      </c>
      <c r="AA540" s="326">
        <v>195</v>
      </c>
      <c r="AB540" s="327">
        <v>9.1</v>
      </c>
      <c r="AC540" s="327">
        <v>0.51</v>
      </c>
      <c r="AD540" s="328">
        <v>0.64</v>
      </c>
      <c r="AH540" s="316"/>
    </row>
    <row r="541" spans="1:36" x14ac:dyDescent="0.3">
      <c r="B541" s="120">
        <v>5</v>
      </c>
      <c r="C541" s="430" t="s">
        <v>229</v>
      </c>
      <c r="D541" s="429"/>
      <c r="E541" s="114">
        <f>AI549</f>
        <v>2</v>
      </c>
      <c r="F541" s="83">
        <f>ROUND(E541/I533,2)</f>
        <v>0.1</v>
      </c>
      <c r="G541" s="74" t="str">
        <f>IF(C541=0,0,VLOOKUP(C541,PRECIOSM[],2,FALSE))</f>
        <v>m³</v>
      </c>
      <c r="I541" s="115">
        <f>IF(C541=0,0,VLOOKUP(C541,PRECIOSM[],3,FALSE))</f>
        <v>250</v>
      </c>
      <c r="K541" s="84">
        <f t="shared" si="12"/>
        <v>25</v>
      </c>
      <c r="L541" s="116">
        <f t="shared" si="13"/>
        <v>500</v>
      </c>
      <c r="P541"/>
      <c r="S541" s="346" t="s">
        <v>690</v>
      </c>
      <c r="T541" s="346"/>
      <c r="U541" s="347"/>
      <c r="V541" s="316"/>
      <c r="W541" s="324">
        <v>7</v>
      </c>
      <c r="X541" s="325">
        <v>1</v>
      </c>
      <c r="Y541" s="325">
        <v>2</v>
      </c>
      <c r="Z541" s="325">
        <v>3</v>
      </c>
      <c r="AA541" s="337">
        <v>165</v>
      </c>
      <c r="AB541" s="327">
        <v>8.4</v>
      </c>
      <c r="AC541" s="327">
        <v>0.47</v>
      </c>
      <c r="AD541" s="328">
        <v>0.71</v>
      </c>
      <c r="AH541" s="316"/>
    </row>
    <row r="542" spans="1:36" ht="17.25" thickBot="1" x14ac:dyDescent="0.35">
      <c r="B542" s="120"/>
      <c r="C542" s="410"/>
      <c r="D542" s="410"/>
      <c r="E542" s="114"/>
      <c r="F542" s="83"/>
      <c r="G542" s="74"/>
      <c r="I542" s="115">
        <f>IF(C542=0,0,VLOOKUP(C542,Tabla1[],3,FALSE))</f>
        <v>0</v>
      </c>
      <c r="K542" s="84">
        <f t="shared" si="12"/>
        <v>0</v>
      </c>
      <c r="L542" s="116">
        <f t="shared" si="13"/>
        <v>0</v>
      </c>
      <c r="P542"/>
      <c r="S542" s="334" t="s">
        <v>691</v>
      </c>
      <c r="T542" s="329" t="s">
        <v>681</v>
      </c>
      <c r="U542" s="316"/>
      <c r="V542" s="316"/>
      <c r="W542" s="324">
        <v>8</v>
      </c>
      <c r="X542" s="325">
        <v>1</v>
      </c>
      <c r="Y542" s="325">
        <v>2</v>
      </c>
      <c r="Z542" s="325">
        <v>3.5</v>
      </c>
      <c r="AA542" s="337">
        <v>164</v>
      </c>
      <c r="AB542" s="327">
        <v>7.8</v>
      </c>
      <c r="AC542" s="327">
        <v>0.44</v>
      </c>
      <c r="AD542" s="328">
        <v>0.76</v>
      </c>
      <c r="AH542" s="316"/>
    </row>
    <row r="543" spans="1:36" x14ac:dyDescent="0.3">
      <c r="B543" s="120"/>
      <c r="C543" s="410"/>
      <c r="D543" s="410"/>
      <c r="E543" s="114"/>
      <c r="F543" s="72"/>
      <c r="G543" s="74"/>
      <c r="I543" s="115">
        <f>IF(C543=0,0,VLOOKUP(C543,Tabla1[],3,FALSE))</f>
        <v>0</v>
      </c>
      <c r="K543" s="84">
        <f t="shared" si="12"/>
        <v>0</v>
      </c>
      <c r="L543" s="116">
        <f t="shared" si="13"/>
        <v>0</v>
      </c>
      <c r="P543"/>
      <c r="S543" s="338" t="s">
        <v>692</v>
      </c>
      <c r="T543" s="348">
        <f>ROUNDUP(T534*3/6*1.3,0)</f>
        <v>13</v>
      </c>
      <c r="U543" s="316"/>
      <c r="V543" s="316"/>
      <c r="W543" s="324">
        <v>9</v>
      </c>
      <c r="X543" s="325">
        <v>1</v>
      </c>
      <c r="Y543" s="325">
        <v>2</v>
      </c>
      <c r="Z543" s="325">
        <v>4</v>
      </c>
      <c r="AA543" s="337">
        <v>140</v>
      </c>
      <c r="AB543" s="327">
        <v>7.3</v>
      </c>
      <c r="AC543" s="327">
        <v>0.41</v>
      </c>
      <c r="AD543" s="328">
        <v>0.82</v>
      </c>
      <c r="AF543" s="349" t="s">
        <v>693</v>
      </c>
      <c r="AG543" s="349"/>
      <c r="AH543" s="316"/>
      <c r="AI543" s="316"/>
      <c r="AJ543" s="316"/>
    </row>
    <row r="544" spans="1:36" x14ac:dyDescent="0.3">
      <c r="B544" s="120"/>
      <c r="C544" s="410"/>
      <c r="D544" s="410"/>
      <c r="E544" s="114"/>
      <c r="F544" s="72"/>
      <c r="G544" s="74"/>
      <c r="I544" s="115">
        <f>IF(C544=0,0,VLOOKUP(C544,Tabla1[],3,FALSE))</f>
        <v>0</v>
      </c>
      <c r="K544" s="84">
        <f t="shared" si="12"/>
        <v>0</v>
      </c>
      <c r="L544" s="116">
        <f t="shared" si="13"/>
        <v>0</v>
      </c>
      <c r="P544"/>
      <c r="S544" s="350" t="s">
        <v>705</v>
      </c>
      <c r="T544" s="351" t="s">
        <v>681</v>
      </c>
      <c r="U544" s="316"/>
      <c r="V544" s="316"/>
      <c r="W544" s="324">
        <v>10</v>
      </c>
      <c r="X544" s="325">
        <v>1</v>
      </c>
      <c r="Y544" s="325">
        <v>2.5</v>
      </c>
      <c r="Z544" s="325">
        <v>2.5</v>
      </c>
      <c r="AA544" s="337">
        <v>156</v>
      </c>
      <c r="AB544" s="327">
        <v>8.3000000000000007</v>
      </c>
      <c r="AC544" s="327">
        <v>0.57999999999999996</v>
      </c>
      <c r="AD544" s="328">
        <v>0.57999999999999996</v>
      </c>
      <c r="AF544" s="352" t="s">
        <v>694</v>
      </c>
      <c r="AG544" s="329">
        <v>217</v>
      </c>
      <c r="AH544" s="353">
        <v>1.2500000000000001E-2</v>
      </c>
      <c r="AI544" s="316"/>
      <c r="AJ544" s="316"/>
    </row>
    <row r="545" spans="2:36" x14ac:dyDescent="0.3">
      <c r="B545" s="120"/>
      <c r="C545" s="410"/>
      <c r="D545" s="410"/>
      <c r="E545" s="114"/>
      <c r="F545" s="72"/>
      <c r="G545" s="74"/>
      <c r="I545" s="115">
        <f>IF(C545=0,0,VLOOKUP(C545,Tabla1[],3,FALSE))</f>
        <v>0</v>
      </c>
      <c r="K545" s="84">
        <f t="shared" si="12"/>
        <v>0</v>
      </c>
      <c r="L545" s="116">
        <f t="shared" si="13"/>
        <v>0</v>
      </c>
      <c r="P545"/>
      <c r="S545" s="354" t="s">
        <v>695</v>
      </c>
      <c r="T545" s="355">
        <v>0.2</v>
      </c>
      <c r="U545" s="316"/>
      <c r="V545" s="316"/>
      <c r="W545" s="324">
        <v>11</v>
      </c>
      <c r="X545" s="325">
        <v>1</v>
      </c>
      <c r="Y545" s="325">
        <v>2.5</v>
      </c>
      <c r="Z545" s="325">
        <v>3</v>
      </c>
      <c r="AA545" s="337">
        <v>147</v>
      </c>
      <c r="AB545" s="327">
        <v>7.6</v>
      </c>
      <c r="AC545" s="327">
        <v>0.54</v>
      </c>
      <c r="AD545" s="328">
        <v>0.65</v>
      </c>
      <c r="AF545" s="356" t="s">
        <v>696</v>
      </c>
      <c r="AG545" s="357">
        <f>AG544/0.07031</f>
        <v>3086.3319584696346</v>
      </c>
      <c r="AH545" s="316"/>
      <c r="AI545" s="316"/>
      <c r="AJ545" s="316"/>
    </row>
    <row r="546" spans="2:36" ht="17.25" thickBot="1" x14ac:dyDescent="0.35">
      <c r="B546" s="120"/>
      <c r="C546" s="410"/>
      <c r="D546" s="410"/>
      <c r="E546" s="114"/>
      <c r="F546" s="72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  <c r="P546"/>
      <c r="S546" s="354" t="s">
        <v>697</v>
      </c>
      <c r="T546" s="358">
        <f>ROUNDUP(T535-(2*T537)+0.25,2)</f>
        <v>0.7</v>
      </c>
      <c r="U546" s="316"/>
      <c r="V546" s="316"/>
      <c r="W546" s="324">
        <v>12</v>
      </c>
      <c r="X546" s="325">
        <v>1</v>
      </c>
      <c r="Y546" s="325">
        <v>2.5</v>
      </c>
      <c r="Z546" s="325">
        <v>3.5</v>
      </c>
      <c r="AA546" s="337">
        <v>132</v>
      </c>
      <c r="AB546" s="327">
        <v>7.2</v>
      </c>
      <c r="AC546" s="327">
        <v>0.51</v>
      </c>
      <c r="AD546" s="328">
        <v>0.71</v>
      </c>
      <c r="AF546" s="352" t="s">
        <v>698</v>
      </c>
      <c r="AG546" s="359">
        <f>T539</f>
        <v>2.3519999999999999</v>
      </c>
      <c r="AH546" s="316">
        <f>AG546*100*AH544</f>
        <v>2.94</v>
      </c>
      <c r="AI546" s="316"/>
      <c r="AJ546" s="374"/>
    </row>
    <row r="547" spans="2:36" ht="17.25" thickBot="1" x14ac:dyDescent="0.35">
      <c r="P547"/>
      <c r="S547" s="354" t="s">
        <v>699</v>
      </c>
      <c r="T547" s="360">
        <f>ROUNDUP((T534/T545)+1,0)</f>
        <v>99</v>
      </c>
      <c r="U547" s="345"/>
      <c r="V547" s="316"/>
      <c r="W547" s="324">
        <v>13</v>
      </c>
      <c r="X547" s="325">
        <v>1</v>
      </c>
      <c r="Y547" s="325">
        <v>2.5</v>
      </c>
      <c r="Z547" s="325">
        <v>4</v>
      </c>
      <c r="AA547" s="337">
        <v>118</v>
      </c>
      <c r="AB547" s="327">
        <v>6.7</v>
      </c>
      <c r="AC547" s="327">
        <v>0.48</v>
      </c>
      <c r="AD547" s="328">
        <v>0.77</v>
      </c>
      <c r="AF547" s="361" t="s">
        <v>700</v>
      </c>
      <c r="AG547" s="362">
        <f>ROUND(((VLOOKUP(AG544,AA534:AD549,2,FALSE))*AG546),2)</f>
        <v>23.05</v>
      </c>
      <c r="AH547" s="316">
        <f>AH544*(100*AG547)</f>
        <v>28.8125</v>
      </c>
      <c r="AI547" s="316">
        <f>ROUNDDOWN(AH547,0)</f>
        <v>28</v>
      </c>
      <c r="AJ547" s="374">
        <f>AI547/(100*AG547)</f>
        <v>1.2147505422993492E-2</v>
      </c>
    </row>
    <row r="548" spans="2:36" ht="17.25" thickBot="1" x14ac:dyDescent="0.35">
      <c r="F548" s="402" t="s">
        <v>9</v>
      </c>
      <c r="G548" s="403"/>
      <c r="H548" s="403"/>
      <c r="I548" s="404"/>
      <c r="K548" s="224">
        <f>+SUM(K537:K546)</f>
        <v>220</v>
      </c>
      <c r="L548" s="117">
        <f>+SUM(L537:L546)</f>
        <v>4328</v>
      </c>
      <c r="P548"/>
      <c r="S548" s="354" t="s">
        <v>701</v>
      </c>
      <c r="T548" s="363">
        <f>ROUNDDOWN(6/T546,0)</f>
        <v>8</v>
      </c>
      <c r="U548" s="364"/>
      <c r="V548" s="316"/>
      <c r="W548" s="324">
        <v>14</v>
      </c>
      <c r="X548" s="325">
        <v>1</v>
      </c>
      <c r="Y548" s="325">
        <v>3</v>
      </c>
      <c r="Z548" s="325">
        <v>4</v>
      </c>
      <c r="AA548" s="337">
        <v>94</v>
      </c>
      <c r="AB548" s="327">
        <v>6.3</v>
      </c>
      <c r="AC548" s="327">
        <v>0.53</v>
      </c>
      <c r="AD548" s="328">
        <v>0.71</v>
      </c>
      <c r="AF548" s="361" t="s">
        <v>702</v>
      </c>
      <c r="AG548" s="365">
        <f>(VLOOKUP(AG544,AA534:AD549,3,FALSE))*AG546</f>
        <v>1.2936000000000001</v>
      </c>
      <c r="AH548" s="316">
        <f>AH544*(100*AG548)</f>
        <v>1.6170000000000002</v>
      </c>
      <c r="AI548" s="316">
        <f>ROUNDUP(AH548,0)</f>
        <v>2</v>
      </c>
      <c r="AJ548" s="374">
        <f>AI548/(100*AG548)</f>
        <v>1.5460729746444031E-2</v>
      </c>
    </row>
    <row r="549" spans="2:36" ht="17.25" thickBot="1" x14ac:dyDescent="0.35">
      <c r="P549"/>
      <c r="S549" s="338" t="s">
        <v>692</v>
      </c>
      <c r="T549" s="366">
        <f>ROUNDUP(T547/T548,0)</f>
        <v>13</v>
      </c>
      <c r="U549" s="316">
        <f>T549*T548</f>
        <v>104</v>
      </c>
      <c r="V549" s="316"/>
      <c r="W549" s="367">
        <v>15</v>
      </c>
      <c r="X549" s="368">
        <v>1</v>
      </c>
      <c r="Y549" s="368">
        <v>3</v>
      </c>
      <c r="Z549" s="368">
        <v>5</v>
      </c>
      <c r="AA549" s="369">
        <v>80</v>
      </c>
      <c r="AB549" s="370">
        <v>5.6</v>
      </c>
      <c r="AC549" s="370">
        <v>0.47</v>
      </c>
      <c r="AD549" s="371">
        <v>0.79</v>
      </c>
      <c r="AF549" s="361" t="s">
        <v>703</v>
      </c>
      <c r="AG549" s="365">
        <f>(VLOOKUP(AG544,AA534:AD549,4,FALSE))*AG546</f>
        <v>1.2936000000000001</v>
      </c>
      <c r="AH549" s="316">
        <f>AH544*(100*AG549)</f>
        <v>1.6170000000000002</v>
      </c>
      <c r="AI549" s="316">
        <f>ROUNDUP(AH549,0)</f>
        <v>2</v>
      </c>
      <c r="AJ549" s="374">
        <f>AI549/(100*AG549)</f>
        <v>1.5460729746444031E-2</v>
      </c>
    </row>
    <row r="550" spans="2:36" ht="17.25" thickBot="1" x14ac:dyDescent="0.35">
      <c r="B550" s="108" t="s">
        <v>10</v>
      </c>
      <c r="C550" s="413" t="s">
        <v>11</v>
      </c>
      <c r="D550" s="413"/>
      <c r="E550" s="413"/>
      <c r="F550" s="413"/>
      <c r="G550" s="414"/>
      <c r="P550" s="372"/>
      <c r="Q550" s="372"/>
      <c r="R550" s="316"/>
      <c r="S550" s="338" t="s">
        <v>704</v>
      </c>
      <c r="T550" s="373">
        <f>ROUNDUP(((T543/((VLOOKUP(T542,P532:Q537,2,FALSE))+(T549/(VLOOKUP(T544,P532:Q537,2,FALSE)))))*5*1.2),0)</f>
        <v>6</v>
      </c>
      <c r="U550" s="316"/>
      <c r="V550" s="316"/>
      <c r="W550" s="316"/>
      <c r="X550" s="316"/>
      <c r="Y550" s="316"/>
      <c r="Z550" s="316"/>
      <c r="AA550" s="316"/>
      <c r="AB550" s="316"/>
      <c r="AC550" s="316"/>
      <c r="AD550" s="316"/>
      <c r="AE550" s="316"/>
      <c r="AF550" s="316"/>
      <c r="AG550" s="316"/>
      <c r="AH550" s="316"/>
    </row>
    <row r="551" spans="2:36" x14ac:dyDescent="0.3">
      <c r="B551" s="112" t="s">
        <v>6</v>
      </c>
      <c r="C551" s="415" t="s">
        <v>1</v>
      </c>
      <c r="D551" s="416"/>
      <c r="E551" s="110" t="s">
        <v>192</v>
      </c>
      <c r="F551" s="118" t="s">
        <v>2</v>
      </c>
      <c r="G551" s="112" t="s">
        <v>3</v>
      </c>
      <c r="H551" s="104"/>
      <c r="I551" s="105" t="s">
        <v>7</v>
      </c>
      <c r="J551" s="134"/>
      <c r="K551" s="105" t="s">
        <v>8</v>
      </c>
      <c r="L551" s="113" t="s">
        <v>193</v>
      </c>
    </row>
    <row r="552" spans="2:36" x14ac:dyDescent="0.3">
      <c r="B552" s="120"/>
      <c r="C552" s="409"/>
      <c r="D552" s="409"/>
      <c r="E552" s="114"/>
      <c r="F552" s="83"/>
      <c r="G552" s="74"/>
      <c r="I552" s="115">
        <v>0</v>
      </c>
      <c r="K552" s="84">
        <v>0</v>
      </c>
      <c r="L552" s="116">
        <f>E552*I552</f>
        <v>0</v>
      </c>
    </row>
    <row r="553" spans="2:36" x14ac:dyDescent="0.3">
      <c r="B553" s="74"/>
      <c r="C553" s="282"/>
      <c r="D553" s="283"/>
      <c r="E553" s="119"/>
      <c r="F553" s="72"/>
      <c r="G553" s="74"/>
      <c r="I553" s="115">
        <f>IF(C553=0,0,VLOOKUP(C553,Tabla3[],3,FALSE))</f>
        <v>0</v>
      </c>
      <c r="K553" s="84">
        <f>+F553*I553</f>
        <v>0</v>
      </c>
      <c r="L553" s="116">
        <f>E553*I553</f>
        <v>0</v>
      </c>
    </row>
    <row r="554" spans="2:36" x14ac:dyDescent="0.3">
      <c r="B554" s="74"/>
      <c r="C554" s="282"/>
      <c r="D554" s="283"/>
      <c r="E554" s="119"/>
      <c r="F554" s="72"/>
      <c r="G554" s="74"/>
      <c r="I554" s="115">
        <f>IF(C554=0,0,VLOOKUP(C554,Tabla3[],3,FALSE))</f>
        <v>0</v>
      </c>
      <c r="K554" s="84">
        <f>+F554*I554</f>
        <v>0</v>
      </c>
      <c r="L554" s="116">
        <f>E554*I554</f>
        <v>0</v>
      </c>
    </row>
    <row r="555" spans="2:36" x14ac:dyDescent="0.3">
      <c r="B555" s="74"/>
      <c r="C555" s="411"/>
      <c r="D555" s="412"/>
      <c r="E555" s="119"/>
      <c r="F555" s="72"/>
      <c r="G555" s="74"/>
      <c r="I555" s="115">
        <f>IF(C555=0,0,VLOOKUP(C555,Tabla3[],3,FALSE))</f>
        <v>0</v>
      </c>
      <c r="K555" s="84">
        <f>+F555*I555</f>
        <v>0</v>
      </c>
      <c r="L555" s="116">
        <f>E555*I555</f>
        <v>0</v>
      </c>
    </row>
    <row r="556" spans="2:36" ht="17.25" thickBot="1" x14ac:dyDescent="0.35"/>
    <row r="557" spans="2:36" ht="17.25" thickBot="1" x14ac:dyDescent="0.35">
      <c r="F557" s="402" t="s">
        <v>12</v>
      </c>
      <c r="G557" s="403"/>
      <c r="H557" s="403"/>
      <c r="I557" s="404"/>
      <c r="K557" s="224">
        <f>+SUM(K552:K555)</f>
        <v>0</v>
      </c>
      <c r="L557" s="117">
        <f>+SUM(L552:L555)</f>
        <v>0</v>
      </c>
    </row>
    <row r="558" spans="2:36" ht="17.25" thickBot="1" x14ac:dyDescent="0.35"/>
    <row r="559" spans="2:36" ht="17.25" thickBot="1" x14ac:dyDescent="0.35">
      <c r="B559" s="108" t="s">
        <v>13</v>
      </c>
      <c r="C559" s="413" t="s">
        <v>14</v>
      </c>
      <c r="D559" s="413"/>
      <c r="E559" s="413"/>
      <c r="F559" s="413"/>
      <c r="G559" s="414"/>
    </row>
    <row r="560" spans="2:36" x14ac:dyDescent="0.3">
      <c r="B560" s="112" t="s">
        <v>6</v>
      </c>
      <c r="C560" s="415" t="s">
        <v>1</v>
      </c>
      <c r="D560" s="416"/>
      <c r="E560" s="110" t="s">
        <v>192</v>
      </c>
      <c r="F560" s="118" t="s">
        <v>2</v>
      </c>
      <c r="G560" s="112" t="s">
        <v>3</v>
      </c>
      <c r="H560" s="104"/>
      <c r="I560" s="105" t="s">
        <v>7</v>
      </c>
      <c r="J560" s="134"/>
      <c r="K560" s="105" t="s">
        <v>8</v>
      </c>
      <c r="L560" s="113" t="s">
        <v>193</v>
      </c>
    </row>
    <row r="561" spans="2:12" x14ac:dyDescent="0.3">
      <c r="B561" s="120">
        <v>1</v>
      </c>
      <c r="C561" s="409" t="s">
        <v>450</v>
      </c>
      <c r="D561" s="409"/>
      <c r="E561" s="114">
        <f>I533</f>
        <v>19.600000000000001</v>
      </c>
      <c r="F561" s="83">
        <f>ROUND(E561/I533,2)</f>
        <v>1</v>
      </c>
      <c r="G561" s="74" t="str">
        <f>IF(C561=0,0,VLOOKUP(C561,Tabla2[],2,FALSE))</f>
        <v>Unidad</v>
      </c>
      <c r="I561" s="115">
        <f>IF(C561=0,0,VLOOKUP(C561,Tabla2[],3,FALSE))</f>
        <v>75</v>
      </c>
      <c r="K561" s="84">
        <f>+F561*I561</f>
        <v>75</v>
      </c>
      <c r="L561" s="116">
        <f>E561*I561</f>
        <v>1470</v>
      </c>
    </row>
    <row r="562" spans="2:12" x14ac:dyDescent="0.3">
      <c r="B562" s="120"/>
      <c r="C562" s="409"/>
      <c r="D562" s="409"/>
      <c r="E562" s="114"/>
      <c r="F562" s="83"/>
      <c r="G562" s="74"/>
      <c r="I562" s="115">
        <f>IF(C562=0,0,VLOOKUP(C562,Tabla2[],3,FALSE))</f>
        <v>0</v>
      </c>
      <c r="K562" s="84">
        <f>+F562*I562</f>
        <v>0</v>
      </c>
      <c r="L562" s="116">
        <f>E562*I562</f>
        <v>0</v>
      </c>
    </row>
    <row r="563" spans="2:12" ht="17.25" thickBot="1" x14ac:dyDescent="0.35">
      <c r="B563" s="121"/>
      <c r="C563" s="417"/>
      <c r="D563" s="418"/>
      <c r="E563" s="122"/>
      <c r="F563" s="123"/>
      <c r="G563" s="74"/>
      <c r="I563" s="115">
        <f>IF(C563=0,0,VLOOKUP(C563,Tabla2[],3,FALSE))</f>
        <v>0</v>
      </c>
      <c r="K563" s="84">
        <f>+F563*I563</f>
        <v>0</v>
      </c>
      <c r="L563" s="116">
        <f>E563*I563</f>
        <v>0</v>
      </c>
    </row>
    <row r="564" spans="2:12" ht="17.25" thickBot="1" x14ac:dyDescent="0.35">
      <c r="B564" s="419" t="s">
        <v>15</v>
      </c>
      <c r="C564" s="420"/>
      <c r="D564" s="420"/>
      <c r="E564" s="420"/>
      <c r="F564" s="420"/>
      <c r="G564" s="421"/>
      <c r="I564" s="84">
        <v>0</v>
      </c>
      <c r="K564" s="84">
        <v>0</v>
      </c>
      <c r="L564" s="116">
        <f>E564*I564</f>
        <v>0</v>
      </c>
    </row>
    <row r="565" spans="2:12" ht="17.25" thickBot="1" x14ac:dyDescent="0.35"/>
    <row r="566" spans="2:12" ht="17.25" thickBot="1" x14ac:dyDescent="0.35">
      <c r="F566" s="402" t="s">
        <v>16</v>
      </c>
      <c r="G566" s="403"/>
      <c r="H566" s="403"/>
      <c r="I566" s="404"/>
      <c r="K566" s="224">
        <f>+SUM(K561:K564)</f>
        <v>75</v>
      </c>
      <c r="L566" s="117">
        <f>+SUM(L561:L564)</f>
        <v>1470</v>
      </c>
    </row>
    <row r="567" spans="2:12" ht="17.25" thickBot="1" x14ac:dyDescent="0.35"/>
    <row r="568" spans="2:12" ht="17.25" thickBot="1" x14ac:dyDescent="0.35">
      <c r="B568" s="108" t="s">
        <v>17</v>
      </c>
      <c r="C568" s="413" t="s">
        <v>18</v>
      </c>
      <c r="D568" s="413"/>
      <c r="E568" s="413"/>
      <c r="F568" s="413"/>
      <c r="G568" s="414"/>
    </row>
    <row r="569" spans="2:12" x14ac:dyDescent="0.3">
      <c r="B569" s="112" t="s">
        <v>6</v>
      </c>
      <c r="C569" s="415" t="s">
        <v>1</v>
      </c>
      <c r="D569" s="416"/>
      <c r="E569" s="124"/>
      <c r="F569" s="118" t="s">
        <v>2</v>
      </c>
      <c r="G569" s="112" t="s">
        <v>3</v>
      </c>
      <c r="H569" s="104"/>
      <c r="I569" s="105" t="s">
        <v>7</v>
      </c>
      <c r="J569" s="134"/>
      <c r="K569" s="105" t="s">
        <v>8</v>
      </c>
      <c r="L569" s="113" t="s">
        <v>193</v>
      </c>
    </row>
    <row r="570" spans="2:12" x14ac:dyDescent="0.3">
      <c r="B570" s="74"/>
      <c r="C570" s="411"/>
      <c r="D570" s="412"/>
      <c r="E570" s="125"/>
      <c r="F570" s="72"/>
      <c r="G570" s="74"/>
      <c r="I570" s="84">
        <v>0</v>
      </c>
      <c r="K570" s="84">
        <f>+F570*I570</f>
        <v>0</v>
      </c>
      <c r="L570" s="116">
        <f>E570*I570</f>
        <v>0</v>
      </c>
    </row>
    <row r="571" spans="2:12" x14ac:dyDescent="0.3">
      <c r="B571" s="74"/>
      <c r="C571" s="411"/>
      <c r="D571" s="412"/>
      <c r="E571" s="125"/>
      <c r="F571" s="72"/>
      <c r="G571" s="74"/>
      <c r="I571" s="84">
        <v>0</v>
      </c>
      <c r="K571" s="84">
        <f>+F571*I571</f>
        <v>0</v>
      </c>
      <c r="L571" s="116">
        <f>E571*I571</f>
        <v>0</v>
      </c>
    </row>
    <row r="572" spans="2:12" x14ac:dyDescent="0.3">
      <c r="B572" s="74"/>
      <c r="C572" s="411"/>
      <c r="D572" s="412"/>
      <c r="E572" s="125"/>
      <c r="F572" s="72"/>
      <c r="G572" s="74"/>
      <c r="I572" s="84">
        <v>0</v>
      </c>
      <c r="K572" s="84">
        <f>+F572*I572</f>
        <v>0</v>
      </c>
      <c r="L572" s="116">
        <f>E572*I572</f>
        <v>0</v>
      </c>
    </row>
    <row r="573" spans="2:12" ht="17.25" thickBot="1" x14ac:dyDescent="0.35">
      <c r="L573" s="116"/>
    </row>
    <row r="574" spans="2:12" ht="17.25" thickBot="1" x14ac:dyDescent="0.35">
      <c r="F574" s="402" t="s">
        <v>19</v>
      </c>
      <c r="G574" s="403"/>
      <c r="H574" s="403"/>
      <c r="I574" s="404"/>
      <c r="K574" s="224">
        <f>+SUM(K570:K572)</f>
        <v>0</v>
      </c>
      <c r="L574" s="117">
        <f>+SUM(L569:L572)</f>
        <v>0</v>
      </c>
    </row>
    <row r="575" spans="2:12" ht="15" customHeight="1" x14ac:dyDescent="0.3">
      <c r="F575" s="126"/>
      <c r="G575" s="280"/>
      <c r="H575" s="128"/>
      <c r="I575" s="106"/>
      <c r="K575" s="225"/>
    </row>
    <row r="576" spans="2:12" ht="15" customHeight="1" thickBot="1" x14ac:dyDescent="0.35"/>
    <row r="577" spans="1:18" ht="17.25" thickBot="1" x14ac:dyDescent="0.35">
      <c r="F577" s="402" t="s">
        <v>20</v>
      </c>
      <c r="G577" s="403"/>
      <c r="H577" s="403"/>
      <c r="I577" s="404"/>
      <c r="K577" s="224">
        <f>(+K548+K557+K566+K574)</f>
        <v>295</v>
      </c>
      <c r="L577" s="117">
        <f>(+L548+L557+L566+L574)</f>
        <v>5798</v>
      </c>
      <c r="N577" s="129"/>
      <c r="O577" s="39"/>
      <c r="P577" s="40"/>
    </row>
    <row r="578" spans="1:18" ht="7.5" customHeight="1" thickBot="1" x14ac:dyDescent="0.35">
      <c r="N578" s="129"/>
      <c r="O578" s="41"/>
      <c r="P578" s="40"/>
    </row>
    <row r="579" spans="1:18" ht="17.25" thickBot="1" x14ac:dyDescent="0.35">
      <c r="F579" s="402" t="s">
        <v>21</v>
      </c>
      <c r="G579" s="403"/>
      <c r="H579" s="403"/>
      <c r="I579" s="404"/>
      <c r="K579" s="224">
        <f>K577*$N$2</f>
        <v>118</v>
      </c>
      <c r="L579" s="117">
        <f>L577*$N$2</f>
        <v>2319.2000000000003</v>
      </c>
    </row>
    <row r="580" spans="1:18" ht="7.5" customHeight="1" thickBot="1" x14ac:dyDescent="0.35"/>
    <row r="581" spans="1:18" ht="17.25" thickBot="1" x14ac:dyDescent="0.35">
      <c r="F581" s="402" t="s">
        <v>22</v>
      </c>
      <c r="G581" s="403"/>
      <c r="H581" s="403"/>
      <c r="I581" s="404"/>
      <c r="K581" s="224">
        <f>+K577+K579</f>
        <v>413</v>
      </c>
      <c r="L581" s="117">
        <f>+L577+L579</f>
        <v>8117.2000000000007</v>
      </c>
    </row>
    <row r="582" spans="1:18" ht="17.25" thickBot="1" x14ac:dyDescent="0.35">
      <c r="F582" s="126"/>
      <c r="G582" s="280"/>
      <c r="H582" s="128"/>
      <c r="I582" s="106"/>
      <c r="K582" s="226"/>
      <c r="L582" s="130">
        <f>L581/I533</f>
        <v>414.14285714285717</v>
      </c>
      <c r="M582" s="131">
        <f>(K581-L582)*I533</f>
        <v>-22.400000000000478</v>
      </c>
    </row>
    <row r="583" spans="1:18" x14ac:dyDescent="0.3">
      <c r="F583" s="126"/>
      <c r="G583" s="280"/>
      <c r="H583" s="128"/>
      <c r="I583" s="106"/>
      <c r="K583" s="227"/>
      <c r="L583" s="129"/>
      <c r="M583" s="132"/>
      <c r="N583" s="133"/>
    </row>
    <row r="584" spans="1:18" ht="17.25" thickBot="1" x14ac:dyDescent="0.35">
      <c r="B584" s="405"/>
      <c r="C584" s="405"/>
      <c r="D584" s="405"/>
    </row>
    <row r="585" spans="1:18" x14ac:dyDescent="0.3">
      <c r="B585" s="406" t="s">
        <v>23</v>
      </c>
      <c r="C585" s="406"/>
      <c r="D585" s="406"/>
    </row>
    <row r="586" spans="1:18" x14ac:dyDescent="0.3">
      <c r="B586" s="281"/>
      <c r="C586" s="281"/>
      <c r="D586" s="281"/>
    </row>
    <row r="587" spans="1:18" x14ac:dyDescent="0.3">
      <c r="B587" s="281"/>
      <c r="C587" s="281"/>
      <c r="D587" s="281"/>
    </row>
    <row r="588" spans="1:18" ht="15.75" x14ac:dyDescent="0.25">
      <c r="B588" s="103" t="s">
        <v>43</v>
      </c>
      <c r="C588" s="104"/>
      <c r="D588" s="422" t="s">
        <v>1</v>
      </c>
      <c r="E588" s="422"/>
      <c r="F588" s="422"/>
      <c r="G588" s="422"/>
      <c r="H588" s="104"/>
      <c r="I588" s="105" t="s">
        <v>2</v>
      </c>
      <c r="J588" s="134"/>
      <c r="K588" s="105" t="s">
        <v>3</v>
      </c>
      <c r="O588" s="372"/>
      <c r="P588" s="478" t="s">
        <v>711</v>
      </c>
      <c r="Q588" s="478"/>
      <c r="R588" s="316"/>
    </row>
    <row r="589" spans="1:18" s="4" customFormat="1" ht="30.75" customHeight="1" x14ac:dyDescent="0.25">
      <c r="A589" s="31"/>
      <c r="B589" s="287">
        <f>CATALOGO!B25</f>
        <v>210.06</v>
      </c>
      <c r="C589" s="71"/>
      <c r="D589" s="437" t="str">
        <f>CATALOGO!C25</f>
        <v>LEVANTADO DE MURO DE CIMENTACIÓN CON BLOCK TIPO B (50 Kg/cm², 0.14 x 0.19 x 0.39 m). HASTA SOLERA DE HUMEDAD</v>
      </c>
      <c r="E589" s="437"/>
      <c r="F589" s="437"/>
      <c r="G589" s="437"/>
      <c r="H589" s="71"/>
      <c r="I589" s="287">
        <f>CATALOGO!E25</f>
        <v>8.4</v>
      </c>
      <c r="J589" s="107"/>
      <c r="K589" s="222" t="str">
        <f>CATALOGO!G25</f>
        <v>m²</v>
      </c>
      <c r="L589" s="71"/>
      <c r="M589" s="71"/>
      <c r="N589" s="102"/>
      <c r="O589" s="372"/>
      <c r="P589" s="382"/>
      <c r="Q589" s="382"/>
      <c r="R589" s="316"/>
    </row>
    <row r="590" spans="1:18" thickBot="1" x14ac:dyDescent="0.3">
      <c r="O590" s="372"/>
      <c r="P590" s="383" t="s">
        <v>708</v>
      </c>
      <c r="Q590" s="329">
        <f>ROUNDUP(I589*13,0)</f>
        <v>110</v>
      </c>
      <c r="R590" s="316">
        <v>115</v>
      </c>
    </row>
    <row r="591" spans="1:18" thickBot="1" x14ac:dyDescent="0.3">
      <c r="B591" s="108" t="s">
        <v>4</v>
      </c>
      <c r="C591" s="413" t="s">
        <v>5</v>
      </c>
      <c r="D591" s="413"/>
      <c r="E591" s="413"/>
      <c r="F591" s="413"/>
      <c r="G591" s="414"/>
      <c r="O591" s="372"/>
      <c r="P591" s="383" t="s">
        <v>709</v>
      </c>
      <c r="Q591" s="384">
        <v>0.6</v>
      </c>
      <c r="R591" s="316"/>
    </row>
    <row r="592" spans="1:18" ht="15.75" x14ac:dyDescent="0.25">
      <c r="B592" s="109" t="s">
        <v>6</v>
      </c>
      <c r="C592" s="424" t="s">
        <v>1</v>
      </c>
      <c r="D592" s="425"/>
      <c r="E592" s="110" t="s">
        <v>192</v>
      </c>
      <c r="F592" s="111" t="s">
        <v>2</v>
      </c>
      <c r="G592" s="112" t="s">
        <v>3</v>
      </c>
      <c r="H592" s="104"/>
      <c r="I592" s="105" t="s">
        <v>7</v>
      </c>
      <c r="J592" s="134"/>
      <c r="K592" s="223" t="s">
        <v>8</v>
      </c>
      <c r="L592" s="113" t="s">
        <v>193</v>
      </c>
      <c r="O592" s="372"/>
      <c r="P592" s="372" t="s">
        <v>710</v>
      </c>
      <c r="Q592" s="384">
        <v>0.14000000000000001</v>
      </c>
      <c r="R592" s="372"/>
    </row>
    <row r="593" spans="2:18" thickBot="1" x14ac:dyDescent="0.3">
      <c r="B593" s="120">
        <v>1</v>
      </c>
      <c r="C593" s="407" t="s">
        <v>212</v>
      </c>
      <c r="D593" s="408"/>
      <c r="E593" s="114">
        <f>R590</f>
        <v>115</v>
      </c>
      <c r="F593" s="83">
        <f>ROUND(E593/I589,2)-0.69</f>
        <v>13</v>
      </c>
      <c r="G593" s="74" t="str">
        <f>IF(C593=0,0,VLOOKUP(C593,PRECIOSM[],2,FALSE))</f>
        <v>Unidad</v>
      </c>
      <c r="I593" s="115">
        <f>IF(C593=0,0,VLOOKUP(C593,PRECIOSM[],3,FALSE))</f>
        <v>8</v>
      </c>
      <c r="K593" s="84">
        <f>+F593*I593</f>
        <v>104</v>
      </c>
      <c r="L593" s="116">
        <f>E593*I593</f>
        <v>920</v>
      </c>
      <c r="O593" s="372"/>
      <c r="P593" s="383" t="s">
        <v>698</v>
      </c>
      <c r="Q593" s="384">
        <f>Q590*Q591*Q592*0.015</f>
        <v>0.1386</v>
      </c>
      <c r="R593" s="316"/>
    </row>
    <row r="594" spans="2:18" thickBot="1" x14ac:dyDescent="0.3">
      <c r="B594" s="120">
        <v>2</v>
      </c>
      <c r="C594" s="428" t="s">
        <v>213</v>
      </c>
      <c r="D594" s="429"/>
      <c r="E594" s="114">
        <f>R594</f>
        <v>2</v>
      </c>
      <c r="F594" s="83">
        <f>ROUND(E594/I589,2)+0.01</f>
        <v>0.25</v>
      </c>
      <c r="G594" s="74" t="str">
        <f>IF(C594=0,0,VLOOKUP(C594,PRECIOSM[],2,FALSE))</f>
        <v>Saco</v>
      </c>
      <c r="I594" s="115">
        <f>IF(C594=0,0,VLOOKUP(C594,PRECIOSM[],3,FALSE))</f>
        <v>80</v>
      </c>
      <c r="K594" s="84">
        <f t="shared" ref="K594:K600" si="14">+F594*I594</f>
        <v>20</v>
      </c>
      <c r="L594" s="116">
        <f t="shared" ref="L594:L600" si="15">E594*I594</f>
        <v>160</v>
      </c>
      <c r="O594" s="385">
        <f>(R594/Q594)/100</f>
        <v>1.3986013986013988E-2</v>
      </c>
      <c r="P594" s="386" t="s">
        <v>700</v>
      </c>
      <c r="Q594" s="362">
        <f>ROUND(Q593*9*1.15,2)</f>
        <v>1.43</v>
      </c>
      <c r="R594" s="316">
        <f>ROUNDUP(Q594,0)</f>
        <v>2</v>
      </c>
    </row>
    <row r="595" spans="2:18" thickBot="1" x14ac:dyDescent="0.3">
      <c r="B595" s="120">
        <v>3</v>
      </c>
      <c r="C595" s="430" t="s">
        <v>72</v>
      </c>
      <c r="D595" s="429"/>
      <c r="E595" s="114">
        <f>R595</f>
        <v>0.2</v>
      </c>
      <c r="F595" s="83">
        <f>ROUND(E595/I589,2)</f>
        <v>0.02</v>
      </c>
      <c r="G595" s="74" t="str">
        <f>IF(C595=0,0,VLOOKUP(C595,PRECIOSM[],2,FALSE))</f>
        <v>m³</v>
      </c>
      <c r="I595" s="115">
        <f>IF(C595=0,0,VLOOKUP(C595,PRECIOSM[],3,FALSE))</f>
        <v>250</v>
      </c>
      <c r="K595" s="84">
        <f t="shared" si="14"/>
        <v>5</v>
      </c>
      <c r="L595" s="116">
        <f t="shared" si="15"/>
        <v>50</v>
      </c>
      <c r="O595" s="385">
        <f>(R595/Q595)/100</f>
        <v>1.4285714285714285E-2</v>
      </c>
      <c r="P595" s="386" t="s">
        <v>702</v>
      </c>
      <c r="Q595" s="362">
        <f>ROUND(Q593*0.65*1.5,2)</f>
        <v>0.14000000000000001</v>
      </c>
      <c r="R595" s="316">
        <f>ROUNDUP(Q595,1)</f>
        <v>0.2</v>
      </c>
    </row>
    <row r="596" spans="2:18" x14ac:dyDescent="0.3">
      <c r="B596" s="120"/>
      <c r="C596" s="410"/>
      <c r="D596" s="410"/>
      <c r="E596" s="114"/>
      <c r="F596" s="83"/>
      <c r="G596" s="74"/>
      <c r="I596" s="115">
        <f>IF(C596=0,0,VLOOKUP(C596,Tabla1[],3,FALSE))</f>
        <v>0</v>
      </c>
      <c r="K596" s="84">
        <f t="shared" si="14"/>
        <v>0</v>
      </c>
      <c r="L596" s="116">
        <f t="shared" si="15"/>
        <v>0</v>
      </c>
    </row>
    <row r="597" spans="2:18" x14ac:dyDescent="0.3">
      <c r="B597" s="120"/>
      <c r="C597" s="410"/>
      <c r="D597" s="410"/>
      <c r="E597" s="114"/>
      <c r="F597" s="72"/>
      <c r="G597" s="74"/>
      <c r="I597" s="115">
        <f>IF(C597=0,0,VLOOKUP(C597,Tabla1[],3,FALSE))</f>
        <v>0</v>
      </c>
      <c r="K597" s="84">
        <f t="shared" si="14"/>
        <v>0</v>
      </c>
      <c r="L597" s="116">
        <f t="shared" si="15"/>
        <v>0</v>
      </c>
    </row>
    <row r="598" spans="2:18" x14ac:dyDescent="0.3">
      <c r="B598" s="120"/>
      <c r="C598" s="410"/>
      <c r="D598" s="410"/>
      <c r="E598" s="114"/>
      <c r="F598" s="72"/>
      <c r="G598" s="74"/>
      <c r="I598" s="115">
        <f>IF(C598=0,0,VLOOKUP(C598,Tabla1[],3,FALSE))</f>
        <v>0</v>
      </c>
      <c r="K598" s="84">
        <f t="shared" si="14"/>
        <v>0</v>
      </c>
      <c r="L598" s="116">
        <f t="shared" si="15"/>
        <v>0</v>
      </c>
    </row>
    <row r="599" spans="2:18" x14ac:dyDescent="0.3">
      <c r="B599" s="120"/>
      <c r="C599" s="410"/>
      <c r="D599" s="410"/>
      <c r="E599" s="114"/>
      <c r="F599" s="72"/>
      <c r="G599" s="74"/>
      <c r="I599" s="115">
        <f>IF(C599=0,0,VLOOKUP(C599,Tabla1[],3,FALSE))</f>
        <v>0</v>
      </c>
      <c r="K599" s="84">
        <f t="shared" si="14"/>
        <v>0</v>
      </c>
      <c r="L599" s="116">
        <f t="shared" si="15"/>
        <v>0</v>
      </c>
    </row>
    <row r="600" spans="2:18" x14ac:dyDescent="0.3">
      <c r="B600" s="120"/>
      <c r="C600" s="410"/>
      <c r="D600" s="410"/>
      <c r="E600" s="114"/>
      <c r="F600" s="72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2:18" ht="17.25" thickBot="1" x14ac:dyDescent="0.35"/>
    <row r="602" spans="2:18" ht="17.25" thickBot="1" x14ac:dyDescent="0.35">
      <c r="F602" s="402" t="s">
        <v>9</v>
      </c>
      <c r="G602" s="403"/>
      <c r="H602" s="403"/>
      <c r="I602" s="404"/>
      <c r="K602" s="224">
        <f>+SUM(K593:K600)</f>
        <v>129</v>
      </c>
      <c r="L602" s="117">
        <f>+SUM(L593:L600)</f>
        <v>1130</v>
      </c>
    </row>
    <row r="603" spans="2:18" ht="17.25" thickBot="1" x14ac:dyDescent="0.35"/>
    <row r="604" spans="2:18" ht="17.25" thickBot="1" x14ac:dyDescent="0.35">
      <c r="B604" s="108" t="s">
        <v>10</v>
      </c>
      <c r="C604" s="413" t="s">
        <v>11</v>
      </c>
      <c r="D604" s="413"/>
      <c r="E604" s="413"/>
      <c r="F604" s="413"/>
      <c r="G604" s="414"/>
    </row>
    <row r="605" spans="2:18" x14ac:dyDescent="0.3">
      <c r="B605" s="112" t="s">
        <v>6</v>
      </c>
      <c r="C605" s="415" t="s">
        <v>1</v>
      </c>
      <c r="D605" s="416"/>
      <c r="E605" s="110" t="s">
        <v>192</v>
      </c>
      <c r="F605" s="118" t="s">
        <v>2</v>
      </c>
      <c r="G605" s="112" t="s">
        <v>3</v>
      </c>
      <c r="H605" s="104"/>
      <c r="I605" s="105" t="s">
        <v>7</v>
      </c>
      <c r="J605" s="134"/>
      <c r="K605" s="105" t="s">
        <v>8</v>
      </c>
      <c r="L605" s="113" t="s">
        <v>193</v>
      </c>
    </row>
    <row r="606" spans="2:18" x14ac:dyDescent="0.3">
      <c r="B606" s="120"/>
      <c r="C606" s="409"/>
      <c r="D606" s="409"/>
      <c r="E606" s="114"/>
      <c r="F606" s="83"/>
      <c r="G606" s="74"/>
      <c r="I606" s="115">
        <f>IF(C606=0,0,VLOOKUP(C606,Tabla3[],3,FALSE))</f>
        <v>0</v>
      </c>
      <c r="K606" s="84">
        <f>+F606*I606</f>
        <v>0</v>
      </c>
      <c r="L606" s="116">
        <f>E606*I606</f>
        <v>0</v>
      </c>
    </row>
    <row r="607" spans="2:18" x14ac:dyDescent="0.3">
      <c r="B607" s="74"/>
      <c r="C607" s="282"/>
      <c r="D607" s="283"/>
      <c r="E607" s="119"/>
      <c r="F607" s="72"/>
      <c r="G607" s="74"/>
      <c r="I607" s="115">
        <f>IF(C607=0,0,VLOOKUP(C607,Tabla3[],3,FALSE))</f>
        <v>0</v>
      </c>
      <c r="K607" s="84">
        <f>+F607*I607</f>
        <v>0</v>
      </c>
      <c r="L607" s="116">
        <f>E607*I607</f>
        <v>0</v>
      </c>
    </row>
    <row r="608" spans="2:18" x14ac:dyDescent="0.3">
      <c r="B608" s="74"/>
      <c r="C608" s="282"/>
      <c r="D608" s="283"/>
      <c r="E608" s="119"/>
      <c r="F608" s="72"/>
      <c r="G608" s="74"/>
      <c r="I608" s="115">
        <f>IF(C608=0,0,VLOOKUP(C608,Tabla3[],3,FALSE))</f>
        <v>0</v>
      </c>
      <c r="K608" s="84">
        <f>+F608*I608</f>
        <v>0</v>
      </c>
      <c r="L608" s="116">
        <f>E608*I608</f>
        <v>0</v>
      </c>
    </row>
    <row r="609" spans="2:12" x14ac:dyDescent="0.3">
      <c r="B609" s="74"/>
      <c r="C609" s="411"/>
      <c r="D609" s="412"/>
      <c r="E609" s="119"/>
      <c r="F609" s="72"/>
      <c r="G609" s="74"/>
      <c r="I609" s="115">
        <f>IF(C609=0,0,VLOOKUP(C609,Tabla3[],3,FALSE))</f>
        <v>0</v>
      </c>
      <c r="K609" s="84">
        <f>+F609*I609</f>
        <v>0</v>
      </c>
      <c r="L609" s="116">
        <f>E609*I609</f>
        <v>0</v>
      </c>
    </row>
    <row r="610" spans="2:12" ht="17.25" thickBot="1" x14ac:dyDescent="0.35"/>
    <row r="611" spans="2:12" ht="17.25" thickBot="1" x14ac:dyDescent="0.35">
      <c r="F611" s="402" t="s">
        <v>12</v>
      </c>
      <c r="G611" s="403"/>
      <c r="H611" s="403"/>
      <c r="I611" s="404"/>
      <c r="K611" s="224">
        <f>+SUM(K606:K609)</f>
        <v>0</v>
      </c>
      <c r="L611" s="117">
        <f>+SUM(L606:L609)</f>
        <v>0</v>
      </c>
    </row>
    <row r="612" spans="2:12" ht="17.25" thickBot="1" x14ac:dyDescent="0.35"/>
    <row r="613" spans="2:12" ht="17.25" thickBot="1" x14ac:dyDescent="0.35">
      <c r="B613" s="108" t="s">
        <v>13</v>
      </c>
      <c r="C613" s="413" t="s">
        <v>14</v>
      </c>
      <c r="D613" s="413"/>
      <c r="E613" s="413"/>
      <c r="F613" s="413"/>
      <c r="G613" s="414"/>
    </row>
    <row r="614" spans="2:12" x14ac:dyDescent="0.3">
      <c r="B614" s="112" t="s">
        <v>6</v>
      </c>
      <c r="C614" s="415" t="s">
        <v>1</v>
      </c>
      <c r="D614" s="416"/>
      <c r="E614" s="110" t="s">
        <v>192</v>
      </c>
      <c r="F614" s="118" t="s">
        <v>2</v>
      </c>
      <c r="G614" s="112" t="s">
        <v>3</v>
      </c>
      <c r="H614" s="104"/>
      <c r="I614" s="105" t="s">
        <v>7</v>
      </c>
      <c r="J614" s="134"/>
      <c r="K614" s="105" t="s">
        <v>8</v>
      </c>
      <c r="L614" s="113" t="s">
        <v>193</v>
      </c>
    </row>
    <row r="615" spans="2:12" x14ac:dyDescent="0.3">
      <c r="B615" s="120">
        <v>1</v>
      </c>
      <c r="C615" s="409" t="s">
        <v>712</v>
      </c>
      <c r="D615" s="409"/>
      <c r="E615" s="114">
        <f>I589</f>
        <v>8.4</v>
      </c>
      <c r="F615" s="83">
        <f>ROUND(E615/I589,2)</f>
        <v>1</v>
      </c>
      <c r="G615" s="74" t="str">
        <f>IF(C615=0,0,VLOOKUP(C615,PRECIOSMO[],2,FALSE))</f>
        <v>m²</v>
      </c>
      <c r="I615" s="115">
        <f>IF(C615=0,0,VLOOKUP(C615,PRECIOSMO[],3,FALSE))</f>
        <v>110</v>
      </c>
      <c r="K615" s="84">
        <f>+F615*I615</f>
        <v>110</v>
      </c>
      <c r="L615" s="116">
        <f>E615*I615</f>
        <v>924</v>
      </c>
    </row>
    <row r="616" spans="2:12" x14ac:dyDescent="0.3">
      <c r="B616" s="120"/>
      <c r="C616" s="409"/>
      <c r="D616" s="409"/>
      <c r="E616" s="114"/>
      <c r="F616" s="83"/>
      <c r="G616" s="74"/>
      <c r="I616" s="115">
        <f>IF(C616=0,0,VLOOKUP(C616,Tabla2[],3,FALSE))</f>
        <v>0</v>
      </c>
      <c r="K616" s="84">
        <f>+F616*I616</f>
        <v>0</v>
      </c>
      <c r="L616" s="116">
        <f>E616*I616</f>
        <v>0</v>
      </c>
    </row>
    <row r="617" spans="2:12" ht="17.25" thickBot="1" x14ac:dyDescent="0.35">
      <c r="B617" s="121"/>
      <c r="C617" s="417"/>
      <c r="D617" s="418"/>
      <c r="E617" s="122"/>
      <c r="F617" s="123"/>
      <c r="G617" s="74"/>
      <c r="I617" s="115">
        <f>IF(C617=0,0,VLOOKUP(C617,Tabla2[],3,FALSE))</f>
        <v>0</v>
      </c>
      <c r="K617" s="84">
        <f>+F617*I617</f>
        <v>0</v>
      </c>
      <c r="L617" s="116">
        <f>E617*I617</f>
        <v>0</v>
      </c>
    </row>
    <row r="618" spans="2:12" ht="17.25" thickBot="1" x14ac:dyDescent="0.35">
      <c r="B618" s="419" t="s">
        <v>15</v>
      </c>
      <c r="C618" s="420"/>
      <c r="D618" s="420"/>
      <c r="E618" s="420"/>
      <c r="F618" s="420"/>
      <c r="G618" s="421"/>
      <c r="I618" s="84">
        <v>0</v>
      </c>
      <c r="K618" s="84">
        <v>0</v>
      </c>
      <c r="L618" s="116">
        <f>E618*I618</f>
        <v>0</v>
      </c>
    </row>
    <row r="619" spans="2:12" ht="17.25" thickBot="1" x14ac:dyDescent="0.35"/>
    <row r="620" spans="2:12" ht="17.25" thickBot="1" x14ac:dyDescent="0.35">
      <c r="F620" s="402" t="s">
        <v>16</v>
      </c>
      <c r="G620" s="403"/>
      <c r="H620" s="403"/>
      <c r="I620" s="404"/>
      <c r="K620" s="224">
        <f>+SUM(K615:K618)</f>
        <v>110</v>
      </c>
      <c r="L620" s="117">
        <f>+SUM(L615:L618)</f>
        <v>924</v>
      </c>
    </row>
    <row r="621" spans="2:12" ht="17.25" thickBot="1" x14ac:dyDescent="0.35"/>
    <row r="622" spans="2:12" ht="17.25" thickBot="1" x14ac:dyDescent="0.35">
      <c r="B622" s="108" t="s">
        <v>17</v>
      </c>
      <c r="C622" s="413" t="s">
        <v>18</v>
      </c>
      <c r="D622" s="413"/>
      <c r="E622" s="413"/>
      <c r="F622" s="413"/>
      <c r="G622" s="414"/>
    </row>
    <row r="623" spans="2:12" x14ac:dyDescent="0.3">
      <c r="B623" s="112" t="s">
        <v>6</v>
      </c>
      <c r="C623" s="415" t="s">
        <v>1</v>
      </c>
      <c r="D623" s="416"/>
      <c r="E623" s="124"/>
      <c r="F623" s="118" t="s">
        <v>2</v>
      </c>
      <c r="G623" s="112" t="s">
        <v>3</v>
      </c>
      <c r="H623" s="104"/>
      <c r="I623" s="105" t="s">
        <v>7</v>
      </c>
      <c r="J623" s="134"/>
      <c r="K623" s="105" t="s">
        <v>8</v>
      </c>
      <c r="L623" s="113" t="s">
        <v>193</v>
      </c>
    </row>
    <row r="624" spans="2:12" x14ac:dyDescent="0.3">
      <c r="B624" s="74"/>
      <c r="C624" s="411"/>
      <c r="D624" s="412"/>
      <c r="E624" s="125"/>
      <c r="F624" s="72"/>
      <c r="G624" s="74"/>
      <c r="I624" s="84">
        <v>0</v>
      </c>
      <c r="K624" s="84">
        <f>+F624*I624</f>
        <v>0</v>
      </c>
      <c r="L624" s="116">
        <f>E624*I624</f>
        <v>0</v>
      </c>
    </row>
    <row r="625" spans="2:16" x14ac:dyDescent="0.3">
      <c r="B625" s="74"/>
      <c r="C625" s="411"/>
      <c r="D625" s="412"/>
      <c r="E625" s="125"/>
      <c r="F625" s="72"/>
      <c r="G625" s="74"/>
      <c r="I625" s="84">
        <v>0</v>
      </c>
      <c r="K625" s="84">
        <f>+F625*I625</f>
        <v>0</v>
      </c>
      <c r="L625" s="116">
        <f>E625*I625</f>
        <v>0</v>
      </c>
    </row>
    <row r="626" spans="2:16" x14ac:dyDescent="0.3">
      <c r="B626" s="74"/>
      <c r="C626" s="411"/>
      <c r="D626" s="412"/>
      <c r="E626" s="125"/>
      <c r="F626" s="72"/>
      <c r="G626" s="74"/>
      <c r="I626" s="84">
        <v>0</v>
      </c>
      <c r="K626" s="84">
        <f>+F626*I626</f>
        <v>0</v>
      </c>
      <c r="L626" s="116">
        <f>E626*I626</f>
        <v>0</v>
      </c>
    </row>
    <row r="627" spans="2:16" ht="17.25" thickBot="1" x14ac:dyDescent="0.35">
      <c r="L627" s="116"/>
    </row>
    <row r="628" spans="2:16" ht="17.25" thickBot="1" x14ac:dyDescent="0.35">
      <c r="F628" s="402" t="s">
        <v>19</v>
      </c>
      <c r="G628" s="403"/>
      <c r="H628" s="403"/>
      <c r="I628" s="404"/>
      <c r="K628" s="224">
        <f>+SUM(K624:K626)</f>
        <v>0</v>
      </c>
      <c r="L628" s="117">
        <f>+SUM(L623:L626)</f>
        <v>0</v>
      </c>
    </row>
    <row r="629" spans="2:16" ht="15" customHeight="1" x14ac:dyDescent="0.3">
      <c r="F629" s="126"/>
      <c r="G629" s="280"/>
      <c r="H629" s="128"/>
      <c r="I629" s="106"/>
      <c r="K629" s="225"/>
    </row>
    <row r="630" spans="2:16" ht="15" customHeight="1" thickBot="1" x14ac:dyDescent="0.35"/>
    <row r="631" spans="2:16" ht="17.25" thickBot="1" x14ac:dyDescent="0.35">
      <c r="F631" s="402" t="s">
        <v>20</v>
      </c>
      <c r="G631" s="403"/>
      <c r="H631" s="403"/>
      <c r="I631" s="404"/>
      <c r="K631" s="224">
        <f>(+K602+K611+K620+K628)</f>
        <v>239</v>
      </c>
      <c r="L631" s="117">
        <f>(+L602+L611+L620+L628)</f>
        <v>2054</v>
      </c>
      <c r="N631" s="129"/>
      <c r="O631" s="39"/>
      <c r="P631" s="40"/>
    </row>
    <row r="632" spans="2:16" ht="7.5" customHeight="1" thickBot="1" x14ac:dyDescent="0.35">
      <c r="N632" s="129"/>
      <c r="O632" s="41"/>
      <c r="P632" s="40"/>
    </row>
    <row r="633" spans="2:16" ht="17.25" thickBot="1" x14ac:dyDescent="0.35">
      <c r="F633" s="402" t="s">
        <v>21</v>
      </c>
      <c r="G633" s="403"/>
      <c r="H633" s="403"/>
      <c r="I633" s="404"/>
      <c r="K633" s="224">
        <f>K631*$N$2</f>
        <v>95.600000000000009</v>
      </c>
      <c r="L633" s="117">
        <f>L631*$N$2</f>
        <v>821.6</v>
      </c>
    </row>
    <row r="634" spans="2:16" ht="7.5" customHeight="1" thickBot="1" x14ac:dyDescent="0.35"/>
    <row r="635" spans="2:16" ht="17.25" thickBot="1" x14ac:dyDescent="0.35">
      <c r="F635" s="402" t="s">
        <v>22</v>
      </c>
      <c r="G635" s="403"/>
      <c r="H635" s="403"/>
      <c r="I635" s="404"/>
      <c r="K635" s="224">
        <f>+K631+K633</f>
        <v>334.6</v>
      </c>
      <c r="L635" s="117">
        <f>+L631+L633</f>
        <v>2875.6</v>
      </c>
    </row>
    <row r="636" spans="2:16" ht="17.25" thickBot="1" x14ac:dyDescent="0.35">
      <c r="F636" s="126"/>
      <c r="G636" s="280"/>
      <c r="H636" s="128"/>
      <c r="I636" s="106"/>
      <c r="K636" s="226"/>
      <c r="L636" s="130">
        <f>L635/I589</f>
        <v>342.33333333333331</v>
      </c>
      <c r="M636" s="131">
        <f>(K635-L636)*I589</f>
        <v>-64.959999999999653</v>
      </c>
    </row>
    <row r="637" spans="2:16" x14ac:dyDescent="0.3">
      <c r="F637" s="126"/>
      <c r="G637" s="280"/>
      <c r="H637" s="128"/>
      <c r="I637" s="106"/>
      <c r="K637" s="227"/>
      <c r="L637" s="129"/>
      <c r="M637" s="132"/>
      <c r="N637" s="133"/>
    </row>
    <row r="638" spans="2:16" ht="17.25" thickBot="1" x14ac:dyDescent="0.35">
      <c r="B638" s="405"/>
      <c r="C638" s="405"/>
      <c r="D638" s="405"/>
    </row>
    <row r="639" spans="2:16" x14ac:dyDescent="0.3">
      <c r="B639" s="406" t="s">
        <v>23</v>
      </c>
      <c r="C639" s="406"/>
      <c r="D639" s="406"/>
    </row>
    <row r="640" spans="2:16" x14ac:dyDescent="0.3">
      <c r="B640" s="281"/>
      <c r="C640" s="281"/>
      <c r="D640" s="281"/>
    </row>
    <row r="641" spans="1:18" x14ac:dyDescent="0.3">
      <c r="B641" s="281"/>
      <c r="C641" s="281"/>
      <c r="D641" s="281"/>
    </row>
    <row r="642" spans="1:18" ht="15.75" x14ac:dyDescent="0.25">
      <c r="B642" s="103" t="s">
        <v>43</v>
      </c>
      <c r="C642" s="104"/>
      <c r="D642" s="422" t="s">
        <v>1</v>
      </c>
      <c r="E642" s="422"/>
      <c r="F642" s="422"/>
      <c r="G642" s="422"/>
      <c r="H642" s="104"/>
      <c r="I642" s="105" t="s">
        <v>2</v>
      </c>
      <c r="J642" s="134"/>
      <c r="K642" s="105" t="s">
        <v>3</v>
      </c>
      <c r="O642" s="372"/>
      <c r="P642" s="478" t="s">
        <v>711</v>
      </c>
      <c r="Q642" s="478"/>
      <c r="R642" s="316"/>
    </row>
    <row r="643" spans="1:18" s="4" customFormat="1" ht="30.75" customHeight="1" x14ac:dyDescent="0.25">
      <c r="A643" s="31"/>
      <c r="B643" s="287">
        <f>CATALOGO!B29</f>
        <v>303.06</v>
      </c>
      <c r="C643" s="71"/>
      <c r="D643" s="423" t="str">
        <f>CATALOGO!C29</f>
        <v>LEVANTADO DE MURO CON BLOCK TIPO B (50 Kg/cm², 0.14 x 0.19 x 0.39 m).</v>
      </c>
      <c r="E643" s="423"/>
      <c r="F643" s="423"/>
      <c r="G643" s="423"/>
      <c r="H643" s="71"/>
      <c r="I643" s="287">
        <f>CATALOGO!E29</f>
        <v>28.2</v>
      </c>
      <c r="J643" s="107"/>
      <c r="K643" s="222" t="str">
        <f>CATALOGO!G29</f>
        <v>m²</v>
      </c>
      <c r="L643" s="71"/>
      <c r="M643" s="71"/>
      <c r="N643" s="102"/>
      <c r="O643" s="372"/>
      <c r="P643" s="382"/>
      <c r="Q643" s="382"/>
      <c r="R643" s="316"/>
    </row>
    <row r="644" spans="1:18" thickBot="1" x14ac:dyDescent="0.3">
      <c r="O644" s="372"/>
      <c r="P644" s="383" t="s">
        <v>708</v>
      </c>
      <c r="Q644" s="329">
        <f>ROUNDUP(I643*13,0)</f>
        <v>367</v>
      </c>
      <c r="R644" s="316">
        <v>386</v>
      </c>
    </row>
    <row r="645" spans="1:18" thickBot="1" x14ac:dyDescent="0.3">
      <c r="B645" s="108" t="s">
        <v>4</v>
      </c>
      <c r="C645" s="413" t="s">
        <v>5</v>
      </c>
      <c r="D645" s="413"/>
      <c r="E645" s="413"/>
      <c r="F645" s="413"/>
      <c r="G645" s="414"/>
      <c r="O645" s="372"/>
      <c r="P645" s="383" t="s">
        <v>709</v>
      </c>
      <c r="Q645" s="384">
        <v>0.6</v>
      </c>
      <c r="R645" s="316"/>
    </row>
    <row r="646" spans="1:18" ht="15.75" x14ac:dyDescent="0.25">
      <c r="B646" s="109" t="s">
        <v>6</v>
      </c>
      <c r="C646" s="424" t="s">
        <v>1</v>
      </c>
      <c r="D646" s="425"/>
      <c r="E646" s="110" t="s">
        <v>192</v>
      </c>
      <c r="F646" s="111" t="s">
        <v>2</v>
      </c>
      <c r="G646" s="112" t="s">
        <v>3</v>
      </c>
      <c r="H646" s="104"/>
      <c r="I646" s="105" t="s">
        <v>7</v>
      </c>
      <c r="J646" s="134"/>
      <c r="K646" s="223" t="s">
        <v>8</v>
      </c>
      <c r="L646" s="113" t="s">
        <v>193</v>
      </c>
      <c r="O646" s="372"/>
      <c r="P646" s="372" t="s">
        <v>710</v>
      </c>
      <c r="Q646" s="384">
        <v>0.14000000000000001</v>
      </c>
      <c r="R646" s="372"/>
    </row>
    <row r="647" spans="1:18" ht="16.5" customHeight="1" thickBot="1" x14ac:dyDescent="0.3">
      <c r="B647" s="120">
        <v>1</v>
      </c>
      <c r="C647" s="407" t="s">
        <v>212</v>
      </c>
      <c r="D647" s="408"/>
      <c r="E647" s="114">
        <f>R644</f>
        <v>386</v>
      </c>
      <c r="F647" s="83">
        <f>ROUND(E647/I643,2)-0.69</f>
        <v>13</v>
      </c>
      <c r="G647" s="74" t="str">
        <f>IF(C647=0,0,VLOOKUP(C647,PRECIOSM[],2,FALSE))</f>
        <v>Unidad</v>
      </c>
      <c r="I647" s="115">
        <f>IF(C647=0,0,VLOOKUP(C647,PRECIOSM[],3,FALSE))</f>
        <v>8</v>
      </c>
      <c r="K647" s="84">
        <f>+F647*I647</f>
        <v>104</v>
      </c>
      <c r="L647" s="116">
        <f>E647*I647</f>
        <v>3088</v>
      </c>
      <c r="O647" s="372"/>
      <c r="P647" s="383" t="s">
        <v>698</v>
      </c>
      <c r="Q647" s="384">
        <f>Q644*Q645*Q646*0.015</f>
        <v>0.46242000000000005</v>
      </c>
      <c r="R647" s="316"/>
    </row>
    <row r="648" spans="1:18" thickBot="1" x14ac:dyDescent="0.3">
      <c r="B648" s="120">
        <v>2</v>
      </c>
      <c r="C648" s="428" t="s">
        <v>213</v>
      </c>
      <c r="D648" s="429"/>
      <c r="E648" s="114">
        <f>R648</f>
        <v>7</v>
      </c>
      <c r="F648" s="83">
        <f>ROUND(E648/I643,2)</f>
        <v>0.25</v>
      </c>
      <c r="G648" s="74" t="str">
        <f>IF(C648=0,0,VLOOKUP(C648,PRECIOSM[],2,FALSE))</f>
        <v>Saco</v>
      </c>
      <c r="I648" s="115">
        <f>IF(C648=0,0,VLOOKUP(C648,PRECIOSM[],3,FALSE))</f>
        <v>80</v>
      </c>
      <c r="K648" s="84">
        <f t="shared" ref="K648:K654" si="16">+F648*I648</f>
        <v>20</v>
      </c>
      <c r="L648" s="116">
        <f t="shared" ref="L648:L654" si="17">E648*I648</f>
        <v>560</v>
      </c>
      <c r="O648" s="385">
        <f>(R648/Q648)/100</f>
        <v>1.4613778705636744E-2</v>
      </c>
      <c r="P648" s="386" t="s">
        <v>700</v>
      </c>
      <c r="Q648" s="362">
        <f>ROUND(Q647*9*1.15,2)</f>
        <v>4.79</v>
      </c>
      <c r="R648" s="316">
        <f>ROUNDUP(Q648,0)+2</f>
        <v>7</v>
      </c>
    </row>
    <row r="649" spans="1:18" thickBot="1" x14ac:dyDescent="0.3">
      <c r="B649" s="120">
        <v>3</v>
      </c>
      <c r="C649" s="430" t="s">
        <v>72</v>
      </c>
      <c r="D649" s="429"/>
      <c r="E649" s="114">
        <f>R649</f>
        <v>0.5</v>
      </c>
      <c r="F649" s="83">
        <f>ROUND(E649/I643,2)</f>
        <v>0.02</v>
      </c>
      <c r="G649" s="74" t="str">
        <f>IF(C649=0,0,VLOOKUP(C649,PRECIOSM[],2,FALSE))</f>
        <v>m³</v>
      </c>
      <c r="I649" s="115">
        <f>IF(C649=0,0,VLOOKUP(C649,PRECIOSM[],3,FALSE))</f>
        <v>250</v>
      </c>
      <c r="K649" s="84">
        <f t="shared" si="16"/>
        <v>5</v>
      </c>
      <c r="L649" s="116">
        <f t="shared" si="17"/>
        <v>125</v>
      </c>
      <c r="O649" s="385">
        <f>(R649/Q649)/100</f>
        <v>1.1111111111111112E-2</v>
      </c>
      <c r="P649" s="386" t="s">
        <v>702</v>
      </c>
      <c r="Q649" s="362">
        <f>ROUND(Q647*0.65*1.5,2)</f>
        <v>0.45</v>
      </c>
      <c r="R649" s="316">
        <f>ROUNDUP(Q649,1)</f>
        <v>0.5</v>
      </c>
    </row>
    <row r="650" spans="1:18" x14ac:dyDescent="0.3">
      <c r="B650" s="120"/>
      <c r="C650" s="410"/>
      <c r="D650" s="410"/>
      <c r="E650" s="114"/>
      <c r="F650" s="83"/>
      <c r="G650" s="74"/>
      <c r="I650" s="115">
        <f>IF(C650=0,0,VLOOKUP(C650,Tabla1[],3,FALSE))</f>
        <v>0</v>
      </c>
      <c r="K650" s="84">
        <f t="shared" si="16"/>
        <v>0</v>
      </c>
      <c r="L650" s="116">
        <f t="shared" si="17"/>
        <v>0</v>
      </c>
    </row>
    <row r="651" spans="1:18" x14ac:dyDescent="0.3">
      <c r="B651" s="120"/>
      <c r="C651" s="410"/>
      <c r="D651" s="410"/>
      <c r="E651" s="114"/>
      <c r="F651" s="72"/>
      <c r="G651" s="74"/>
      <c r="I651" s="115">
        <f>IF(C651=0,0,VLOOKUP(C651,Tabla1[],3,FALSE))</f>
        <v>0</v>
      </c>
      <c r="K651" s="84">
        <f t="shared" si="16"/>
        <v>0</v>
      </c>
      <c r="L651" s="116">
        <f t="shared" si="17"/>
        <v>0</v>
      </c>
    </row>
    <row r="652" spans="1:18" x14ac:dyDescent="0.3">
      <c r="B652" s="120"/>
      <c r="C652" s="410"/>
      <c r="D652" s="410"/>
      <c r="E652" s="114"/>
      <c r="F652" s="72"/>
      <c r="G652" s="74"/>
      <c r="I652" s="115">
        <f>IF(C652=0,0,VLOOKUP(C652,Tabla1[],3,FALSE))</f>
        <v>0</v>
      </c>
      <c r="K652" s="84">
        <f t="shared" si="16"/>
        <v>0</v>
      </c>
      <c r="L652" s="116">
        <f t="shared" si="17"/>
        <v>0</v>
      </c>
    </row>
    <row r="653" spans="1:18" x14ac:dyDescent="0.3">
      <c r="B653" s="120"/>
      <c r="C653" s="410"/>
      <c r="D653" s="410"/>
      <c r="E653" s="114"/>
      <c r="F653" s="72"/>
      <c r="G653" s="74"/>
      <c r="I653" s="115">
        <f>IF(C653=0,0,VLOOKUP(C653,Tabla1[],3,FALSE))</f>
        <v>0</v>
      </c>
      <c r="K653" s="84">
        <f t="shared" si="16"/>
        <v>0</v>
      </c>
      <c r="L653" s="116">
        <f t="shared" si="17"/>
        <v>0</v>
      </c>
    </row>
    <row r="654" spans="1:18" x14ac:dyDescent="0.3">
      <c r="B654" s="120"/>
      <c r="C654" s="410"/>
      <c r="D654" s="410"/>
      <c r="E654" s="114"/>
      <c r="F654" s="72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8" ht="17.25" thickBot="1" x14ac:dyDescent="0.35"/>
    <row r="656" spans="1:18" ht="17.25" thickBot="1" x14ac:dyDescent="0.35">
      <c r="F656" s="402" t="s">
        <v>9</v>
      </c>
      <c r="G656" s="403"/>
      <c r="H656" s="403"/>
      <c r="I656" s="404"/>
      <c r="K656" s="224">
        <f>+SUM(K647:K654)</f>
        <v>129</v>
      </c>
      <c r="L656" s="117">
        <f>+SUM(L647:L654)</f>
        <v>3773</v>
      </c>
    </row>
    <row r="657" spans="2:12" ht="17.25" thickBot="1" x14ac:dyDescent="0.35"/>
    <row r="658" spans="2:12" ht="17.25" thickBot="1" x14ac:dyDescent="0.35">
      <c r="B658" s="108" t="s">
        <v>10</v>
      </c>
      <c r="C658" s="413" t="s">
        <v>11</v>
      </c>
      <c r="D658" s="413"/>
      <c r="E658" s="413"/>
      <c r="F658" s="413"/>
      <c r="G658" s="414"/>
    </row>
    <row r="659" spans="2:12" x14ac:dyDescent="0.3">
      <c r="B659" s="112" t="s">
        <v>6</v>
      </c>
      <c r="C659" s="415" t="s">
        <v>1</v>
      </c>
      <c r="D659" s="416"/>
      <c r="E659" s="110" t="s">
        <v>192</v>
      </c>
      <c r="F659" s="118" t="s">
        <v>2</v>
      </c>
      <c r="G659" s="112" t="s">
        <v>3</v>
      </c>
      <c r="H659" s="104"/>
      <c r="I659" s="105" t="s">
        <v>7</v>
      </c>
      <c r="J659" s="134"/>
      <c r="K659" s="105" t="s">
        <v>8</v>
      </c>
      <c r="L659" s="113" t="s">
        <v>193</v>
      </c>
    </row>
    <row r="660" spans="2:12" x14ac:dyDescent="0.3">
      <c r="B660" s="120"/>
      <c r="C660" s="409"/>
      <c r="D660" s="409"/>
      <c r="E660" s="114"/>
      <c r="F660" s="83"/>
      <c r="G660" s="74"/>
      <c r="I660" s="115">
        <f>IF(C660=0,0,VLOOKUP(C660,Tabla3[],3,FALSE))</f>
        <v>0</v>
      </c>
      <c r="K660" s="84">
        <f>+F660*I660</f>
        <v>0</v>
      </c>
      <c r="L660" s="116">
        <f>E660*I660</f>
        <v>0</v>
      </c>
    </row>
    <row r="661" spans="2:12" x14ac:dyDescent="0.3">
      <c r="B661" s="74"/>
      <c r="C661" s="312"/>
      <c r="D661" s="313"/>
      <c r="E661" s="119"/>
      <c r="F661" s="72"/>
      <c r="G661" s="74"/>
      <c r="I661" s="115">
        <f>IF(C661=0,0,VLOOKUP(C661,Tabla3[],3,FALSE))</f>
        <v>0</v>
      </c>
      <c r="K661" s="84">
        <f>+F661*I661</f>
        <v>0</v>
      </c>
      <c r="L661" s="116">
        <f>E661*I661</f>
        <v>0</v>
      </c>
    </row>
    <row r="662" spans="2:12" x14ac:dyDescent="0.3">
      <c r="B662" s="74"/>
      <c r="C662" s="312"/>
      <c r="D662" s="313"/>
      <c r="E662" s="119"/>
      <c r="F662" s="72"/>
      <c r="G662" s="74"/>
      <c r="I662" s="115">
        <f>IF(C662=0,0,VLOOKUP(C662,Tabla3[],3,FALSE))</f>
        <v>0</v>
      </c>
      <c r="K662" s="84">
        <f>+F662*I662</f>
        <v>0</v>
      </c>
      <c r="L662" s="116">
        <f>E662*I662</f>
        <v>0</v>
      </c>
    </row>
    <row r="663" spans="2:12" x14ac:dyDescent="0.3">
      <c r="B663" s="74"/>
      <c r="C663" s="411"/>
      <c r="D663" s="412"/>
      <c r="E663" s="119"/>
      <c r="F663" s="72"/>
      <c r="G663" s="74"/>
      <c r="I663" s="115">
        <f>IF(C663=0,0,VLOOKUP(C663,Tabla3[],3,FALSE))</f>
        <v>0</v>
      </c>
      <c r="K663" s="84">
        <f>+F663*I663</f>
        <v>0</v>
      </c>
      <c r="L663" s="116">
        <f>E663*I663</f>
        <v>0</v>
      </c>
    </row>
    <row r="664" spans="2:12" ht="17.25" thickBot="1" x14ac:dyDescent="0.35"/>
    <row r="665" spans="2:12" ht="17.25" thickBot="1" x14ac:dyDescent="0.35">
      <c r="F665" s="402" t="s">
        <v>12</v>
      </c>
      <c r="G665" s="403"/>
      <c r="H665" s="403"/>
      <c r="I665" s="404"/>
      <c r="K665" s="224">
        <f>+SUM(K660:K663)</f>
        <v>0</v>
      </c>
      <c r="L665" s="117">
        <f>+SUM(L660:L663)</f>
        <v>0</v>
      </c>
    </row>
    <row r="666" spans="2:12" ht="17.25" thickBot="1" x14ac:dyDescent="0.35"/>
    <row r="667" spans="2:12" ht="17.25" thickBot="1" x14ac:dyDescent="0.35">
      <c r="B667" s="108" t="s">
        <v>13</v>
      </c>
      <c r="C667" s="413" t="s">
        <v>14</v>
      </c>
      <c r="D667" s="413"/>
      <c r="E667" s="413"/>
      <c r="F667" s="413"/>
      <c r="G667" s="414"/>
    </row>
    <row r="668" spans="2:12" x14ac:dyDescent="0.3">
      <c r="B668" s="112" t="s">
        <v>6</v>
      </c>
      <c r="C668" s="415" t="s">
        <v>1</v>
      </c>
      <c r="D668" s="416"/>
      <c r="E668" s="110" t="s">
        <v>192</v>
      </c>
      <c r="F668" s="118" t="s">
        <v>2</v>
      </c>
      <c r="G668" s="112" t="s">
        <v>3</v>
      </c>
      <c r="H668" s="104"/>
      <c r="I668" s="105" t="s">
        <v>7</v>
      </c>
      <c r="J668" s="134"/>
      <c r="K668" s="105" t="s">
        <v>8</v>
      </c>
      <c r="L668" s="113" t="s">
        <v>193</v>
      </c>
    </row>
    <row r="669" spans="2:12" x14ac:dyDescent="0.3">
      <c r="B669" s="120">
        <v>1</v>
      </c>
      <c r="C669" s="409" t="s">
        <v>465</v>
      </c>
      <c r="D669" s="409"/>
      <c r="E669" s="114">
        <f>I643</f>
        <v>28.2</v>
      </c>
      <c r="F669" s="83">
        <f>ROUND(E669/I643,2)</f>
        <v>1</v>
      </c>
      <c r="G669" s="74" t="str">
        <f>IF(C669=0,0,VLOOKUP(C669,PRECIOSMO[],2,FALSE))</f>
        <v>m²</v>
      </c>
      <c r="I669" s="115">
        <f>IF(C669=0,0,VLOOKUP(C669,PRECIOSMO[],3,FALSE))</f>
        <v>95</v>
      </c>
      <c r="K669" s="84">
        <f>+F669*I669</f>
        <v>95</v>
      </c>
      <c r="L669" s="116">
        <f>E669*I669</f>
        <v>2679</v>
      </c>
    </row>
    <row r="670" spans="2:12" x14ac:dyDescent="0.3">
      <c r="B670" s="120"/>
      <c r="C670" s="409"/>
      <c r="D670" s="409"/>
      <c r="E670" s="114"/>
      <c r="F670" s="83"/>
      <c r="G670" s="74"/>
      <c r="I670" s="115">
        <f>IF(C670=0,0,VLOOKUP(C670,Tabla2[],3,FALSE))</f>
        <v>0</v>
      </c>
      <c r="K670" s="84">
        <f>+F670*I670</f>
        <v>0</v>
      </c>
      <c r="L670" s="116">
        <f>E670*I670</f>
        <v>0</v>
      </c>
    </row>
    <row r="671" spans="2:12" ht="17.25" thickBot="1" x14ac:dyDescent="0.35">
      <c r="B671" s="121"/>
      <c r="C671" s="417"/>
      <c r="D671" s="418"/>
      <c r="E671" s="122"/>
      <c r="F671" s="123"/>
      <c r="G671" s="74"/>
      <c r="I671" s="115">
        <f>IF(C671=0,0,VLOOKUP(C671,Tabla2[],3,FALSE))</f>
        <v>0</v>
      </c>
      <c r="K671" s="84">
        <f>+F671*I671</f>
        <v>0</v>
      </c>
      <c r="L671" s="116">
        <f>E671*I671</f>
        <v>0</v>
      </c>
    </row>
    <row r="672" spans="2:12" ht="17.25" thickBot="1" x14ac:dyDescent="0.35">
      <c r="B672" s="419" t="s">
        <v>15</v>
      </c>
      <c r="C672" s="420"/>
      <c r="D672" s="420"/>
      <c r="E672" s="420"/>
      <c r="F672" s="420"/>
      <c r="G672" s="421"/>
      <c r="I672" s="84">
        <v>0</v>
      </c>
      <c r="K672" s="84">
        <v>0</v>
      </c>
      <c r="L672" s="116">
        <f>E672*I672</f>
        <v>0</v>
      </c>
    </row>
    <row r="673" spans="2:16" ht="17.25" thickBot="1" x14ac:dyDescent="0.35"/>
    <row r="674" spans="2:16" ht="17.25" thickBot="1" x14ac:dyDescent="0.35">
      <c r="F674" s="402" t="s">
        <v>16</v>
      </c>
      <c r="G674" s="403"/>
      <c r="H674" s="403"/>
      <c r="I674" s="404"/>
      <c r="K674" s="224">
        <f>+SUM(K669:K672)</f>
        <v>95</v>
      </c>
      <c r="L674" s="117">
        <f>+SUM(L669:L672)</f>
        <v>2679</v>
      </c>
    </row>
    <row r="675" spans="2:16" ht="17.25" thickBot="1" x14ac:dyDescent="0.35"/>
    <row r="676" spans="2:16" ht="17.25" thickBot="1" x14ac:dyDescent="0.35">
      <c r="B676" s="108" t="s">
        <v>17</v>
      </c>
      <c r="C676" s="413" t="s">
        <v>18</v>
      </c>
      <c r="D676" s="413"/>
      <c r="E676" s="413"/>
      <c r="F676" s="413"/>
      <c r="G676" s="414"/>
    </row>
    <row r="677" spans="2:16" x14ac:dyDescent="0.3">
      <c r="B677" s="112" t="s">
        <v>6</v>
      </c>
      <c r="C677" s="415" t="s">
        <v>1</v>
      </c>
      <c r="D677" s="416"/>
      <c r="E677" s="124"/>
      <c r="F677" s="118" t="s">
        <v>2</v>
      </c>
      <c r="G677" s="112" t="s">
        <v>3</v>
      </c>
      <c r="H677" s="104"/>
      <c r="I677" s="105" t="s">
        <v>7</v>
      </c>
      <c r="J677" s="134"/>
      <c r="K677" s="105" t="s">
        <v>8</v>
      </c>
      <c r="L677" s="113" t="s">
        <v>193</v>
      </c>
    </row>
    <row r="678" spans="2:16" x14ac:dyDescent="0.3">
      <c r="B678" s="74"/>
      <c r="C678" s="411"/>
      <c r="D678" s="412"/>
      <c r="E678" s="125"/>
      <c r="F678" s="72"/>
      <c r="G678" s="74"/>
      <c r="I678" s="84">
        <v>0</v>
      </c>
      <c r="K678" s="84">
        <f>+F678*I678</f>
        <v>0</v>
      </c>
      <c r="L678" s="116">
        <f>E678*I678</f>
        <v>0</v>
      </c>
    </row>
    <row r="679" spans="2:16" x14ac:dyDescent="0.3">
      <c r="B679" s="74"/>
      <c r="C679" s="411"/>
      <c r="D679" s="412"/>
      <c r="E679" s="125"/>
      <c r="F679" s="72"/>
      <c r="G679" s="74"/>
      <c r="I679" s="84">
        <v>0</v>
      </c>
      <c r="K679" s="84">
        <f>+F679*I679</f>
        <v>0</v>
      </c>
      <c r="L679" s="116">
        <f>E679*I679</f>
        <v>0</v>
      </c>
    </row>
    <row r="680" spans="2:16" x14ac:dyDescent="0.3">
      <c r="B680" s="74"/>
      <c r="C680" s="411"/>
      <c r="D680" s="412"/>
      <c r="E680" s="125"/>
      <c r="F680" s="72"/>
      <c r="G680" s="74"/>
      <c r="I680" s="84">
        <v>0</v>
      </c>
      <c r="K680" s="84">
        <f>+F680*I680</f>
        <v>0</v>
      </c>
      <c r="L680" s="116">
        <f>E680*I680</f>
        <v>0</v>
      </c>
    </row>
    <row r="681" spans="2:16" ht="17.25" thickBot="1" x14ac:dyDescent="0.35">
      <c r="L681" s="116"/>
    </row>
    <row r="682" spans="2:16" ht="17.25" thickBot="1" x14ac:dyDescent="0.35">
      <c r="F682" s="402" t="s">
        <v>19</v>
      </c>
      <c r="G682" s="403"/>
      <c r="H682" s="403"/>
      <c r="I682" s="404"/>
      <c r="K682" s="224">
        <f>+SUM(K678:K680)</f>
        <v>0</v>
      </c>
      <c r="L682" s="117">
        <f>+SUM(L677:L680)</f>
        <v>0</v>
      </c>
    </row>
    <row r="683" spans="2:16" ht="15" customHeight="1" x14ac:dyDescent="0.3">
      <c r="F683" s="126"/>
      <c r="G683" s="280"/>
      <c r="H683" s="128"/>
      <c r="I683" s="106"/>
      <c r="K683" s="225"/>
    </row>
    <row r="684" spans="2:16" ht="15" customHeight="1" thickBot="1" x14ac:dyDescent="0.35"/>
    <row r="685" spans="2:16" ht="17.25" thickBot="1" x14ac:dyDescent="0.35">
      <c r="F685" s="402" t="s">
        <v>20</v>
      </c>
      <c r="G685" s="403"/>
      <c r="H685" s="403"/>
      <c r="I685" s="404"/>
      <c r="K685" s="224">
        <f>(+K656+K665+K674+K682)</f>
        <v>224</v>
      </c>
      <c r="L685" s="117">
        <f>(+L656+L665+L674+L682)</f>
        <v>6452</v>
      </c>
      <c r="N685" s="129"/>
      <c r="O685" s="39"/>
      <c r="P685" s="40"/>
    </row>
    <row r="686" spans="2:16" ht="7.5" customHeight="1" thickBot="1" x14ac:dyDescent="0.35">
      <c r="N686" s="129"/>
      <c r="O686" s="41"/>
      <c r="P686" s="40"/>
    </row>
    <row r="687" spans="2:16" ht="17.25" thickBot="1" x14ac:dyDescent="0.35">
      <c r="F687" s="402" t="s">
        <v>21</v>
      </c>
      <c r="G687" s="403"/>
      <c r="H687" s="403"/>
      <c r="I687" s="404"/>
      <c r="K687" s="224">
        <f>K685*$N$2</f>
        <v>89.600000000000009</v>
      </c>
      <c r="L687" s="117">
        <f>L685*$N$2</f>
        <v>2580.8000000000002</v>
      </c>
    </row>
    <row r="688" spans="2:16" ht="7.5" customHeight="1" thickBot="1" x14ac:dyDescent="0.35"/>
    <row r="689" spans="1:36" ht="17.25" thickBot="1" x14ac:dyDescent="0.35">
      <c r="F689" s="402" t="s">
        <v>22</v>
      </c>
      <c r="G689" s="403"/>
      <c r="H689" s="403"/>
      <c r="I689" s="404"/>
      <c r="K689" s="224">
        <f>+K685+K687</f>
        <v>313.60000000000002</v>
      </c>
      <c r="L689" s="117">
        <f>+L685+L687</f>
        <v>9032.7999999999993</v>
      </c>
    </row>
    <row r="690" spans="1:36" ht="17.25" thickBot="1" x14ac:dyDescent="0.35">
      <c r="F690" s="126"/>
      <c r="G690" s="280"/>
      <c r="H690" s="128"/>
      <c r="I690" s="106"/>
      <c r="K690" s="226"/>
      <c r="L690" s="130">
        <f>L689/I643</f>
        <v>320.31205673758865</v>
      </c>
      <c r="M690" s="131">
        <f>(K689-L690)*I643</f>
        <v>-189.27999999999923</v>
      </c>
    </row>
    <row r="691" spans="1:36" x14ac:dyDescent="0.3">
      <c r="F691" s="126"/>
      <c r="G691" s="280"/>
      <c r="H691" s="128"/>
      <c r="I691" s="106"/>
      <c r="K691" s="227"/>
      <c r="L691" s="129"/>
      <c r="M691" s="132"/>
      <c r="N691" s="133"/>
    </row>
    <row r="692" spans="1:36" ht="17.25" thickBot="1" x14ac:dyDescent="0.35">
      <c r="B692" s="405"/>
      <c r="C692" s="405"/>
      <c r="D692" s="405"/>
    </row>
    <row r="693" spans="1:36" x14ac:dyDescent="0.3">
      <c r="B693" s="406" t="s">
        <v>23</v>
      </c>
      <c r="C693" s="406"/>
      <c r="D693" s="406"/>
    </row>
    <row r="694" spans="1:36" x14ac:dyDescent="0.3">
      <c r="B694" s="281"/>
      <c r="C694" s="281"/>
      <c r="D694" s="281"/>
    </row>
    <row r="695" spans="1:36" ht="17.25" thickBot="1" x14ac:dyDescent="0.35">
      <c r="B695" s="281"/>
      <c r="C695" s="281"/>
      <c r="D695" s="281"/>
    </row>
    <row r="696" spans="1:36" ht="15.75" customHeight="1" x14ac:dyDescent="0.3">
      <c r="B696" s="103" t="s">
        <v>43</v>
      </c>
      <c r="C696" s="104"/>
      <c r="D696" s="422" t="s">
        <v>1</v>
      </c>
      <c r="E696" s="422"/>
      <c r="F696" s="422"/>
      <c r="G696" s="422"/>
      <c r="H696" s="104"/>
      <c r="I696" s="105" t="s">
        <v>2</v>
      </c>
      <c r="J696" s="134"/>
      <c r="K696" s="105" t="s">
        <v>3</v>
      </c>
      <c r="P696" s="461" t="s">
        <v>666</v>
      </c>
      <c r="Q696" s="462"/>
      <c r="S696" s="463" t="s">
        <v>718</v>
      </c>
      <c r="T696" s="463"/>
      <c r="U696" s="316"/>
      <c r="V696" s="316"/>
      <c r="W696" s="464" t="s">
        <v>668</v>
      </c>
      <c r="X696" s="466" t="s">
        <v>669</v>
      </c>
      <c r="Y696" s="467"/>
      <c r="Z696" s="468"/>
      <c r="AA696" s="469" t="s">
        <v>670</v>
      </c>
      <c r="AB696" s="471" t="s">
        <v>671</v>
      </c>
      <c r="AC696" s="473" t="s">
        <v>672</v>
      </c>
      <c r="AD696" s="475" t="s">
        <v>673</v>
      </c>
      <c r="AH696" s="316"/>
      <c r="AI696" s="316"/>
      <c r="AJ696" s="316"/>
    </row>
    <row r="697" spans="1:36" s="4" customFormat="1" ht="30.75" customHeight="1" x14ac:dyDescent="0.25">
      <c r="A697" s="31"/>
      <c r="B697" s="287">
        <f>CATALOGO!B34</f>
        <v>401.35</v>
      </c>
      <c r="C697" s="71"/>
      <c r="D697" s="423" t="str">
        <f>CATALOGO!C34</f>
        <v>COLUMNA C-1 (0.14m x 0.20m + 6 NO. 3 + EST NO. 2 @0.10m)</v>
      </c>
      <c r="E697" s="423"/>
      <c r="F697" s="423"/>
      <c r="G697" s="423"/>
      <c r="H697" s="71"/>
      <c r="I697" s="287">
        <f>CATALOGO!E34</f>
        <v>32.799999999999997</v>
      </c>
      <c r="J697" s="107"/>
      <c r="K697" s="222" t="str">
        <f>CATALOGO!G34</f>
        <v>ml</v>
      </c>
      <c r="L697" s="71"/>
      <c r="M697" s="71"/>
      <c r="N697" s="102"/>
      <c r="O697" s="37"/>
      <c r="P697" s="317" t="s">
        <v>6</v>
      </c>
      <c r="Q697" s="318" t="s">
        <v>674</v>
      </c>
      <c r="R697"/>
      <c r="S697" s="477" t="s">
        <v>675</v>
      </c>
      <c r="T697" s="477"/>
      <c r="U697" s="316"/>
      <c r="V697" s="316"/>
      <c r="W697" s="465"/>
      <c r="X697" s="319" t="s">
        <v>676</v>
      </c>
      <c r="Y697" s="319" t="s">
        <v>677</v>
      </c>
      <c r="Z697" s="319" t="s">
        <v>678</v>
      </c>
      <c r="AA697" s="470"/>
      <c r="AB697" s="472"/>
      <c r="AC697" s="474"/>
      <c r="AD697" s="476"/>
      <c r="AE697"/>
      <c r="AF697"/>
      <c r="AG697"/>
      <c r="AH697" s="316"/>
      <c r="AI697" s="316"/>
      <c r="AJ697" s="316"/>
    </row>
    <row r="698" spans="1:36" ht="17.25" thickBot="1" x14ac:dyDescent="0.35">
      <c r="P698" s="320" t="s">
        <v>679</v>
      </c>
      <c r="Q698" s="321">
        <v>30</v>
      </c>
      <c r="S698" s="322" t="s">
        <v>680</v>
      </c>
      <c r="T698" s="323">
        <f>I697</f>
        <v>32.799999999999997</v>
      </c>
      <c r="U698" s="316"/>
      <c r="V698" s="316"/>
      <c r="W698" s="324">
        <v>1</v>
      </c>
      <c r="X698" s="325">
        <v>1</v>
      </c>
      <c r="Y698" s="325">
        <v>1.5</v>
      </c>
      <c r="Z698" s="325">
        <v>1.5</v>
      </c>
      <c r="AA698" s="326">
        <v>303</v>
      </c>
      <c r="AB698" s="327">
        <v>12.6</v>
      </c>
      <c r="AC698" s="327">
        <v>0.53</v>
      </c>
      <c r="AD698" s="328">
        <v>0.55000000000000004</v>
      </c>
      <c r="AH698" s="316"/>
      <c r="AI698" s="316"/>
      <c r="AJ698" s="316"/>
    </row>
    <row r="699" spans="1:36" ht="17.25" thickBot="1" x14ac:dyDescent="0.35">
      <c r="B699" s="108" t="s">
        <v>4</v>
      </c>
      <c r="C699" s="413" t="s">
        <v>5</v>
      </c>
      <c r="D699" s="413"/>
      <c r="E699" s="413"/>
      <c r="F699" s="413"/>
      <c r="G699" s="414"/>
      <c r="P699" s="320" t="s">
        <v>681</v>
      </c>
      <c r="Q699" s="321">
        <v>13</v>
      </c>
      <c r="S699" s="322" t="s">
        <v>682</v>
      </c>
      <c r="T699" s="329">
        <v>0.14000000000000001</v>
      </c>
      <c r="U699" s="316"/>
      <c r="V699" s="316"/>
      <c r="W699" s="324"/>
      <c r="X699" s="325"/>
      <c r="Y699" s="325"/>
      <c r="Z699" s="325"/>
      <c r="AA699" s="326">
        <v>281</v>
      </c>
      <c r="AB699" s="327">
        <v>11.7</v>
      </c>
      <c r="AC699" s="327">
        <v>0.5</v>
      </c>
      <c r="AD699" s="328">
        <v>0.61</v>
      </c>
      <c r="AH699" s="316"/>
      <c r="AI699" s="316"/>
      <c r="AJ699" s="316"/>
    </row>
    <row r="700" spans="1:36" x14ac:dyDescent="0.3">
      <c r="B700" s="109" t="s">
        <v>6</v>
      </c>
      <c r="C700" s="424" t="s">
        <v>1</v>
      </c>
      <c r="D700" s="425"/>
      <c r="E700" s="110" t="s">
        <v>192</v>
      </c>
      <c r="F700" s="111" t="s">
        <v>2</v>
      </c>
      <c r="G700" s="112" t="s">
        <v>3</v>
      </c>
      <c r="H700" s="104"/>
      <c r="I700" s="105" t="s">
        <v>7</v>
      </c>
      <c r="J700" s="134"/>
      <c r="K700" s="223" t="s">
        <v>8</v>
      </c>
      <c r="L700" s="113" t="s">
        <v>193</v>
      </c>
      <c r="P700" s="320" t="s">
        <v>683</v>
      </c>
      <c r="Q700" s="321">
        <v>7</v>
      </c>
      <c r="S700" s="330" t="s">
        <v>684</v>
      </c>
      <c r="T700" s="331">
        <v>0.2</v>
      </c>
      <c r="U700" s="316"/>
      <c r="V700" s="316"/>
      <c r="W700" s="324">
        <v>2</v>
      </c>
      <c r="X700" s="325">
        <v>1</v>
      </c>
      <c r="Y700" s="325">
        <v>1.5</v>
      </c>
      <c r="Z700" s="325">
        <v>2</v>
      </c>
      <c r="AA700" s="326">
        <v>270</v>
      </c>
      <c r="AB700" s="327">
        <v>11.3</v>
      </c>
      <c r="AC700" s="327">
        <v>0.48</v>
      </c>
      <c r="AD700" s="328">
        <v>0.64</v>
      </c>
      <c r="AH700" s="316"/>
      <c r="AI700" s="316"/>
      <c r="AJ700" s="316"/>
    </row>
    <row r="701" spans="1:36" ht="17.25" thickBot="1" x14ac:dyDescent="0.35">
      <c r="B701" s="120">
        <v>1</v>
      </c>
      <c r="C701" s="407" t="s">
        <v>168</v>
      </c>
      <c r="D701" s="408"/>
      <c r="E701" s="114">
        <f>T707</f>
        <v>36</v>
      </c>
      <c r="F701" s="83">
        <f>ROUND(E701/I697,2)</f>
        <v>1.1000000000000001</v>
      </c>
      <c r="G701" s="74" t="str">
        <f>IF(C701=0,0,VLOOKUP(C701,Tabla1[],2,FALSE))</f>
        <v>Varilla</v>
      </c>
      <c r="I701" s="115">
        <f>IF(C701=0,0,VLOOKUP(C701,Tabla1[],3,FALSE))</f>
        <v>40</v>
      </c>
      <c r="K701" s="84">
        <f>+F701*I701</f>
        <v>44</v>
      </c>
      <c r="L701" s="116">
        <f>E701*I701</f>
        <v>1440</v>
      </c>
      <c r="P701" s="332" t="s">
        <v>685</v>
      </c>
      <c r="Q701" s="333">
        <v>4</v>
      </c>
      <c r="S701" s="334" t="s">
        <v>686</v>
      </c>
      <c r="T701" s="331">
        <v>2.5000000000000001E-2</v>
      </c>
      <c r="U701" s="316"/>
      <c r="V701" s="316"/>
      <c r="W701" s="324">
        <v>3</v>
      </c>
      <c r="X701" s="325">
        <v>1</v>
      </c>
      <c r="Y701" s="325">
        <v>1.5</v>
      </c>
      <c r="Z701" s="325">
        <v>2.5</v>
      </c>
      <c r="AA701" s="326">
        <v>245</v>
      </c>
      <c r="AB701" s="327">
        <v>10.1</v>
      </c>
      <c r="AC701" s="327">
        <v>0.43</v>
      </c>
      <c r="AD701" s="328">
        <v>0.71</v>
      </c>
      <c r="AH701" s="316"/>
      <c r="AI701" s="316"/>
      <c r="AJ701" s="316"/>
    </row>
    <row r="702" spans="1:36" ht="17.25" thickBot="1" x14ac:dyDescent="0.35">
      <c r="B702" s="120">
        <v>2</v>
      </c>
      <c r="C702" s="407" t="s">
        <v>312</v>
      </c>
      <c r="D702" s="408"/>
      <c r="E702" s="114">
        <f>T713</f>
        <v>28</v>
      </c>
      <c r="F702" s="83">
        <f>ROUND(E702/I697,2)</f>
        <v>0.85</v>
      </c>
      <c r="G702" s="74" t="str">
        <f>IF(C702=0,0,VLOOKUP(C702,Tabla1[],2,FALSE))</f>
        <v>Varilla</v>
      </c>
      <c r="I702" s="115">
        <f>IF(C702=0,0,VLOOKUP(C702,Tabla1[],3,FALSE))</f>
        <v>20</v>
      </c>
      <c r="K702" s="84">
        <f>+F702*I702</f>
        <v>17</v>
      </c>
      <c r="L702" s="116">
        <f>E702*I702</f>
        <v>560</v>
      </c>
      <c r="P702" s="335"/>
      <c r="Q702" s="336"/>
      <c r="S702" s="322"/>
      <c r="T702" s="331"/>
      <c r="U702" s="316"/>
      <c r="V702" s="316"/>
      <c r="W702" s="324">
        <v>4</v>
      </c>
      <c r="X702" s="325">
        <v>1</v>
      </c>
      <c r="Y702" s="325">
        <v>1.5</v>
      </c>
      <c r="Z702" s="325">
        <v>3</v>
      </c>
      <c r="AA702" s="337">
        <v>230</v>
      </c>
      <c r="AB702" s="327">
        <v>9.3000000000000007</v>
      </c>
      <c r="AC702" s="327">
        <v>0.37</v>
      </c>
      <c r="AD702" s="328">
        <v>0.79</v>
      </c>
      <c r="AH702" s="316"/>
      <c r="AI702" s="316"/>
      <c r="AJ702" s="316"/>
    </row>
    <row r="703" spans="1:36" ht="17.25" thickBot="1" x14ac:dyDescent="0.35">
      <c r="B703" s="120">
        <v>3</v>
      </c>
      <c r="C703" s="428" t="s">
        <v>213</v>
      </c>
      <c r="D703" s="429"/>
      <c r="E703" s="114">
        <f>AI711</f>
        <v>9</v>
      </c>
      <c r="F703" s="83">
        <f>ROUND(E703/I697,2)</f>
        <v>0.27</v>
      </c>
      <c r="G703" s="74" t="str">
        <f>IF(C703=0,0,VLOOKUP(C703,Tabla1[],2,FALSE))</f>
        <v>Saco</v>
      </c>
      <c r="I703" s="115">
        <f>IF(C703=0,0,VLOOKUP(C703,Tabla1[],3,FALSE))</f>
        <v>80</v>
      </c>
      <c r="K703" s="84">
        <f t="shared" ref="K703:K710" si="18">+F703*I703</f>
        <v>21.6</v>
      </c>
      <c r="L703" s="116">
        <f t="shared" ref="L703:L710" si="19">E703*I703</f>
        <v>720</v>
      </c>
      <c r="P703"/>
      <c r="S703" s="338" t="s">
        <v>688</v>
      </c>
      <c r="T703" s="339">
        <f>T698*T699*T700</f>
        <v>0.91839999999999999</v>
      </c>
      <c r="U703" s="316"/>
      <c r="V703" s="316"/>
      <c r="W703" s="340">
        <v>5</v>
      </c>
      <c r="X703" s="341">
        <v>1</v>
      </c>
      <c r="Y703" s="341">
        <v>2</v>
      </c>
      <c r="Z703" s="341">
        <v>2</v>
      </c>
      <c r="AA703" s="337">
        <v>217</v>
      </c>
      <c r="AB703" s="342">
        <v>9.8000000000000007</v>
      </c>
      <c r="AC703" s="342">
        <v>0.55000000000000004</v>
      </c>
      <c r="AD703" s="343">
        <v>0.55000000000000004</v>
      </c>
      <c r="AH703" s="316"/>
      <c r="AI703" s="316"/>
      <c r="AJ703" s="316"/>
    </row>
    <row r="704" spans="1:36" x14ac:dyDescent="0.3">
      <c r="B704" s="120">
        <v>4</v>
      </c>
      <c r="C704" s="430" t="s">
        <v>72</v>
      </c>
      <c r="D704" s="429"/>
      <c r="E704" s="114">
        <f>AI712</f>
        <v>1</v>
      </c>
      <c r="F704" s="83">
        <f>ROUND(E704/I697,2)</f>
        <v>0.03</v>
      </c>
      <c r="G704" s="74" t="str">
        <f>IF(C704=0,0,VLOOKUP(C704,Tabla1[],2,FALSE))</f>
        <v>m³</v>
      </c>
      <c r="I704" s="115">
        <f>IF(C704=0,0,VLOOKUP(C704,Tabla1[],3,FALSE))</f>
        <v>250</v>
      </c>
      <c r="K704" s="84">
        <f t="shared" si="18"/>
        <v>7.5</v>
      </c>
      <c r="L704" s="116">
        <f t="shared" si="19"/>
        <v>250</v>
      </c>
      <c r="P704"/>
      <c r="S704" s="338"/>
      <c r="T704" s="344"/>
      <c r="U704" s="345"/>
      <c r="V704" s="316"/>
      <c r="W704" s="324">
        <v>6</v>
      </c>
      <c r="X704" s="325">
        <v>1</v>
      </c>
      <c r="Y704" s="325">
        <v>2</v>
      </c>
      <c r="Z704" s="325">
        <v>2.5</v>
      </c>
      <c r="AA704" s="326">
        <v>195</v>
      </c>
      <c r="AB704" s="327">
        <v>9.1</v>
      </c>
      <c r="AC704" s="327">
        <v>0.51</v>
      </c>
      <c r="AD704" s="328">
        <v>0.64</v>
      </c>
      <c r="AH704" s="316"/>
      <c r="AI704" s="316"/>
      <c r="AJ704" s="316"/>
    </row>
    <row r="705" spans="2:36" x14ac:dyDescent="0.3">
      <c r="B705" s="120">
        <v>5</v>
      </c>
      <c r="C705" s="430" t="s">
        <v>229</v>
      </c>
      <c r="D705" s="429"/>
      <c r="E705" s="114">
        <f>AI713</f>
        <v>1</v>
      </c>
      <c r="F705" s="83">
        <f>ROUND(E705/I697,2)</f>
        <v>0.03</v>
      </c>
      <c r="G705" s="74" t="str">
        <f>IF(C705=0,0,VLOOKUP(C705,Tabla1[],2,FALSE))</f>
        <v>m³</v>
      </c>
      <c r="I705" s="115">
        <f>IF(C705=0,0,VLOOKUP(C705,Tabla1[],3,FALSE))</f>
        <v>250</v>
      </c>
      <c r="K705" s="84">
        <f t="shared" si="18"/>
        <v>7.5</v>
      </c>
      <c r="L705" s="116">
        <f t="shared" si="19"/>
        <v>250</v>
      </c>
      <c r="P705"/>
      <c r="S705" s="346" t="s">
        <v>690</v>
      </c>
      <c r="T705" s="346"/>
      <c r="U705" s="347"/>
      <c r="V705" s="316"/>
      <c r="W705" s="324">
        <v>7</v>
      </c>
      <c r="X705" s="325">
        <v>1</v>
      </c>
      <c r="Y705" s="325">
        <v>2</v>
      </c>
      <c r="Z705" s="325">
        <v>3</v>
      </c>
      <c r="AA705" s="337">
        <v>165</v>
      </c>
      <c r="AB705" s="327">
        <v>8.4</v>
      </c>
      <c r="AC705" s="327">
        <v>0.47</v>
      </c>
      <c r="AD705" s="328">
        <v>0.71</v>
      </c>
      <c r="AH705" s="316"/>
      <c r="AI705" s="316"/>
      <c r="AJ705" s="316"/>
    </row>
    <row r="706" spans="2:36" ht="17.25" thickBot="1" x14ac:dyDescent="0.35">
      <c r="B706" s="120">
        <v>6</v>
      </c>
      <c r="C706" s="433" t="s">
        <v>368</v>
      </c>
      <c r="D706" s="433"/>
      <c r="E706" s="114">
        <f>T714</f>
        <v>20</v>
      </c>
      <c r="F706" s="83">
        <f>ROUND(E706/I697,2)-0.01</f>
        <v>0.6</v>
      </c>
      <c r="G706" s="74" t="str">
        <f>IF(C706=0,0,VLOOKUP(C706,Tabla1[],2,FALSE))</f>
        <v>Libra</v>
      </c>
      <c r="I706" s="115">
        <f>IF(C706=0,0,VLOOKUP(C706,Tabla1[],3,FALSE))</f>
        <v>8</v>
      </c>
      <c r="K706" s="84">
        <f t="shared" si="18"/>
        <v>4.8</v>
      </c>
      <c r="L706" s="116">
        <f t="shared" si="19"/>
        <v>160</v>
      </c>
      <c r="P706"/>
      <c r="S706" s="334" t="s">
        <v>691</v>
      </c>
      <c r="T706" s="329" t="s">
        <v>681</v>
      </c>
      <c r="U706" s="316"/>
      <c r="V706" s="316"/>
      <c r="W706" s="324">
        <v>8</v>
      </c>
      <c r="X706" s="325">
        <v>1</v>
      </c>
      <c r="Y706" s="325">
        <v>2</v>
      </c>
      <c r="Z706" s="325">
        <v>3.5</v>
      </c>
      <c r="AA706" s="337">
        <v>164</v>
      </c>
      <c r="AB706" s="327">
        <v>7.8</v>
      </c>
      <c r="AC706" s="327">
        <v>0.44</v>
      </c>
      <c r="AD706" s="328">
        <v>0.76</v>
      </c>
      <c r="AH706" s="316"/>
      <c r="AI706" s="316"/>
      <c r="AJ706" s="316"/>
    </row>
    <row r="707" spans="2:36" x14ac:dyDescent="0.3">
      <c r="B707" s="120">
        <v>7</v>
      </c>
      <c r="C707" s="433" t="s">
        <v>174</v>
      </c>
      <c r="D707" s="433"/>
      <c r="E707" s="114">
        <f>E706</f>
        <v>20</v>
      </c>
      <c r="F707" s="83">
        <f>ROUND(E707/I697,2)</f>
        <v>0.61</v>
      </c>
      <c r="G707" s="74" t="str">
        <f>IF(C707=0,0,VLOOKUP(C707,Tabla1[],2,FALSE))</f>
        <v>Libra</v>
      </c>
      <c r="I707" s="115">
        <f>IF(C707=0,0,VLOOKUP(C707,Tabla1[],3,FALSE))</f>
        <v>10</v>
      </c>
      <c r="K707" s="84">
        <f t="shared" si="18"/>
        <v>6.1</v>
      </c>
      <c r="L707" s="116">
        <f t="shared" si="19"/>
        <v>200</v>
      </c>
      <c r="P707"/>
      <c r="S707" s="338" t="s">
        <v>692</v>
      </c>
      <c r="T707" s="348">
        <f>6*6</f>
        <v>36</v>
      </c>
      <c r="U707" s="387">
        <f>T707/(VLOOKUP(T706,P696:Q701,2,FALSE))</f>
        <v>2.7692307692307692</v>
      </c>
      <c r="V707" s="316"/>
      <c r="W707" s="324">
        <v>9</v>
      </c>
      <c r="X707" s="325">
        <v>1</v>
      </c>
      <c r="Y707" s="325">
        <v>2</v>
      </c>
      <c r="Z707" s="325">
        <v>4</v>
      </c>
      <c r="AA707" s="337">
        <v>140</v>
      </c>
      <c r="AB707" s="327">
        <v>7.3</v>
      </c>
      <c r="AC707" s="327">
        <v>0.41</v>
      </c>
      <c r="AD707" s="328">
        <v>0.82</v>
      </c>
      <c r="AF707" s="349" t="s">
        <v>693</v>
      </c>
      <c r="AG707" s="349"/>
      <c r="AH707" s="316"/>
      <c r="AI707" s="316"/>
      <c r="AJ707" s="316"/>
    </row>
    <row r="708" spans="2:36" x14ac:dyDescent="0.3">
      <c r="B708" s="120">
        <v>8</v>
      </c>
      <c r="C708" s="433" t="s">
        <v>179</v>
      </c>
      <c r="D708" s="433"/>
      <c r="E708" s="114">
        <f>I697*12</f>
        <v>393.59999999999997</v>
      </c>
      <c r="F708" s="83">
        <f>ROUND(E708/I697,2)</f>
        <v>12</v>
      </c>
      <c r="G708" s="74" t="str">
        <f>IF(C708=0,0,VLOOKUP(C708,Tabla1[],2,FALSE))</f>
        <v>pt</v>
      </c>
      <c r="I708" s="115">
        <f>IF(C708=0,0,VLOOKUP(C708,Tabla1[],3,FALSE))</f>
        <v>9</v>
      </c>
      <c r="K708" s="84">
        <f t="shared" si="18"/>
        <v>108</v>
      </c>
      <c r="L708" s="116">
        <f t="shared" si="19"/>
        <v>3542.3999999999996</v>
      </c>
      <c r="P708"/>
      <c r="S708" s="350" t="s">
        <v>716</v>
      </c>
      <c r="T708" s="351" t="s">
        <v>679</v>
      </c>
      <c r="U708" s="316"/>
      <c r="V708" s="316"/>
      <c r="W708" s="324">
        <v>10</v>
      </c>
      <c r="X708" s="325">
        <v>1</v>
      </c>
      <c r="Y708" s="325">
        <v>2.5</v>
      </c>
      <c r="Z708" s="325">
        <v>2.5</v>
      </c>
      <c r="AA708" s="337">
        <v>156</v>
      </c>
      <c r="AB708" s="327">
        <v>8.3000000000000007</v>
      </c>
      <c r="AC708" s="327">
        <v>0.57999999999999996</v>
      </c>
      <c r="AD708" s="328">
        <v>0.57999999999999996</v>
      </c>
      <c r="AF708" s="352" t="s">
        <v>694</v>
      </c>
      <c r="AG708" s="329">
        <v>217</v>
      </c>
      <c r="AH708" s="353">
        <v>1.0999999999999999E-2</v>
      </c>
      <c r="AI708" s="316"/>
      <c r="AJ708" s="316"/>
    </row>
    <row r="709" spans="2:36" x14ac:dyDescent="0.3">
      <c r="B709" s="120"/>
      <c r="C709" s="410"/>
      <c r="D709" s="410"/>
      <c r="E709" s="114"/>
      <c r="F709" s="72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  <c r="P709"/>
      <c r="S709" s="354" t="s">
        <v>695</v>
      </c>
      <c r="T709" s="355">
        <v>0.1</v>
      </c>
      <c r="U709" s="316"/>
      <c r="V709" s="316"/>
      <c r="W709" s="324">
        <v>11</v>
      </c>
      <c r="X709" s="325">
        <v>1</v>
      </c>
      <c r="Y709" s="325">
        <v>2.5</v>
      </c>
      <c r="Z709" s="325">
        <v>3</v>
      </c>
      <c r="AA709" s="337">
        <v>147</v>
      </c>
      <c r="AB709" s="327">
        <v>7.6</v>
      </c>
      <c r="AC709" s="327">
        <v>0.54</v>
      </c>
      <c r="AD709" s="328">
        <v>0.65</v>
      </c>
      <c r="AF709" s="356" t="s">
        <v>696</v>
      </c>
      <c r="AG709" s="357">
        <f>AG708/0.07031</f>
        <v>3086.3319584696346</v>
      </c>
      <c r="AH709" s="316"/>
      <c r="AI709" s="316"/>
      <c r="AJ709" s="316"/>
    </row>
    <row r="710" spans="2:36" ht="17.25" thickBot="1" x14ac:dyDescent="0.35">
      <c r="B710" s="120"/>
      <c r="C710" s="410"/>
      <c r="D710" s="410"/>
      <c r="E710" s="114"/>
      <c r="F710" s="72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  <c r="P710"/>
      <c r="S710" s="354" t="s">
        <v>717</v>
      </c>
      <c r="T710" s="358">
        <f>ROUNDUP(T699-(2*T701)+T700-(2*T701)+0.25,2)</f>
        <v>0.49</v>
      </c>
      <c r="U710" s="316"/>
      <c r="V710" s="316"/>
      <c r="W710" s="324">
        <v>12</v>
      </c>
      <c r="X710" s="325">
        <v>1</v>
      </c>
      <c r="Y710" s="325">
        <v>2.5</v>
      </c>
      <c r="Z710" s="325">
        <v>3.5</v>
      </c>
      <c r="AA710" s="337">
        <v>132</v>
      </c>
      <c r="AB710" s="327">
        <v>7.2</v>
      </c>
      <c r="AC710" s="327">
        <v>0.51</v>
      </c>
      <c r="AD710" s="328">
        <v>0.71</v>
      </c>
      <c r="AF710" s="352" t="s">
        <v>698</v>
      </c>
      <c r="AG710" s="359">
        <f>T703</f>
        <v>0.91839999999999999</v>
      </c>
      <c r="AH710" s="316">
        <f>AG710*100*AH708</f>
        <v>1.01024</v>
      </c>
      <c r="AI710" s="316"/>
      <c r="AJ710" s="374"/>
    </row>
    <row r="711" spans="2:36" ht="17.25" thickBot="1" x14ac:dyDescent="0.35">
      <c r="P711"/>
      <c r="Q711" s="388">
        <f>Q707+R713+U707</f>
        <v>3.7025641025641027</v>
      </c>
      <c r="S711" s="354" t="s">
        <v>699</v>
      </c>
      <c r="T711" s="360">
        <f>ROUNDUP((T698/T709)+1,0)</f>
        <v>329</v>
      </c>
      <c r="U711" s="345"/>
      <c r="V711" s="316"/>
      <c r="W711" s="324">
        <v>13</v>
      </c>
      <c r="X711" s="325">
        <v>1</v>
      </c>
      <c r="Y711" s="325">
        <v>2.5</v>
      </c>
      <c r="Z711" s="325">
        <v>4</v>
      </c>
      <c r="AA711" s="337">
        <v>118</v>
      </c>
      <c r="AB711" s="327">
        <v>6.7</v>
      </c>
      <c r="AC711" s="327">
        <v>0.48</v>
      </c>
      <c r="AD711" s="328">
        <v>0.77</v>
      </c>
      <c r="AF711" s="361" t="s">
        <v>700</v>
      </c>
      <c r="AG711" s="362">
        <f>ROUND(((VLOOKUP(AG708,AA698:AD713,2,FALSE))*AG710),2)</f>
        <v>9</v>
      </c>
      <c r="AH711" s="316">
        <f>AH708*(100*AG711)</f>
        <v>9.8999999999999986</v>
      </c>
      <c r="AI711" s="316">
        <f>ROUNDDOWN(AH711,0)</f>
        <v>9</v>
      </c>
      <c r="AJ711" s="374">
        <f>AI711/(100*AG711)</f>
        <v>0.01</v>
      </c>
    </row>
    <row r="712" spans="2:36" ht="17.25" thickBot="1" x14ac:dyDescent="0.35">
      <c r="F712" s="402" t="s">
        <v>9</v>
      </c>
      <c r="G712" s="403"/>
      <c r="H712" s="403"/>
      <c r="I712" s="404"/>
      <c r="K712" s="224">
        <f>+SUM(K701:K710)</f>
        <v>216.5</v>
      </c>
      <c r="L712" s="117">
        <f>+SUM(L701:L710)</f>
        <v>7122.4</v>
      </c>
      <c r="P712"/>
      <c r="S712" s="354" t="s">
        <v>701</v>
      </c>
      <c r="T712" s="363">
        <f>ROUNDDOWN(6/T710,0)</f>
        <v>12</v>
      </c>
      <c r="U712" s="364"/>
      <c r="V712" s="316"/>
      <c r="W712" s="324">
        <v>14</v>
      </c>
      <c r="X712" s="325">
        <v>1</v>
      </c>
      <c r="Y712" s="325">
        <v>3</v>
      </c>
      <c r="Z712" s="325">
        <v>4</v>
      </c>
      <c r="AA712" s="337">
        <v>94</v>
      </c>
      <c r="AB712" s="327">
        <v>6.3</v>
      </c>
      <c r="AC712" s="327">
        <v>0.53</v>
      </c>
      <c r="AD712" s="328">
        <v>0.71</v>
      </c>
      <c r="AF712" s="361" t="s">
        <v>702</v>
      </c>
      <c r="AG712" s="365">
        <f>(VLOOKUP(AG708,AA698:AD713,3,FALSE))*AG710</f>
        <v>0.50512000000000001</v>
      </c>
      <c r="AH712" s="316">
        <f>AH708*(100*AG712)</f>
        <v>0.55563200000000001</v>
      </c>
      <c r="AI712" s="316">
        <f>ROUNDUP(AH712,0)</f>
        <v>1</v>
      </c>
      <c r="AJ712" s="374">
        <f>AI712/(100*AG712)</f>
        <v>1.9797275894836871E-2</v>
      </c>
    </row>
    <row r="713" spans="2:36" ht="17.25" thickBot="1" x14ac:dyDescent="0.35">
      <c r="P713"/>
      <c r="R713">
        <f>T713/(VLOOKUP(T708,P696:Q701,2,FALSE))</f>
        <v>0.93333333333333335</v>
      </c>
      <c r="S713" s="338" t="s">
        <v>692</v>
      </c>
      <c r="T713" s="366">
        <f>ROUNDUP(T711/T712,0)</f>
        <v>28</v>
      </c>
      <c r="U713" s="316">
        <f>T713*T712</f>
        <v>336</v>
      </c>
      <c r="V713" s="316"/>
      <c r="W713" s="367">
        <v>15</v>
      </c>
      <c r="X713" s="368">
        <v>1</v>
      </c>
      <c r="Y713" s="368">
        <v>3</v>
      </c>
      <c r="Z713" s="368">
        <v>5</v>
      </c>
      <c r="AA713" s="369">
        <v>80</v>
      </c>
      <c r="AB713" s="370">
        <v>5.6</v>
      </c>
      <c r="AC713" s="370">
        <v>0.47</v>
      </c>
      <c r="AD713" s="371">
        <v>0.79</v>
      </c>
      <c r="AF713" s="361" t="s">
        <v>703</v>
      </c>
      <c r="AG713" s="365">
        <f>(VLOOKUP(AG708,AA698:AD713,4,FALSE))*AG710</f>
        <v>0.50512000000000001</v>
      </c>
      <c r="AH713" s="316">
        <f>AH708*(100*AG713)</f>
        <v>0.55563200000000001</v>
      </c>
      <c r="AI713" s="316">
        <f>ROUNDUP(AH713,0)</f>
        <v>1</v>
      </c>
      <c r="AJ713" s="374">
        <f>AI713/(100*AG713)</f>
        <v>1.9797275894836871E-2</v>
      </c>
    </row>
    <row r="714" spans="2:36" ht="17.25" thickBot="1" x14ac:dyDescent="0.35">
      <c r="B714" s="108" t="s">
        <v>10</v>
      </c>
      <c r="C714" s="413" t="s">
        <v>11</v>
      </c>
      <c r="D714" s="413"/>
      <c r="E714" s="413"/>
      <c r="F714" s="413"/>
      <c r="G714" s="414"/>
      <c r="P714" s="372"/>
      <c r="Q714" s="372"/>
      <c r="R714" s="316"/>
      <c r="S714" s="338" t="s">
        <v>704</v>
      </c>
      <c r="T714" s="373">
        <f>ROUNDUP(Q711*5*1.05,0)</f>
        <v>20</v>
      </c>
      <c r="U714" s="316"/>
      <c r="V714" s="316"/>
      <c r="W714" s="316"/>
      <c r="X714" s="316"/>
      <c r="Y714" s="316"/>
      <c r="Z714" s="316"/>
      <c r="AA714" s="316"/>
      <c r="AB714" s="316"/>
      <c r="AC714" s="316"/>
      <c r="AD714" s="316"/>
      <c r="AE714" s="316"/>
      <c r="AF714" s="316"/>
      <c r="AG714" s="316"/>
      <c r="AH714" s="316"/>
      <c r="AI714" s="316"/>
      <c r="AJ714" s="316"/>
    </row>
    <row r="715" spans="2:36" x14ac:dyDescent="0.3">
      <c r="B715" s="112" t="s">
        <v>6</v>
      </c>
      <c r="C715" s="415" t="s">
        <v>1</v>
      </c>
      <c r="D715" s="416"/>
      <c r="E715" s="110" t="s">
        <v>192</v>
      </c>
      <c r="F715" s="118" t="s">
        <v>2</v>
      </c>
      <c r="G715" s="112" t="s">
        <v>3</v>
      </c>
      <c r="H715" s="104"/>
      <c r="I715" s="105" t="s">
        <v>7</v>
      </c>
      <c r="J715" s="134"/>
      <c r="K715" s="105" t="s">
        <v>8</v>
      </c>
      <c r="L715" s="113" t="s">
        <v>193</v>
      </c>
      <c r="P715" s="372"/>
      <c r="Q715" s="372"/>
      <c r="R715" s="372"/>
      <c r="S715" s="372"/>
      <c r="T715" s="372"/>
      <c r="U715" s="372"/>
      <c r="V715" s="372"/>
      <c r="W715" s="372"/>
      <c r="X715" s="372"/>
      <c r="Y715" s="372"/>
      <c r="Z715" s="372"/>
      <c r="AA715" s="372"/>
      <c r="AB715" s="372"/>
      <c r="AC715" s="372"/>
      <c r="AD715" s="372"/>
      <c r="AE715" s="372"/>
      <c r="AF715" s="372"/>
      <c r="AG715" s="372"/>
      <c r="AH715" s="372"/>
      <c r="AI715" s="372"/>
      <c r="AJ715" s="372"/>
    </row>
    <row r="716" spans="2:36" x14ac:dyDescent="0.3">
      <c r="B716" s="120"/>
      <c r="C716" s="409"/>
      <c r="D716" s="409"/>
      <c r="E716" s="114"/>
      <c r="F716" s="83"/>
      <c r="G716" s="74"/>
      <c r="I716" s="115">
        <f>IF(C716=0,0,VLOOKUP(C716,Tabla3[],3,FALSE))</f>
        <v>0</v>
      </c>
      <c r="K716" s="84">
        <f>+F716*I716</f>
        <v>0</v>
      </c>
      <c r="L716" s="116">
        <f>E716*I716</f>
        <v>0</v>
      </c>
    </row>
    <row r="717" spans="2:36" x14ac:dyDescent="0.3">
      <c r="B717" s="74"/>
      <c r="C717" s="282"/>
      <c r="D717" s="283"/>
      <c r="E717" s="119"/>
      <c r="F717" s="72"/>
      <c r="G717" s="74"/>
      <c r="I717" s="115">
        <f>IF(C717=0,0,VLOOKUP(C717,Tabla3[],3,FALSE))</f>
        <v>0</v>
      </c>
      <c r="K717" s="84">
        <f>+F717*I717</f>
        <v>0</v>
      </c>
      <c r="L717" s="116">
        <f>E717*I717</f>
        <v>0</v>
      </c>
    </row>
    <row r="718" spans="2:36" x14ac:dyDescent="0.3">
      <c r="B718" s="74"/>
      <c r="C718" s="282"/>
      <c r="D718" s="283"/>
      <c r="E718" s="119"/>
      <c r="F718" s="72"/>
      <c r="G718" s="74"/>
      <c r="I718" s="115">
        <f>IF(C718=0,0,VLOOKUP(C718,Tabla3[],3,FALSE))</f>
        <v>0</v>
      </c>
      <c r="K718" s="84">
        <f>+F718*I718</f>
        <v>0</v>
      </c>
      <c r="L718" s="116">
        <f>E718*I718</f>
        <v>0</v>
      </c>
    </row>
    <row r="719" spans="2:36" x14ac:dyDescent="0.3">
      <c r="B719" s="74"/>
      <c r="C719" s="411"/>
      <c r="D719" s="412"/>
      <c r="E719" s="119"/>
      <c r="F719" s="72"/>
      <c r="G719" s="74"/>
      <c r="I719" s="115">
        <f>IF(C719=0,0,VLOOKUP(C719,Tabla3[],3,FALSE))</f>
        <v>0</v>
      </c>
      <c r="K719" s="84">
        <f>+F719*I719</f>
        <v>0</v>
      </c>
      <c r="L719" s="116">
        <f>E719*I719</f>
        <v>0</v>
      </c>
    </row>
    <row r="720" spans="2:36" ht="17.25" thickBot="1" x14ac:dyDescent="0.35"/>
    <row r="721" spans="2:12" ht="17.25" thickBot="1" x14ac:dyDescent="0.35">
      <c r="F721" s="402" t="s">
        <v>12</v>
      </c>
      <c r="G721" s="403"/>
      <c r="H721" s="403"/>
      <c r="I721" s="404"/>
      <c r="K721" s="224">
        <f>+SUM(K716:K719)</f>
        <v>0</v>
      </c>
      <c r="L721" s="117">
        <f>+SUM(L716:L719)</f>
        <v>0</v>
      </c>
    </row>
    <row r="722" spans="2:12" ht="17.25" thickBot="1" x14ac:dyDescent="0.35"/>
    <row r="723" spans="2:12" ht="17.25" thickBot="1" x14ac:dyDescent="0.35">
      <c r="B723" s="108" t="s">
        <v>13</v>
      </c>
      <c r="C723" s="413" t="s">
        <v>14</v>
      </c>
      <c r="D723" s="413"/>
      <c r="E723" s="413"/>
      <c r="F723" s="413"/>
      <c r="G723" s="414"/>
    </row>
    <row r="724" spans="2:12" x14ac:dyDescent="0.3">
      <c r="B724" s="112" t="s">
        <v>6</v>
      </c>
      <c r="C724" s="415" t="s">
        <v>1</v>
      </c>
      <c r="D724" s="416"/>
      <c r="E724" s="110" t="s">
        <v>192</v>
      </c>
      <c r="F724" s="118" t="s">
        <v>2</v>
      </c>
      <c r="G724" s="112" t="s">
        <v>3</v>
      </c>
      <c r="H724" s="104"/>
      <c r="I724" s="105" t="s">
        <v>7</v>
      </c>
      <c r="J724" s="134"/>
      <c r="K724" s="105" t="s">
        <v>8</v>
      </c>
      <c r="L724" s="113" t="s">
        <v>193</v>
      </c>
    </row>
    <row r="725" spans="2:12" x14ac:dyDescent="0.3">
      <c r="B725" s="120">
        <v>1</v>
      </c>
      <c r="C725" s="409" t="s">
        <v>420</v>
      </c>
      <c r="D725" s="409"/>
      <c r="E725" s="114">
        <f>I697</f>
        <v>32.799999999999997</v>
      </c>
      <c r="F725" s="83">
        <f>ROUND(E725/I697,2)</f>
        <v>1</v>
      </c>
      <c r="G725" s="74" t="str">
        <f>IF(C725=0,0,VLOOKUP(C725,Tabla2[],2,FALSE))</f>
        <v>ml</v>
      </c>
      <c r="I725" s="115">
        <f>IF(C725=0,0,VLOOKUP(C725,Tabla2[],3,FALSE))</f>
        <v>100</v>
      </c>
      <c r="K725" s="84">
        <f>+F725*I725</f>
        <v>100</v>
      </c>
      <c r="L725" s="116">
        <f>E725*I725</f>
        <v>3279.9999999999995</v>
      </c>
    </row>
    <row r="726" spans="2:12" x14ac:dyDescent="0.3">
      <c r="B726" s="120"/>
      <c r="C726" s="409"/>
      <c r="D726" s="409"/>
      <c r="E726" s="114"/>
      <c r="F726" s="83"/>
      <c r="G726" s="74"/>
      <c r="I726" s="115">
        <f>IF(C726=0,0,VLOOKUP(C726,Tabla2[],3,FALSE))</f>
        <v>0</v>
      </c>
      <c r="K726" s="84">
        <f>+F726*I726</f>
        <v>0</v>
      </c>
      <c r="L726" s="116">
        <f>E726*I726</f>
        <v>0</v>
      </c>
    </row>
    <row r="727" spans="2:12" ht="17.25" thickBot="1" x14ac:dyDescent="0.35">
      <c r="B727" s="121"/>
      <c r="C727" s="417"/>
      <c r="D727" s="418"/>
      <c r="E727" s="122"/>
      <c r="F727" s="123"/>
      <c r="G727" s="74"/>
      <c r="I727" s="115">
        <f>IF(C727=0,0,VLOOKUP(C727,Tabla2[],3,FALSE))</f>
        <v>0</v>
      </c>
      <c r="K727" s="84">
        <f>+F727*I727</f>
        <v>0</v>
      </c>
      <c r="L727" s="116">
        <f>E727*I727</f>
        <v>0</v>
      </c>
    </row>
    <row r="728" spans="2:12" ht="17.25" thickBot="1" x14ac:dyDescent="0.35">
      <c r="B728" s="419" t="s">
        <v>15</v>
      </c>
      <c r="C728" s="420"/>
      <c r="D728" s="420"/>
      <c r="E728" s="420"/>
      <c r="F728" s="420"/>
      <c r="G728" s="421"/>
      <c r="I728" s="84">
        <v>0</v>
      </c>
      <c r="K728" s="84">
        <v>0</v>
      </c>
      <c r="L728" s="116">
        <f>E728*I728</f>
        <v>0</v>
      </c>
    </row>
    <row r="729" spans="2:12" ht="17.25" thickBot="1" x14ac:dyDescent="0.35"/>
    <row r="730" spans="2:12" ht="17.25" thickBot="1" x14ac:dyDescent="0.35">
      <c r="F730" s="402" t="s">
        <v>16</v>
      </c>
      <c r="G730" s="403"/>
      <c r="H730" s="403"/>
      <c r="I730" s="404"/>
      <c r="K730" s="224">
        <f>+SUM(K725:K728)</f>
        <v>100</v>
      </c>
      <c r="L730" s="117">
        <f>+SUM(L725:L728)</f>
        <v>3279.9999999999995</v>
      </c>
    </row>
    <row r="731" spans="2:12" ht="17.25" thickBot="1" x14ac:dyDescent="0.35"/>
    <row r="732" spans="2:12" ht="17.25" thickBot="1" x14ac:dyDescent="0.35">
      <c r="B732" s="108" t="s">
        <v>17</v>
      </c>
      <c r="C732" s="413" t="s">
        <v>18</v>
      </c>
      <c r="D732" s="413"/>
      <c r="E732" s="413"/>
      <c r="F732" s="413"/>
      <c r="G732" s="414"/>
    </row>
    <row r="733" spans="2:12" x14ac:dyDescent="0.3">
      <c r="B733" s="112" t="s">
        <v>6</v>
      </c>
      <c r="C733" s="415" t="s">
        <v>1</v>
      </c>
      <c r="D733" s="416"/>
      <c r="E733" s="124"/>
      <c r="F733" s="118" t="s">
        <v>2</v>
      </c>
      <c r="G733" s="112" t="s">
        <v>3</v>
      </c>
      <c r="H733" s="104"/>
      <c r="I733" s="105" t="s">
        <v>7</v>
      </c>
      <c r="J733" s="134"/>
      <c r="K733" s="105" t="s">
        <v>8</v>
      </c>
      <c r="L733" s="113" t="s">
        <v>193</v>
      </c>
    </row>
    <row r="734" spans="2:12" x14ac:dyDescent="0.3">
      <c r="B734" s="74"/>
      <c r="C734" s="411"/>
      <c r="D734" s="412"/>
      <c r="E734" s="125"/>
      <c r="F734" s="72"/>
      <c r="G734" s="74"/>
      <c r="I734" s="84">
        <v>0</v>
      </c>
      <c r="K734" s="84">
        <f>+F734*I734</f>
        <v>0</v>
      </c>
      <c r="L734" s="116">
        <f>E734*I734</f>
        <v>0</v>
      </c>
    </row>
    <row r="735" spans="2:12" x14ac:dyDescent="0.3">
      <c r="B735" s="74"/>
      <c r="C735" s="411"/>
      <c r="D735" s="412"/>
      <c r="E735" s="125"/>
      <c r="F735" s="72"/>
      <c r="G735" s="74"/>
      <c r="I735" s="84">
        <v>0</v>
      </c>
      <c r="K735" s="84">
        <f>+F735*I735</f>
        <v>0</v>
      </c>
      <c r="L735" s="116">
        <f>E735*I735</f>
        <v>0</v>
      </c>
    </row>
    <row r="736" spans="2:12" x14ac:dyDescent="0.3">
      <c r="B736" s="74"/>
      <c r="C736" s="411"/>
      <c r="D736" s="412"/>
      <c r="E736" s="125"/>
      <c r="F736" s="72"/>
      <c r="G736" s="74"/>
      <c r="I736" s="84">
        <v>0</v>
      </c>
      <c r="K736" s="84">
        <f>+F736*I736</f>
        <v>0</v>
      </c>
      <c r="L736" s="116">
        <f>E736*I736</f>
        <v>0</v>
      </c>
    </row>
    <row r="737" spans="2:36" ht="17.25" thickBot="1" x14ac:dyDescent="0.35">
      <c r="L737" s="116"/>
    </row>
    <row r="738" spans="2:36" ht="17.25" thickBot="1" x14ac:dyDescent="0.35">
      <c r="F738" s="402" t="s">
        <v>19</v>
      </c>
      <c r="G738" s="403"/>
      <c r="H738" s="403"/>
      <c r="I738" s="404"/>
      <c r="K738" s="224">
        <f>+SUM(K734:K736)</f>
        <v>0</v>
      </c>
      <c r="L738" s="117">
        <f>+SUM(L733:L736)</f>
        <v>0</v>
      </c>
    </row>
    <row r="739" spans="2:36" ht="15" customHeight="1" x14ac:dyDescent="0.3">
      <c r="F739" s="126"/>
      <c r="G739" s="280"/>
      <c r="H739" s="128"/>
      <c r="I739" s="106"/>
      <c r="K739" s="225"/>
    </row>
    <row r="740" spans="2:36" ht="15" customHeight="1" thickBot="1" x14ac:dyDescent="0.35"/>
    <row r="741" spans="2:36" ht="17.25" thickBot="1" x14ac:dyDescent="0.35">
      <c r="F741" s="402" t="s">
        <v>20</v>
      </c>
      <c r="G741" s="403"/>
      <c r="H741" s="403"/>
      <c r="I741" s="404"/>
      <c r="K741" s="224">
        <f>(+K712+K721+K730+K738)</f>
        <v>316.5</v>
      </c>
      <c r="L741" s="117">
        <f>(+L712+L721+L730+L738)</f>
        <v>10402.4</v>
      </c>
      <c r="N741" s="129"/>
      <c r="O741" s="39"/>
      <c r="P741" s="40"/>
    </row>
    <row r="742" spans="2:36" ht="7.5" customHeight="1" thickBot="1" x14ac:dyDescent="0.35">
      <c r="N742" s="129"/>
      <c r="O742" s="41"/>
      <c r="P742" s="40"/>
    </row>
    <row r="743" spans="2:36" ht="17.25" thickBot="1" x14ac:dyDescent="0.35">
      <c r="F743" s="402" t="s">
        <v>21</v>
      </c>
      <c r="G743" s="403"/>
      <c r="H743" s="403"/>
      <c r="I743" s="404"/>
      <c r="K743" s="224">
        <f>K741*$N$2</f>
        <v>126.60000000000001</v>
      </c>
      <c r="L743" s="117">
        <f>L741*$N$2</f>
        <v>4160.96</v>
      </c>
    </row>
    <row r="744" spans="2:36" ht="7.5" customHeight="1" thickBot="1" x14ac:dyDescent="0.35"/>
    <row r="745" spans="2:36" ht="17.25" thickBot="1" x14ac:dyDescent="0.35">
      <c r="F745" s="402" t="s">
        <v>22</v>
      </c>
      <c r="G745" s="403"/>
      <c r="H745" s="403"/>
      <c r="I745" s="404"/>
      <c r="K745" s="224">
        <f>+K741+K743</f>
        <v>443.1</v>
      </c>
      <c r="L745" s="117">
        <f>+L741+L743</f>
        <v>14563.36</v>
      </c>
    </row>
    <row r="746" spans="2:36" ht="17.25" thickBot="1" x14ac:dyDescent="0.35">
      <c r="F746" s="126"/>
      <c r="G746" s="280"/>
      <c r="H746" s="128"/>
      <c r="I746" s="106"/>
      <c r="K746" s="226"/>
      <c r="L746" s="130">
        <f>L745/I697</f>
        <v>444.00487804878054</v>
      </c>
      <c r="M746" s="131">
        <f>(K745-L746)*I697</f>
        <v>-29.68000000000097</v>
      </c>
    </row>
    <row r="747" spans="2:36" x14ac:dyDescent="0.3">
      <c r="F747" s="126"/>
      <c r="G747" s="280"/>
      <c r="H747" s="128"/>
      <c r="I747" s="106"/>
      <c r="K747" s="227"/>
      <c r="L747" s="129"/>
      <c r="M747" s="132"/>
      <c r="N747" s="133"/>
    </row>
    <row r="748" spans="2:36" ht="17.25" thickBot="1" x14ac:dyDescent="0.35">
      <c r="B748" s="405"/>
      <c r="C748" s="405"/>
      <c r="D748" s="405"/>
    </row>
    <row r="749" spans="2:36" x14ac:dyDescent="0.3">
      <c r="B749" s="406" t="s">
        <v>23</v>
      </c>
      <c r="C749" s="406"/>
      <c r="D749" s="406"/>
    </row>
    <row r="750" spans="2:36" x14ac:dyDescent="0.3">
      <c r="B750" s="281"/>
      <c r="C750" s="281"/>
      <c r="D750" s="281"/>
    </row>
    <row r="751" spans="2:36" ht="17.25" thickBot="1" x14ac:dyDescent="0.35">
      <c r="B751" s="281"/>
      <c r="C751" s="281"/>
      <c r="D751" s="281"/>
    </row>
    <row r="752" spans="2:36" x14ac:dyDescent="0.3">
      <c r="B752" s="103" t="s">
        <v>43</v>
      </c>
      <c r="C752" s="104"/>
      <c r="D752" s="422" t="s">
        <v>1</v>
      </c>
      <c r="E752" s="422"/>
      <c r="F752" s="422"/>
      <c r="G752" s="422"/>
      <c r="H752" s="104"/>
      <c r="I752" s="105" t="s">
        <v>2</v>
      </c>
      <c r="J752" s="134"/>
      <c r="K752" s="105" t="s">
        <v>3</v>
      </c>
      <c r="P752" s="461" t="s">
        <v>666</v>
      </c>
      <c r="Q752" s="462"/>
      <c r="S752" s="463" t="s">
        <v>725</v>
      </c>
      <c r="T752" s="463"/>
      <c r="U752" s="316"/>
      <c r="V752" s="316"/>
      <c r="W752" s="464" t="s">
        <v>668</v>
      </c>
      <c r="X752" s="466" t="s">
        <v>669</v>
      </c>
      <c r="Y752" s="467"/>
      <c r="Z752" s="468"/>
      <c r="AA752" s="469" t="s">
        <v>670</v>
      </c>
      <c r="AB752" s="471" t="s">
        <v>671</v>
      </c>
      <c r="AC752" s="473" t="s">
        <v>672</v>
      </c>
      <c r="AD752" s="475" t="s">
        <v>673</v>
      </c>
      <c r="AH752" s="316"/>
      <c r="AI752" s="316"/>
      <c r="AJ752" s="316"/>
    </row>
    <row r="753" spans="1:36" s="4" customFormat="1" ht="30.75" customHeight="1" x14ac:dyDescent="0.25">
      <c r="A753" s="31"/>
      <c r="B753" s="287">
        <f>CATALOGO!B39</f>
        <v>405.23</v>
      </c>
      <c r="C753" s="71"/>
      <c r="D753" s="423" t="str">
        <f>CATALOGO!C39</f>
        <v>SOLERA DE HUMEDAD (0.14m X 0.20m + 4 NO. 3 + EST NO. 2 @ 0.20m)</v>
      </c>
      <c r="E753" s="423"/>
      <c r="F753" s="423"/>
      <c r="G753" s="423"/>
      <c r="H753" s="71"/>
      <c r="I753" s="287">
        <f>CATALOGO!E39</f>
        <v>14</v>
      </c>
      <c r="J753" s="107"/>
      <c r="K753" s="222" t="str">
        <f>CATALOGO!G39</f>
        <v>ml</v>
      </c>
      <c r="L753" s="71"/>
      <c r="M753" s="71"/>
      <c r="N753" s="102"/>
      <c r="O753" s="37"/>
      <c r="P753" s="317" t="s">
        <v>6</v>
      </c>
      <c r="Q753" s="318" t="s">
        <v>674</v>
      </c>
      <c r="R753"/>
      <c r="S753" s="477" t="s">
        <v>675</v>
      </c>
      <c r="T753" s="477"/>
      <c r="U753" s="316"/>
      <c r="V753" s="316"/>
      <c r="W753" s="465"/>
      <c r="X753" s="319" t="s">
        <v>676</v>
      </c>
      <c r="Y753" s="319" t="s">
        <v>677</v>
      </c>
      <c r="Z753" s="319" t="s">
        <v>678</v>
      </c>
      <c r="AA753" s="470"/>
      <c r="AB753" s="472"/>
      <c r="AC753" s="474"/>
      <c r="AD753" s="476"/>
      <c r="AE753"/>
      <c r="AF753"/>
      <c r="AG753"/>
      <c r="AH753" s="316"/>
      <c r="AI753" s="316"/>
      <c r="AJ753" s="316"/>
    </row>
    <row r="754" spans="1:36" ht="17.25" thickBot="1" x14ac:dyDescent="0.35">
      <c r="P754" s="320" t="s">
        <v>679</v>
      </c>
      <c r="Q754" s="321">
        <v>30</v>
      </c>
      <c r="S754" s="322" t="s">
        <v>680</v>
      </c>
      <c r="T754" s="323">
        <f>I753</f>
        <v>14</v>
      </c>
      <c r="U754" s="316">
        <v>15.6</v>
      </c>
      <c r="V754" s="316"/>
      <c r="W754" s="324">
        <v>1</v>
      </c>
      <c r="X754" s="325">
        <v>1</v>
      </c>
      <c r="Y754" s="325">
        <v>1.5</v>
      </c>
      <c r="Z754" s="325">
        <v>1.5</v>
      </c>
      <c r="AA754" s="326">
        <v>303</v>
      </c>
      <c r="AB754" s="327">
        <v>12.6</v>
      </c>
      <c r="AC754" s="327">
        <v>0.53</v>
      </c>
      <c r="AD754" s="328">
        <v>0.55000000000000004</v>
      </c>
      <c r="AH754" s="316"/>
      <c r="AI754" s="316"/>
      <c r="AJ754" s="316"/>
    </row>
    <row r="755" spans="1:36" ht="17.25" thickBot="1" x14ac:dyDescent="0.35">
      <c r="B755" s="108" t="s">
        <v>4</v>
      </c>
      <c r="C755" s="413" t="s">
        <v>5</v>
      </c>
      <c r="D755" s="413"/>
      <c r="E755" s="413"/>
      <c r="F755" s="413"/>
      <c r="G755" s="414"/>
      <c r="P755" s="320" t="s">
        <v>681</v>
      </c>
      <c r="Q755" s="321">
        <v>13</v>
      </c>
      <c r="S755" s="322" t="s">
        <v>682</v>
      </c>
      <c r="T755" s="329">
        <v>0.14000000000000001</v>
      </c>
      <c r="U755" s="316"/>
      <c r="V755" s="316"/>
      <c r="W755" s="324"/>
      <c r="X755" s="325"/>
      <c r="Y755" s="325"/>
      <c r="Z755" s="325"/>
      <c r="AA755" s="326">
        <v>281</v>
      </c>
      <c r="AB755" s="327">
        <v>11.7</v>
      </c>
      <c r="AC755" s="327">
        <v>0.5</v>
      </c>
      <c r="AD755" s="328">
        <v>0.61</v>
      </c>
      <c r="AH755" s="316"/>
      <c r="AI755" s="316"/>
      <c r="AJ755" s="316"/>
    </row>
    <row r="756" spans="1:36" x14ac:dyDescent="0.3">
      <c r="B756" s="109" t="s">
        <v>6</v>
      </c>
      <c r="C756" s="424" t="s">
        <v>1</v>
      </c>
      <c r="D756" s="425"/>
      <c r="E756" s="110" t="s">
        <v>192</v>
      </c>
      <c r="F756" s="111" t="s">
        <v>2</v>
      </c>
      <c r="G756" s="112" t="s">
        <v>3</v>
      </c>
      <c r="H756" s="104"/>
      <c r="I756" s="105" t="s">
        <v>7</v>
      </c>
      <c r="J756" s="134"/>
      <c r="K756" s="223" t="s">
        <v>8</v>
      </c>
      <c r="L756" s="113" t="s">
        <v>193</v>
      </c>
      <c r="P756" s="320" t="s">
        <v>683</v>
      </c>
      <c r="Q756" s="321">
        <v>7</v>
      </c>
      <c r="S756" s="330" t="s">
        <v>684</v>
      </c>
      <c r="T756" s="331">
        <v>0.2</v>
      </c>
      <c r="U756" s="316"/>
      <c r="V756" s="316"/>
      <c r="W756" s="324">
        <v>2</v>
      </c>
      <c r="X756" s="325">
        <v>1</v>
      </c>
      <c r="Y756" s="325">
        <v>1.5</v>
      </c>
      <c r="Z756" s="325">
        <v>2</v>
      </c>
      <c r="AA756" s="326">
        <v>270</v>
      </c>
      <c r="AB756" s="327">
        <v>11.3</v>
      </c>
      <c r="AC756" s="327">
        <v>0.48</v>
      </c>
      <c r="AD756" s="328">
        <v>0.64</v>
      </c>
      <c r="AH756" s="316"/>
      <c r="AI756" s="316"/>
      <c r="AJ756" s="316"/>
    </row>
    <row r="757" spans="1:36" ht="17.25" thickBot="1" x14ac:dyDescent="0.35">
      <c r="B757" s="120">
        <v>1</v>
      </c>
      <c r="C757" s="407" t="s">
        <v>168</v>
      </c>
      <c r="D757" s="408"/>
      <c r="E757" s="114">
        <f>T763</f>
        <v>12</v>
      </c>
      <c r="F757" s="83">
        <f>ROUND(E757/I753,2)-0.01</f>
        <v>0.85</v>
      </c>
      <c r="G757" s="74" t="str">
        <f>IF(C757=0,0,VLOOKUP(C757,Tabla1[],2,FALSE))</f>
        <v>Varilla</v>
      </c>
      <c r="I757" s="115">
        <f>IF(C757=0,0,VLOOKUP(C757,Tabla1[],3,FALSE))</f>
        <v>40</v>
      </c>
      <c r="K757" s="84">
        <f>+F757*I757</f>
        <v>34</v>
      </c>
      <c r="L757" s="116">
        <f>E757*I757</f>
        <v>480</v>
      </c>
      <c r="P757" s="332" t="s">
        <v>685</v>
      </c>
      <c r="Q757" s="333">
        <v>4</v>
      </c>
      <c r="S757" s="334" t="s">
        <v>686</v>
      </c>
      <c r="T757" s="331">
        <v>2.5000000000000001E-2</v>
      </c>
      <c r="U757" s="316"/>
      <c r="V757" s="316"/>
      <c r="W757" s="324">
        <v>3</v>
      </c>
      <c r="X757" s="325">
        <v>1</v>
      </c>
      <c r="Y757" s="325">
        <v>1.5</v>
      </c>
      <c r="Z757" s="325">
        <v>2.5</v>
      </c>
      <c r="AA757" s="326">
        <v>245</v>
      </c>
      <c r="AB757" s="327">
        <v>10.1</v>
      </c>
      <c r="AC757" s="327">
        <v>0.43</v>
      </c>
      <c r="AD757" s="328">
        <v>0.71</v>
      </c>
      <c r="AH757" s="316"/>
      <c r="AI757" s="316"/>
      <c r="AJ757" s="316"/>
    </row>
    <row r="758" spans="1:36" ht="17.25" thickBot="1" x14ac:dyDescent="0.35">
      <c r="B758" s="120">
        <v>2</v>
      </c>
      <c r="C758" s="407" t="s">
        <v>312</v>
      </c>
      <c r="D758" s="408"/>
      <c r="E758" s="114">
        <f>T769</f>
        <v>7</v>
      </c>
      <c r="F758" s="83">
        <f>ROUND(E758/I753,2)</f>
        <v>0.5</v>
      </c>
      <c r="G758" s="74" t="str">
        <f>IF(C758=0,0,VLOOKUP(C758,Tabla1[],2,FALSE))</f>
        <v>Varilla</v>
      </c>
      <c r="I758" s="115">
        <f>IF(C758=0,0,VLOOKUP(C758,Tabla1[],3,FALSE))</f>
        <v>20</v>
      </c>
      <c r="K758" s="84">
        <f>+F758*I758</f>
        <v>10</v>
      </c>
      <c r="L758" s="116">
        <f>E758*I758</f>
        <v>140</v>
      </c>
      <c r="P758" s="335"/>
      <c r="Q758" s="336"/>
      <c r="S758" s="322"/>
      <c r="T758" s="331"/>
      <c r="U758" s="316"/>
      <c r="V758" s="316"/>
      <c r="W758" s="324">
        <v>4</v>
      </c>
      <c r="X758" s="325">
        <v>1</v>
      </c>
      <c r="Y758" s="325">
        <v>1.5</v>
      </c>
      <c r="Z758" s="325">
        <v>3</v>
      </c>
      <c r="AA758" s="337">
        <v>230</v>
      </c>
      <c r="AB758" s="327">
        <v>9.3000000000000007</v>
      </c>
      <c r="AC758" s="327">
        <v>0.37</v>
      </c>
      <c r="AD758" s="328">
        <v>0.79</v>
      </c>
      <c r="AH758" s="316"/>
      <c r="AI758" s="316"/>
      <c r="AJ758" s="316"/>
    </row>
    <row r="759" spans="1:36" ht="17.25" thickBot="1" x14ac:dyDescent="0.35">
      <c r="B759" s="120">
        <v>3</v>
      </c>
      <c r="C759" s="428" t="s">
        <v>213</v>
      </c>
      <c r="D759" s="429"/>
      <c r="E759" s="114">
        <f>AI767</f>
        <v>4</v>
      </c>
      <c r="F759" s="83">
        <f>ROUND(E759/I753,2)+0.01</f>
        <v>0.3</v>
      </c>
      <c r="G759" s="74" t="str">
        <f>IF(C759=0,0,VLOOKUP(C759,Tabla1[],2,FALSE))</f>
        <v>Saco</v>
      </c>
      <c r="I759" s="115">
        <f>IF(C759=0,0,VLOOKUP(C759,Tabla1[],3,FALSE))</f>
        <v>80</v>
      </c>
      <c r="K759" s="84">
        <f t="shared" ref="K759:K766" si="20">+F759*I759</f>
        <v>24</v>
      </c>
      <c r="L759" s="116">
        <f t="shared" ref="L759:L766" si="21">E759*I759</f>
        <v>320</v>
      </c>
      <c r="P759"/>
      <c r="S759" s="338" t="s">
        <v>688</v>
      </c>
      <c r="T759" s="339">
        <f>T754*T755*T756</f>
        <v>0.39200000000000007</v>
      </c>
      <c r="U759" s="316"/>
      <c r="V759" s="316"/>
      <c r="W759" s="340">
        <v>5</v>
      </c>
      <c r="X759" s="341">
        <v>1</v>
      </c>
      <c r="Y759" s="341">
        <v>2</v>
      </c>
      <c r="Z759" s="341">
        <v>2</v>
      </c>
      <c r="AA759" s="337">
        <v>217</v>
      </c>
      <c r="AB759" s="342">
        <v>9.8000000000000007</v>
      </c>
      <c r="AC759" s="342">
        <v>0.55000000000000004</v>
      </c>
      <c r="AD759" s="343">
        <v>0.55000000000000004</v>
      </c>
      <c r="AH759" s="316"/>
      <c r="AI759" s="316"/>
      <c r="AJ759" s="316"/>
    </row>
    <row r="760" spans="1:36" x14ac:dyDescent="0.3">
      <c r="B760" s="120">
        <v>4</v>
      </c>
      <c r="C760" s="430" t="s">
        <v>72</v>
      </c>
      <c r="D760" s="429"/>
      <c r="E760" s="114">
        <f>AI768</f>
        <v>1</v>
      </c>
      <c r="F760" s="83">
        <f>ROUND(E760/I753,2)</f>
        <v>7.0000000000000007E-2</v>
      </c>
      <c r="G760" s="74" t="str">
        <f>IF(C760=0,0,VLOOKUP(C760,Tabla1[],2,FALSE))</f>
        <v>m³</v>
      </c>
      <c r="I760" s="115">
        <f>IF(C760=0,0,VLOOKUP(C760,Tabla1[],3,FALSE))</f>
        <v>250</v>
      </c>
      <c r="K760" s="84">
        <f t="shared" si="20"/>
        <v>17.5</v>
      </c>
      <c r="L760" s="116">
        <f t="shared" si="21"/>
        <v>250</v>
      </c>
      <c r="P760"/>
      <c r="S760" s="338"/>
      <c r="T760" s="344"/>
      <c r="U760" s="345"/>
      <c r="V760" s="316"/>
      <c r="W760" s="324">
        <v>6</v>
      </c>
      <c r="X760" s="325">
        <v>1</v>
      </c>
      <c r="Y760" s="325">
        <v>2</v>
      </c>
      <c r="Z760" s="325">
        <v>2.5</v>
      </c>
      <c r="AA760" s="326">
        <v>195</v>
      </c>
      <c r="AB760" s="327">
        <v>9.1</v>
      </c>
      <c r="AC760" s="327">
        <v>0.51</v>
      </c>
      <c r="AD760" s="328">
        <v>0.64</v>
      </c>
      <c r="AH760" s="316"/>
      <c r="AI760" s="316"/>
      <c r="AJ760" s="316"/>
    </row>
    <row r="761" spans="1:36" x14ac:dyDescent="0.3">
      <c r="B761" s="120">
        <v>5</v>
      </c>
      <c r="C761" s="430" t="s">
        <v>229</v>
      </c>
      <c r="D761" s="429"/>
      <c r="E761" s="114">
        <f>AI769</f>
        <v>1</v>
      </c>
      <c r="F761" s="83">
        <f>ROUND(E761/I753,2)</f>
        <v>7.0000000000000007E-2</v>
      </c>
      <c r="G761" s="74" t="str">
        <f>IF(C761=0,0,VLOOKUP(C761,Tabla1[],2,FALSE))</f>
        <v>m³</v>
      </c>
      <c r="I761" s="115">
        <f>IF(C761=0,0,VLOOKUP(C761,Tabla1[],3,FALSE))</f>
        <v>250</v>
      </c>
      <c r="K761" s="84">
        <f t="shared" si="20"/>
        <v>17.5</v>
      </c>
      <c r="L761" s="116">
        <f t="shared" si="21"/>
        <v>250</v>
      </c>
      <c r="P761"/>
      <c r="S761" s="380" t="s">
        <v>690</v>
      </c>
      <c r="T761" s="380"/>
      <c r="U761" s="347"/>
      <c r="V761" s="316"/>
      <c r="W761" s="324">
        <v>7</v>
      </c>
      <c r="X761" s="325">
        <v>1</v>
      </c>
      <c r="Y761" s="325">
        <v>2</v>
      </c>
      <c r="Z761" s="325">
        <v>3</v>
      </c>
      <c r="AA761" s="337">
        <v>165</v>
      </c>
      <c r="AB761" s="327">
        <v>8.4</v>
      </c>
      <c r="AC761" s="327">
        <v>0.47</v>
      </c>
      <c r="AD761" s="328">
        <v>0.71</v>
      </c>
      <c r="AH761" s="316"/>
      <c r="AI761" s="316"/>
      <c r="AJ761" s="316"/>
    </row>
    <row r="762" spans="1:36" ht="17.25" thickBot="1" x14ac:dyDescent="0.35">
      <c r="B762" s="120">
        <v>6</v>
      </c>
      <c r="C762" s="433" t="s">
        <v>368</v>
      </c>
      <c r="D762" s="433"/>
      <c r="E762" s="114">
        <f>T770</f>
        <v>7</v>
      </c>
      <c r="F762" s="83">
        <f>ROUND(E762/I753,2)</f>
        <v>0.5</v>
      </c>
      <c r="G762" s="74" t="str">
        <f>IF(C762=0,0,VLOOKUP(C762,Tabla1[],2,FALSE))</f>
        <v>Libra</v>
      </c>
      <c r="I762" s="115">
        <f>IF(C762=0,0,VLOOKUP(C762,Tabla1[],3,FALSE))</f>
        <v>8</v>
      </c>
      <c r="K762" s="84">
        <f t="shared" si="20"/>
        <v>4</v>
      </c>
      <c r="L762" s="116">
        <f t="shared" si="21"/>
        <v>56</v>
      </c>
      <c r="P762"/>
      <c r="S762" s="334" t="s">
        <v>691</v>
      </c>
      <c r="T762" s="329" t="s">
        <v>681</v>
      </c>
      <c r="U762" s="316"/>
      <c r="V762" s="316"/>
      <c r="W762" s="324">
        <v>8</v>
      </c>
      <c r="X762" s="325">
        <v>1</v>
      </c>
      <c r="Y762" s="325">
        <v>2</v>
      </c>
      <c r="Z762" s="325">
        <v>3.5</v>
      </c>
      <c r="AA762" s="337">
        <v>164</v>
      </c>
      <c r="AB762" s="327">
        <v>7.8</v>
      </c>
      <c r="AC762" s="327">
        <v>0.44</v>
      </c>
      <c r="AD762" s="328">
        <v>0.76</v>
      </c>
      <c r="AH762" s="316"/>
      <c r="AI762" s="316"/>
      <c r="AJ762" s="316"/>
    </row>
    <row r="763" spans="1:36" x14ac:dyDescent="0.3">
      <c r="B763" s="120">
        <v>7</v>
      </c>
      <c r="C763" s="433" t="s">
        <v>174</v>
      </c>
      <c r="D763" s="433"/>
      <c r="E763" s="114">
        <f>E762</f>
        <v>7</v>
      </c>
      <c r="F763" s="83">
        <f>ROUND(E763/I753,2)</f>
        <v>0.5</v>
      </c>
      <c r="G763" s="74" t="str">
        <f>IF(C763=0,0,VLOOKUP(C763,Tabla1[],2,FALSE))</f>
        <v>Libra</v>
      </c>
      <c r="I763" s="115">
        <f>IF(C763=0,0,VLOOKUP(C763,Tabla1[],3,FALSE))</f>
        <v>10</v>
      </c>
      <c r="K763" s="84">
        <f t="shared" si="20"/>
        <v>5</v>
      </c>
      <c r="L763" s="116">
        <f t="shared" si="21"/>
        <v>70</v>
      </c>
      <c r="P763"/>
      <c r="S763" s="338" t="s">
        <v>692</v>
      </c>
      <c r="T763" s="348">
        <f>3*4</f>
        <v>12</v>
      </c>
      <c r="U763" s="387">
        <f>T763/(VLOOKUP(T762,P752:Q757,2,FALSE))</f>
        <v>0.92307692307692313</v>
      </c>
      <c r="V763" s="316"/>
      <c r="W763" s="324">
        <v>9</v>
      </c>
      <c r="X763" s="325">
        <v>1</v>
      </c>
      <c r="Y763" s="325">
        <v>2</v>
      </c>
      <c r="Z763" s="325">
        <v>4</v>
      </c>
      <c r="AA763" s="337">
        <v>140</v>
      </c>
      <c r="AB763" s="327">
        <v>7.3</v>
      </c>
      <c r="AC763" s="327">
        <v>0.41</v>
      </c>
      <c r="AD763" s="328">
        <v>0.82</v>
      </c>
      <c r="AF763" s="349" t="s">
        <v>693</v>
      </c>
      <c r="AG763" s="349"/>
      <c r="AH763" s="316"/>
      <c r="AI763" s="316"/>
      <c r="AJ763" s="316"/>
    </row>
    <row r="764" spans="1:36" x14ac:dyDescent="0.3">
      <c r="B764" s="120">
        <v>8</v>
      </c>
      <c r="C764" s="433" t="s">
        <v>179</v>
      </c>
      <c r="D764" s="433"/>
      <c r="E764" s="114">
        <f>I753*6</f>
        <v>84</v>
      </c>
      <c r="F764" s="83">
        <f>ROUND(E764/I753,2)</f>
        <v>6</v>
      </c>
      <c r="G764" s="74" t="str">
        <f>IF(C764=0,0,VLOOKUP(C764,Tabla1[],2,FALSE))</f>
        <v>pt</v>
      </c>
      <c r="I764" s="115">
        <f>IF(C764=0,0,VLOOKUP(C764,Tabla1[],3,FALSE))</f>
        <v>9</v>
      </c>
      <c r="K764" s="84">
        <f t="shared" si="20"/>
        <v>54</v>
      </c>
      <c r="L764" s="116">
        <f t="shared" si="21"/>
        <v>756</v>
      </c>
      <c r="P764"/>
      <c r="S764" s="350" t="s">
        <v>716</v>
      </c>
      <c r="T764" s="351" t="s">
        <v>679</v>
      </c>
      <c r="U764" s="316"/>
      <c r="V764" s="316"/>
      <c r="W764" s="324">
        <v>10</v>
      </c>
      <c r="X764" s="325">
        <v>1</v>
      </c>
      <c r="Y764" s="325">
        <v>2.5</v>
      </c>
      <c r="Z764" s="325">
        <v>2.5</v>
      </c>
      <c r="AA764" s="337">
        <v>156</v>
      </c>
      <c r="AB764" s="327">
        <v>8.3000000000000007</v>
      </c>
      <c r="AC764" s="327">
        <v>0.57999999999999996</v>
      </c>
      <c r="AD764" s="328">
        <v>0.57999999999999996</v>
      </c>
      <c r="AF764" s="352" t="s">
        <v>694</v>
      </c>
      <c r="AG764" s="329">
        <v>217</v>
      </c>
      <c r="AH764" s="353">
        <v>1.0999999999999999E-2</v>
      </c>
      <c r="AI764" s="316"/>
      <c r="AJ764" s="316"/>
    </row>
    <row r="765" spans="1:36" x14ac:dyDescent="0.3">
      <c r="B765" s="120"/>
      <c r="C765" s="410"/>
      <c r="D765" s="410"/>
      <c r="E765" s="114"/>
      <c r="F765" s="72"/>
      <c r="G765" s="74"/>
      <c r="I765" s="115">
        <f>IF(C765=0,0,VLOOKUP(C765,Tabla1[],3,FALSE))</f>
        <v>0</v>
      </c>
      <c r="K765" s="84">
        <f t="shared" si="20"/>
        <v>0</v>
      </c>
      <c r="L765" s="116">
        <f t="shared" si="21"/>
        <v>0</v>
      </c>
      <c r="P765"/>
      <c r="S765" s="354" t="s">
        <v>695</v>
      </c>
      <c r="T765" s="355">
        <v>0.2</v>
      </c>
      <c r="U765" s="316"/>
      <c r="V765" s="316"/>
      <c r="W765" s="324">
        <v>11</v>
      </c>
      <c r="X765" s="325">
        <v>1</v>
      </c>
      <c r="Y765" s="325">
        <v>2.5</v>
      </c>
      <c r="Z765" s="325">
        <v>3</v>
      </c>
      <c r="AA765" s="337">
        <v>147</v>
      </c>
      <c r="AB765" s="327">
        <v>7.6</v>
      </c>
      <c r="AC765" s="327">
        <v>0.54</v>
      </c>
      <c r="AD765" s="328">
        <v>0.65</v>
      </c>
      <c r="AF765" s="356" t="s">
        <v>696</v>
      </c>
      <c r="AG765" s="357">
        <f>AG764/0.07031</f>
        <v>3086.3319584696346</v>
      </c>
      <c r="AH765" s="316"/>
      <c r="AI765" s="316"/>
      <c r="AJ765" s="316"/>
    </row>
    <row r="766" spans="1:36" ht="17.25" thickBot="1" x14ac:dyDescent="0.35">
      <c r="B766" s="120"/>
      <c r="C766" s="410"/>
      <c r="D766" s="410"/>
      <c r="E766" s="114"/>
      <c r="F766" s="72"/>
      <c r="G766" s="74"/>
      <c r="I766" s="115">
        <f>IF(C766=0,0,VLOOKUP(C766,Tabla1[],3,FALSE))</f>
        <v>0</v>
      </c>
      <c r="K766" s="84">
        <f t="shared" si="20"/>
        <v>0</v>
      </c>
      <c r="L766" s="116">
        <f t="shared" si="21"/>
        <v>0</v>
      </c>
      <c r="P766"/>
      <c r="S766" s="354" t="s">
        <v>717</v>
      </c>
      <c r="T766" s="358">
        <f>ROUNDUP(T755-(2*T757)+T756-(2*T757)+0.25,2)</f>
        <v>0.49</v>
      </c>
      <c r="U766" s="316"/>
      <c r="V766" s="316"/>
      <c r="W766" s="324">
        <v>12</v>
      </c>
      <c r="X766" s="325">
        <v>1</v>
      </c>
      <c r="Y766" s="325">
        <v>2.5</v>
      </c>
      <c r="Z766" s="325">
        <v>3.5</v>
      </c>
      <c r="AA766" s="337">
        <v>132</v>
      </c>
      <c r="AB766" s="327">
        <v>7.2</v>
      </c>
      <c r="AC766" s="327">
        <v>0.51</v>
      </c>
      <c r="AD766" s="328">
        <v>0.71</v>
      </c>
      <c r="AF766" s="352" t="s">
        <v>698</v>
      </c>
      <c r="AG766" s="359">
        <f>T759</f>
        <v>0.39200000000000007</v>
      </c>
      <c r="AH766" s="316">
        <f>AG766*100*AH764</f>
        <v>0.43120000000000008</v>
      </c>
      <c r="AI766" s="316"/>
      <c r="AJ766" s="374"/>
    </row>
    <row r="767" spans="1:36" ht="17.25" thickBot="1" x14ac:dyDescent="0.35">
      <c r="P767"/>
      <c r="Q767" s="388">
        <f>Q763+R769+U763</f>
        <v>1.1564102564102565</v>
      </c>
      <c r="S767" s="354" t="s">
        <v>699</v>
      </c>
      <c r="T767" s="360">
        <f>ROUNDUP((U754/T765)+1,0)</f>
        <v>79</v>
      </c>
      <c r="U767" s="345"/>
      <c r="V767" s="316"/>
      <c r="W767" s="324">
        <v>13</v>
      </c>
      <c r="X767" s="325">
        <v>1</v>
      </c>
      <c r="Y767" s="325">
        <v>2.5</v>
      </c>
      <c r="Z767" s="325">
        <v>4</v>
      </c>
      <c r="AA767" s="337">
        <v>118</v>
      </c>
      <c r="AB767" s="327">
        <v>6.7</v>
      </c>
      <c r="AC767" s="327">
        <v>0.48</v>
      </c>
      <c r="AD767" s="328">
        <v>0.77</v>
      </c>
      <c r="AF767" s="361" t="s">
        <v>700</v>
      </c>
      <c r="AG767" s="362">
        <f>ROUND(((VLOOKUP(AG764,AA754:AD769,2,FALSE))*AG766),2)</f>
        <v>3.84</v>
      </c>
      <c r="AH767" s="316">
        <f>AH764*(100*AG767)</f>
        <v>4.2240000000000002</v>
      </c>
      <c r="AI767" s="316">
        <f>ROUNDDOWN(AH767,0)</f>
        <v>4</v>
      </c>
      <c r="AJ767" s="374">
        <f>AI767/(100*AG767)</f>
        <v>1.0416666666666666E-2</v>
      </c>
    </row>
    <row r="768" spans="1:36" ht="17.25" thickBot="1" x14ac:dyDescent="0.35">
      <c r="F768" s="402" t="s">
        <v>9</v>
      </c>
      <c r="G768" s="403"/>
      <c r="H768" s="403"/>
      <c r="I768" s="404"/>
      <c r="K768" s="224">
        <f>+SUM(K757:K766)</f>
        <v>166</v>
      </c>
      <c r="L768" s="117">
        <f>+SUM(L757:L766)</f>
        <v>2322</v>
      </c>
      <c r="P768"/>
      <c r="S768" s="354" t="s">
        <v>701</v>
      </c>
      <c r="T768" s="363">
        <f>ROUNDDOWN(6/T766,0)</f>
        <v>12</v>
      </c>
      <c r="U768" s="364"/>
      <c r="V768" s="316"/>
      <c r="W768" s="324">
        <v>14</v>
      </c>
      <c r="X768" s="325">
        <v>1</v>
      </c>
      <c r="Y768" s="325">
        <v>3</v>
      </c>
      <c r="Z768" s="325">
        <v>4</v>
      </c>
      <c r="AA768" s="337">
        <v>94</v>
      </c>
      <c r="AB768" s="327">
        <v>6.3</v>
      </c>
      <c r="AC768" s="327">
        <v>0.53</v>
      </c>
      <c r="AD768" s="328">
        <v>0.71</v>
      </c>
      <c r="AF768" s="361" t="s">
        <v>702</v>
      </c>
      <c r="AG768" s="365">
        <f>(VLOOKUP(AG764,AA754:AD769,3,FALSE))*AG766</f>
        <v>0.21560000000000007</v>
      </c>
      <c r="AH768" s="316">
        <f>AH764*(100*AG768)</f>
        <v>0.23716000000000004</v>
      </c>
      <c r="AI768" s="316">
        <f>ROUNDUP(AH768,0)</f>
        <v>1</v>
      </c>
      <c r="AJ768" s="374">
        <f>AI768/(100*AG768)</f>
        <v>4.6382189239332086E-2</v>
      </c>
    </row>
    <row r="769" spans="2:36" ht="17.25" thickBot="1" x14ac:dyDescent="0.35">
      <c r="P769"/>
      <c r="R769">
        <f>T769/(VLOOKUP(T764,P752:Q757,2,FALSE))</f>
        <v>0.23333333333333334</v>
      </c>
      <c r="S769" s="338" t="s">
        <v>692</v>
      </c>
      <c r="T769" s="366">
        <f>ROUNDUP(T767/T768,0)</f>
        <v>7</v>
      </c>
      <c r="U769" s="316">
        <f>T769*T768</f>
        <v>84</v>
      </c>
      <c r="V769" s="316"/>
      <c r="W769" s="367">
        <v>15</v>
      </c>
      <c r="X769" s="368">
        <v>1</v>
      </c>
      <c r="Y769" s="368">
        <v>3</v>
      </c>
      <c r="Z769" s="368">
        <v>5</v>
      </c>
      <c r="AA769" s="369">
        <v>80</v>
      </c>
      <c r="AB769" s="370">
        <v>5.6</v>
      </c>
      <c r="AC769" s="370">
        <v>0.47</v>
      </c>
      <c r="AD769" s="371">
        <v>0.79</v>
      </c>
      <c r="AF769" s="361" t="s">
        <v>703</v>
      </c>
      <c r="AG769" s="365">
        <f>(VLOOKUP(AG764,AA754:AD769,4,FALSE))*AG766</f>
        <v>0.21560000000000007</v>
      </c>
      <c r="AH769" s="316">
        <f>AH764*(100*AG769)</f>
        <v>0.23716000000000004</v>
      </c>
      <c r="AI769" s="316">
        <f>ROUNDUP(AH769,0)</f>
        <v>1</v>
      </c>
      <c r="AJ769" s="374">
        <f>AI769/(100*AG769)</f>
        <v>4.6382189239332086E-2</v>
      </c>
    </row>
    <row r="770" spans="2:36" ht="17.25" thickBot="1" x14ac:dyDescent="0.35">
      <c r="B770" s="108" t="s">
        <v>10</v>
      </c>
      <c r="C770" s="413" t="s">
        <v>11</v>
      </c>
      <c r="D770" s="413"/>
      <c r="E770" s="413"/>
      <c r="F770" s="413"/>
      <c r="G770" s="414"/>
      <c r="P770" s="372"/>
      <c r="Q770" s="372"/>
      <c r="R770" s="316"/>
      <c r="S770" s="338" t="s">
        <v>704</v>
      </c>
      <c r="T770" s="373">
        <f>ROUNDUP(Q767*5*1.05,0)</f>
        <v>7</v>
      </c>
      <c r="U770" s="316"/>
      <c r="V770" s="316"/>
      <c r="W770" s="316"/>
      <c r="X770" s="316"/>
      <c r="Y770" s="316"/>
      <c r="Z770" s="316"/>
      <c r="AA770" s="316"/>
      <c r="AB770" s="316"/>
      <c r="AC770" s="316"/>
      <c r="AD770" s="316"/>
      <c r="AE770" s="316"/>
      <c r="AF770" s="316"/>
      <c r="AG770" s="316"/>
      <c r="AH770" s="316"/>
      <c r="AI770" s="316"/>
      <c r="AJ770" s="316"/>
    </row>
    <row r="771" spans="2:36" x14ac:dyDescent="0.3">
      <c r="B771" s="112" t="s">
        <v>6</v>
      </c>
      <c r="C771" s="415" t="s">
        <v>1</v>
      </c>
      <c r="D771" s="416"/>
      <c r="E771" s="110" t="s">
        <v>192</v>
      </c>
      <c r="F771" s="118" t="s">
        <v>2</v>
      </c>
      <c r="G771" s="112" t="s">
        <v>3</v>
      </c>
      <c r="H771" s="104"/>
      <c r="I771" s="105" t="s">
        <v>7</v>
      </c>
      <c r="J771" s="134"/>
      <c r="K771" s="105" t="s">
        <v>8</v>
      </c>
      <c r="L771" s="113" t="s">
        <v>193</v>
      </c>
    </row>
    <row r="772" spans="2:36" x14ac:dyDescent="0.3">
      <c r="B772" s="120"/>
      <c r="C772" s="409"/>
      <c r="D772" s="409"/>
      <c r="E772" s="114"/>
      <c r="F772" s="83"/>
      <c r="G772" s="74"/>
      <c r="I772" s="115">
        <f>IF(C772=0,0,VLOOKUP(C772,Tabla3[],3,FALSE))</f>
        <v>0</v>
      </c>
      <c r="K772" s="84">
        <f>+F772*I772</f>
        <v>0</v>
      </c>
      <c r="L772" s="116">
        <f>E772*I772</f>
        <v>0</v>
      </c>
    </row>
    <row r="773" spans="2:36" x14ac:dyDescent="0.3">
      <c r="B773" s="74"/>
      <c r="C773" s="282"/>
      <c r="D773" s="283"/>
      <c r="E773" s="119"/>
      <c r="F773" s="72"/>
      <c r="G773" s="74"/>
      <c r="I773" s="115">
        <f>IF(C773=0,0,VLOOKUP(C773,Tabla3[],3,FALSE))</f>
        <v>0</v>
      </c>
      <c r="K773" s="84">
        <f>+F773*I773</f>
        <v>0</v>
      </c>
      <c r="L773" s="116">
        <f>E773*I773</f>
        <v>0</v>
      </c>
    </row>
    <row r="774" spans="2:36" x14ac:dyDescent="0.3">
      <c r="B774" s="74"/>
      <c r="C774" s="282"/>
      <c r="D774" s="283"/>
      <c r="E774" s="119"/>
      <c r="F774" s="72"/>
      <c r="G774" s="74"/>
      <c r="I774" s="115">
        <f>IF(C774=0,0,VLOOKUP(C774,Tabla3[],3,FALSE))</f>
        <v>0</v>
      </c>
      <c r="K774" s="84">
        <f>+F774*I774</f>
        <v>0</v>
      </c>
      <c r="L774" s="116">
        <f>E774*I774</f>
        <v>0</v>
      </c>
    </row>
    <row r="775" spans="2:36" x14ac:dyDescent="0.3">
      <c r="B775" s="74"/>
      <c r="C775" s="411"/>
      <c r="D775" s="412"/>
      <c r="E775" s="119"/>
      <c r="F775" s="72"/>
      <c r="G775" s="74"/>
      <c r="I775" s="115">
        <f>IF(C775=0,0,VLOOKUP(C775,Tabla3[],3,FALSE))</f>
        <v>0</v>
      </c>
      <c r="K775" s="84">
        <f>+F775*I775</f>
        <v>0</v>
      </c>
      <c r="L775" s="116">
        <f>E775*I775</f>
        <v>0</v>
      </c>
    </row>
    <row r="776" spans="2:36" ht="17.25" thickBot="1" x14ac:dyDescent="0.35"/>
    <row r="777" spans="2:36" ht="17.25" thickBot="1" x14ac:dyDescent="0.35">
      <c r="F777" s="402" t="s">
        <v>12</v>
      </c>
      <c r="G777" s="403"/>
      <c r="H777" s="403"/>
      <c r="I777" s="404"/>
      <c r="K777" s="224">
        <f>+SUM(K772:K775)</f>
        <v>0</v>
      </c>
      <c r="L777" s="117">
        <f>+SUM(L772:L775)</f>
        <v>0</v>
      </c>
    </row>
    <row r="778" spans="2:36" ht="17.25" thickBot="1" x14ac:dyDescent="0.35"/>
    <row r="779" spans="2:36" ht="17.25" thickBot="1" x14ac:dyDescent="0.35">
      <c r="B779" s="108" t="s">
        <v>13</v>
      </c>
      <c r="C779" s="413" t="s">
        <v>14</v>
      </c>
      <c r="D779" s="413"/>
      <c r="E779" s="413"/>
      <c r="F779" s="413"/>
      <c r="G779" s="414"/>
    </row>
    <row r="780" spans="2:36" x14ac:dyDescent="0.3">
      <c r="B780" s="112" t="s">
        <v>6</v>
      </c>
      <c r="C780" s="415" t="s">
        <v>1</v>
      </c>
      <c r="D780" s="416"/>
      <c r="E780" s="110" t="s">
        <v>192</v>
      </c>
      <c r="F780" s="118" t="s">
        <v>2</v>
      </c>
      <c r="G780" s="112" t="s">
        <v>3</v>
      </c>
      <c r="H780" s="104"/>
      <c r="I780" s="105" t="s">
        <v>7</v>
      </c>
      <c r="J780" s="134"/>
      <c r="K780" s="105" t="s">
        <v>8</v>
      </c>
      <c r="L780" s="113" t="s">
        <v>193</v>
      </c>
    </row>
    <row r="781" spans="2:36" x14ac:dyDescent="0.3">
      <c r="B781" s="120">
        <v>1</v>
      </c>
      <c r="C781" s="409" t="s">
        <v>423</v>
      </c>
      <c r="D781" s="409"/>
      <c r="E781" s="114">
        <f>I753</f>
        <v>14</v>
      </c>
      <c r="F781" s="83">
        <f>ROUND(E781/I753,2)</f>
        <v>1</v>
      </c>
      <c r="G781" s="74" t="str">
        <f>IF(C781=0,0,VLOOKUP(C781,Tabla2[],2,FALSE))</f>
        <v>ml</v>
      </c>
      <c r="I781" s="115">
        <f>IF(C781=0,0,VLOOKUP(C781,Tabla2[],3,FALSE))</f>
        <v>50</v>
      </c>
      <c r="K781" s="84">
        <f>+F781*I781</f>
        <v>50</v>
      </c>
      <c r="L781" s="116">
        <f>E781*I781</f>
        <v>700</v>
      </c>
    </row>
    <row r="782" spans="2:36" x14ac:dyDescent="0.3">
      <c r="B782" s="120"/>
      <c r="C782" s="409"/>
      <c r="D782" s="409"/>
      <c r="E782" s="114"/>
      <c r="F782" s="83"/>
      <c r="G782" s="74"/>
      <c r="I782" s="115">
        <f>IF(C782=0,0,VLOOKUP(C782,Tabla2[],3,FALSE))</f>
        <v>0</v>
      </c>
      <c r="K782" s="84">
        <f>+F782*I782</f>
        <v>0</v>
      </c>
      <c r="L782" s="116">
        <f>E782*I782</f>
        <v>0</v>
      </c>
    </row>
    <row r="783" spans="2:36" ht="17.25" thickBot="1" x14ac:dyDescent="0.35">
      <c r="B783" s="121"/>
      <c r="C783" s="417"/>
      <c r="D783" s="418"/>
      <c r="E783" s="122"/>
      <c r="F783" s="123"/>
      <c r="G783" s="74"/>
      <c r="I783" s="115">
        <f>IF(C783=0,0,VLOOKUP(C783,Tabla2[],3,FALSE))</f>
        <v>0</v>
      </c>
      <c r="K783" s="84">
        <f>+F783*I783</f>
        <v>0</v>
      </c>
      <c r="L783" s="116">
        <f>E783*I783</f>
        <v>0</v>
      </c>
    </row>
    <row r="784" spans="2:36" ht="17.25" thickBot="1" x14ac:dyDescent="0.35">
      <c r="B784" s="419" t="s">
        <v>15</v>
      </c>
      <c r="C784" s="420"/>
      <c r="D784" s="420"/>
      <c r="E784" s="420"/>
      <c r="F784" s="420"/>
      <c r="G784" s="421"/>
      <c r="I784" s="84">
        <v>0</v>
      </c>
      <c r="K784" s="84">
        <v>0</v>
      </c>
      <c r="L784" s="116">
        <f>E784*I784</f>
        <v>0</v>
      </c>
    </row>
    <row r="785" spans="2:16" ht="17.25" thickBot="1" x14ac:dyDescent="0.35"/>
    <row r="786" spans="2:16" ht="17.25" thickBot="1" x14ac:dyDescent="0.35">
      <c r="F786" s="402" t="s">
        <v>16</v>
      </c>
      <c r="G786" s="403"/>
      <c r="H786" s="403"/>
      <c r="I786" s="404"/>
      <c r="K786" s="224">
        <f>+SUM(K781:K784)</f>
        <v>50</v>
      </c>
      <c r="L786" s="117">
        <f>+SUM(L781:L784)</f>
        <v>700</v>
      </c>
    </row>
    <row r="787" spans="2:16" ht="17.25" thickBot="1" x14ac:dyDescent="0.35"/>
    <row r="788" spans="2:16" ht="17.25" thickBot="1" x14ac:dyDescent="0.35">
      <c r="B788" s="108" t="s">
        <v>17</v>
      </c>
      <c r="C788" s="413" t="s">
        <v>18</v>
      </c>
      <c r="D788" s="413"/>
      <c r="E788" s="413"/>
      <c r="F788" s="413"/>
      <c r="G788" s="414"/>
    </row>
    <row r="789" spans="2:16" x14ac:dyDescent="0.3">
      <c r="B789" s="112" t="s">
        <v>6</v>
      </c>
      <c r="C789" s="415" t="s">
        <v>1</v>
      </c>
      <c r="D789" s="416"/>
      <c r="E789" s="124"/>
      <c r="F789" s="118" t="s">
        <v>2</v>
      </c>
      <c r="G789" s="112" t="s">
        <v>3</v>
      </c>
      <c r="H789" s="104"/>
      <c r="I789" s="105" t="s">
        <v>7</v>
      </c>
      <c r="J789" s="134"/>
      <c r="K789" s="105" t="s">
        <v>8</v>
      </c>
      <c r="L789" s="113" t="s">
        <v>193</v>
      </c>
    </row>
    <row r="790" spans="2:16" x14ac:dyDescent="0.3">
      <c r="B790" s="74"/>
      <c r="C790" s="411"/>
      <c r="D790" s="412"/>
      <c r="E790" s="125"/>
      <c r="F790" s="72"/>
      <c r="G790" s="74"/>
      <c r="I790" s="84">
        <v>0</v>
      </c>
      <c r="K790" s="84">
        <f>+F790*I790</f>
        <v>0</v>
      </c>
      <c r="L790" s="116">
        <f>E790*I790</f>
        <v>0</v>
      </c>
    </row>
    <row r="791" spans="2:16" x14ac:dyDescent="0.3">
      <c r="B791" s="74"/>
      <c r="C791" s="411"/>
      <c r="D791" s="412"/>
      <c r="E791" s="125"/>
      <c r="F791" s="72"/>
      <c r="G791" s="74"/>
      <c r="I791" s="84">
        <v>0</v>
      </c>
      <c r="K791" s="84">
        <f>+F791*I791</f>
        <v>0</v>
      </c>
      <c r="L791" s="116">
        <f>E791*I791</f>
        <v>0</v>
      </c>
    </row>
    <row r="792" spans="2:16" x14ac:dyDescent="0.3">
      <c r="B792" s="74"/>
      <c r="C792" s="411"/>
      <c r="D792" s="412"/>
      <c r="E792" s="125"/>
      <c r="F792" s="72"/>
      <c r="G792" s="74"/>
      <c r="I792" s="84">
        <v>0</v>
      </c>
      <c r="K792" s="84">
        <f>+F792*I792</f>
        <v>0</v>
      </c>
      <c r="L792" s="116">
        <f>E792*I792</f>
        <v>0</v>
      </c>
    </row>
    <row r="793" spans="2:16" ht="17.25" thickBot="1" x14ac:dyDescent="0.35">
      <c r="L793" s="116"/>
    </row>
    <row r="794" spans="2:16" ht="17.25" thickBot="1" x14ac:dyDescent="0.35">
      <c r="F794" s="402" t="s">
        <v>19</v>
      </c>
      <c r="G794" s="403"/>
      <c r="H794" s="403"/>
      <c r="I794" s="404"/>
      <c r="K794" s="224">
        <f>+SUM(K790:K792)</f>
        <v>0</v>
      </c>
      <c r="L794" s="117">
        <f>+SUM(L789:L792)</f>
        <v>0</v>
      </c>
    </row>
    <row r="795" spans="2:16" ht="15" customHeight="1" x14ac:dyDescent="0.3">
      <c r="F795" s="126"/>
      <c r="G795" s="280"/>
      <c r="H795" s="128"/>
      <c r="I795" s="106"/>
      <c r="K795" s="225"/>
    </row>
    <row r="796" spans="2:16" ht="15" customHeight="1" thickBot="1" x14ac:dyDescent="0.35"/>
    <row r="797" spans="2:16" ht="17.25" thickBot="1" x14ac:dyDescent="0.35">
      <c r="F797" s="402" t="s">
        <v>20</v>
      </c>
      <c r="G797" s="403"/>
      <c r="H797" s="403"/>
      <c r="I797" s="404"/>
      <c r="K797" s="224">
        <f>(+K768+K777+K786+K794)</f>
        <v>216</v>
      </c>
      <c r="L797" s="117">
        <f>(+L768+L777+L786+L794)</f>
        <v>3022</v>
      </c>
      <c r="N797" s="129"/>
      <c r="O797" s="39"/>
      <c r="P797" s="40"/>
    </row>
    <row r="798" spans="2:16" ht="7.5" customHeight="1" thickBot="1" x14ac:dyDescent="0.35">
      <c r="N798" s="129"/>
      <c r="O798" s="41"/>
      <c r="P798" s="40"/>
    </row>
    <row r="799" spans="2:16" ht="17.25" thickBot="1" x14ac:dyDescent="0.35">
      <c r="F799" s="402" t="s">
        <v>21</v>
      </c>
      <c r="G799" s="403"/>
      <c r="H799" s="403"/>
      <c r="I799" s="404"/>
      <c r="K799" s="224">
        <f>K797*$N$2</f>
        <v>86.4</v>
      </c>
      <c r="L799" s="117">
        <f>L797*$N$2</f>
        <v>1208.8</v>
      </c>
    </row>
    <row r="800" spans="2:16" ht="7.5" customHeight="1" thickBot="1" x14ac:dyDescent="0.35"/>
    <row r="801" spans="1:34" ht="17.25" thickBot="1" x14ac:dyDescent="0.35">
      <c r="F801" s="402" t="s">
        <v>22</v>
      </c>
      <c r="G801" s="403"/>
      <c r="H801" s="403"/>
      <c r="I801" s="404"/>
      <c r="K801" s="224">
        <f>+K797+K799</f>
        <v>302.39999999999998</v>
      </c>
      <c r="L801" s="117">
        <f>+L797+L799</f>
        <v>4230.8</v>
      </c>
    </row>
    <row r="802" spans="1:34" ht="17.25" thickBot="1" x14ac:dyDescent="0.35">
      <c r="F802" s="126"/>
      <c r="G802" s="280"/>
      <c r="H802" s="128"/>
      <c r="I802" s="106"/>
      <c r="K802" s="226"/>
      <c r="L802" s="130">
        <f>L801/I753</f>
        <v>302.2</v>
      </c>
      <c r="M802" s="131">
        <f>(K801-L802)*I753</f>
        <v>2.7999999999998408</v>
      </c>
    </row>
    <row r="803" spans="1:34" x14ac:dyDescent="0.3">
      <c r="F803" s="126"/>
      <c r="G803" s="280"/>
      <c r="H803" s="128"/>
      <c r="I803" s="106"/>
      <c r="K803" s="227"/>
      <c r="L803" s="129"/>
      <c r="M803" s="132"/>
      <c r="N803" s="133"/>
    </row>
    <row r="804" spans="1:34" ht="17.25" thickBot="1" x14ac:dyDescent="0.35">
      <c r="B804" s="405"/>
      <c r="C804" s="405"/>
      <c r="D804" s="405"/>
    </row>
    <row r="805" spans="1:34" x14ac:dyDescent="0.3">
      <c r="B805" s="406" t="s">
        <v>23</v>
      </c>
      <c r="C805" s="406"/>
      <c r="D805" s="406"/>
    </row>
    <row r="806" spans="1:34" x14ac:dyDescent="0.3">
      <c r="B806" s="281"/>
      <c r="C806" s="281"/>
      <c r="D806" s="281"/>
    </row>
    <row r="807" spans="1:34" ht="17.25" thickBot="1" x14ac:dyDescent="0.35">
      <c r="B807" s="281"/>
      <c r="C807" s="281"/>
      <c r="D807" s="281"/>
    </row>
    <row r="808" spans="1:34" x14ac:dyDescent="0.3">
      <c r="B808" s="103" t="s">
        <v>43</v>
      </c>
      <c r="C808" s="104"/>
      <c r="D808" s="422" t="s">
        <v>1</v>
      </c>
      <c r="E808" s="422"/>
      <c r="F808" s="422"/>
      <c r="G808" s="422"/>
      <c r="H808" s="104"/>
      <c r="I808" s="105" t="s">
        <v>2</v>
      </c>
      <c r="J808" s="134"/>
      <c r="K808" s="105" t="s">
        <v>3</v>
      </c>
      <c r="P808" s="461" t="s">
        <v>666</v>
      </c>
      <c r="Q808" s="462"/>
      <c r="S808" s="463" t="s">
        <v>718</v>
      </c>
      <c r="T808" s="463"/>
      <c r="U808" s="316"/>
      <c r="V808" s="316"/>
      <c r="W808" s="464" t="s">
        <v>668</v>
      </c>
      <c r="X808" s="466" t="s">
        <v>669</v>
      </c>
      <c r="Y808" s="467"/>
      <c r="Z808" s="468"/>
      <c r="AA808" s="469" t="s">
        <v>670</v>
      </c>
      <c r="AB808" s="471" t="s">
        <v>671</v>
      </c>
      <c r="AC808" s="473" t="s">
        <v>672</v>
      </c>
      <c r="AD808" s="475" t="s">
        <v>673</v>
      </c>
      <c r="AH808" s="316"/>
    </row>
    <row r="809" spans="1:34" s="4" customFormat="1" ht="30.75" customHeight="1" x14ac:dyDescent="0.25">
      <c r="A809" s="31"/>
      <c r="B809" s="287">
        <f>CATALOGO!B40</f>
        <v>405.27</v>
      </c>
      <c r="C809" s="71"/>
      <c r="D809" s="423" t="str">
        <f>CATALOGO!C40</f>
        <v>SOLERA INTERMEDIA BLOCK U (0.14m X 0.20m + 2 NO. 3 + ESL NO. 2 @ 0.20m)</v>
      </c>
      <c r="E809" s="423"/>
      <c r="F809" s="423"/>
      <c r="G809" s="423"/>
      <c r="H809" s="71"/>
      <c r="I809" s="287">
        <f>CATALOGO!E40</f>
        <v>12.8</v>
      </c>
      <c r="J809" s="107"/>
      <c r="K809" s="222" t="str">
        <f>CATALOGO!G40</f>
        <v>ml</v>
      </c>
      <c r="L809" s="71"/>
      <c r="M809" s="71"/>
      <c r="N809" s="102"/>
      <c r="O809" s="37"/>
      <c r="P809" s="317" t="s">
        <v>6</v>
      </c>
      <c r="Q809" s="318" t="s">
        <v>674</v>
      </c>
      <c r="R809"/>
      <c r="S809" s="477" t="s">
        <v>675</v>
      </c>
      <c r="T809" s="477"/>
      <c r="U809" s="316"/>
      <c r="V809" s="316"/>
      <c r="W809" s="465"/>
      <c r="X809" s="319" t="s">
        <v>676</v>
      </c>
      <c r="Y809" s="319" t="s">
        <v>677</v>
      </c>
      <c r="Z809" s="319" t="s">
        <v>678</v>
      </c>
      <c r="AA809" s="470"/>
      <c r="AB809" s="472"/>
      <c r="AC809" s="474"/>
      <c r="AD809" s="476"/>
      <c r="AE809"/>
      <c r="AF809"/>
      <c r="AG809"/>
      <c r="AH809" s="316"/>
    </row>
    <row r="810" spans="1:34" ht="17.25" thickBot="1" x14ac:dyDescent="0.35">
      <c r="P810" s="320" t="s">
        <v>679</v>
      </c>
      <c r="Q810" s="321">
        <v>30</v>
      </c>
      <c r="S810" s="322" t="s">
        <v>680</v>
      </c>
      <c r="T810" s="323">
        <f>I809</f>
        <v>12.8</v>
      </c>
      <c r="U810" s="316">
        <f>15.6-1.2</f>
        <v>14.4</v>
      </c>
      <c r="V810" s="316"/>
      <c r="W810" s="324">
        <v>1</v>
      </c>
      <c r="X810" s="325">
        <v>1</v>
      </c>
      <c r="Y810" s="325">
        <v>1.5</v>
      </c>
      <c r="Z810" s="325">
        <v>1.5</v>
      </c>
      <c r="AA810" s="326">
        <v>303</v>
      </c>
      <c r="AB810" s="327">
        <v>12.6</v>
      </c>
      <c r="AC810" s="327">
        <v>0.53</v>
      </c>
      <c r="AD810" s="328">
        <v>0.55000000000000004</v>
      </c>
      <c r="AH810" s="316"/>
    </row>
    <row r="811" spans="1:34" ht="17.25" thickBot="1" x14ac:dyDescent="0.35">
      <c r="B811" s="108" t="s">
        <v>4</v>
      </c>
      <c r="C811" s="413" t="s">
        <v>5</v>
      </c>
      <c r="D811" s="413"/>
      <c r="E811" s="413"/>
      <c r="F811" s="413"/>
      <c r="G811" s="414"/>
      <c r="P811" s="320" t="s">
        <v>681</v>
      </c>
      <c r="Q811" s="321">
        <v>13</v>
      </c>
      <c r="S811" s="322" t="s">
        <v>682</v>
      </c>
      <c r="T811" s="329">
        <v>0.1</v>
      </c>
      <c r="U811" s="316"/>
      <c r="V811" s="316"/>
      <c r="W811" s="324"/>
      <c r="X811" s="325"/>
      <c r="Y811" s="325"/>
      <c r="Z811" s="325"/>
      <c r="AA811" s="326">
        <v>281</v>
      </c>
      <c r="AB811" s="327">
        <v>11.7</v>
      </c>
      <c r="AC811" s="327">
        <v>0.5</v>
      </c>
      <c r="AD811" s="328">
        <v>0.61</v>
      </c>
      <c r="AH811" s="316"/>
    </row>
    <row r="812" spans="1:34" x14ac:dyDescent="0.3">
      <c r="B812" s="109" t="s">
        <v>6</v>
      </c>
      <c r="C812" s="424" t="s">
        <v>1</v>
      </c>
      <c r="D812" s="425"/>
      <c r="E812" s="110" t="s">
        <v>192</v>
      </c>
      <c r="F812" s="111" t="s">
        <v>2</v>
      </c>
      <c r="G812" s="112" t="s">
        <v>3</v>
      </c>
      <c r="H812" s="104"/>
      <c r="I812" s="105" t="s">
        <v>7</v>
      </c>
      <c r="J812" s="134"/>
      <c r="K812" s="223" t="s">
        <v>8</v>
      </c>
      <c r="L812" s="113" t="s">
        <v>193</v>
      </c>
      <c r="P812" s="320" t="s">
        <v>683</v>
      </c>
      <c r="Q812" s="321">
        <v>7</v>
      </c>
      <c r="S812" s="330" t="s">
        <v>684</v>
      </c>
      <c r="T812" s="331">
        <v>0.17</v>
      </c>
      <c r="U812" s="316"/>
      <c r="V812" s="316"/>
      <c r="W812" s="324">
        <v>2</v>
      </c>
      <c r="X812" s="325">
        <v>1</v>
      </c>
      <c r="Y812" s="325">
        <v>1.5</v>
      </c>
      <c r="Z812" s="325">
        <v>2</v>
      </c>
      <c r="AA812" s="326">
        <v>270</v>
      </c>
      <c r="AB812" s="327">
        <v>11.3</v>
      </c>
      <c r="AC812" s="327">
        <v>0.48</v>
      </c>
      <c r="AD812" s="328">
        <v>0.64</v>
      </c>
      <c r="AH812" s="316"/>
    </row>
    <row r="813" spans="1:34" ht="17.25" thickBot="1" x14ac:dyDescent="0.35">
      <c r="B813" s="120">
        <v>1</v>
      </c>
      <c r="C813" s="407" t="s">
        <v>168</v>
      </c>
      <c r="D813" s="408"/>
      <c r="E813" s="114">
        <f>T819</f>
        <v>6</v>
      </c>
      <c r="F813" s="83">
        <f>ROUND(E813/I809,2)-0.03</f>
        <v>0.43999999999999995</v>
      </c>
      <c r="G813" s="74" t="str">
        <f>IF(C813=0,0,VLOOKUP(C813,PRECIOSM[],2,FALSE))</f>
        <v>Varilla</v>
      </c>
      <c r="I813" s="115">
        <f>IF(C813=0,0,VLOOKUP(C813,PRECIOSM[],3,FALSE))</f>
        <v>40</v>
      </c>
      <c r="K813" s="84">
        <f>+F813*I813</f>
        <v>17.599999999999998</v>
      </c>
      <c r="L813" s="116">
        <f>E813*I813</f>
        <v>240</v>
      </c>
      <c r="P813" s="332" t="s">
        <v>685</v>
      </c>
      <c r="Q813" s="333">
        <v>4</v>
      </c>
      <c r="S813" s="334" t="s">
        <v>686</v>
      </c>
      <c r="T813" s="331">
        <v>2.5000000000000001E-2</v>
      </c>
      <c r="U813" s="316"/>
      <c r="V813" s="316"/>
      <c r="W813" s="324">
        <v>3</v>
      </c>
      <c r="X813" s="325">
        <v>1</v>
      </c>
      <c r="Y813" s="325">
        <v>1.5</v>
      </c>
      <c r="Z813" s="325">
        <v>2.5</v>
      </c>
      <c r="AA813" s="326">
        <v>245</v>
      </c>
      <c r="AB813" s="327">
        <v>10.1</v>
      </c>
      <c r="AC813" s="327">
        <v>0.43</v>
      </c>
      <c r="AD813" s="328">
        <v>0.71</v>
      </c>
      <c r="AH813" s="316"/>
    </row>
    <row r="814" spans="1:34" ht="17.25" thickBot="1" x14ac:dyDescent="0.35">
      <c r="B814" s="120">
        <v>2</v>
      </c>
      <c r="C814" s="407" t="s">
        <v>312</v>
      </c>
      <c r="D814" s="408"/>
      <c r="E814" s="114">
        <f>T825</f>
        <v>5</v>
      </c>
      <c r="F814" s="83">
        <f>ROUND(E814/I809,2)+0.01</f>
        <v>0.4</v>
      </c>
      <c r="G814" s="74" t="str">
        <f>IF(C814=0,0,VLOOKUP(C814,PRECIOSM[],2,FALSE))</f>
        <v>Varilla</v>
      </c>
      <c r="I814" s="115">
        <f>IF(C814=0,0,VLOOKUP(C814,PRECIOSM[],3,FALSE))</f>
        <v>20</v>
      </c>
      <c r="K814" s="84">
        <f>+F814*I814</f>
        <v>8</v>
      </c>
      <c r="L814" s="116">
        <f>E814*I814</f>
        <v>100</v>
      </c>
      <c r="P814" s="335"/>
      <c r="Q814" s="336"/>
      <c r="S814" s="322"/>
      <c r="T814" s="331"/>
      <c r="U814" s="316"/>
      <c r="V814" s="316"/>
      <c r="W814" s="324">
        <v>4</v>
      </c>
      <c r="X814" s="325">
        <v>1</v>
      </c>
      <c r="Y814" s="325">
        <v>1.5</v>
      </c>
      <c r="Z814" s="325">
        <v>3</v>
      </c>
      <c r="AA814" s="337">
        <v>230</v>
      </c>
      <c r="AB814" s="327">
        <v>9.3000000000000007</v>
      </c>
      <c r="AC814" s="327">
        <v>0.37</v>
      </c>
      <c r="AD814" s="328">
        <v>0.79</v>
      </c>
      <c r="AH814" s="316"/>
    </row>
    <row r="815" spans="1:34" ht="17.25" thickBot="1" x14ac:dyDescent="0.35">
      <c r="B815" s="120">
        <v>3</v>
      </c>
      <c r="C815" s="428" t="s">
        <v>213</v>
      </c>
      <c r="D815" s="429"/>
      <c r="E815" s="114">
        <f>AI823</f>
        <v>2</v>
      </c>
      <c r="F815" s="83">
        <f>ROUND(E815/I809,2)-0.01</f>
        <v>0.15</v>
      </c>
      <c r="G815" s="74" t="str">
        <f>IF(C815=0,0,VLOOKUP(C815,PRECIOSM[],2,FALSE))</f>
        <v>Saco</v>
      </c>
      <c r="I815" s="115">
        <f>IF(C815=0,0,VLOOKUP(C815,PRECIOSM[],3,FALSE))</f>
        <v>80</v>
      </c>
      <c r="K815" s="84">
        <f t="shared" ref="K815:K822" si="22">+F815*I815</f>
        <v>12</v>
      </c>
      <c r="L815" s="116">
        <f t="shared" ref="L815:L822" si="23">E815*I815</f>
        <v>160</v>
      </c>
      <c r="P815"/>
      <c r="S815" s="338" t="s">
        <v>688</v>
      </c>
      <c r="T815" s="339">
        <f>T810*T811*T812</f>
        <v>0.21760000000000007</v>
      </c>
      <c r="U815" s="316"/>
      <c r="V815" s="316"/>
      <c r="W815" s="340">
        <v>5</v>
      </c>
      <c r="X815" s="341">
        <v>1</v>
      </c>
      <c r="Y815" s="341">
        <v>2</v>
      </c>
      <c r="Z815" s="341">
        <v>2</v>
      </c>
      <c r="AA815" s="337">
        <v>217</v>
      </c>
      <c r="AB815" s="342">
        <v>9.8000000000000007</v>
      </c>
      <c r="AC815" s="342">
        <v>0.55000000000000004</v>
      </c>
      <c r="AD815" s="343">
        <v>0.55000000000000004</v>
      </c>
      <c r="AH815" s="316"/>
    </row>
    <row r="816" spans="1:34" x14ac:dyDescent="0.3">
      <c r="B816" s="120">
        <v>4</v>
      </c>
      <c r="C816" s="430" t="s">
        <v>72</v>
      </c>
      <c r="D816" s="429"/>
      <c r="E816" s="114">
        <f>AI824</f>
        <v>1</v>
      </c>
      <c r="F816" s="83">
        <f>ROUND(E816/I809,2)</f>
        <v>0.08</v>
      </c>
      <c r="G816" s="74" t="str">
        <f>IF(C816=0,0,VLOOKUP(C816,PRECIOSM[],2,FALSE))</f>
        <v>m³</v>
      </c>
      <c r="I816" s="115">
        <f>IF(C816=0,0,VLOOKUP(C816,PRECIOSM[],3,FALSE))</f>
        <v>250</v>
      </c>
      <c r="K816" s="84">
        <f t="shared" si="22"/>
        <v>20</v>
      </c>
      <c r="L816" s="116">
        <f t="shared" si="23"/>
        <v>250</v>
      </c>
      <c r="P816"/>
      <c r="S816" s="338"/>
      <c r="T816" s="344"/>
      <c r="U816" s="345"/>
      <c r="V816" s="316"/>
      <c r="W816" s="324">
        <v>6</v>
      </c>
      <c r="X816" s="325">
        <v>1</v>
      </c>
      <c r="Y816" s="325">
        <v>2</v>
      </c>
      <c r="Z816" s="325">
        <v>2.5</v>
      </c>
      <c r="AA816" s="326">
        <v>195</v>
      </c>
      <c r="AB816" s="327">
        <v>9.1</v>
      </c>
      <c r="AC816" s="327">
        <v>0.51</v>
      </c>
      <c r="AD816" s="328">
        <v>0.64</v>
      </c>
      <c r="AH816" s="316"/>
    </row>
    <row r="817" spans="2:36" x14ac:dyDescent="0.3">
      <c r="B817" s="120">
        <v>5</v>
      </c>
      <c r="C817" s="430" t="s">
        <v>229</v>
      </c>
      <c r="D817" s="429"/>
      <c r="E817" s="114">
        <f>AI825</f>
        <v>1</v>
      </c>
      <c r="F817" s="83">
        <f>ROUND(E817/I809,2)</f>
        <v>0.08</v>
      </c>
      <c r="G817" s="74" t="str">
        <f>IF(C817=0,0,VLOOKUP(C817,PRECIOSM[],2,FALSE))</f>
        <v>m³</v>
      </c>
      <c r="I817" s="115">
        <f>IF(C817=0,0,VLOOKUP(C817,PRECIOSM[],3,FALSE))</f>
        <v>250</v>
      </c>
      <c r="K817" s="84">
        <f t="shared" si="22"/>
        <v>20</v>
      </c>
      <c r="L817" s="116">
        <f t="shared" si="23"/>
        <v>250</v>
      </c>
      <c r="P817">
        <f>12.8/0.4</f>
        <v>32</v>
      </c>
      <c r="Q817">
        <v>40</v>
      </c>
      <c r="S817" s="380" t="s">
        <v>690</v>
      </c>
      <c r="T817" s="380"/>
      <c r="U817" s="347"/>
      <c r="V817" s="316"/>
      <c r="W817" s="324">
        <v>7</v>
      </c>
      <c r="X817" s="325">
        <v>1</v>
      </c>
      <c r="Y817" s="325">
        <v>2</v>
      </c>
      <c r="Z817" s="325">
        <v>3</v>
      </c>
      <c r="AA817" s="337">
        <v>165</v>
      </c>
      <c r="AB817" s="327">
        <v>8.4</v>
      </c>
      <c r="AC817" s="327">
        <v>0.47</v>
      </c>
      <c r="AD817" s="328">
        <v>0.71</v>
      </c>
      <c r="AH817" s="316"/>
    </row>
    <row r="818" spans="2:36" ht="17.25" thickBot="1" x14ac:dyDescent="0.35">
      <c r="B818" s="120">
        <v>6</v>
      </c>
      <c r="C818" s="433" t="s">
        <v>368</v>
      </c>
      <c r="D818" s="433"/>
      <c r="E818" s="114">
        <f>T826</f>
        <v>4</v>
      </c>
      <c r="F818" s="83">
        <f>ROUND(E818/I809,2)-0.01</f>
        <v>0.3</v>
      </c>
      <c r="G818" s="74" t="str">
        <f>IF(C818=0,0,VLOOKUP(C818,PRECIOSM[],2,FALSE))</f>
        <v>Libra</v>
      </c>
      <c r="I818" s="115">
        <f>IF(C818=0,0,VLOOKUP(C818,PRECIOSM[],3,FALSE))</f>
        <v>8</v>
      </c>
      <c r="K818" s="84">
        <f t="shared" si="22"/>
        <v>2.4</v>
      </c>
      <c r="L818" s="116">
        <f t="shared" si="23"/>
        <v>32</v>
      </c>
      <c r="P818"/>
      <c r="S818" s="334" t="s">
        <v>691</v>
      </c>
      <c r="T818" s="329" t="s">
        <v>681</v>
      </c>
      <c r="U818" s="316"/>
      <c r="V818" s="316"/>
      <c r="W818" s="324">
        <v>8</v>
      </c>
      <c r="X818" s="325">
        <v>1</v>
      </c>
      <c r="Y818" s="325">
        <v>2</v>
      </c>
      <c r="Z818" s="325">
        <v>3.5</v>
      </c>
      <c r="AA818" s="337">
        <v>164</v>
      </c>
      <c r="AB818" s="327">
        <v>7.8</v>
      </c>
      <c r="AC818" s="327">
        <v>0.44</v>
      </c>
      <c r="AD818" s="328">
        <v>0.76</v>
      </c>
      <c r="AH818" s="316"/>
    </row>
    <row r="819" spans="2:36" x14ac:dyDescent="0.3">
      <c r="B819" s="120">
        <v>7</v>
      </c>
      <c r="C819" s="433" t="s">
        <v>174</v>
      </c>
      <c r="D819" s="433"/>
      <c r="E819" s="114">
        <f>E818</f>
        <v>4</v>
      </c>
      <c r="F819" s="83">
        <f>ROUND(E819/I809,2)-0.01</f>
        <v>0.3</v>
      </c>
      <c r="G819" s="74" t="str">
        <f>IF(C819=0,0,VLOOKUP(C819,PRECIOSM[],2,FALSE))</f>
        <v>Libra</v>
      </c>
      <c r="I819" s="115">
        <f>IF(C819=0,0,VLOOKUP(C819,PRECIOSM[],3,FALSE))</f>
        <v>10</v>
      </c>
      <c r="K819" s="84">
        <f t="shared" si="22"/>
        <v>3</v>
      </c>
      <c r="L819" s="116">
        <f t="shared" si="23"/>
        <v>40</v>
      </c>
      <c r="P819"/>
      <c r="S819" s="338" t="s">
        <v>692</v>
      </c>
      <c r="T819" s="348">
        <f>3*2</f>
        <v>6</v>
      </c>
      <c r="U819" s="387">
        <f>T819/(VLOOKUP(T818,P808:Q813,2,FALSE))</f>
        <v>0.46153846153846156</v>
      </c>
      <c r="V819" s="316"/>
      <c r="W819" s="324">
        <v>9</v>
      </c>
      <c r="X819" s="325">
        <v>1</v>
      </c>
      <c r="Y819" s="325">
        <v>2</v>
      </c>
      <c r="Z819" s="325">
        <v>4</v>
      </c>
      <c r="AA819" s="337">
        <v>140</v>
      </c>
      <c r="AB819" s="327">
        <v>7.3</v>
      </c>
      <c r="AC819" s="327">
        <v>0.41</v>
      </c>
      <c r="AD819" s="328">
        <v>0.82</v>
      </c>
      <c r="AF819" s="349" t="s">
        <v>693</v>
      </c>
      <c r="AG819" s="349"/>
      <c r="AH819" s="316"/>
      <c r="AI819" s="316"/>
      <c r="AJ819" s="316"/>
    </row>
    <row r="820" spans="2:36" x14ac:dyDescent="0.3">
      <c r="B820" s="120">
        <v>8</v>
      </c>
      <c r="C820" s="433" t="s">
        <v>726</v>
      </c>
      <c r="D820" s="433"/>
      <c r="E820" s="114">
        <f>Q817</f>
        <v>40</v>
      </c>
      <c r="F820" s="83">
        <f>ROUND(E820/I809,2)-0.63</f>
        <v>2.5</v>
      </c>
      <c r="G820" s="74" t="str">
        <f>IF(C820=0,0,VLOOKUP(C820,PRECIOSM[],2,FALSE))</f>
        <v>Unidad</v>
      </c>
      <c r="I820" s="115">
        <f>IF(C820=0,0,VLOOKUP(C820,PRECIOSM[],3,FALSE))</f>
        <v>8</v>
      </c>
      <c r="K820" s="84">
        <f t="shared" si="22"/>
        <v>20</v>
      </c>
      <c r="L820" s="116">
        <f t="shared" si="23"/>
        <v>320</v>
      </c>
      <c r="P820"/>
      <c r="S820" s="350" t="s">
        <v>716</v>
      </c>
      <c r="T820" s="351" t="s">
        <v>679</v>
      </c>
      <c r="U820" s="316"/>
      <c r="V820" s="316"/>
      <c r="W820" s="324">
        <v>10</v>
      </c>
      <c r="X820" s="325">
        <v>1</v>
      </c>
      <c r="Y820" s="325">
        <v>2.5</v>
      </c>
      <c r="Z820" s="325">
        <v>2.5</v>
      </c>
      <c r="AA820" s="337">
        <v>156</v>
      </c>
      <c r="AB820" s="327">
        <v>8.3000000000000007</v>
      </c>
      <c r="AC820" s="327">
        <v>0.57999999999999996</v>
      </c>
      <c r="AD820" s="328">
        <v>0.57999999999999996</v>
      </c>
      <c r="AF820" s="352" t="s">
        <v>694</v>
      </c>
      <c r="AG820" s="329">
        <v>217</v>
      </c>
      <c r="AH820" s="353">
        <v>1.0999999999999999E-2</v>
      </c>
      <c r="AI820" s="316"/>
      <c r="AJ820" s="316"/>
    </row>
    <row r="821" spans="2:36" x14ac:dyDescent="0.3">
      <c r="B821" s="120"/>
      <c r="C821" s="410"/>
      <c r="D821" s="410"/>
      <c r="E821" s="114"/>
      <c r="F821" s="72"/>
      <c r="G821" s="74"/>
      <c r="I821" s="115">
        <f>IF(C821=0,0,VLOOKUP(C821,Tabla1[],3,FALSE))</f>
        <v>0</v>
      </c>
      <c r="K821" s="84">
        <f t="shared" si="22"/>
        <v>0</v>
      </c>
      <c r="L821" s="116">
        <f t="shared" si="23"/>
        <v>0</v>
      </c>
      <c r="P821"/>
      <c r="S821" s="354" t="s">
        <v>695</v>
      </c>
      <c r="T821" s="355">
        <v>0.2</v>
      </c>
      <c r="U821" s="316"/>
      <c r="V821" s="316"/>
      <c r="W821" s="324">
        <v>11</v>
      </c>
      <c r="X821" s="325">
        <v>1</v>
      </c>
      <c r="Y821" s="325">
        <v>2.5</v>
      </c>
      <c r="Z821" s="325">
        <v>3</v>
      </c>
      <c r="AA821" s="337">
        <v>147</v>
      </c>
      <c r="AB821" s="327">
        <v>7.6</v>
      </c>
      <c r="AC821" s="327">
        <v>0.54</v>
      </c>
      <c r="AD821" s="328">
        <v>0.65</v>
      </c>
      <c r="AF821" s="356" t="s">
        <v>696</v>
      </c>
      <c r="AG821" s="357">
        <f>AG820/0.07031</f>
        <v>3086.3319584696346</v>
      </c>
      <c r="AH821" s="316"/>
      <c r="AI821" s="316"/>
      <c r="AJ821" s="316"/>
    </row>
    <row r="822" spans="2:36" ht="17.25" thickBot="1" x14ac:dyDescent="0.35">
      <c r="B822" s="120"/>
      <c r="C822" s="410"/>
      <c r="D822" s="410"/>
      <c r="E822" s="114"/>
      <c r="F822" s="72"/>
      <c r="G822" s="74"/>
      <c r="I822" s="115">
        <f>IF(C822=0,0,VLOOKUP(C822,Tabla1[],3,FALSE))</f>
        <v>0</v>
      </c>
      <c r="K822" s="84">
        <f t="shared" si="22"/>
        <v>0</v>
      </c>
      <c r="L822" s="116">
        <f t="shared" si="23"/>
        <v>0</v>
      </c>
      <c r="P822"/>
      <c r="S822" s="354" t="s">
        <v>717</v>
      </c>
      <c r="T822" s="358">
        <f>ROUNDUP(T812-(2*T813)+0.25,2)</f>
        <v>0.37</v>
      </c>
      <c r="U822" s="316"/>
      <c r="V822" s="316"/>
      <c r="W822" s="324">
        <v>12</v>
      </c>
      <c r="X822" s="325">
        <v>1</v>
      </c>
      <c r="Y822" s="325">
        <v>2.5</v>
      </c>
      <c r="Z822" s="325">
        <v>3.5</v>
      </c>
      <c r="AA822" s="337">
        <v>132</v>
      </c>
      <c r="AB822" s="327">
        <v>7.2</v>
      </c>
      <c r="AC822" s="327">
        <v>0.51</v>
      </c>
      <c r="AD822" s="328">
        <v>0.71</v>
      </c>
      <c r="AF822" s="352" t="s">
        <v>698</v>
      </c>
      <c r="AG822" s="359">
        <f>T815</f>
        <v>0.21760000000000007</v>
      </c>
      <c r="AH822" s="316">
        <f>AG822*100*AH820</f>
        <v>0.23936000000000007</v>
      </c>
      <c r="AI822" s="316"/>
      <c r="AJ822" s="374"/>
    </row>
    <row r="823" spans="2:36" ht="17.25" thickBot="1" x14ac:dyDescent="0.35">
      <c r="P823"/>
      <c r="Q823" s="388">
        <f>Q819+R825+U819</f>
        <v>0.62820512820512819</v>
      </c>
      <c r="S823" s="354" t="s">
        <v>699</v>
      </c>
      <c r="T823" s="360">
        <f>ROUNDUP((U810/T821)+1,0)</f>
        <v>73</v>
      </c>
      <c r="U823" s="345"/>
      <c r="V823" s="316"/>
      <c r="W823" s="324">
        <v>13</v>
      </c>
      <c r="X823" s="325">
        <v>1</v>
      </c>
      <c r="Y823" s="325">
        <v>2.5</v>
      </c>
      <c r="Z823" s="325">
        <v>4</v>
      </c>
      <c r="AA823" s="337">
        <v>118</v>
      </c>
      <c r="AB823" s="327">
        <v>6.7</v>
      </c>
      <c r="AC823" s="327">
        <v>0.48</v>
      </c>
      <c r="AD823" s="328">
        <v>0.77</v>
      </c>
      <c r="AF823" s="361" t="s">
        <v>700</v>
      </c>
      <c r="AG823" s="362">
        <f>ROUND(((VLOOKUP(AG820,AA810:AD825,2,FALSE))*AG822),2)</f>
        <v>2.13</v>
      </c>
      <c r="AH823" s="316">
        <f>AH820*(100*AG823)</f>
        <v>2.343</v>
      </c>
      <c r="AI823" s="316">
        <f>ROUNDDOWN(AH823,0)</f>
        <v>2</v>
      </c>
      <c r="AJ823" s="374">
        <f>AI823/(100*AG823)</f>
        <v>9.3896713615023476E-3</v>
      </c>
    </row>
    <row r="824" spans="2:36" ht="17.25" thickBot="1" x14ac:dyDescent="0.35">
      <c r="F824" s="402" t="s">
        <v>9</v>
      </c>
      <c r="G824" s="403"/>
      <c r="H824" s="403"/>
      <c r="I824" s="404"/>
      <c r="K824" s="224">
        <f>+SUM(K813:K822)</f>
        <v>103</v>
      </c>
      <c r="L824" s="117">
        <f>+SUM(L813:L822)</f>
        <v>1392</v>
      </c>
      <c r="P824"/>
      <c r="S824" s="354" t="s">
        <v>701</v>
      </c>
      <c r="T824" s="363">
        <f>ROUNDDOWN(6/T822,0)</f>
        <v>16</v>
      </c>
      <c r="U824" s="364"/>
      <c r="V824" s="316"/>
      <c r="W824" s="324">
        <v>14</v>
      </c>
      <c r="X824" s="325">
        <v>1</v>
      </c>
      <c r="Y824" s="325">
        <v>3</v>
      </c>
      <c r="Z824" s="325">
        <v>4</v>
      </c>
      <c r="AA824" s="337">
        <v>94</v>
      </c>
      <c r="AB824" s="327">
        <v>6.3</v>
      </c>
      <c r="AC824" s="327">
        <v>0.53</v>
      </c>
      <c r="AD824" s="328">
        <v>0.71</v>
      </c>
      <c r="AF824" s="361" t="s">
        <v>702</v>
      </c>
      <c r="AG824" s="365">
        <f>(VLOOKUP(AG820,AA810:AD825,3,FALSE))*AG822</f>
        <v>0.11968000000000005</v>
      </c>
      <c r="AH824" s="316">
        <f>AH820*(100*AG824)</f>
        <v>0.13164800000000004</v>
      </c>
      <c r="AI824" s="316">
        <f>ROUNDUP(AH824,0)</f>
        <v>1</v>
      </c>
      <c r="AJ824" s="374">
        <f>AI824/(100*AG824)</f>
        <v>8.355614973262028E-2</v>
      </c>
    </row>
    <row r="825" spans="2:36" ht="17.25" thickBot="1" x14ac:dyDescent="0.35">
      <c r="P825"/>
      <c r="R825">
        <f>T825/(VLOOKUP(T820,P808:Q813,2,FALSE))</f>
        <v>0.16666666666666666</v>
      </c>
      <c r="S825" s="338" t="s">
        <v>692</v>
      </c>
      <c r="T825" s="366">
        <f>ROUNDUP(T823/T824,0)</f>
        <v>5</v>
      </c>
      <c r="U825" s="316">
        <f>T825*T824</f>
        <v>80</v>
      </c>
      <c r="V825" s="316"/>
      <c r="W825" s="367">
        <v>15</v>
      </c>
      <c r="X825" s="368">
        <v>1</v>
      </c>
      <c r="Y825" s="368">
        <v>3</v>
      </c>
      <c r="Z825" s="368">
        <v>5</v>
      </c>
      <c r="AA825" s="369">
        <v>80</v>
      </c>
      <c r="AB825" s="370">
        <v>5.6</v>
      </c>
      <c r="AC825" s="370">
        <v>0.47</v>
      </c>
      <c r="AD825" s="371">
        <v>0.79</v>
      </c>
      <c r="AF825" s="361" t="s">
        <v>703</v>
      </c>
      <c r="AG825" s="365">
        <f>(VLOOKUP(AG820,AA810:AD825,4,FALSE))*AG822</f>
        <v>0.11968000000000005</v>
      </c>
      <c r="AH825" s="316">
        <f>AH820*(100*AG825)</f>
        <v>0.13164800000000004</v>
      </c>
      <c r="AI825" s="316">
        <f>ROUNDUP(AH825,0)</f>
        <v>1</v>
      </c>
      <c r="AJ825" s="374">
        <f>AI825/(100*AG825)</f>
        <v>8.355614973262028E-2</v>
      </c>
    </row>
    <row r="826" spans="2:36" ht="17.25" thickBot="1" x14ac:dyDescent="0.35">
      <c r="B826" s="108" t="s">
        <v>10</v>
      </c>
      <c r="C826" s="413" t="s">
        <v>11</v>
      </c>
      <c r="D826" s="413"/>
      <c r="E826" s="413"/>
      <c r="F826" s="413"/>
      <c r="G826" s="414"/>
      <c r="P826" s="372"/>
      <c r="Q826" s="372"/>
      <c r="R826" s="316"/>
      <c r="S826" s="338" t="s">
        <v>704</v>
      </c>
      <c r="T826" s="373">
        <f>ROUNDUP(Q823*5*1.05,0)</f>
        <v>4</v>
      </c>
      <c r="U826" s="316"/>
      <c r="V826" s="316"/>
      <c r="W826" s="316"/>
      <c r="X826" s="316"/>
      <c r="Y826" s="316"/>
      <c r="Z826" s="316"/>
      <c r="AA826" s="316"/>
      <c r="AB826" s="316"/>
      <c r="AC826" s="316"/>
      <c r="AD826" s="316"/>
      <c r="AE826" s="316"/>
      <c r="AF826" s="316"/>
      <c r="AG826" s="316"/>
      <c r="AH826" s="316"/>
    </row>
    <row r="827" spans="2:36" x14ac:dyDescent="0.3">
      <c r="B827" s="112" t="s">
        <v>6</v>
      </c>
      <c r="C827" s="415" t="s">
        <v>1</v>
      </c>
      <c r="D827" s="416"/>
      <c r="E827" s="110" t="s">
        <v>192</v>
      </c>
      <c r="F827" s="118" t="s">
        <v>2</v>
      </c>
      <c r="G827" s="112" t="s">
        <v>3</v>
      </c>
      <c r="H827" s="104"/>
      <c r="I827" s="105" t="s">
        <v>7</v>
      </c>
      <c r="J827" s="134"/>
      <c r="K827" s="105" t="s">
        <v>8</v>
      </c>
      <c r="L827" s="113" t="s">
        <v>193</v>
      </c>
    </row>
    <row r="828" spans="2:36" x14ac:dyDescent="0.3">
      <c r="B828" s="120"/>
      <c r="C828" s="409"/>
      <c r="D828" s="409"/>
      <c r="E828" s="114"/>
      <c r="F828" s="83"/>
      <c r="G828" s="74"/>
      <c r="I828" s="115">
        <f>IF(C828=0,0,VLOOKUP(C828,Tabla3[],3,FALSE))</f>
        <v>0</v>
      </c>
      <c r="K828" s="84">
        <f>+F828*I828</f>
        <v>0</v>
      </c>
      <c r="L828" s="116">
        <f>E828*I828</f>
        <v>0</v>
      </c>
    </row>
    <row r="829" spans="2:36" x14ac:dyDescent="0.3">
      <c r="B829" s="74"/>
      <c r="C829" s="282"/>
      <c r="D829" s="283"/>
      <c r="E829" s="119"/>
      <c r="F829" s="72"/>
      <c r="G829" s="74"/>
      <c r="I829" s="115">
        <f>IF(C829=0,0,VLOOKUP(C829,Tabla3[],3,FALSE))</f>
        <v>0</v>
      </c>
      <c r="K829" s="84">
        <f>+F829*I829</f>
        <v>0</v>
      </c>
      <c r="L829" s="116">
        <f>E829*I829</f>
        <v>0</v>
      </c>
    </row>
    <row r="830" spans="2:36" x14ac:dyDescent="0.3">
      <c r="B830" s="74"/>
      <c r="C830" s="282"/>
      <c r="D830" s="283"/>
      <c r="E830" s="119"/>
      <c r="F830" s="72"/>
      <c r="G830" s="74"/>
      <c r="I830" s="115">
        <f>IF(C830=0,0,VLOOKUP(C830,Tabla3[],3,FALSE))</f>
        <v>0</v>
      </c>
      <c r="K830" s="84">
        <f>+F830*I830</f>
        <v>0</v>
      </c>
      <c r="L830" s="116">
        <f>E830*I830</f>
        <v>0</v>
      </c>
    </row>
    <row r="831" spans="2:36" x14ac:dyDescent="0.3">
      <c r="B831" s="74"/>
      <c r="C831" s="411"/>
      <c r="D831" s="412"/>
      <c r="E831" s="119"/>
      <c r="F831" s="72"/>
      <c r="G831" s="74"/>
      <c r="I831" s="115">
        <f>IF(C831=0,0,VLOOKUP(C831,Tabla3[],3,FALSE))</f>
        <v>0</v>
      </c>
      <c r="K831" s="84">
        <f>+F831*I831</f>
        <v>0</v>
      </c>
      <c r="L831" s="116">
        <f>E831*I831</f>
        <v>0</v>
      </c>
    </row>
    <row r="832" spans="2:36" ht="17.25" thickBot="1" x14ac:dyDescent="0.35"/>
    <row r="833" spans="2:12" ht="17.25" thickBot="1" x14ac:dyDescent="0.35">
      <c r="F833" s="402" t="s">
        <v>12</v>
      </c>
      <c r="G833" s="403"/>
      <c r="H833" s="403"/>
      <c r="I833" s="404"/>
      <c r="K833" s="224">
        <f>+SUM(K828:K831)</f>
        <v>0</v>
      </c>
      <c r="L833" s="117">
        <f>+SUM(L828:L831)</f>
        <v>0</v>
      </c>
    </row>
    <row r="834" spans="2:12" ht="17.25" thickBot="1" x14ac:dyDescent="0.35"/>
    <row r="835" spans="2:12" ht="17.25" thickBot="1" x14ac:dyDescent="0.35">
      <c r="B835" s="108" t="s">
        <v>13</v>
      </c>
      <c r="C835" s="413" t="s">
        <v>14</v>
      </c>
      <c r="D835" s="413"/>
      <c r="E835" s="413"/>
      <c r="F835" s="413"/>
      <c r="G835" s="414"/>
    </row>
    <row r="836" spans="2:12" x14ac:dyDescent="0.3">
      <c r="B836" s="112" t="s">
        <v>6</v>
      </c>
      <c r="C836" s="415" t="s">
        <v>1</v>
      </c>
      <c r="D836" s="416"/>
      <c r="E836" s="110" t="s">
        <v>192</v>
      </c>
      <c r="F836" s="118" t="s">
        <v>2</v>
      </c>
      <c r="G836" s="112" t="s">
        <v>3</v>
      </c>
      <c r="H836" s="104"/>
      <c r="I836" s="105" t="s">
        <v>7</v>
      </c>
      <c r="J836" s="134"/>
      <c r="K836" s="105" t="s">
        <v>8</v>
      </c>
      <c r="L836" s="113" t="s">
        <v>193</v>
      </c>
    </row>
    <row r="837" spans="2:12" x14ac:dyDescent="0.3">
      <c r="B837" s="120">
        <v>1</v>
      </c>
      <c r="C837" s="409" t="s">
        <v>423</v>
      </c>
      <c r="D837" s="409"/>
      <c r="E837" s="114">
        <f>I809</f>
        <v>12.8</v>
      </c>
      <c r="F837" s="83">
        <f>ROUND(E837/I809,2)</f>
        <v>1</v>
      </c>
      <c r="G837" s="74" t="str">
        <f>IF(C837=0,0,VLOOKUP(C837,PRECIOSMO[],2,FALSE))</f>
        <v>ml</v>
      </c>
      <c r="I837" s="115">
        <f>IF(C837=0,0,VLOOKUP(C837,PRECIOSMO[],3,FALSE))</f>
        <v>50</v>
      </c>
      <c r="K837" s="84">
        <f>+F837*I837</f>
        <v>50</v>
      </c>
      <c r="L837" s="116">
        <f>E837*I837</f>
        <v>640</v>
      </c>
    </row>
    <row r="838" spans="2:12" x14ac:dyDescent="0.3">
      <c r="B838" s="120">
        <v>1</v>
      </c>
      <c r="C838" s="409" t="s">
        <v>465</v>
      </c>
      <c r="D838" s="409"/>
      <c r="E838" s="114">
        <f>E820/12.5</f>
        <v>3.2</v>
      </c>
      <c r="F838" s="83">
        <f>ROUND(E838/I809,2)-0.05</f>
        <v>0.2</v>
      </c>
      <c r="G838" s="74" t="str">
        <f>IF(C838=0,0,VLOOKUP(C838,PRECIOSMO[],2,FALSE))</f>
        <v>m²</v>
      </c>
      <c r="I838" s="115">
        <f>IF(C838=0,0,VLOOKUP(C838,PRECIOSMO[],3,FALSE))</f>
        <v>95</v>
      </c>
      <c r="K838" s="84">
        <f>+F838*I838</f>
        <v>19</v>
      </c>
      <c r="L838" s="116">
        <f>E838*I838</f>
        <v>304</v>
      </c>
    </row>
    <row r="839" spans="2:12" ht="17.25" thickBot="1" x14ac:dyDescent="0.35">
      <c r="B839" s="121"/>
      <c r="C839" s="417"/>
      <c r="D839" s="418"/>
      <c r="E839" s="122"/>
      <c r="F839" s="123"/>
      <c r="G839" s="74"/>
      <c r="I839" s="115">
        <f>IF(C839=0,0,VLOOKUP(C839,Tabla2[],3,FALSE))</f>
        <v>0</v>
      </c>
      <c r="K839" s="84">
        <f>+F839*I839</f>
        <v>0</v>
      </c>
      <c r="L839" s="116">
        <f>E839*I839</f>
        <v>0</v>
      </c>
    </row>
    <row r="840" spans="2:12" ht="17.25" thickBot="1" x14ac:dyDescent="0.35">
      <c r="B840" s="419" t="s">
        <v>15</v>
      </c>
      <c r="C840" s="420"/>
      <c r="D840" s="420"/>
      <c r="E840" s="420"/>
      <c r="F840" s="420"/>
      <c r="G840" s="421"/>
      <c r="I840" s="84">
        <v>0</v>
      </c>
      <c r="K840" s="84">
        <v>0</v>
      </c>
      <c r="L840" s="116">
        <f>E840*I840</f>
        <v>0</v>
      </c>
    </row>
    <row r="841" spans="2:12" ht="17.25" thickBot="1" x14ac:dyDescent="0.35"/>
    <row r="842" spans="2:12" ht="17.25" thickBot="1" x14ac:dyDescent="0.35">
      <c r="F842" s="402" t="s">
        <v>16</v>
      </c>
      <c r="G842" s="403"/>
      <c r="H842" s="403"/>
      <c r="I842" s="404"/>
      <c r="K842" s="224">
        <f>+SUM(K837:K840)</f>
        <v>69</v>
      </c>
      <c r="L842" s="117">
        <f>+SUM(L837:L840)</f>
        <v>944</v>
      </c>
    </row>
    <row r="843" spans="2:12" ht="17.25" thickBot="1" x14ac:dyDescent="0.35"/>
    <row r="844" spans="2:12" ht="17.25" thickBot="1" x14ac:dyDescent="0.35">
      <c r="B844" s="108" t="s">
        <v>17</v>
      </c>
      <c r="C844" s="413" t="s">
        <v>18</v>
      </c>
      <c r="D844" s="413"/>
      <c r="E844" s="413"/>
      <c r="F844" s="413"/>
      <c r="G844" s="414"/>
    </row>
    <row r="845" spans="2:12" x14ac:dyDescent="0.3">
      <c r="B845" s="112" t="s">
        <v>6</v>
      </c>
      <c r="C845" s="415" t="s">
        <v>1</v>
      </c>
      <c r="D845" s="416"/>
      <c r="E845" s="124"/>
      <c r="F845" s="118" t="s">
        <v>2</v>
      </c>
      <c r="G845" s="112" t="s">
        <v>3</v>
      </c>
      <c r="H845" s="104"/>
      <c r="I845" s="105" t="s">
        <v>7</v>
      </c>
      <c r="J845" s="134"/>
      <c r="K845" s="105" t="s">
        <v>8</v>
      </c>
      <c r="L845" s="113" t="s">
        <v>193</v>
      </c>
    </row>
    <row r="846" spans="2:12" x14ac:dyDescent="0.3">
      <c r="B846" s="74"/>
      <c r="C846" s="411"/>
      <c r="D846" s="412"/>
      <c r="E846" s="125"/>
      <c r="F846" s="72"/>
      <c r="G846" s="74"/>
      <c r="I846" s="84">
        <v>0</v>
      </c>
      <c r="K846" s="84">
        <f>+F846*I846</f>
        <v>0</v>
      </c>
      <c r="L846" s="116">
        <f>E846*I846</f>
        <v>0</v>
      </c>
    </row>
    <row r="847" spans="2:12" x14ac:dyDescent="0.3">
      <c r="B847" s="74"/>
      <c r="C847" s="411"/>
      <c r="D847" s="412"/>
      <c r="E847" s="125"/>
      <c r="F847" s="72"/>
      <c r="G847" s="74"/>
      <c r="I847" s="84">
        <v>0</v>
      </c>
      <c r="K847" s="84">
        <f>+F847*I847</f>
        <v>0</v>
      </c>
      <c r="L847" s="116">
        <f>E847*I847</f>
        <v>0</v>
      </c>
    </row>
    <row r="848" spans="2:12" x14ac:dyDescent="0.3">
      <c r="B848" s="74"/>
      <c r="C848" s="411"/>
      <c r="D848" s="412"/>
      <c r="E848" s="125"/>
      <c r="F848" s="72"/>
      <c r="G848" s="74"/>
      <c r="I848" s="84">
        <v>0</v>
      </c>
      <c r="K848" s="84">
        <f>+F848*I848</f>
        <v>0</v>
      </c>
      <c r="L848" s="116">
        <f>E848*I848</f>
        <v>0</v>
      </c>
    </row>
    <row r="849" spans="2:36" ht="17.25" thickBot="1" x14ac:dyDescent="0.35">
      <c r="L849" s="116"/>
    </row>
    <row r="850" spans="2:36" ht="17.25" thickBot="1" x14ac:dyDescent="0.35">
      <c r="F850" s="402" t="s">
        <v>19</v>
      </c>
      <c r="G850" s="403"/>
      <c r="H850" s="403"/>
      <c r="I850" s="404"/>
      <c r="K850" s="224">
        <f>+SUM(K846:K848)</f>
        <v>0</v>
      </c>
      <c r="L850" s="117">
        <f>+SUM(L845:L848)</f>
        <v>0</v>
      </c>
    </row>
    <row r="851" spans="2:36" ht="15" customHeight="1" x14ac:dyDescent="0.3">
      <c r="F851" s="126"/>
      <c r="G851" s="280"/>
      <c r="H851" s="128"/>
      <c r="I851" s="106"/>
      <c r="K851" s="225"/>
    </row>
    <row r="852" spans="2:36" ht="15" customHeight="1" thickBot="1" x14ac:dyDescent="0.35"/>
    <row r="853" spans="2:36" ht="17.25" thickBot="1" x14ac:dyDescent="0.35">
      <c r="F853" s="402" t="s">
        <v>20</v>
      </c>
      <c r="G853" s="403"/>
      <c r="H853" s="403"/>
      <c r="I853" s="404"/>
      <c r="K853" s="224">
        <f>(+K824+K833+K842+K850)</f>
        <v>172</v>
      </c>
      <c r="L853" s="117">
        <f>(+L824+L833+L842+L850)</f>
        <v>2336</v>
      </c>
      <c r="N853" s="129"/>
      <c r="O853" s="39"/>
      <c r="P853" s="40"/>
    </row>
    <row r="854" spans="2:36" ht="7.5" customHeight="1" thickBot="1" x14ac:dyDescent="0.35">
      <c r="N854" s="129"/>
      <c r="O854" s="41"/>
      <c r="P854" s="40"/>
    </row>
    <row r="855" spans="2:36" ht="17.25" thickBot="1" x14ac:dyDescent="0.35">
      <c r="F855" s="402" t="s">
        <v>21</v>
      </c>
      <c r="G855" s="403"/>
      <c r="H855" s="403"/>
      <c r="I855" s="404"/>
      <c r="K855" s="224">
        <f>K853*$N$2</f>
        <v>68.8</v>
      </c>
      <c r="L855" s="117">
        <f>L853*$N$2</f>
        <v>934.40000000000009</v>
      </c>
    </row>
    <row r="856" spans="2:36" ht="7.5" customHeight="1" thickBot="1" x14ac:dyDescent="0.35"/>
    <row r="857" spans="2:36" ht="17.25" thickBot="1" x14ac:dyDescent="0.35">
      <c r="F857" s="402" t="s">
        <v>22</v>
      </c>
      <c r="G857" s="403"/>
      <c r="H857" s="403"/>
      <c r="I857" s="404"/>
      <c r="K857" s="224">
        <f>+K853+K855</f>
        <v>240.8</v>
      </c>
      <c r="L857" s="117">
        <f>+L853+L855</f>
        <v>3270.4</v>
      </c>
    </row>
    <row r="858" spans="2:36" ht="17.25" thickBot="1" x14ac:dyDescent="0.35">
      <c r="F858" s="126"/>
      <c r="G858" s="280"/>
      <c r="H858" s="128"/>
      <c r="I858" s="106"/>
      <c r="K858" s="226"/>
      <c r="L858" s="130">
        <f>L857/I809</f>
        <v>255.5</v>
      </c>
      <c r="M858" s="131">
        <f>(K857-L858)*I809</f>
        <v>-188.15999999999985</v>
      </c>
    </row>
    <row r="859" spans="2:36" x14ac:dyDescent="0.3">
      <c r="F859" s="126"/>
      <c r="G859" s="280"/>
      <c r="H859" s="128"/>
      <c r="I859" s="106"/>
      <c r="K859" s="227"/>
      <c r="L859" s="129"/>
      <c r="M859" s="132"/>
      <c r="N859" s="133"/>
    </row>
    <row r="860" spans="2:36" ht="17.25" thickBot="1" x14ac:dyDescent="0.35">
      <c r="B860" s="405"/>
      <c r="C860" s="405"/>
      <c r="D860" s="405"/>
    </row>
    <row r="861" spans="2:36" x14ac:dyDescent="0.3">
      <c r="B861" s="406" t="s">
        <v>23</v>
      </c>
      <c r="C861" s="406"/>
      <c r="D861" s="406"/>
    </row>
    <row r="862" spans="2:36" x14ac:dyDescent="0.3">
      <c r="B862" s="281"/>
      <c r="C862" s="281"/>
      <c r="D862" s="281"/>
    </row>
    <row r="863" spans="2:36" ht="17.25" thickBot="1" x14ac:dyDescent="0.35">
      <c r="B863" s="376"/>
      <c r="C863" s="376"/>
      <c r="D863" s="376"/>
    </row>
    <row r="864" spans="2:36" x14ac:dyDescent="0.3">
      <c r="B864" s="103" t="s">
        <v>43</v>
      </c>
      <c r="C864" s="104"/>
      <c r="D864" s="422" t="s">
        <v>1</v>
      </c>
      <c r="E864" s="422"/>
      <c r="F864" s="422"/>
      <c r="G864" s="422"/>
      <c r="H864" s="104"/>
      <c r="I864" s="105" t="s">
        <v>2</v>
      </c>
      <c r="J864" s="134"/>
      <c r="K864" s="105" t="s">
        <v>3</v>
      </c>
      <c r="P864" s="461" t="s">
        <v>666</v>
      </c>
      <c r="Q864" s="462"/>
      <c r="S864" s="463" t="s">
        <v>725</v>
      </c>
      <c r="T864" s="463"/>
      <c r="U864" s="316"/>
      <c r="V864" s="316"/>
      <c r="W864" s="464" t="s">
        <v>668</v>
      </c>
      <c r="X864" s="466" t="s">
        <v>669</v>
      </c>
      <c r="Y864" s="467"/>
      <c r="Z864" s="468"/>
      <c r="AA864" s="469" t="s">
        <v>670</v>
      </c>
      <c r="AB864" s="471" t="s">
        <v>671</v>
      </c>
      <c r="AC864" s="473" t="s">
        <v>672</v>
      </c>
      <c r="AD864" s="475" t="s">
        <v>673</v>
      </c>
      <c r="AH864" s="316"/>
      <c r="AI864" s="316"/>
      <c r="AJ864" s="316"/>
    </row>
    <row r="865" spans="1:36" s="4" customFormat="1" ht="30.75" customHeight="1" x14ac:dyDescent="0.25">
      <c r="A865" s="31"/>
      <c r="B865" s="379">
        <f>CATALOGO!B41</f>
        <v>407.09</v>
      </c>
      <c r="C865" s="71"/>
      <c r="D865" s="423" t="str">
        <f>CATALOGO!C41</f>
        <v>SOLERA DINTEL (0.14m X 0.20m + 4 NO. 3 + EST NO. 2 @ 0.20m)</v>
      </c>
      <c r="E865" s="423"/>
      <c r="F865" s="423"/>
      <c r="G865" s="423"/>
      <c r="H865" s="71"/>
      <c r="I865" s="379">
        <f>CATALOGO!E41</f>
        <v>14</v>
      </c>
      <c r="J865" s="107"/>
      <c r="K865" s="222" t="str">
        <f>CATALOGO!G41</f>
        <v>ml</v>
      </c>
      <c r="L865" s="71"/>
      <c r="M865" s="71"/>
      <c r="N865" s="102"/>
      <c r="O865" s="37"/>
      <c r="P865" s="317" t="s">
        <v>6</v>
      </c>
      <c r="Q865" s="318" t="s">
        <v>674</v>
      </c>
      <c r="R865"/>
      <c r="S865" s="477" t="s">
        <v>675</v>
      </c>
      <c r="T865" s="477"/>
      <c r="U865" s="316"/>
      <c r="V865" s="316"/>
      <c r="W865" s="465"/>
      <c r="X865" s="319" t="s">
        <v>676</v>
      </c>
      <c r="Y865" s="319" t="s">
        <v>677</v>
      </c>
      <c r="Z865" s="319" t="s">
        <v>678</v>
      </c>
      <c r="AA865" s="470"/>
      <c r="AB865" s="472"/>
      <c r="AC865" s="474"/>
      <c r="AD865" s="476"/>
      <c r="AE865"/>
      <c r="AF865"/>
      <c r="AG865"/>
      <c r="AH865" s="316"/>
      <c r="AI865" s="316"/>
      <c r="AJ865" s="316"/>
    </row>
    <row r="866" spans="1:36" ht="17.25" thickBot="1" x14ac:dyDescent="0.35">
      <c r="P866" s="320" t="s">
        <v>679</v>
      </c>
      <c r="Q866" s="321">
        <v>30</v>
      </c>
      <c r="S866" s="322" t="s">
        <v>680</v>
      </c>
      <c r="T866" s="323">
        <f>I865</f>
        <v>14</v>
      </c>
      <c r="U866" s="316">
        <v>15.6</v>
      </c>
      <c r="V866" s="316"/>
      <c r="W866" s="324">
        <v>1</v>
      </c>
      <c r="X866" s="325">
        <v>1</v>
      </c>
      <c r="Y866" s="325">
        <v>1.5</v>
      </c>
      <c r="Z866" s="325">
        <v>1.5</v>
      </c>
      <c r="AA866" s="326">
        <v>303</v>
      </c>
      <c r="AB866" s="327">
        <v>12.6</v>
      </c>
      <c r="AC866" s="327">
        <v>0.53</v>
      </c>
      <c r="AD866" s="328">
        <v>0.55000000000000004</v>
      </c>
      <c r="AH866" s="316"/>
      <c r="AI866" s="316"/>
      <c r="AJ866" s="316"/>
    </row>
    <row r="867" spans="1:36" ht="17.25" thickBot="1" x14ac:dyDescent="0.35">
      <c r="B867" s="108" t="s">
        <v>4</v>
      </c>
      <c r="C867" s="413" t="s">
        <v>5</v>
      </c>
      <c r="D867" s="413"/>
      <c r="E867" s="413"/>
      <c r="F867" s="413"/>
      <c r="G867" s="414"/>
      <c r="P867" s="320" t="s">
        <v>681</v>
      </c>
      <c r="Q867" s="321">
        <v>13</v>
      </c>
      <c r="S867" s="322" t="s">
        <v>682</v>
      </c>
      <c r="T867" s="329">
        <v>0.14000000000000001</v>
      </c>
      <c r="U867" s="316"/>
      <c r="V867" s="316"/>
      <c r="W867" s="324"/>
      <c r="X867" s="325"/>
      <c r="Y867" s="325"/>
      <c r="Z867" s="325"/>
      <c r="AA867" s="326">
        <v>281</v>
      </c>
      <c r="AB867" s="327">
        <v>11.7</v>
      </c>
      <c r="AC867" s="327">
        <v>0.5</v>
      </c>
      <c r="AD867" s="328">
        <v>0.61</v>
      </c>
      <c r="AH867" s="316"/>
      <c r="AI867" s="316"/>
      <c r="AJ867" s="316"/>
    </row>
    <row r="868" spans="1:36" x14ac:dyDescent="0.3">
      <c r="B868" s="109" t="s">
        <v>6</v>
      </c>
      <c r="C868" s="424" t="s">
        <v>1</v>
      </c>
      <c r="D868" s="425"/>
      <c r="E868" s="110" t="s">
        <v>192</v>
      </c>
      <c r="F868" s="111" t="s">
        <v>2</v>
      </c>
      <c r="G868" s="112" t="s">
        <v>3</v>
      </c>
      <c r="H868" s="104"/>
      <c r="I868" s="105" t="s">
        <v>7</v>
      </c>
      <c r="J868" s="134"/>
      <c r="K868" s="223" t="s">
        <v>8</v>
      </c>
      <c r="L868" s="113" t="s">
        <v>193</v>
      </c>
      <c r="P868" s="320" t="s">
        <v>683</v>
      </c>
      <c r="Q868" s="321">
        <v>7</v>
      </c>
      <c r="S868" s="330" t="s">
        <v>684</v>
      </c>
      <c r="T868" s="331">
        <v>0.2</v>
      </c>
      <c r="U868" s="316"/>
      <c r="V868" s="316"/>
      <c r="W868" s="324">
        <v>2</v>
      </c>
      <c r="X868" s="325">
        <v>1</v>
      </c>
      <c r="Y868" s="325">
        <v>1.5</v>
      </c>
      <c r="Z868" s="325">
        <v>2</v>
      </c>
      <c r="AA868" s="326">
        <v>270</v>
      </c>
      <c r="AB868" s="327">
        <v>11.3</v>
      </c>
      <c r="AC868" s="327">
        <v>0.48</v>
      </c>
      <c r="AD868" s="328">
        <v>0.64</v>
      </c>
      <c r="AH868" s="316"/>
      <c r="AI868" s="316"/>
      <c r="AJ868" s="316"/>
    </row>
    <row r="869" spans="1:36" ht="17.25" thickBot="1" x14ac:dyDescent="0.35">
      <c r="B869" s="120">
        <v>1</v>
      </c>
      <c r="C869" s="407" t="s">
        <v>168</v>
      </c>
      <c r="D869" s="408"/>
      <c r="E869" s="114">
        <f>T875</f>
        <v>12</v>
      </c>
      <c r="F869" s="83">
        <f>ROUND(E869/I865,2)-0.01</f>
        <v>0.85</v>
      </c>
      <c r="G869" s="74" t="str">
        <f>IF(C869=0,0,VLOOKUP(C869,Tabla1[],2,FALSE))</f>
        <v>Varilla</v>
      </c>
      <c r="I869" s="115">
        <f>IF(C869=0,0,VLOOKUP(C869,Tabla1[],3,FALSE))</f>
        <v>40</v>
      </c>
      <c r="K869" s="84">
        <f>+F869*I869</f>
        <v>34</v>
      </c>
      <c r="L869" s="116">
        <f>E869*I869</f>
        <v>480</v>
      </c>
      <c r="P869" s="332" t="s">
        <v>685</v>
      </c>
      <c r="Q869" s="333">
        <v>4</v>
      </c>
      <c r="S869" s="334" t="s">
        <v>686</v>
      </c>
      <c r="T869" s="331">
        <v>2.5000000000000001E-2</v>
      </c>
      <c r="U869" s="316"/>
      <c r="V869" s="316"/>
      <c r="W869" s="324">
        <v>3</v>
      </c>
      <c r="X869" s="325">
        <v>1</v>
      </c>
      <c r="Y869" s="325">
        <v>1.5</v>
      </c>
      <c r="Z869" s="325">
        <v>2.5</v>
      </c>
      <c r="AA869" s="326">
        <v>245</v>
      </c>
      <c r="AB869" s="327">
        <v>10.1</v>
      </c>
      <c r="AC869" s="327">
        <v>0.43</v>
      </c>
      <c r="AD869" s="328">
        <v>0.71</v>
      </c>
      <c r="AH869" s="316"/>
      <c r="AI869" s="316"/>
      <c r="AJ869" s="316"/>
    </row>
    <row r="870" spans="1:36" ht="17.25" thickBot="1" x14ac:dyDescent="0.35">
      <c r="B870" s="120">
        <v>2</v>
      </c>
      <c r="C870" s="407" t="s">
        <v>312</v>
      </c>
      <c r="D870" s="408"/>
      <c r="E870" s="114">
        <f>T881</f>
        <v>7</v>
      </c>
      <c r="F870" s="83">
        <f>ROUND(E870/I865,2)</f>
        <v>0.5</v>
      </c>
      <c r="G870" s="74" t="str">
        <f>IF(C870=0,0,VLOOKUP(C870,Tabla1[],2,FALSE))</f>
        <v>Varilla</v>
      </c>
      <c r="I870" s="115">
        <f>IF(C870=0,0,VLOOKUP(C870,Tabla1[],3,FALSE))</f>
        <v>20</v>
      </c>
      <c r="K870" s="84">
        <f>+F870*I870</f>
        <v>10</v>
      </c>
      <c r="L870" s="116">
        <f>E870*I870</f>
        <v>140</v>
      </c>
      <c r="P870" s="335"/>
      <c r="Q870" s="336"/>
      <c r="S870" s="322"/>
      <c r="T870" s="331"/>
      <c r="U870" s="316"/>
      <c r="V870" s="316"/>
      <c r="W870" s="324">
        <v>4</v>
      </c>
      <c r="X870" s="325">
        <v>1</v>
      </c>
      <c r="Y870" s="325">
        <v>1.5</v>
      </c>
      <c r="Z870" s="325">
        <v>3</v>
      </c>
      <c r="AA870" s="337">
        <v>230</v>
      </c>
      <c r="AB870" s="327">
        <v>9.3000000000000007</v>
      </c>
      <c r="AC870" s="327">
        <v>0.37</v>
      </c>
      <c r="AD870" s="328">
        <v>0.79</v>
      </c>
      <c r="AH870" s="316"/>
      <c r="AI870" s="316"/>
      <c r="AJ870" s="316"/>
    </row>
    <row r="871" spans="1:36" ht="17.25" thickBot="1" x14ac:dyDescent="0.35">
      <c r="B871" s="120">
        <v>3</v>
      </c>
      <c r="C871" s="428" t="s">
        <v>213</v>
      </c>
      <c r="D871" s="429"/>
      <c r="E871" s="114">
        <f>AI879</f>
        <v>4</v>
      </c>
      <c r="F871" s="83">
        <f>ROUND(E871/I865,2)+0.01</f>
        <v>0.3</v>
      </c>
      <c r="G871" s="74" t="str">
        <f>IF(C871=0,0,VLOOKUP(C871,Tabla1[],2,FALSE))</f>
        <v>Saco</v>
      </c>
      <c r="I871" s="115">
        <f>IF(C871=0,0,VLOOKUP(C871,Tabla1[],3,FALSE))</f>
        <v>80</v>
      </c>
      <c r="K871" s="84">
        <f t="shared" ref="K871:K878" si="24">+F871*I871</f>
        <v>24</v>
      </c>
      <c r="L871" s="116">
        <f t="shared" ref="L871:L878" si="25">E871*I871</f>
        <v>320</v>
      </c>
      <c r="P871"/>
      <c r="S871" s="338" t="s">
        <v>688</v>
      </c>
      <c r="T871" s="339">
        <f>T866*T867*T868</f>
        <v>0.39200000000000007</v>
      </c>
      <c r="U871" s="316"/>
      <c r="V871" s="316"/>
      <c r="W871" s="340">
        <v>5</v>
      </c>
      <c r="X871" s="341">
        <v>1</v>
      </c>
      <c r="Y871" s="341">
        <v>2</v>
      </c>
      <c r="Z871" s="341">
        <v>2</v>
      </c>
      <c r="AA871" s="337">
        <v>217</v>
      </c>
      <c r="AB871" s="342">
        <v>9.8000000000000007</v>
      </c>
      <c r="AC871" s="342">
        <v>0.55000000000000004</v>
      </c>
      <c r="AD871" s="343">
        <v>0.55000000000000004</v>
      </c>
      <c r="AH871" s="316"/>
      <c r="AI871" s="316"/>
      <c r="AJ871" s="316"/>
    </row>
    <row r="872" spans="1:36" x14ac:dyDescent="0.3">
      <c r="B872" s="120">
        <v>4</v>
      </c>
      <c r="C872" s="430" t="s">
        <v>72</v>
      </c>
      <c r="D872" s="429"/>
      <c r="E872" s="114">
        <f>AI880</f>
        <v>1</v>
      </c>
      <c r="F872" s="83">
        <f>ROUND(E872/I865,2)</f>
        <v>7.0000000000000007E-2</v>
      </c>
      <c r="G872" s="74" t="str">
        <f>IF(C872=0,0,VLOOKUP(C872,Tabla1[],2,FALSE))</f>
        <v>m³</v>
      </c>
      <c r="I872" s="115">
        <f>IF(C872=0,0,VLOOKUP(C872,Tabla1[],3,FALSE))</f>
        <v>250</v>
      </c>
      <c r="K872" s="84">
        <f t="shared" si="24"/>
        <v>17.5</v>
      </c>
      <c r="L872" s="116">
        <f t="shared" si="25"/>
        <v>250</v>
      </c>
      <c r="P872"/>
      <c r="S872" s="338"/>
      <c r="T872" s="344"/>
      <c r="U872" s="345"/>
      <c r="V872" s="316"/>
      <c r="W872" s="324">
        <v>6</v>
      </c>
      <c r="X872" s="325">
        <v>1</v>
      </c>
      <c r="Y872" s="325">
        <v>2</v>
      </c>
      <c r="Z872" s="325">
        <v>2.5</v>
      </c>
      <c r="AA872" s="326">
        <v>195</v>
      </c>
      <c r="AB872" s="327">
        <v>9.1</v>
      </c>
      <c r="AC872" s="327">
        <v>0.51</v>
      </c>
      <c r="AD872" s="328">
        <v>0.64</v>
      </c>
      <c r="AH872" s="316"/>
      <c r="AI872" s="316"/>
      <c r="AJ872" s="316"/>
    </row>
    <row r="873" spans="1:36" x14ac:dyDescent="0.3">
      <c r="B873" s="120">
        <v>5</v>
      </c>
      <c r="C873" s="430" t="s">
        <v>229</v>
      </c>
      <c r="D873" s="429"/>
      <c r="E873" s="114">
        <f>AI881</f>
        <v>1</v>
      </c>
      <c r="F873" s="83">
        <f>ROUND(E873/I865,2)</f>
        <v>7.0000000000000007E-2</v>
      </c>
      <c r="G873" s="74" t="str">
        <f>IF(C873=0,0,VLOOKUP(C873,Tabla1[],2,FALSE))</f>
        <v>m³</v>
      </c>
      <c r="I873" s="115">
        <f>IF(C873=0,0,VLOOKUP(C873,Tabla1[],3,FALSE))</f>
        <v>250</v>
      </c>
      <c r="K873" s="84">
        <f t="shared" si="24"/>
        <v>17.5</v>
      </c>
      <c r="L873" s="116">
        <f t="shared" si="25"/>
        <v>250</v>
      </c>
      <c r="P873"/>
      <c r="S873" s="380" t="s">
        <v>690</v>
      </c>
      <c r="T873" s="380"/>
      <c r="U873" s="347"/>
      <c r="V873" s="316"/>
      <c r="W873" s="324">
        <v>7</v>
      </c>
      <c r="X873" s="325">
        <v>1</v>
      </c>
      <c r="Y873" s="325">
        <v>2</v>
      </c>
      <c r="Z873" s="325">
        <v>3</v>
      </c>
      <c r="AA873" s="337">
        <v>165</v>
      </c>
      <c r="AB873" s="327">
        <v>8.4</v>
      </c>
      <c r="AC873" s="327">
        <v>0.47</v>
      </c>
      <c r="AD873" s="328">
        <v>0.71</v>
      </c>
      <c r="AH873" s="316"/>
      <c r="AI873" s="316"/>
      <c r="AJ873" s="316"/>
    </row>
    <row r="874" spans="1:36" ht="17.25" thickBot="1" x14ac:dyDescent="0.35">
      <c r="B874" s="120">
        <v>6</v>
      </c>
      <c r="C874" s="433" t="s">
        <v>368</v>
      </c>
      <c r="D874" s="433"/>
      <c r="E874" s="114">
        <f>T882</f>
        <v>7</v>
      </c>
      <c r="F874" s="83">
        <f>ROUND(E874/I865,2)</f>
        <v>0.5</v>
      </c>
      <c r="G874" s="74" t="str">
        <f>IF(C874=0,0,VLOOKUP(C874,Tabla1[],2,FALSE))</f>
        <v>Libra</v>
      </c>
      <c r="I874" s="115">
        <f>IF(C874=0,0,VLOOKUP(C874,Tabla1[],3,FALSE))</f>
        <v>8</v>
      </c>
      <c r="K874" s="84">
        <f t="shared" si="24"/>
        <v>4</v>
      </c>
      <c r="L874" s="116">
        <f t="shared" si="25"/>
        <v>56</v>
      </c>
      <c r="P874"/>
      <c r="S874" s="334" t="s">
        <v>691</v>
      </c>
      <c r="T874" s="329" t="s">
        <v>681</v>
      </c>
      <c r="U874" s="316"/>
      <c r="V874" s="316"/>
      <c r="W874" s="324">
        <v>8</v>
      </c>
      <c r="X874" s="325">
        <v>1</v>
      </c>
      <c r="Y874" s="325">
        <v>2</v>
      </c>
      <c r="Z874" s="325">
        <v>3.5</v>
      </c>
      <c r="AA874" s="337">
        <v>164</v>
      </c>
      <c r="AB874" s="327">
        <v>7.8</v>
      </c>
      <c r="AC874" s="327">
        <v>0.44</v>
      </c>
      <c r="AD874" s="328">
        <v>0.76</v>
      </c>
      <c r="AH874" s="316"/>
      <c r="AI874" s="316"/>
      <c r="AJ874" s="316"/>
    </row>
    <row r="875" spans="1:36" x14ac:dyDescent="0.3">
      <c r="B875" s="120">
        <v>7</v>
      </c>
      <c r="C875" s="433" t="s">
        <v>174</v>
      </c>
      <c r="D875" s="433"/>
      <c r="E875" s="114">
        <f>E874</f>
        <v>7</v>
      </c>
      <c r="F875" s="83">
        <f>ROUND(E875/I865,2)</f>
        <v>0.5</v>
      </c>
      <c r="G875" s="74" t="str">
        <f>IF(C875=0,0,VLOOKUP(C875,Tabla1[],2,FALSE))</f>
        <v>Libra</v>
      </c>
      <c r="I875" s="115">
        <f>IF(C875=0,0,VLOOKUP(C875,Tabla1[],3,FALSE))</f>
        <v>10</v>
      </c>
      <c r="K875" s="84">
        <f t="shared" si="24"/>
        <v>5</v>
      </c>
      <c r="L875" s="116">
        <f t="shared" si="25"/>
        <v>70</v>
      </c>
      <c r="P875"/>
      <c r="S875" s="338" t="s">
        <v>692</v>
      </c>
      <c r="T875" s="348">
        <f>3*4</f>
        <v>12</v>
      </c>
      <c r="U875" s="387">
        <f>T875/(VLOOKUP(T874,P864:Q869,2,FALSE))</f>
        <v>0.92307692307692313</v>
      </c>
      <c r="V875" s="316"/>
      <c r="W875" s="324">
        <v>9</v>
      </c>
      <c r="X875" s="325">
        <v>1</v>
      </c>
      <c r="Y875" s="325">
        <v>2</v>
      </c>
      <c r="Z875" s="325">
        <v>4</v>
      </c>
      <c r="AA875" s="337">
        <v>140</v>
      </c>
      <c r="AB875" s="327">
        <v>7.3</v>
      </c>
      <c r="AC875" s="327">
        <v>0.41</v>
      </c>
      <c r="AD875" s="328">
        <v>0.82</v>
      </c>
      <c r="AF875" s="349" t="s">
        <v>693</v>
      </c>
      <c r="AG875" s="349"/>
      <c r="AH875" s="316"/>
      <c r="AI875" s="316"/>
      <c r="AJ875" s="316"/>
    </row>
    <row r="876" spans="1:36" x14ac:dyDescent="0.3">
      <c r="B876" s="120">
        <v>8</v>
      </c>
      <c r="C876" s="433" t="s">
        <v>179</v>
      </c>
      <c r="D876" s="433"/>
      <c r="E876" s="114">
        <f>I865*6</f>
        <v>84</v>
      </c>
      <c r="F876" s="83">
        <f>ROUND(E876/I865,2)</f>
        <v>6</v>
      </c>
      <c r="G876" s="74" t="str">
        <f>IF(C876=0,0,VLOOKUP(C876,Tabla1[],2,FALSE))</f>
        <v>pt</v>
      </c>
      <c r="I876" s="115">
        <f>IF(C876=0,0,VLOOKUP(C876,Tabla1[],3,FALSE))</f>
        <v>9</v>
      </c>
      <c r="K876" s="84">
        <f t="shared" si="24"/>
        <v>54</v>
      </c>
      <c r="L876" s="116">
        <f t="shared" si="25"/>
        <v>756</v>
      </c>
      <c r="P876"/>
      <c r="S876" s="350" t="s">
        <v>716</v>
      </c>
      <c r="T876" s="351" t="s">
        <v>679</v>
      </c>
      <c r="U876" s="316"/>
      <c r="V876" s="316"/>
      <c r="W876" s="324">
        <v>10</v>
      </c>
      <c r="X876" s="325">
        <v>1</v>
      </c>
      <c r="Y876" s="325">
        <v>2.5</v>
      </c>
      <c r="Z876" s="325">
        <v>2.5</v>
      </c>
      <c r="AA876" s="337">
        <v>156</v>
      </c>
      <c r="AB876" s="327">
        <v>8.3000000000000007</v>
      </c>
      <c r="AC876" s="327">
        <v>0.57999999999999996</v>
      </c>
      <c r="AD876" s="328">
        <v>0.57999999999999996</v>
      </c>
      <c r="AF876" s="352" t="s">
        <v>694</v>
      </c>
      <c r="AG876" s="329">
        <v>217</v>
      </c>
      <c r="AH876" s="353">
        <v>1.0999999999999999E-2</v>
      </c>
      <c r="AI876" s="316"/>
      <c r="AJ876" s="316"/>
    </row>
    <row r="877" spans="1:36" x14ac:dyDescent="0.3">
      <c r="B877" s="120"/>
      <c r="C877" s="410"/>
      <c r="D877" s="410"/>
      <c r="E877" s="114"/>
      <c r="F877" s="72"/>
      <c r="G877" s="74"/>
      <c r="I877" s="115">
        <f>IF(C877=0,0,VLOOKUP(C877,Tabla1[],3,FALSE))</f>
        <v>0</v>
      </c>
      <c r="K877" s="84">
        <f t="shared" si="24"/>
        <v>0</v>
      </c>
      <c r="L877" s="116">
        <f t="shared" si="25"/>
        <v>0</v>
      </c>
      <c r="P877"/>
      <c r="S877" s="354" t="s">
        <v>695</v>
      </c>
      <c r="T877" s="355">
        <v>0.2</v>
      </c>
      <c r="U877" s="316"/>
      <c r="V877" s="316"/>
      <c r="W877" s="324">
        <v>11</v>
      </c>
      <c r="X877" s="325">
        <v>1</v>
      </c>
      <c r="Y877" s="325">
        <v>2.5</v>
      </c>
      <c r="Z877" s="325">
        <v>3</v>
      </c>
      <c r="AA877" s="337">
        <v>147</v>
      </c>
      <c r="AB877" s="327">
        <v>7.6</v>
      </c>
      <c r="AC877" s="327">
        <v>0.54</v>
      </c>
      <c r="AD877" s="328">
        <v>0.65</v>
      </c>
      <c r="AF877" s="356" t="s">
        <v>696</v>
      </c>
      <c r="AG877" s="357">
        <f>AG876/0.07031</f>
        <v>3086.3319584696346</v>
      </c>
      <c r="AH877" s="316"/>
      <c r="AI877" s="316"/>
      <c r="AJ877" s="316"/>
    </row>
    <row r="878" spans="1:36" ht="17.25" thickBot="1" x14ac:dyDescent="0.35">
      <c r="B878" s="120"/>
      <c r="C878" s="410"/>
      <c r="D878" s="410"/>
      <c r="E878" s="114"/>
      <c r="F878" s="72"/>
      <c r="G878" s="74"/>
      <c r="I878" s="115">
        <f>IF(C878=0,0,VLOOKUP(C878,Tabla1[],3,FALSE))</f>
        <v>0</v>
      </c>
      <c r="K878" s="84">
        <f t="shared" si="24"/>
        <v>0</v>
      </c>
      <c r="L878" s="116">
        <f t="shared" si="25"/>
        <v>0</v>
      </c>
      <c r="P878"/>
      <c r="S878" s="354" t="s">
        <v>717</v>
      </c>
      <c r="T878" s="358">
        <f>ROUNDUP(T867-(2*T869)+T868-(2*T869)+0.25,2)</f>
        <v>0.49</v>
      </c>
      <c r="U878" s="316"/>
      <c r="V878" s="316"/>
      <c r="W878" s="324">
        <v>12</v>
      </c>
      <c r="X878" s="325">
        <v>1</v>
      </c>
      <c r="Y878" s="325">
        <v>2.5</v>
      </c>
      <c r="Z878" s="325">
        <v>3.5</v>
      </c>
      <c r="AA878" s="337">
        <v>132</v>
      </c>
      <c r="AB878" s="327">
        <v>7.2</v>
      </c>
      <c r="AC878" s="327">
        <v>0.51</v>
      </c>
      <c r="AD878" s="328">
        <v>0.71</v>
      </c>
      <c r="AF878" s="352" t="s">
        <v>698</v>
      </c>
      <c r="AG878" s="359">
        <f>T871</f>
        <v>0.39200000000000007</v>
      </c>
      <c r="AH878" s="316">
        <f>AG878*100*AH876</f>
        <v>0.43120000000000008</v>
      </c>
      <c r="AI878" s="316"/>
      <c r="AJ878" s="374"/>
    </row>
    <row r="879" spans="1:36" ht="17.25" thickBot="1" x14ac:dyDescent="0.35">
      <c r="P879"/>
      <c r="Q879" s="388">
        <f>Q875+R881+U875</f>
        <v>1.1564102564102565</v>
      </c>
      <c r="S879" s="354" t="s">
        <v>699</v>
      </c>
      <c r="T879" s="360">
        <f>ROUNDUP((U866/T877)+1,0)</f>
        <v>79</v>
      </c>
      <c r="U879" s="345"/>
      <c r="V879" s="316"/>
      <c r="W879" s="324">
        <v>13</v>
      </c>
      <c r="X879" s="325">
        <v>1</v>
      </c>
      <c r="Y879" s="325">
        <v>2.5</v>
      </c>
      <c r="Z879" s="325">
        <v>4</v>
      </c>
      <c r="AA879" s="337">
        <v>118</v>
      </c>
      <c r="AB879" s="327">
        <v>6.7</v>
      </c>
      <c r="AC879" s="327">
        <v>0.48</v>
      </c>
      <c r="AD879" s="328">
        <v>0.77</v>
      </c>
      <c r="AF879" s="361" t="s">
        <v>700</v>
      </c>
      <c r="AG879" s="362">
        <f>ROUND(((VLOOKUP(AG876,AA866:AD881,2,FALSE))*AG878),2)</f>
        <v>3.84</v>
      </c>
      <c r="AH879" s="316">
        <f>AH876*(100*AG879)</f>
        <v>4.2240000000000002</v>
      </c>
      <c r="AI879" s="316">
        <f>ROUNDDOWN(AH879,0)</f>
        <v>4</v>
      </c>
      <c r="AJ879" s="374">
        <f>AI879/(100*AG879)</f>
        <v>1.0416666666666666E-2</v>
      </c>
    </row>
    <row r="880" spans="1:36" ht="17.25" thickBot="1" x14ac:dyDescent="0.35">
      <c r="F880" s="402" t="s">
        <v>9</v>
      </c>
      <c r="G880" s="403"/>
      <c r="H880" s="403"/>
      <c r="I880" s="404"/>
      <c r="K880" s="224">
        <f>+SUM(K869:K878)</f>
        <v>166</v>
      </c>
      <c r="L880" s="117">
        <f>+SUM(L869:L878)</f>
        <v>2322</v>
      </c>
      <c r="P880"/>
      <c r="S880" s="354" t="s">
        <v>701</v>
      </c>
      <c r="T880" s="363">
        <f>ROUNDDOWN(6/T878,0)</f>
        <v>12</v>
      </c>
      <c r="U880" s="364"/>
      <c r="V880" s="316"/>
      <c r="W880" s="324">
        <v>14</v>
      </c>
      <c r="X880" s="325">
        <v>1</v>
      </c>
      <c r="Y880" s="325">
        <v>3</v>
      </c>
      <c r="Z880" s="325">
        <v>4</v>
      </c>
      <c r="AA880" s="337">
        <v>94</v>
      </c>
      <c r="AB880" s="327">
        <v>6.3</v>
      </c>
      <c r="AC880" s="327">
        <v>0.53</v>
      </c>
      <c r="AD880" s="328">
        <v>0.71</v>
      </c>
      <c r="AF880" s="361" t="s">
        <v>702</v>
      </c>
      <c r="AG880" s="365">
        <f>(VLOOKUP(AG876,AA866:AD881,3,FALSE))*AG878</f>
        <v>0.21560000000000007</v>
      </c>
      <c r="AH880" s="316">
        <f>AH876*(100*AG880)</f>
        <v>0.23716000000000004</v>
      </c>
      <c r="AI880" s="316">
        <f>ROUNDUP(AH880,0)</f>
        <v>1</v>
      </c>
      <c r="AJ880" s="374">
        <f>AI880/(100*AG880)</f>
        <v>4.6382189239332086E-2</v>
      </c>
    </row>
    <row r="881" spans="2:36" ht="17.25" thickBot="1" x14ac:dyDescent="0.35">
      <c r="P881"/>
      <c r="R881">
        <f>T881/(VLOOKUP(T876,P864:Q869,2,FALSE))</f>
        <v>0.23333333333333334</v>
      </c>
      <c r="S881" s="338" t="s">
        <v>692</v>
      </c>
      <c r="T881" s="366">
        <f>ROUNDUP(T879/T880,0)</f>
        <v>7</v>
      </c>
      <c r="U881" s="316">
        <f>T881*T880</f>
        <v>84</v>
      </c>
      <c r="V881" s="316"/>
      <c r="W881" s="367">
        <v>15</v>
      </c>
      <c r="X881" s="368">
        <v>1</v>
      </c>
      <c r="Y881" s="368">
        <v>3</v>
      </c>
      <c r="Z881" s="368">
        <v>5</v>
      </c>
      <c r="AA881" s="369">
        <v>80</v>
      </c>
      <c r="AB881" s="370">
        <v>5.6</v>
      </c>
      <c r="AC881" s="370">
        <v>0.47</v>
      </c>
      <c r="AD881" s="371">
        <v>0.79</v>
      </c>
      <c r="AF881" s="361" t="s">
        <v>703</v>
      </c>
      <c r="AG881" s="365">
        <f>(VLOOKUP(AG876,AA866:AD881,4,FALSE))*AG878</f>
        <v>0.21560000000000007</v>
      </c>
      <c r="AH881" s="316">
        <f>AH876*(100*AG881)</f>
        <v>0.23716000000000004</v>
      </c>
      <c r="AI881" s="316">
        <f>ROUNDUP(AH881,0)</f>
        <v>1</v>
      </c>
      <c r="AJ881" s="374">
        <f>AI881/(100*AG881)</f>
        <v>4.6382189239332086E-2</v>
      </c>
    </row>
    <row r="882" spans="2:36" ht="17.25" thickBot="1" x14ac:dyDescent="0.35">
      <c r="B882" s="108" t="s">
        <v>10</v>
      </c>
      <c r="C882" s="413" t="s">
        <v>11</v>
      </c>
      <c r="D882" s="413"/>
      <c r="E882" s="413"/>
      <c r="F882" s="413"/>
      <c r="G882" s="414"/>
      <c r="P882" s="372"/>
      <c r="Q882" s="372"/>
      <c r="R882" s="316"/>
      <c r="S882" s="338" t="s">
        <v>704</v>
      </c>
      <c r="T882" s="373">
        <f>ROUNDUP(Q879*5*1.05,0)</f>
        <v>7</v>
      </c>
      <c r="U882" s="316"/>
      <c r="V882" s="316"/>
      <c r="W882" s="316"/>
      <c r="X882" s="316"/>
      <c r="Y882" s="316"/>
      <c r="Z882" s="316"/>
      <c r="AA882" s="316"/>
      <c r="AB882" s="316"/>
      <c r="AC882" s="316"/>
      <c r="AD882" s="316"/>
      <c r="AE882" s="316"/>
      <c r="AF882" s="316"/>
      <c r="AG882" s="316"/>
      <c r="AH882" s="316"/>
      <c r="AI882" s="316"/>
      <c r="AJ882" s="316"/>
    </row>
    <row r="883" spans="2:36" x14ac:dyDescent="0.3">
      <c r="B883" s="112" t="s">
        <v>6</v>
      </c>
      <c r="C883" s="415" t="s">
        <v>1</v>
      </c>
      <c r="D883" s="416"/>
      <c r="E883" s="110" t="s">
        <v>192</v>
      </c>
      <c r="F883" s="118" t="s">
        <v>2</v>
      </c>
      <c r="G883" s="112" t="s">
        <v>3</v>
      </c>
      <c r="H883" s="104"/>
      <c r="I883" s="105" t="s">
        <v>7</v>
      </c>
      <c r="J883" s="134"/>
      <c r="K883" s="105" t="s">
        <v>8</v>
      </c>
      <c r="L883" s="113" t="s">
        <v>193</v>
      </c>
    </row>
    <row r="884" spans="2:36" x14ac:dyDescent="0.3">
      <c r="B884" s="120"/>
      <c r="C884" s="409"/>
      <c r="D884" s="409"/>
      <c r="E884" s="114"/>
      <c r="F884" s="83"/>
      <c r="G884" s="74"/>
      <c r="I884" s="115">
        <f>IF(C884=0,0,VLOOKUP(C884,Tabla3[],3,FALSE))</f>
        <v>0</v>
      </c>
      <c r="K884" s="84">
        <f>+F884*I884</f>
        <v>0</v>
      </c>
      <c r="L884" s="116">
        <f>E884*I884</f>
        <v>0</v>
      </c>
    </row>
    <row r="885" spans="2:36" x14ac:dyDescent="0.3">
      <c r="B885" s="74"/>
      <c r="C885" s="377"/>
      <c r="D885" s="378"/>
      <c r="E885" s="119"/>
      <c r="F885" s="72"/>
      <c r="G885" s="74"/>
      <c r="I885" s="115">
        <f>IF(C885=0,0,VLOOKUP(C885,Tabla3[],3,FALSE))</f>
        <v>0</v>
      </c>
      <c r="K885" s="84">
        <f>+F885*I885</f>
        <v>0</v>
      </c>
      <c r="L885" s="116">
        <f>E885*I885</f>
        <v>0</v>
      </c>
    </row>
    <row r="886" spans="2:36" x14ac:dyDescent="0.3">
      <c r="B886" s="74"/>
      <c r="C886" s="377"/>
      <c r="D886" s="378"/>
      <c r="E886" s="119"/>
      <c r="F886" s="72"/>
      <c r="G886" s="74"/>
      <c r="I886" s="115">
        <f>IF(C886=0,0,VLOOKUP(C886,Tabla3[],3,FALSE))</f>
        <v>0</v>
      </c>
      <c r="K886" s="84">
        <f>+F886*I886</f>
        <v>0</v>
      </c>
      <c r="L886" s="116">
        <f>E886*I886</f>
        <v>0</v>
      </c>
    </row>
    <row r="887" spans="2:36" x14ac:dyDescent="0.3">
      <c r="B887" s="74"/>
      <c r="C887" s="411"/>
      <c r="D887" s="412"/>
      <c r="E887" s="119"/>
      <c r="F887" s="72"/>
      <c r="G887" s="74"/>
      <c r="I887" s="115">
        <f>IF(C887=0,0,VLOOKUP(C887,Tabla3[],3,FALSE))</f>
        <v>0</v>
      </c>
      <c r="K887" s="84">
        <f>+F887*I887</f>
        <v>0</v>
      </c>
      <c r="L887" s="116">
        <f>E887*I887</f>
        <v>0</v>
      </c>
    </row>
    <row r="888" spans="2:36" ht="17.25" thickBot="1" x14ac:dyDescent="0.35"/>
    <row r="889" spans="2:36" ht="17.25" thickBot="1" x14ac:dyDescent="0.35">
      <c r="F889" s="402" t="s">
        <v>12</v>
      </c>
      <c r="G889" s="403"/>
      <c r="H889" s="403"/>
      <c r="I889" s="404"/>
      <c r="K889" s="224">
        <f>+SUM(K884:K887)</f>
        <v>0</v>
      </c>
      <c r="L889" s="117">
        <f>+SUM(L884:L887)</f>
        <v>0</v>
      </c>
    </row>
    <row r="890" spans="2:36" ht="17.25" thickBot="1" x14ac:dyDescent="0.35"/>
    <row r="891" spans="2:36" ht="17.25" thickBot="1" x14ac:dyDescent="0.35">
      <c r="B891" s="108" t="s">
        <v>13</v>
      </c>
      <c r="C891" s="413" t="s">
        <v>14</v>
      </c>
      <c r="D891" s="413"/>
      <c r="E891" s="413"/>
      <c r="F891" s="413"/>
      <c r="G891" s="414"/>
    </row>
    <row r="892" spans="2:36" x14ac:dyDescent="0.3">
      <c r="B892" s="112" t="s">
        <v>6</v>
      </c>
      <c r="C892" s="415" t="s">
        <v>1</v>
      </c>
      <c r="D892" s="416"/>
      <c r="E892" s="110" t="s">
        <v>192</v>
      </c>
      <c r="F892" s="118" t="s">
        <v>2</v>
      </c>
      <c r="G892" s="112" t="s">
        <v>3</v>
      </c>
      <c r="H892" s="104"/>
      <c r="I892" s="105" t="s">
        <v>7</v>
      </c>
      <c r="J892" s="134"/>
      <c r="K892" s="105" t="s">
        <v>8</v>
      </c>
      <c r="L892" s="113" t="s">
        <v>193</v>
      </c>
    </row>
    <row r="893" spans="2:36" x14ac:dyDescent="0.3">
      <c r="B893" s="120">
        <v>1</v>
      </c>
      <c r="C893" s="409" t="s">
        <v>423</v>
      </c>
      <c r="D893" s="409"/>
      <c r="E893" s="114">
        <f>I865</f>
        <v>14</v>
      </c>
      <c r="F893" s="83">
        <f>ROUND(E893/I865,2)</f>
        <v>1</v>
      </c>
      <c r="G893" s="74" t="str">
        <f>IF(C893=0,0,VLOOKUP(C893,Tabla2[],2,FALSE))</f>
        <v>ml</v>
      </c>
      <c r="I893" s="115">
        <f>IF(C893=0,0,VLOOKUP(C893,Tabla2[],3,FALSE))</f>
        <v>50</v>
      </c>
      <c r="K893" s="84">
        <f>+F893*I893</f>
        <v>50</v>
      </c>
      <c r="L893" s="116">
        <f>E893*I893</f>
        <v>700</v>
      </c>
    </row>
    <row r="894" spans="2:36" x14ac:dyDescent="0.3">
      <c r="B894" s="120"/>
      <c r="C894" s="409"/>
      <c r="D894" s="409"/>
      <c r="E894" s="114"/>
      <c r="F894" s="83"/>
      <c r="G894" s="74"/>
      <c r="I894" s="115">
        <f>IF(C894=0,0,VLOOKUP(C894,Tabla2[],3,FALSE))</f>
        <v>0</v>
      </c>
      <c r="K894" s="84">
        <f>+F894*I894</f>
        <v>0</v>
      </c>
      <c r="L894" s="116">
        <f>E894*I894</f>
        <v>0</v>
      </c>
    </row>
    <row r="895" spans="2:36" ht="17.25" thickBot="1" x14ac:dyDescent="0.35">
      <c r="B895" s="121"/>
      <c r="C895" s="417"/>
      <c r="D895" s="418"/>
      <c r="E895" s="122"/>
      <c r="F895" s="123"/>
      <c r="G895" s="74"/>
      <c r="I895" s="115">
        <f>IF(C895=0,0,VLOOKUP(C895,Tabla2[],3,FALSE))</f>
        <v>0</v>
      </c>
      <c r="K895" s="84">
        <f>+F895*I895</f>
        <v>0</v>
      </c>
      <c r="L895" s="116">
        <f>E895*I895</f>
        <v>0</v>
      </c>
    </row>
    <row r="896" spans="2:36" ht="17.25" thickBot="1" x14ac:dyDescent="0.35">
      <c r="B896" s="419" t="s">
        <v>15</v>
      </c>
      <c r="C896" s="420"/>
      <c r="D896" s="420"/>
      <c r="E896" s="420"/>
      <c r="F896" s="420"/>
      <c r="G896" s="421"/>
      <c r="I896" s="84">
        <v>0</v>
      </c>
      <c r="K896" s="84">
        <v>0</v>
      </c>
      <c r="L896" s="116">
        <f>E896*I896</f>
        <v>0</v>
      </c>
    </row>
    <row r="897" spans="2:16" ht="17.25" thickBot="1" x14ac:dyDescent="0.35"/>
    <row r="898" spans="2:16" ht="17.25" thickBot="1" x14ac:dyDescent="0.35">
      <c r="F898" s="402" t="s">
        <v>16</v>
      </c>
      <c r="G898" s="403"/>
      <c r="H898" s="403"/>
      <c r="I898" s="404"/>
      <c r="K898" s="224">
        <f>+SUM(K893:K896)</f>
        <v>50</v>
      </c>
      <c r="L898" s="117">
        <f>+SUM(L893:L896)</f>
        <v>700</v>
      </c>
    </row>
    <row r="899" spans="2:16" ht="17.25" thickBot="1" x14ac:dyDescent="0.35"/>
    <row r="900" spans="2:16" ht="17.25" thickBot="1" x14ac:dyDescent="0.35">
      <c r="B900" s="108" t="s">
        <v>17</v>
      </c>
      <c r="C900" s="413" t="s">
        <v>18</v>
      </c>
      <c r="D900" s="413"/>
      <c r="E900" s="413"/>
      <c r="F900" s="413"/>
      <c r="G900" s="414"/>
    </row>
    <row r="901" spans="2:16" x14ac:dyDescent="0.3">
      <c r="B901" s="112" t="s">
        <v>6</v>
      </c>
      <c r="C901" s="415" t="s">
        <v>1</v>
      </c>
      <c r="D901" s="416"/>
      <c r="E901" s="124"/>
      <c r="F901" s="118" t="s">
        <v>2</v>
      </c>
      <c r="G901" s="112" t="s">
        <v>3</v>
      </c>
      <c r="H901" s="104"/>
      <c r="I901" s="105" t="s">
        <v>7</v>
      </c>
      <c r="J901" s="134"/>
      <c r="K901" s="105" t="s">
        <v>8</v>
      </c>
      <c r="L901" s="113" t="s">
        <v>193</v>
      </c>
    </row>
    <row r="902" spans="2:16" x14ac:dyDescent="0.3">
      <c r="B902" s="74"/>
      <c r="C902" s="411"/>
      <c r="D902" s="412"/>
      <c r="E902" s="125"/>
      <c r="F902" s="72"/>
      <c r="G902" s="74"/>
      <c r="I902" s="84">
        <v>0</v>
      </c>
      <c r="K902" s="84">
        <f>+F902*I902</f>
        <v>0</v>
      </c>
      <c r="L902" s="116">
        <f>E902*I902</f>
        <v>0</v>
      </c>
    </row>
    <row r="903" spans="2:16" x14ac:dyDescent="0.3">
      <c r="B903" s="74"/>
      <c r="C903" s="411"/>
      <c r="D903" s="412"/>
      <c r="E903" s="125"/>
      <c r="F903" s="72"/>
      <c r="G903" s="74"/>
      <c r="I903" s="84">
        <v>0</v>
      </c>
      <c r="K903" s="84">
        <f>+F903*I903</f>
        <v>0</v>
      </c>
      <c r="L903" s="116">
        <f>E903*I903</f>
        <v>0</v>
      </c>
    </row>
    <row r="904" spans="2:16" x14ac:dyDescent="0.3">
      <c r="B904" s="74"/>
      <c r="C904" s="411"/>
      <c r="D904" s="412"/>
      <c r="E904" s="125"/>
      <c r="F904" s="72"/>
      <c r="G904" s="74"/>
      <c r="I904" s="84">
        <v>0</v>
      </c>
      <c r="K904" s="84">
        <f>+F904*I904</f>
        <v>0</v>
      </c>
      <c r="L904" s="116">
        <f>E904*I904</f>
        <v>0</v>
      </c>
    </row>
    <row r="905" spans="2:16" ht="17.25" thickBot="1" x14ac:dyDescent="0.35">
      <c r="L905" s="116"/>
    </row>
    <row r="906" spans="2:16" ht="17.25" thickBot="1" x14ac:dyDescent="0.35">
      <c r="F906" s="402" t="s">
        <v>19</v>
      </c>
      <c r="G906" s="403"/>
      <c r="H906" s="403"/>
      <c r="I906" s="404"/>
      <c r="K906" s="224">
        <f>+SUM(K902:K904)</f>
        <v>0</v>
      </c>
      <c r="L906" s="117">
        <f>+SUM(L901:L904)</f>
        <v>0</v>
      </c>
    </row>
    <row r="907" spans="2:16" ht="15" customHeight="1" x14ac:dyDescent="0.3">
      <c r="F907" s="126"/>
      <c r="G907" s="375"/>
      <c r="H907" s="128"/>
      <c r="I907" s="106"/>
      <c r="K907" s="225"/>
    </row>
    <row r="908" spans="2:16" ht="15" customHeight="1" thickBot="1" x14ac:dyDescent="0.35"/>
    <row r="909" spans="2:16" ht="17.25" thickBot="1" x14ac:dyDescent="0.35">
      <c r="F909" s="402" t="s">
        <v>20</v>
      </c>
      <c r="G909" s="403"/>
      <c r="H909" s="403"/>
      <c r="I909" s="404"/>
      <c r="K909" s="224">
        <f>(+K880+K889+K898+K906)</f>
        <v>216</v>
      </c>
      <c r="L909" s="117">
        <f>(+L880+L889+L898+L906)</f>
        <v>3022</v>
      </c>
      <c r="N909" s="129"/>
      <c r="O909" s="39"/>
      <c r="P909" s="40"/>
    </row>
    <row r="910" spans="2:16" ht="7.5" customHeight="1" thickBot="1" x14ac:dyDescent="0.35">
      <c r="N910" s="129"/>
      <c r="O910" s="41"/>
      <c r="P910" s="40"/>
    </row>
    <row r="911" spans="2:16" ht="17.25" thickBot="1" x14ac:dyDescent="0.35">
      <c r="F911" s="402" t="s">
        <v>21</v>
      </c>
      <c r="G911" s="403"/>
      <c r="H911" s="403"/>
      <c r="I911" s="404"/>
      <c r="K911" s="224">
        <f>K909*$N$2</f>
        <v>86.4</v>
      </c>
      <c r="L911" s="117">
        <f>L909*$N$2</f>
        <v>1208.8</v>
      </c>
    </row>
    <row r="912" spans="2:16" ht="7.5" customHeight="1" thickBot="1" x14ac:dyDescent="0.35"/>
    <row r="913" spans="1:36" ht="17.25" thickBot="1" x14ac:dyDescent="0.35">
      <c r="F913" s="402" t="s">
        <v>22</v>
      </c>
      <c r="G913" s="403"/>
      <c r="H913" s="403"/>
      <c r="I913" s="404"/>
      <c r="K913" s="224">
        <f>+K909+K911</f>
        <v>302.39999999999998</v>
      </c>
      <c r="L913" s="117">
        <f>+L909+L911</f>
        <v>4230.8</v>
      </c>
    </row>
    <row r="914" spans="1:36" ht="17.25" thickBot="1" x14ac:dyDescent="0.35">
      <c r="F914" s="126"/>
      <c r="G914" s="375"/>
      <c r="H914" s="128"/>
      <c r="I914" s="106"/>
      <c r="K914" s="226"/>
      <c r="L914" s="130">
        <f>L913/I865</f>
        <v>302.2</v>
      </c>
      <c r="M914" s="131">
        <f>(K913-L914)*I865</f>
        <v>2.7999999999998408</v>
      </c>
    </row>
    <row r="915" spans="1:36" x14ac:dyDescent="0.3">
      <c r="F915" s="126"/>
      <c r="G915" s="375"/>
      <c r="H915" s="128"/>
      <c r="I915" s="106"/>
      <c r="K915" s="227"/>
      <c r="L915" s="129"/>
      <c r="M915" s="132"/>
      <c r="N915" s="133"/>
    </row>
    <row r="916" spans="1:36" ht="17.25" thickBot="1" x14ac:dyDescent="0.35">
      <c r="B916" s="405"/>
      <c r="C916" s="405"/>
      <c r="D916" s="405"/>
    </row>
    <row r="917" spans="1:36" x14ac:dyDescent="0.3">
      <c r="B917" s="406" t="s">
        <v>23</v>
      </c>
      <c r="C917" s="406"/>
      <c r="D917" s="406"/>
    </row>
    <row r="918" spans="1:36" x14ac:dyDescent="0.3">
      <c r="B918" s="376"/>
      <c r="C918" s="376"/>
      <c r="D918" s="376"/>
    </row>
    <row r="919" spans="1:36" ht="17.25" thickBot="1" x14ac:dyDescent="0.35">
      <c r="B919" s="376"/>
      <c r="C919" s="376"/>
      <c r="D919" s="376"/>
    </row>
    <row r="920" spans="1:36" x14ac:dyDescent="0.3">
      <c r="B920" s="103" t="s">
        <v>43</v>
      </c>
      <c r="C920" s="104"/>
      <c r="D920" s="422" t="s">
        <v>1</v>
      </c>
      <c r="E920" s="422"/>
      <c r="F920" s="422"/>
      <c r="G920" s="422"/>
      <c r="H920" s="104"/>
      <c r="I920" s="105" t="s">
        <v>2</v>
      </c>
      <c r="J920" s="134"/>
      <c r="K920" s="105" t="s">
        <v>3</v>
      </c>
      <c r="P920" s="461" t="s">
        <v>666</v>
      </c>
      <c r="Q920" s="462"/>
      <c r="S920" s="463" t="s">
        <v>725</v>
      </c>
      <c r="T920" s="463"/>
      <c r="U920" s="316"/>
      <c r="V920" s="316"/>
      <c r="W920" s="464" t="s">
        <v>668</v>
      </c>
      <c r="X920" s="466" t="s">
        <v>669</v>
      </c>
      <c r="Y920" s="467"/>
      <c r="Z920" s="468"/>
      <c r="AA920" s="469" t="s">
        <v>670</v>
      </c>
      <c r="AB920" s="471" t="s">
        <v>671</v>
      </c>
      <c r="AC920" s="473" t="s">
        <v>672</v>
      </c>
      <c r="AD920" s="475" t="s">
        <v>673</v>
      </c>
      <c r="AH920" s="316"/>
      <c r="AI920" s="316"/>
      <c r="AJ920" s="316"/>
    </row>
    <row r="921" spans="1:36" s="4" customFormat="1" ht="30.75" customHeight="1" x14ac:dyDescent="0.25">
      <c r="A921" s="31"/>
      <c r="B921" s="379">
        <f>CATALOGO!B42</f>
        <v>407.28</v>
      </c>
      <c r="C921" s="71"/>
      <c r="D921" s="423" t="str">
        <f>CATALOGO!C42</f>
        <v>SOLERA CORONA (0.14m X 0.36m + 4 NO. 4  + EST NO. 2 @ 0.20m)</v>
      </c>
      <c r="E921" s="423"/>
      <c r="F921" s="423"/>
      <c r="G921" s="423"/>
      <c r="H921" s="71"/>
      <c r="I921" s="379">
        <f>CATALOGO!E42</f>
        <v>14</v>
      </c>
      <c r="J921" s="107"/>
      <c r="K921" s="222" t="str">
        <f>CATALOGO!G42</f>
        <v>ml</v>
      </c>
      <c r="L921" s="71"/>
      <c r="M921" s="71"/>
      <c r="N921" s="102"/>
      <c r="O921" s="37"/>
      <c r="P921" s="317" t="s">
        <v>6</v>
      </c>
      <c r="Q921" s="318" t="s">
        <v>674</v>
      </c>
      <c r="R921"/>
      <c r="S921" s="477" t="s">
        <v>675</v>
      </c>
      <c r="T921" s="477"/>
      <c r="U921" s="316"/>
      <c r="V921" s="316"/>
      <c r="W921" s="465"/>
      <c r="X921" s="319" t="s">
        <v>676</v>
      </c>
      <c r="Y921" s="319" t="s">
        <v>677</v>
      </c>
      <c r="Z921" s="319" t="s">
        <v>678</v>
      </c>
      <c r="AA921" s="470"/>
      <c r="AB921" s="472"/>
      <c r="AC921" s="474"/>
      <c r="AD921" s="476"/>
      <c r="AE921"/>
      <c r="AF921"/>
      <c r="AG921"/>
      <c r="AH921" s="316"/>
      <c r="AI921" s="316"/>
      <c r="AJ921" s="316"/>
    </row>
    <row r="922" spans="1:36" ht="17.25" thickBot="1" x14ac:dyDescent="0.35">
      <c r="P922" s="320" t="s">
        <v>679</v>
      </c>
      <c r="Q922" s="321">
        <v>30</v>
      </c>
      <c r="S922" s="322" t="s">
        <v>680</v>
      </c>
      <c r="T922" s="323">
        <f>I921</f>
        <v>14</v>
      </c>
      <c r="U922" s="316">
        <v>15.6</v>
      </c>
      <c r="V922" s="316"/>
      <c r="W922" s="324">
        <v>1</v>
      </c>
      <c r="X922" s="325">
        <v>1</v>
      </c>
      <c r="Y922" s="325">
        <v>1.5</v>
      </c>
      <c r="Z922" s="325">
        <v>1.5</v>
      </c>
      <c r="AA922" s="326">
        <v>303</v>
      </c>
      <c r="AB922" s="327">
        <v>12.6</v>
      </c>
      <c r="AC922" s="327">
        <v>0.53</v>
      </c>
      <c r="AD922" s="328">
        <v>0.55000000000000004</v>
      </c>
      <c r="AH922" s="316"/>
      <c r="AI922" s="316"/>
      <c r="AJ922" s="316"/>
    </row>
    <row r="923" spans="1:36" ht="17.25" thickBot="1" x14ac:dyDescent="0.35">
      <c r="B923" s="108" t="s">
        <v>4</v>
      </c>
      <c r="C923" s="413" t="s">
        <v>5</v>
      </c>
      <c r="D923" s="413"/>
      <c r="E923" s="413"/>
      <c r="F923" s="413"/>
      <c r="G923" s="414"/>
      <c r="P923" s="320" t="s">
        <v>681</v>
      </c>
      <c r="Q923" s="321">
        <v>13</v>
      </c>
      <c r="S923" s="322" t="s">
        <v>682</v>
      </c>
      <c r="T923" s="329">
        <v>0.14000000000000001</v>
      </c>
      <c r="U923" s="316"/>
      <c r="V923" s="316"/>
      <c r="W923" s="324"/>
      <c r="X923" s="325"/>
      <c r="Y923" s="325"/>
      <c r="Z923" s="325"/>
      <c r="AA923" s="326">
        <v>281</v>
      </c>
      <c r="AB923" s="327">
        <v>11.7</v>
      </c>
      <c r="AC923" s="327">
        <v>0.5</v>
      </c>
      <c r="AD923" s="328">
        <v>0.61</v>
      </c>
      <c r="AH923" s="316"/>
      <c r="AI923" s="316"/>
      <c r="AJ923" s="316"/>
    </row>
    <row r="924" spans="1:36" x14ac:dyDescent="0.3">
      <c r="B924" s="109" t="s">
        <v>6</v>
      </c>
      <c r="C924" s="424" t="s">
        <v>1</v>
      </c>
      <c r="D924" s="425"/>
      <c r="E924" s="110" t="s">
        <v>192</v>
      </c>
      <c r="F924" s="111" t="s">
        <v>2</v>
      </c>
      <c r="G924" s="112" t="s">
        <v>3</v>
      </c>
      <c r="H924" s="104"/>
      <c r="I924" s="105" t="s">
        <v>7</v>
      </c>
      <c r="J924" s="134"/>
      <c r="K924" s="223" t="s">
        <v>8</v>
      </c>
      <c r="L924" s="113" t="s">
        <v>193</v>
      </c>
      <c r="P924" s="320" t="s">
        <v>683</v>
      </c>
      <c r="Q924" s="321">
        <v>7</v>
      </c>
      <c r="S924" s="330" t="s">
        <v>684</v>
      </c>
      <c r="T924" s="331">
        <v>0.2</v>
      </c>
      <c r="U924" s="316"/>
      <c r="V924" s="316"/>
      <c r="W924" s="324">
        <v>2</v>
      </c>
      <c r="X924" s="325">
        <v>1</v>
      </c>
      <c r="Y924" s="325">
        <v>1.5</v>
      </c>
      <c r="Z924" s="325">
        <v>2</v>
      </c>
      <c r="AA924" s="326">
        <v>270</v>
      </c>
      <c r="AB924" s="327">
        <v>11.3</v>
      </c>
      <c r="AC924" s="327">
        <v>0.48</v>
      </c>
      <c r="AD924" s="328">
        <v>0.64</v>
      </c>
      <c r="AH924" s="316"/>
      <c r="AI924" s="316"/>
      <c r="AJ924" s="316"/>
    </row>
    <row r="925" spans="1:36" ht="17.25" thickBot="1" x14ac:dyDescent="0.35">
      <c r="B925" s="120">
        <v>1</v>
      </c>
      <c r="C925" s="407" t="s">
        <v>169</v>
      </c>
      <c r="D925" s="408"/>
      <c r="E925" s="114">
        <f>T931</f>
        <v>12</v>
      </c>
      <c r="F925" s="83">
        <f>ROUND(E925/I921,2)-0.01</f>
        <v>0.85</v>
      </c>
      <c r="G925" s="74" t="str">
        <f>IF(C925=0,0,VLOOKUP(C925,Tabla1[],2,FALSE))</f>
        <v>Varilla</v>
      </c>
      <c r="I925" s="115">
        <f>IF(C925=0,0,VLOOKUP(C925,Tabla1[],3,FALSE))</f>
        <v>70</v>
      </c>
      <c r="K925" s="84">
        <f>+F925*I925</f>
        <v>59.5</v>
      </c>
      <c r="L925" s="116">
        <f>E925*I925</f>
        <v>840</v>
      </c>
      <c r="P925" s="332" t="s">
        <v>685</v>
      </c>
      <c r="Q925" s="333">
        <v>4</v>
      </c>
      <c r="S925" s="334" t="s">
        <v>686</v>
      </c>
      <c r="T925" s="331">
        <v>2.5000000000000001E-2</v>
      </c>
      <c r="U925" s="316"/>
      <c r="V925" s="316"/>
      <c r="W925" s="324">
        <v>3</v>
      </c>
      <c r="X925" s="325">
        <v>1</v>
      </c>
      <c r="Y925" s="325">
        <v>1.5</v>
      </c>
      <c r="Z925" s="325">
        <v>2.5</v>
      </c>
      <c r="AA925" s="326">
        <v>245</v>
      </c>
      <c r="AB925" s="327">
        <v>10.1</v>
      </c>
      <c r="AC925" s="327">
        <v>0.43</v>
      </c>
      <c r="AD925" s="328">
        <v>0.71</v>
      </c>
      <c r="AH925" s="316"/>
      <c r="AI925" s="316"/>
      <c r="AJ925" s="316"/>
    </row>
    <row r="926" spans="1:36" ht="17.25" thickBot="1" x14ac:dyDescent="0.35">
      <c r="B926" s="120">
        <v>2</v>
      </c>
      <c r="C926" s="407" t="s">
        <v>312</v>
      </c>
      <c r="D926" s="408"/>
      <c r="E926" s="114">
        <f>T937</f>
        <v>7</v>
      </c>
      <c r="F926" s="83">
        <f>ROUND(E926/I921,2)</f>
        <v>0.5</v>
      </c>
      <c r="G926" s="74" t="str">
        <f>IF(C926=0,0,VLOOKUP(C926,Tabla1[],2,FALSE))</f>
        <v>Varilla</v>
      </c>
      <c r="I926" s="115">
        <f>IF(C926=0,0,VLOOKUP(C926,Tabla1[],3,FALSE))</f>
        <v>20</v>
      </c>
      <c r="K926" s="84">
        <f>+F926*I926</f>
        <v>10</v>
      </c>
      <c r="L926" s="116">
        <f>E926*I926</f>
        <v>140</v>
      </c>
      <c r="P926" s="335"/>
      <c r="Q926" s="336"/>
      <c r="S926" s="322"/>
      <c r="T926" s="331"/>
      <c r="U926" s="316"/>
      <c r="V926" s="316"/>
      <c r="W926" s="324">
        <v>4</v>
      </c>
      <c r="X926" s="325">
        <v>1</v>
      </c>
      <c r="Y926" s="325">
        <v>1.5</v>
      </c>
      <c r="Z926" s="325">
        <v>3</v>
      </c>
      <c r="AA926" s="337">
        <v>230</v>
      </c>
      <c r="AB926" s="327">
        <v>9.3000000000000007</v>
      </c>
      <c r="AC926" s="327">
        <v>0.37</v>
      </c>
      <c r="AD926" s="328">
        <v>0.79</v>
      </c>
      <c r="AH926" s="316"/>
      <c r="AI926" s="316"/>
      <c r="AJ926" s="316"/>
    </row>
    <row r="927" spans="1:36" ht="17.25" thickBot="1" x14ac:dyDescent="0.35">
      <c r="B927" s="120">
        <v>3</v>
      </c>
      <c r="C927" s="428" t="s">
        <v>213</v>
      </c>
      <c r="D927" s="429"/>
      <c r="E927" s="114">
        <f>AI935</f>
        <v>4</v>
      </c>
      <c r="F927" s="83">
        <f>ROUND(E927/I921,2)+0.01</f>
        <v>0.3</v>
      </c>
      <c r="G927" s="74" t="str">
        <f>IF(C927=0,0,VLOOKUP(C927,Tabla1[],2,FALSE))</f>
        <v>Saco</v>
      </c>
      <c r="I927" s="115">
        <f>IF(C927=0,0,VLOOKUP(C927,Tabla1[],3,FALSE))</f>
        <v>80</v>
      </c>
      <c r="K927" s="84">
        <f t="shared" ref="K927:K934" si="26">+F927*I927</f>
        <v>24</v>
      </c>
      <c r="L927" s="116">
        <f t="shared" ref="L927:L934" si="27">E927*I927</f>
        <v>320</v>
      </c>
      <c r="P927"/>
      <c r="S927" s="338" t="s">
        <v>688</v>
      </c>
      <c r="T927" s="339">
        <f>T922*T923*T924</f>
        <v>0.39200000000000007</v>
      </c>
      <c r="U927" s="316"/>
      <c r="V927" s="316"/>
      <c r="W927" s="340">
        <v>5</v>
      </c>
      <c r="X927" s="341">
        <v>1</v>
      </c>
      <c r="Y927" s="341">
        <v>2</v>
      </c>
      <c r="Z927" s="341">
        <v>2</v>
      </c>
      <c r="AA927" s="337">
        <v>217</v>
      </c>
      <c r="AB927" s="342">
        <v>9.8000000000000007</v>
      </c>
      <c r="AC927" s="342">
        <v>0.55000000000000004</v>
      </c>
      <c r="AD927" s="343">
        <v>0.55000000000000004</v>
      </c>
      <c r="AH927" s="316"/>
      <c r="AI927" s="316"/>
      <c r="AJ927" s="316"/>
    </row>
    <row r="928" spans="1:36" x14ac:dyDescent="0.3">
      <c r="B928" s="120">
        <v>4</v>
      </c>
      <c r="C928" s="430" t="s">
        <v>72</v>
      </c>
      <c r="D928" s="429"/>
      <c r="E928" s="114">
        <v>0.5</v>
      </c>
      <c r="F928" s="83">
        <f>ROUND(E928/I921,2)</f>
        <v>0.04</v>
      </c>
      <c r="G928" s="74" t="str">
        <f>IF(C928=0,0,VLOOKUP(C928,Tabla1[],2,FALSE))</f>
        <v>m³</v>
      </c>
      <c r="I928" s="115">
        <f>IF(C928=0,0,VLOOKUP(C928,Tabla1[],3,FALSE))</f>
        <v>250</v>
      </c>
      <c r="K928" s="84">
        <f t="shared" si="26"/>
        <v>10</v>
      </c>
      <c r="L928" s="116">
        <f t="shared" si="27"/>
        <v>125</v>
      </c>
      <c r="P928"/>
      <c r="S928" s="338"/>
      <c r="T928" s="344"/>
      <c r="U928" s="345"/>
      <c r="V928" s="316"/>
      <c r="W928" s="324">
        <v>6</v>
      </c>
      <c r="X928" s="325">
        <v>1</v>
      </c>
      <c r="Y928" s="325">
        <v>2</v>
      </c>
      <c r="Z928" s="325">
        <v>2.5</v>
      </c>
      <c r="AA928" s="326">
        <v>195</v>
      </c>
      <c r="AB928" s="327">
        <v>9.1</v>
      </c>
      <c r="AC928" s="327">
        <v>0.51</v>
      </c>
      <c r="AD928" s="328">
        <v>0.64</v>
      </c>
      <c r="AH928" s="316"/>
      <c r="AI928" s="316"/>
      <c r="AJ928" s="316"/>
    </row>
    <row r="929" spans="2:36" x14ac:dyDescent="0.3">
      <c r="B929" s="120">
        <v>5</v>
      </c>
      <c r="C929" s="430" t="s">
        <v>229</v>
      </c>
      <c r="D929" s="429"/>
      <c r="E929" s="114">
        <v>0.5</v>
      </c>
      <c r="F929" s="83">
        <f>ROUND(E929/I921,2)</f>
        <v>0.04</v>
      </c>
      <c r="G929" s="74" t="str">
        <f>IF(C929=0,0,VLOOKUP(C929,Tabla1[],2,FALSE))</f>
        <v>m³</v>
      </c>
      <c r="I929" s="115">
        <f>IF(C929=0,0,VLOOKUP(C929,Tabla1[],3,FALSE))</f>
        <v>250</v>
      </c>
      <c r="K929" s="84">
        <f t="shared" si="26"/>
        <v>10</v>
      </c>
      <c r="L929" s="116">
        <f t="shared" si="27"/>
        <v>125</v>
      </c>
      <c r="P929"/>
      <c r="S929" s="380" t="s">
        <v>690</v>
      </c>
      <c r="T929" s="380"/>
      <c r="U929" s="347"/>
      <c r="V929" s="316"/>
      <c r="W929" s="324">
        <v>7</v>
      </c>
      <c r="X929" s="325">
        <v>1</v>
      </c>
      <c r="Y929" s="325">
        <v>2</v>
      </c>
      <c r="Z929" s="325">
        <v>3</v>
      </c>
      <c r="AA929" s="337">
        <v>165</v>
      </c>
      <c r="AB929" s="327">
        <v>8.4</v>
      </c>
      <c r="AC929" s="327">
        <v>0.47</v>
      </c>
      <c r="AD929" s="328">
        <v>0.71</v>
      </c>
      <c r="AH929" s="316"/>
      <c r="AI929" s="316"/>
      <c r="AJ929" s="316"/>
    </row>
    <row r="930" spans="2:36" ht="17.25" thickBot="1" x14ac:dyDescent="0.35">
      <c r="B930" s="120">
        <v>6</v>
      </c>
      <c r="C930" s="433" t="s">
        <v>368</v>
      </c>
      <c r="D930" s="433"/>
      <c r="E930" s="114">
        <f>T938</f>
        <v>11</v>
      </c>
      <c r="F930" s="83">
        <f>ROUND(E930/I921,2)+0.01</f>
        <v>0.8</v>
      </c>
      <c r="G930" s="74" t="str">
        <f>IF(C930=0,0,VLOOKUP(C930,Tabla1[],2,FALSE))</f>
        <v>Libra</v>
      </c>
      <c r="I930" s="115">
        <f>IF(C930=0,0,VLOOKUP(C930,Tabla1[],3,FALSE))</f>
        <v>8</v>
      </c>
      <c r="K930" s="84">
        <f t="shared" si="26"/>
        <v>6.4</v>
      </c>
      <c r="L930" s="116">
        <f t="shared" si="27"/>
        <v>88</v>
      </c>
      <c r="P930"/>
      <c r="S930" s="334" t="s">
        <v>691</v>
      </c>
      <c r="T930" s="329" t="s">
        <v>683</v>
      </c>
      <c r="U930" s="316"/>
      <c r="V930" s="316"/>
      <c r="W930" s="324">
        <v>8</v>
      </c>
      <c r="X930" s="325">
        <v>1</v>
      </c>
      <c r="Y930" s="325">
        <v>2</v>
      </c>
      <c r="Z930" s="325">
        <v>3.5</v>
      </c>
      <c r="AA930" s="337">
        <v>164</v>
      </c>
      <c r="AB930" s="327">
        <v>7.8</v>
      </c>
      <c r="AC930" s="327">
        <v>0.44</v>
      </c>
      <c r="AD930" s="328">
        <v>0.76</v>
      </c>
      <c r="AH930" s="316"/>
      <c r="AI930" s="316"/>
      <c r="AJ930" s="316"/>
    </row>
    <row r="931" spans="2:36" x14ac:dyDescent="0.3">
      <c r="B931" s="120">
        <v>7</v>
      </c>
      <c r="C931" s="433" t="s">
        <v>174</v>
      </c>
      <c r="D931" s="433"/>
      <c r="E931" s="114">
        <f>E930</f>
        <v>11</v>
      </c>
      <c r="F931" s="83">
        <f>ROUND(E931/I921,2)+0.02</f>
        <v>0.81</v>
      </c>
      <c r="G931" s="74" t="str">
        <f>IF(C931=0,0,VLOOKUP(C931,Tabla1[],2,FALSE))</f>
        <v>Libra</v>
      </c>
      <c r="I931" s="115">
        <f>IF(C931=0,0,VLOOKUP(C931,Tabla1[],3,FALSE))</f>
        <v>10</v>
      </c>
      <c r="K931" s="84">
        <f t="shared" si="26"/>
        <v>8.1000000000000014</v>
      </c>
      <c r="L931" s="116">
        <f t="shared" si="27"/>
        <v>110</v>
      </c>
      <c r="P931"/>
      <c r="S931" s="338" t="s">
        <v>692</v>
      </c>
      <c r="T931" s="348">
        <f>3*4</f>
        <v>12</v>
      </c>
      <c r="U931" s="387">
        <f>T931/(VLOOKUP(T930,P920:Q925,2,FALSE))</f>
        <v>1.7142857142857142</v>
      </c>
      <c r="V931" s="316"/>
      <c r="W931" s="324">
        <v>9</v>
      </c>
      <c r="X931" s="325">
        <v>1</v>
      </c>
      <c r="Y931" s="325">
        <v>2</v>
      </c>
      <c r="Z931" s="325">
        <v>4</v>
      </c>
      <c r="AA931" s="337">
        <v>140</v>
      </c>
      <c r="AB931" s="327">
        <v>7.3</v>
      </c>
      <c r="AC931" s="327">
        <v>0.41</v>
      </c>
      <c r="AD931" s="328">
        <v>0.82</v>
      </c>
      <c r="AF931" s="349" t="s">
        <v>693</v>
      </c>
      <c r="AG931" s="349"/>
      <c r="AH931" s="316"/>
      <c r="AI931" s="316"/>
      <c r="AJ931" s="316"/>
    </row>
    <row r="932" spans="2:36" x14ac:dyDescent="0.3">
      <c r="B932" s="120">
        <v>8</v>
      </c>
      <c r="C932" s="433" t="s">
        <v>179</v>
      </c>
      <c r="D932" s="433"/>
      <c r="E932" s="114">
        <f>I921*6</f>
        <v>84</v>
      </c>
      <c r="F932" s="83">
        <f>ROUND(E932/I921,2)</f>
        <v>6</v>
      </c>
      <c r="G932" s="74" t="str">
        <f>IF(C932=0,0,VLOOKUP(C932,Tabla1[],2,FALSE))</f>
        <v>pt</v>
      </c>
      <c r="I932" s="115">
        <f>IF(C932=0,0,VLOOKUP(C932,Tabla1[],3,FALSE))</f>
        <v>9</v>
      </c>
      <c r="K932" s="84">
        <f t="shared" si="26"/>
        <v>54</v>
      </c>
      <c r="L932" s="116">
        <f t="shared" si="27"/>
        <v>756</v>
      </c>
      <c r="P932"/>
      <c r="S932" s="350" t="s">
        <v>716</v>
      </c>
      <c r="T932" s="351" t="s">
        <v>679</v>
      </c>
      <c r="U932" s="316"/>
      <c r="V932" s="316"/>
      <c r="W932" s="324">
        <v>10</v>
      </c>
      <c r="X932" s="325">
        <v>1</v>
      </c>
      <c r="Y932" s="325">
        <v>2.5</v>
      </c>
      <c r="Z932" s="325">
        <v>2.5</v>
      </c>
      <c r="AA932" s="337">
        <v>156</v>
      </c>
      <c r="AB932" s="327">
        <v>8.3000000000000007</v>
      </c>
      <c r="AC932" s="327">
        <v>0.57999999999999996</v>
      </c>
      <c r="AD932" s="328">
        <v>0.57999999999999996</v>
      </c>
      <c r="AF932" s="352" t="s">
        <v>694</v>
      </c>
      <c r="AG932" s="329">
        <v>217</v>
      </c>
      <c r="AH932" s="353">
        <v>1.0999999999999999E-2</v>
      </c>
      <c r="AI932" s="316"/>
      <c r="AJ932" s="316"/>
    </row>
    <row r="933" spans="2:36" x14ac:dyDescent="0.3">
      <c r="B933" s="120"/>
      <c r="C933" s="410"/>
      <c r="D933" s="410"/>
      <c r="E933" s="114"/>
      <c r="F933" s="72"/>
      <c r="G933" s="74"/>
      <c r="I933" s="115">
        <f>IF(C933=0,0,VLOOKUP(C933,Tabla1[],3,FALSE))</f>
        <v>0</v>
      </c>
      <c r="K933" s="84">
        <f t="shared" si="26"/>
        <v>0</v>
      </c>
      <c r="L933" s="116">
        <f t="shared" si="27"/>
        <v>0</v>
      </c>
      <c r="P933"/>
      <c r="S933" s="354" t="s">
        <v>695</v>
      </c>
      <c r="T933" s="355">
        <v>0.2</v>
      </c>
      <c r="U933" s="316"/>
      <c r="V933" s="316"/>
      <c r="W933" s="324">
        <v>11</v>
      </c>
      <c r="X933" s="325">
        <v>1</v>
      </c>
      <c r="Y933" s="325">
        <v>2.5</v>
      </c>
      <c r="Z933" s="325">
        <v>3</v>
      </c>
      <c r="AA933" s="337">
        <v>147</v>
      </c>
      <c r="AB933" s="327">
        <v>7.6</v>
      </c>
      <c r="AC933" s="327">
        <v>0.54</v>
      </c>
      <c r="AD933" s="328">
        <v>0.65</v>
      </c>
      <c r="AF933" s="356" t="s">
        <v>696</v>
      </c>
      <c r="AG933" s="357">
        <f>AG932/0.07031</f>
        <v>3086.3319584696346</v>
      </c>
      <c r="AH933" s="316"/>
      <c r="AI933" s="316"/>
      <c r="AJ933" s="316"/>
    </row>
    <row r="934" spans="2:36" ht="17.25" thickBot="1" x14ac:dyDescent="0.35">
      <c r="B934" s="120"/>
      <c r="C934" s="410"/>
      <c r="D934" s="410"/>
      <c r="E934" s="114"/>
      <c r="F934" s="72"/>
      <c r="G934" s="74"/>
      <c r="I934" s="115">
        <f>IF(C934=0,0,VLOOKUP(C934,Tabla1[],3,FALSE))</f>
        <v>0</v>
      </c>
      <c r="K934" s="84">
        <f t="shared" si="26"/>
        <v>0</v>
      </c>
      <c r="L934" s="116">
        <f t="shared" si="27"/>
        <v>0</v>
      </c>
      <c r="P934"/>
      <c r="S934" s="354" t="s">
        <v>717</v>
      </c>
      <c r="T934" s="358">
        <f>ROUNDUP(T923-(2*T925)+T924-(2*T925)+0.25,2)</f>
        <v>0.49</v>
      </c>
      <c r="U934" s="316"/>
      <c r="V934" s="316"/>
      <c r="W934" s="324">
        <v>12</v>
      </c>
      <c r="X934" s="325">
        <v>1</v>
      </c>
      <c r="Y934" s="325">
        <v>2.5</v>
      </c>
      <c r="Z934" s="325">
        <v>3.5</v>
      </c>
      <c r="AA934" s="337">
        <v>132</v>
      </c>
      <c r="AB934" s="327">
        <v>7.2</v>
      </c>
      <c r="AC934" s="327">
        <v>0.51</v>
      </c>
      <c r="AD934" s="328">
        <v>0.71</v>
      </c>
      <c r="AF934" s="352" t="s">
        <v>698</v>
      </c>
      <c r="AG934" s="359">
        <f>T927</f>
        <v>0.39200000000000007</v>
      </c>
      <c r="AH934" s="316">
        <f>AG934*100*AH932</f>
        <v>0.43120000000000008</v>
      </c>
      <c r="AI934" s="316"/>
      <c r="AJ934" s="374"/>
    </row>
    <row r="935" spans="2:36" ht="17.25" thickBot="1" x14ac:dyDescent="0.35">
      <c r="P935"/>
      <c r="Q935" s="388">
        <f>Q931+R937+U931</f>
        <v>1.9476190476190476</v>
      </c>
      <c r="S935" s="354" t="s">
        <v>699</v>
      </c>
      <c r="T935" s="360">
        <f>ROUNDUP((U922/T933)+1,0)</f>
        <v>79</v>
      </c>
      <c r="U935" s="345"/>
      <c r="V935" s="316"/>
      <c r="W935" s="324">
        <v>13</v>
      </c>
      <c r="X935" s="325">
        <v>1</v>
      </c>
      <c r="Y935" s="325">
        <v>2.5</v>
      </c>
      <c r="Z935" s="325">
        <v>4</v>
      </c>
      <c r="AA935" s="337">
        <v>118</v>
      </c>
      <c r="AB935" s="327">
        <v>6.7</v>
      </c>
      <c r="AC935" s="327">
        <v>0.48</v>
      </c>
      <c r="AD935" s="328">
        <v>0.77</v>
      </c>
      <c r="AF935" s="361" t="s">
        <v>700</v>
      </c>
      <c r="AG935" s="362">
        <f>ROUND(((VLOOKUP(AG932,AA922:AD937,2,FALSE))*AG934),2)</f>
        <v>3.84</v>
      </c>
      <c r="AH935" s="316">
        <f>AH932*(100*AG935)</f>
        <v>4.2240000000000002</v>
      </c>
      <c r="AI935" s="316">
        <f>ROUNDDOWN(AH935,0)</f>
        <v>4</v>
      </c>
      <c r="AJ935" s="374">
        <f>AI935/(100*AG935)</f>
        <v>1.0416666666666666E-2</v>
      </c>
    </row>
    <row r="936" spans="2:36" ht="17.25" thickBot="1" x14ac:dyDescent="0.35">
      <c r="F936" s="402" t="s">
        <v>9</v>
      </c>
      <c r="G936" s="403"/>
      <c r="H936" s="403"/>
      <c r="I936" s="404"/>
      <c r="K936" s="224">
        <f>+SUM(K925:K934)</f>
        <v>182</v>
      </c>
      <c r="L936" s="117">
        <f>+SUM(L925:L934)</f>
        <v>2504</v>
      </c>
      <c r="P936"/>
      <c r="S936" s="354" t="s">
        <v>701</v>
      </c>
      <c r="T936" s="363">
        <f>ROUNDDOWN(6/T934,0)</f>
        <v>12</v>
      </c>
      <c r="U936" s="364"/>
      <c r="V936" s="316"/>
      <c r="W936" s="324">
        <v>14</v>
      </c>
      <c r="X936" s="325">
        <v>1</v>
      </c>
      <c r="Y936" s="325">
        <v>3</v>
      </c>
      <c r="Z936" s="325">
        <v>4</v>
      </c>
      <c r="AA936" s="337">
        <v>94</v>
      </c>
      <c r="AB936" s="327">
        <v>6.3</v>
      </c>
      <c r="AC936" s="327">
        <v>0.53</v>
      </c>
      <c r="AD936" s="328">
        <v>0.71</v>
      </c>
      <c r="AF936" s="361" t="s">
        <v>702</v>
      </c>
      <c r="AG936" s="365">
        <f>(VLOOKUP(AG932,AA922:AD937,3,FALSE))*AG934</f>
        <v>0.21560000000000007</v>
      </c>
      <c r="AH936" s="316">
        <f>AH932*(100*AG936)</f>
        <v>0.23716000000000004</v>
      </c>
      <c r="AI936" s="316">
        <f>ROUNDUP(AH936,0)</f>
        <v>1</v>
      </c>
      <c r="AJ936" s="374">
        <f>AI936/(100*AG936)</f>
        <v>4.6382189239332086E-2</v>
      </c>
    </row>
    <row r="937" spans="2:36" ht="17.25" thickBot="1" x14ac:dyDescent="0.35">
      <c r="P937"/>
      <c r="R937">
        <f>T937/(VLOOKUP(T932,P920:Q925,2,FALSE))</f>
        <v>0.23333333333333334</v>
      </c>
      <c r="S937" s="338" t="s">
        <v>692</v>
      </c>
      <c r="T937" s="366">
        <f>ROUNDUP(T935/T936,0)</f>
        <v>7</v>
      </c>
      <c r="U937" s="316">
        <f>T937*T936</f>
        <v>84</v>
      </c>
      <c r="V937" s="316"/>
      <c r="W937" s="367">
        <v>15</v>
      </c>
      <c r="X937" s="368">
        <v>1</v>
      </c>
      <c r="Y937" s="368">
        <v>3</v>
      </c>
      <c r="Z937" s="368">
        <v>5</v>
      </c>
      <c r="AA937" s="369">
        <v>80</v>
      </c>
      <c r="AB937" s="370">
        <v>5.6</v>
      </c>
      <c r="AC937" s="370">
        <v>0.47</v>
      </c>
      <c r="AD937" s="371">
        <v>0.79</v>
      </c>
      <c r="AF937" s="361" t="s">
        <v>703</v>
      </c>
      <c r="AG937" s="365">
        <f>(VLOOKUP(AG932,AA922:AD937,4,FALSE))*AG934</f>
        <v>0.21560000000000007</v>
      </c>
      <c r="AH937" s="316">
        <f>AH932*(100*AG937)</f>
        <v>0.23716000000000004</v>
      </c>
      <c r="AI937" s="316">
        <f>ROUNDUP(AH937,0)</f>
        <v>1</v>
      </c>
      <c r="AJ937" s="374">
        <f>AI937/(100*AG937)</f>
        <v>4.6382189239332086E-2</v>
      </c>
    </row>
    <row r="938" spans="2:36" ht="17.25" thickBot="1" x14ac:dyDescent="0.35">
      <c r="B938" s="108" t="s">
        <v>10</v>
      </c>
      <c r="C938" s="413" t="s">
        <v>11</v>
      </c>
      <c r="D938" s="413"/>
      <c r="E938" s="413"/>
      <c r="F938" s="413"/>
      <c r="G938" s="414"/>
      <c r="P938" s="372"/>
      <c r="Q938" s="372"/>
      <c r="R938" s="316"/>
      <c r="S938" s="338" t="s">
        <v>704</v>
      </c>
      <c r="T938" s="373">
        <f>ROUNDUP(Q935*5*1.05,0)</f>
        <v>11</v>
      </c>
      <c r="U938" s="316"/>
      <c r="V938" s="316"/>
      <c r="W938" s="316"/>
      <c r="X938" s="316"/>
      <c r="Y938" s="316"/>
      <c r="Z938" s="316"/>
      <c r="AA938" s="316"/>
      <c r="AB938" s="316"/>
      <c r="AC938" s="316"/>
      <c r="AD938" s="316"/>
      <c r="AE938" s="316"/>
      <c r="AF938" s="316"/>
      <c r="AG938" s="316"/>
      <c r="AH938" s="316"/>
      <c r="AI938" s="316"/>
      <c r="AJ938" s="316"/>
    </row>
    <row r="939" spans="2:36" x14ac:dyDescent="0.3">
      <c r="B939" s="112" t="s">
        <v>6</v>
      </c>
      <c r="C939" s="415" t="s">
        <v>1</v>
      </c>
      <c r="D939" s="416"/>
      <c r="E939" s="110" t="s">
        <v>192</v>
      </c>
      <c r="F939" s="118" t="s">
        <v>2</v>
      </c>
      <c r="G939" s="112" t="s">
        <v>3</v>
      </c>
      <c r="H939" s="104"/>
      <c r="I939" s="105" t="s">
        <v>7</v>
      </c>
      <c r="J939" s="134"/>
      <c r="K939" s="105" t="s">
        <v>8</v>
      </c>
      <c r="L939" s="113" t="s">
        <v>193</v>
      </c>
    </row>
    <row r="940" spans="2:36" x14ac:dyDescent="0.3">
      <c r="B940" s="120"/>
      <c r="C940" s="409"/>
      <c r="D940" s="409"/>
      <c r="E940" s="114"/>
      <c r="F940" s="83"/>
      <c r="G940" s="74"/>
      <c r="I940" s="115">
        <f>IF(C940=0,0,VLOOKUP(C940,Tabla3[],3,FALSE))</f>
        <v>0</v>
      </c>
      <c r="K940" s="84">
        <f>+F940*I940</f>
        <v>0</v>
      </c>
      <c r="L940" s="116">
        <f>E940*I940</f>
        <v>0</v>
      </c>
    </row>
    <row r="941" spans="2:36" x14ac:dyDescent="0.3">
      <c r="B941" s="74"/>
      <c r="C941" s="377"/>
      <c r="D941" s="378"/>
      <c r="E941" s="119"/>
      <c r="F941" s="72"/>
      <c r="G941" s="74"/>
      <c r="I941" s="115">
        <f>IF(C941=0,0,VLOOKUP(C941,Tabla3[],3,FALSE))</f>
        <v>0</v>
      </c>
      <c r="K941" s="84">
        <f>+F941*I941</f>
        <v>0</v>
      </c>
      <c r="L941" s="116">
        <f>E941*I941</f>
        <v>0</v>
      </c>
    </row>
    <row r="942" spans="2:36" x14ac:dyDescent="0.3">
      <c r="B942" s="74"/>
      <c r="C942" s="377"/>
      <c r="D942" s="378"/>
      <c r="E942" s="119"/>
      <c r="F942" s="72"/>
      <c r="G942" s="74"/>
      <c r="I942" s="115">
        <f>IF(C942=0,0,VLOOKUP(C942,Tabla3[],3,FALSE))</f>
        <v>0</v>
      </c>
      <c r="K942" s="84">
        <f>+F942*I942</f>
        <v>0</v>
      </c>
      <c r="L942" s="116">
        <f>E942*I942</f>
        <v>0</v>
      </c>
    </row>
    <row r="943" spans="2:36" x14ac:dyDescent="0.3">
      <c r="B943" s="74"/>
      <c r="C943" s="411"/>
      <c r="D943" s="412"/>
      <c r="E943" s="119"/>
      <c r="F943" s="72"/>
      <c r="G943" s="74"/>
      <c r="I943" s="115">
        <f>IF(C943=0,0,VLOOKUP(C943,Tabla3[],3,FALSE))</f>
        <v>0</v>
      </c>
      <c r="K943" s="84">
        <f>+F943*I943</f>
        <v>0</v>
      </c>
      <c r="L943" s="116">
        <f>E943*I943</f>
        <v>0</v>
      </c>
    </row>
    <row r="944" spans="2:36" ht="17.25" thickBot="1" x14ac:dyDescent="0.35"/>
    <row r="945" spans="2:12" ht="17.25" thickBot="1" x14ac:dyDescent="0.35">
      <c r="F945" s="402" t="s">
        <v>12</v>
      </c>
      <c r="G945" s="403"/>
      <c r="H945" s="403"/>
      <c r="I945" s="404"/>
      <c r="K945" s="224">
        <f>+SUM(K940:K943)</f>
        <v>0</v>
      </c>
      <c r="L945" s="117">
        <f>+SUM(L940:L943)</f>
        <v>0</v>
      </c>
    </row>
    <row r="946" spans="2:12" ht="17.25" thickBot="1" x14ac:dyDescent="0.35"/>
    <row r="947" spans="2:12" ht="17.25" thickBot="1" x14ac:dyDescent="0.35">
      <c r="B947" s="108" t="s">
        <v>13</v>
      </c>
      <c r="C947" s="413" t="s">
        <v>14</v>
      </c>
      <c r="D947" s="413"/>
      <c r="E947" s="413"/>
      <c r="F947" s="413"/>
      <c r="G947" s="414"/>
    </row>
    <row r="948" spans="2:12" x14ac:dyDescent="0.3">
      <c r="B948" s="112" t="s">
        <v>6</v>
      </c>
      <c r="C948" s="415" t="s">
        <v>1</v>
      </c>
      <c r="D948" s="416"/>
      <c r="E948" s="110" t="s">
        <v>192</v>
      </c>
      <c r="F948" s="118" t="s">
        <v>2</v>
      </c>
      <c r="G948" s="112" t="s">
        <v>3</v>
      </c>
      <c r="H948" s="104"/>
      <c r="I948" s="105" t="s">
        <v>7</v>
      </c>
      <c r="J948" s="134"/>
      <c r="K948" s="105" t="s">
        <v>8</v>
      </c>
      <c r="L948" s="113" t="s">
        <v>193</v>
      </c>
    </row>
    <row r="949" spans="2:12" x14ac:dyDescent="0.3">
      <c r="B949" s="120">
        <v>1</v>
      </c>
      <c r="C949" s="409" t="s">
        <v>423</v>
      </c>
      <c r="D949" s="409"/>
      <c r="E949" s="114">
        <f>I921</f>
        <v>14</v>
      </c>
      <c r="F949" s="83">
        <f>ROUND(E949/I921,2)</f>
        <v>1</v>
      </c>
      <c r="G949" s="74" t="str">
        <f>IF(C949=0,0,VLOOKUP(C949,Tabla2[],2,FALSE))</f>
        <v>ml</v>
      </c>
      <c r="I949" s="115">
        <f>IF(C949=0,0,VLOOKUP(C949,Tabla2[],3,FALSE))</f>
        <v>50</v>
      </c>
      <c r="K949" s="84">
        <f>+F949*I949</f>
        <v>50</v>
      </c>
      <c r="L949" s="116">
        <f>E949*I949</f>
        <v>700</v>
      </c>
    </row>
    <row r="950" spans="2:12" x14ac:dyDescent="0.3">
      <c r="B950" s="120"/>
      <c r="C950" s="409"/>
      <c r="D950" s="409"/>
      <c r="E950" s="114"/>
      <c r="F950" s="83"/>
      <c r="G950" s="74"/>
      <c r="I950" s="115">
        <f>IF(C950=0,0,VLOOKUP(C950,Tabla2[],3,FALSE))</f>
        <v>0</v>
      </c>
      <c r="K950" s="84">
        <f>+F950*I950</f>
        <v>0</v>
      </c>
      <c r="L950" s="116">
        <f>E950*I950</f>
        <v>0</v>
      </c>
    </row>
    <row r="951" spans="2:12" ht="17.25" thickBot="1" x14ac:dyDescent="0.35">
      <c r="B951" s="121"/>
      <c r="C951" s="417"/>
      <c r="D951" s="418"/>
      <c r="E951" s="122"/>
      <c r="F951" s="123"/>
      <c r="G951" s="74"/>
      <c r="I951" s="115">
        <f>IF(C951=0,0,VLOOKUP(C951,Tabla2[],3,FALSE))</f>
        <v>0</v>
      </c>
      <c r="K951" s="84">
        <f>+F951*I951</f>
        <v>0</v>
      </c>
      <c r="L951" s="116">
        <f>E951*I951</f>
        <v>0</v>
      </c>
    </row>
    <row r="952" spans="2:12" ht="17.25" thickBot="1" x14ac:dyDescent="0.35">
      <c r="B952" s="419" t="s">
        <v>15</v>
      </c>
      <c r="C952" s="420"/>
      <c r="D952" s="420"/>
      <c r="E952" s="420"/>
      <c r="F952" s="420"/>
      <c r="G952" s="421"/>
      <c r="I952" s="84">
        <v>0</v>
      </c>
      <c r="K952" s="84">
        <v>0</v>
      </c>
      <c r="L952" s="116">
        <f>E952*I952</f>
        <v>0</v>
      </c>
    </row>
    <row r="953" spans="2:12" ht="17.25" thickBot="1" x14ac:dyDescent="0.35"/>
    <row r="954" spans="2:12" ht="17.25" thickBot="1" x14ac:dyDescent="0.35">
      <c r="F954" s="402" t="s">
        <v>16</v>
      </c>
      <c r="G954" s="403"/>
      <c r="H954" s="403"/>
      <c r="I954" s="404"/>
      <c r="K954" s="224">
        <f>+SUM(K949:K952)</f>
        <v>50</v>
      </c>
      <c r="L954" s="117">
        <f>+SUM(L949:L952)</f>
        <v>700</v>
      </c>
    </row>
    <row r="955" spans="2:12" ht="17.25" thickBot="1" x14ac:dyDescent="0.35"/>
    <row r="956" spans="2:12" ht="17.25" thickBot="1" x14ac:dyDescent="0.35">
      <c r="B956" s="108" t="s">
        <v>17</v>
      </c>
      <c r="C956" s="413" t="s">
        <v>18</v>
      </c>
      <c r="D956" s="413"/>
      <c r="E956" s="413"/>
      <c r="F956" s="413"/>
      <c r="G956" s="414"/>
    </row>
    <row r="957" spans="2:12" x14ac:dyDescent="0.3">
      <c r="B957" s="112" t="s">
        <v>6</v>
      </c>
      <c r="C957" s="415" t="s">
        <v>1</v>
      </c>
      <c r="D957" s="416"/>
      <c r="E957" s="124"/>
      <c r="F957" s="118" t="s">
        <v>2</v>
      </c>
      <c r="G957" s="112" t="s">
        <v>3</v>
      </c>
      <c r="H957" s="104"/>
      <c r="I957" s="105" t="s">
        <v>7</v>
      </c>
      <c r="J957" s="134"/>
      <c r="K957" s="105" t="s">
        <v>8</v>
      </c>
      <c r="L957" s="113" t="s">
        <v>193</v>
      </c>
    </row>
    <row r="958" spans="2:12" x14ac:dyDescent="0.3">
      <c r="B958" s="74"/>
      <c r="C958" s="411"/>
      <c r="D958" s="412"/>
      <c r="E958" s="125"/>
      <c r="F958" s="72"/>
      <c r="G958" s="74"/>
      <c r="I958" s="84">
        <v>0</v>
      </c>
      <c r="K958" s="84">
        <f>+F958*I958</f>
        <v>0</v>
      </c>
      <c r="L958" s="116">
        <f>E958*I958</f>
        <v>0</v>
      </c>
    </row>
    <row r="959" spans="2:12" x14ac:dyDescent="0.3">
      <c r="B959" s="74"/>
      <c r="C959" s="411"/>
      <c r="D959" s="412"/>
      <c r="E959" s="125"/>
      <c r="F959" s="72"/>
      <c r="G959" s="74"/>
      <c r="I959" s="84">
        <v>0</v>
      </c>
      <c r="K959" s="84">
        <f>+F959*I959</f>
        <v>0</v>
      </c>
      <c r="L959" s="116">
        <f>E959*I959</f>
        <v>0</v>
      </c>
    </row>
    <row r="960" spans="2:12" x14ac:dyDescent="0.3">
      <c r="B960" s="74"/>
      <c r="C960" s="411"/>
      <c r="D960" s="412"/>
      <c r="E960" s="125"/>
      <c r="F960" s="72"/>
      <c r="G960" s="74"/>
      <c r="I960" s="84">
        <v>0</v>
      </c>
      <c r="K960" s="84">
        <f>+F960*I960</f>
        <v>0</v>
      </c>
      <c r="L960" s="116">
        <f>E960*I960</f>
        <v>0</v>
      </c>
    </row>
    <row r="961" spans="2:36" ht="17.25" thickBot="1" x14ac:dyDescent="0.35">
      <c r="L961" s="116"/>
    </row>
    <row r="962" spans="2:36" ht="17.25" thickBot="1" x14ac:dyDescent="0.35">
      <c r="F962" s="402" t="s">
        <v>19</v>
      </c>
      <c r="G962" s="403"/>
      <c r="H962" s="403"/>
      <c r="I962" s="404"/>
      <c r="K962" s="224">
        <f>+SUM(K958:K960)</f>
        <v>0</v>
      </c>
      <c r="L962" s="117">
        <f>+SUM(L957:L960)</f>
        <v>0</v>
      </c>
    </row>
    <row r="963" spans="2:36" ht="15" customHeight="1" x14ac:dyDescent="0.3">
      <c r="F963" s="126"/>
      <c r="G963" s="375"/>
      <c r="H963" s="128"/>
      <c r="I963" s="106"/>
      <c r="K963" s="225"/>
    </row>
    <row r="964" spans="2:36" ht="15" customHeight="1" thickBot="1" x14ac:dyDescent="0.35"/>
    <row r="965" spans="2:36" ht="17.25" thickBot="1" x14ac:dyDescent="0.35">
      <c r="F965" s="402" t="s">
        <v>20</v>
      </c>
      <c r="G965" s="403"/>
      <c r="H965" s="403"/>
      <c r="I965" s="404"/>
      <c r="K965" s="224">
        <f>(+K936+K945+K954+K962)</f>
        <v>232</v>
      </c>
      <c r="L965" s="117">
        <f>(+L936+L945+L954+L962)</f>
        <v>3204</v>
      </c>
      <c r="N965" s="129"/>
      <c r="O965" s="39"/>
      <c r="P965" s="40"/>
    </row>
    <row r="966" spans="2:36" ht="7.5" customHeight="1" thickBot="1" x14ac:dyDescent="0.35">
      <c r="N966" s="129"/>
      <c r="O966" s="41"/>
      <c r="P966" s="40"/>
    </row>
    <row r="967" spans="2:36" ht="17.25" thickBot="1" x14ac:dyDescent="0.35">
      <c r="F967" s="402" t="s">
        <v>21</v>
      </c>
      <c r="G967" s="403"/>
      <c r="H967" s="403"/>
      <c r="I967" s="404"/>
      <c r="K967" s="224">
        <f>K965*$N$2</f>
        <v>92.800000000000011</v>
      </c>
      <c r="L967" s="117">
        <f>L965*$N$2</f>
        <v>1281.6000000000001</v>
      </c>
    </row>
    <row r="968" spans="2:36" ht="7.5" customHeight="1" thickBot="1" x14ac:dyDescent="0.35"/>
    <row r="969" spans="2:36" ht="17.25" thickBot="1" x14ac:dyDescent="0.35">
      <c r="F969" s="402" t="s">
        <v>22</v>
      </c>
      <c r="G969" s="403"/>
      <c r="H969" s="403"/>
      <c r="I969" s="404"/>
      <c r="K969" s="224">
        <f>+K965+K967</f>
        <v>324.8</v>
      </c>
      <c r="L969" s="117">
        <f>+L965+L967</f>
        <v>4485.6000000000004</v>
      </c>
    </row>
    <row r="970" spans="2:36" ht="17.25" thickBot="1" x14ac:dyDescent="0.35">
      <c r="F970" s="126"/>
      <c r="G970" s="375"/>
      <c r="H970" s="128"/>
      <c r="I970" s="106"/>
      <c r="K970" s="226"/>
      <c r="L970" s="130">
        <f>L969/I921</f>
        <v>320.40000000000003</v>
      </c>
      <c r="M970" s="131">
        <f>(K969-L970)*I921</f>
        <v>61.599999999999682</v>
      </c>
    </row>
    <row r="971" spans="2:36" x14ac:dyDescent="0.3">
      <c r="F971" s="126"/>
      <c r="G971" s="375"/>
      <c r="H971" s="128"/>
      <c r="I971" s="106"/>
      <c r="K971" s="227"/>
      <c r="L971" s="129"/>
      <c r="M971" s="132"/>
      <c r="N971" s="133"/>
    </row>
    <row r="972" spans="2:36" ht="17.25" thickBot="1" x14ac:dyDescent="0.35">
      <c r="B972" s="405"/>
      <c r="C972" s="405"/>
      <c r="D972" s="405"/>
    </row>
    <row r="973" spans="2:36" x14ac:dyDescent="0.3">
      <c r="B973" s="406" t="s">
        <v>23</v>
      </c>
      <c r="C973" s="406"/>
      <c r="D973" s="406"/>
    </row>
    <row r="974" spans="2:36" x14ac:dyDescent="0.3">
      <c r="B974" s="376"/>
      <c r="C974" s="376"/>
      <c r="D974" s="376"/>
    </row>
    <row r="975" spans="2:36" ht="17.25" thickBot="1" x14ac:dyDescent="0.35">
      <c r="B975" s="376"/>
      <c r="C975" s="376"/>
      <c r="D975" s="376"/>
    </row>
    <row r="976" spans="2:36" x14ac:dyDescent="0.3">
      <c r="B976" s="103" t="s">
        <v>43</v>
      </c>
      <c r="C976" s="104"/>
      <c r="D976" s="422" t="s">
        <v>1</v>
      </c>
      <c r="E976" s="422"/>
      <c r="F976" s="422"/>
      <c r="G976" s="422"/>
      <c r="H976" s="104"/>
      <c r="I976" s="105" t="s">
        <v>2</v>
      </c>
      <c r="J976" s="134"/>
      <c r="K976" s="105" t="s">
        <v>3</v>
      </c>
      <c r="P976" s="461" t="s">
        <v>666</v>
      </c>
      <c r="Q976" s="462"/>
      <c r="S976" s="463" t="s">
        <v>725</v>
      </c>
      <c r="T976" s="463"/>
      <c r="U976" s="316"/>
      <c r="V976" s="316"/>
      <c r="W976" s="464" t="s">
        <v>668</v>
      </c>
      <c r="X976" s="466" t="s">
        <v>669</v>
      </c>
      <c r="Y976" s="467"/>
      <c r="Z976" s="468"/>
      <c r="AA976" s="469" t="s">
        <v>670</v>
      </c>
      <c r="AB976" s="471" t="s">
        <v>671</v>
      </c>
      <c r="AC976" s="473" t="s">
        <v>672</v>
      </c>
      <c r="AD976" s="475" t="s">
        <v>673</v>
      </c>
      <c r="AH976" s="316"/>
      <c r="AI976" s="316"/>
      <c r="AJ976" s="316"/>
    </row>
    <row r="977" spans="1:36" s="4" customFormat="1" ht="30.75" customHeight="1" x14ac:dyDescent="0.25">
      <c r="A977" s="31"/>
      <c r="B977" s="379">
        <f>CATALOGO!B43</f>
        <v>407.29</v>
      </c>
      <c r="C977" s="71"/>
      <c r="D977" s="423" t="str">
        <f>CATALOGO!C43</f>
        <v>SOLERA MOJINETE (0.14m X 0.20m + 4 NO. 3  + EST NO. 2 @ 0.20m)</v>
      </c>
      <c r="E977" s="423"/>
      <c r="F977" s="423"/>
      <c r="G977" s="423"/>
      <c r="H977" s="71"/>
      <c r="I977" s="379">
        <f>CATALOGO!F43</f>
        <v>5.7</v>
      </c>
      <c r="J977" s="107"/>
      <c r="K977" s="222" t="str">
        <f>CATALOGO!G43</f>
        <v>ml</v>
      </c>
      <c r="L977" s="71"/>
      <c r="M977" s="71"/>
      <c r="N977" s="102"/>
      <c r="O977" s="37"/>
      <c r="P977" s="317" t="s">
        <v>6</v>
      </c>
      <c r="Q977" s="318" t="s">
        <v>674</v>
      </c>
      <c r="R977"/>
      <c r="S977" s="477" t="s">
        <v>675</v>
      </c>
      <c r="T977" s="477"/>
      <c r="U977" s="316"/>
      <c r="V977" s="316"/>
      <c r="W977" s="465"/>
      <c r="X977" s="319" t="s">
        <v>676</v>
      </c>
      <c r="Y977" s="319" t="s">
        <v>677</v>
      </c>
      <c r="Z977" s="319" t="s">
        <v>678</v>
      </c>
      <c r="AA977" s="470"/>
      <c r="AB977" s="472"/>
      <c r="AC977" s="474"/>
      <c r="AD977" s="476"/>
      <c r="AE977"/>
      <c r="AF977"/>
      <c r="AG977"/>
      <c r="AH977" s="316"/>
      <c r="AI977" s="316"/>
      <c r="AJ977" s="316"/>
    </row>
    <row r="978" spans="1:36" ht="17.25" thickBot="1" x14ac:dyDescent="0.35">
      <c r="P978" s="320" t="s">
        <v>679</v>
      </c>
      <c r="Q978" s="321">
        <v>30</v>
      </c>
      <c r="S978" s="322" t="s">
        <v>680</v>
      </c>
      <c r="T978" s="323">
        <f>I977</f>
        <v>5.7</v>
      </c>
      <c r="U978" s="316">
        <v>15.6</v>
      </c>
      <c r="V978" s="316"/>
      <c r="W978" s="324">
        <v>1</v>
      </c>
      <c r="X978" s="325">
        <v>1</v>
      </c>
      <c r="Y978" s="325">
        <v>1.5</v>
      </c>
      <c r="Z978" s="325">
        <v>1.5</v>
      </c>
      <c r="AA978" s="326">
        <v>303</v>
      </c>
      <c r="AB978" s="327">
        <v>12.6</v>
      </c>
      <c r="AC978" s="327">
        <v>0.53</v>
      </c>
      <c r="AD978" s="328">
        <v>0.55000000000000004</v>
      </c>
      <c r="AH978" s="316"/>
      <c r="AI978" s="316"/>
      <c r="AJ978" s="316"/>
    </row>
    <row r="979" spans="1:36" ht="17.25" thickBot="1" x14ac:dyDescent="0.35">
      <c r="B979" s="108" t="s">
        <v>4</v>
      </c>
      <c r="C979" s="413" t="s">
        <v>5</v>
      </c>
      <c r="D979" s="413"/>
      <c r="E979" s="413"/>
      <c r="F979" s="413"/>
      <c r="G979" s="414"/>
      <c r="P979" s="320" t="s">
        <v>681</v>
      </c>
      <c r="Q979" s="321">
        <v>13</v>
      </c>
      <c r="S979" s="322" t="s">
        <v>682</v>
      </c>
      <c r="T979" s="329">
        <v>0.14000000000000001</v>
      </c>
      <c r="U979" s="316"/>
      <c r="V979" s="316"/>
      <c r="W979" s="324"/>
      <c r="X979" s="325"/>
      <c r="Y979" s="325"/>
      <c r="Z979" s="325"/>
      <c r="AA979" s="326">
        <v>281</v>
      </c>
      <c r="AB979" s="327">
        <v>11.7</v>
      </c>
      <c r="AC979" s="327">
        <v>0.5</v>
      </c>
      <c r="AD979" s="328">
        <v>0.61</v>
      </c>
      <c r="AH979" s="316"/>
      <c r="AI979" s="316"/>
      <c r="AJ979" s="316"/>
    </row>
    <row r="980" spans="1:36" x14ac:dyDescent="0.3">
      <c r="B980" s="109" t="s">
        <v>6</v>
      </c>
      <c r="C980" s="424" t="s">
        <v>1</v>
      </c>
      <c r="D980" s="425"/>
      <c r="E980" s="110" t="s">
        <v>192</v>
      </c>
      <c r="F980" s="111" t="s">
        <v>2</v>
      </c>
      <c r="G980" s="112" t="s">
        <v>3</v>
      </c>
      <c r="H980" s="104"/>
      <c r="I980" s="105" t="s">
        <v>7</v>
      </c>
      <c r="J980" s="134"/>
      <c r="K980" s="223" t="s">
        <v>8</v>
      </c>
      <c r="L980" s="113" t="s">
        <v>193</v>
      </c>
      <c r="P980" s="320" t="s">
        <v>683</v>
      </c>
      <c r="Q980" s="321">
        <v>7</v>
      </c>
      <c r="S980" s="330" t="s">
        <v>684</v>
      </c>
      <c r="T980" s="331">
        <v>0.2</v>
      </c>
      <c r="U980" s="316"/>
      <c r="V980" s="316"/>
      <c r="W980" s="324">
        <v>2</v>
      </c>
      <c r="X980" s="325">
        <v>1</v>
      </c>
      <c r="Y980" s="325">
        <v>1.5</v>
      </c>
      <c r="Z980" s="325">
        <v>2</v>
      </c>
      <c r="AA980" s="326">
        <v>270</v>
      </c>
      <c r="AB980" s="327">
        <v>11.3</v>
      </c>
      <c r="AC980" s="327">
        <v>0.48</v>
      </c>
      <c r="AD980" s="328">
        <v>0.64</v>
      </c>
      <c r="AH980" s="316"/>
      <c r="AI980" s="316"/>
      <c r="AJ980" s="316"/>
    </row>
    <row r="981" spans="1:36" ht="17.25" thickBot="1" x14ac:dyDescent="0.35">
      <c r="B981" s="120">
        <v>1</v>
      </c>
      <c r="C981" s="407" t="s">
        <v>168</v>
      </c>
      <c r="D981" s="408"/>
      <c r="E981" s="114">
        <f>T987</f>
        <v>5</v>
      </c>
      <c r="F981" s="83">
        <f>ROUND(E981/I977,2)+0.01</f>
        <v>0.89</v>
      </c>
      <c r="G981" s="74" t="str">
        <f>IF(C981=0,0,VLOOKUP(C981,Tabla1[],2,FALSE))</f>
        <v>Varilla</v>
      </c>
      <c r="I981" s="115">
        <f>IF(C981=0,0,VLOOKUP(C981,Tabla1[],3,FALSE))</f>
        <v>40</v>
      </c>
      <c r="K981" s="84">
        <f>+F981*I981</f>
        <v>35.6</v>
      </c>
      <c r="L981" s="116">
        <f>E981*I981</f>
        <v>200</v>
      </c>
      <c r="P981" s="332" t="s">
        <v>685</v>
      </c>
      <c r="Q981" s="333">
        <v>4</v>
      </c>
      <c r="S981" s="334" t="s">
        <v>686</v>
      </c>
      <c r="T981" s="331">
        <v>2.5000000000000001E-2</v>
      </c>
      <c r="U981" s="316"/>
      <c r="V981" s="316"/>
      <c r="W981" s="324">
        <v>3</v>
      </c>
      <c r="X981" s="325">
        <v>1</v>
      </c>
      <c r="Y981" s="325">
        <v>1.5</v>
      </c>
      <c r="Z981" s="325">
        <v>2.5</v>
      </c>
      <c r="AA981" s="326">
        <v>245</v>
      </c>
      <c r="AB981" s="327">
        <v>10.1</v>
      </c>
      <c r="AC981" s="327">
        <v>0.43</v>
      </c>
      <c r="AD981" s="328">
        <v>0.71</v>
      </c>
      <c r="AH981" s="316"/>
      <c r="AI981" s="316"/>
      <c r="AJ981" s="316"/>
    </row>
    <row r="982" spans="1:36" ht="17.25" thickBot="1" x14ac:dyDescent="0.35">
      <c r="B982" s="120">
        <v>2</v>
      </c>
      <c r="C982" s="407" t="s">
        <v>312</v>
      </c>
      <c r="D982" s="408"/>
      <c r="E982" s="114">
        <f>T993</f>
        <v>7</v>
      </c>
      <c r="F982" s="83">
        <f>ROUND(E982/I977,2)</f>
        <v>1.23</v>
      </c>
      <c r="G982" s="74" t="str">
        <f>IF(C982=0,0,VLOOKUP(C982,Tabla1[],2,FALSE))</f>
        <v>Varilla</v>
      </c>
      <c r="I982" s="115">
        <f>IF(C982=0,0,VLOOKUP(C982,Tabla1[],3,FALSE))</f>
        <v>20</v>
      </c>
      <c r="K982" s="84">
        <f>+F982*I982</f>
        <v>24.6</v>
      </c>
      <c r="L982" s="116">
        <f>E982*I982</f>
        <v>140</v>
      </c>
      <c r="P982" s="335"/>
      <c r="Q982" s="336"/>
      <c r="S982" s="322"/>
      <c r="T982" s="331"/>
      <c r="U982" s="316"/>
      <c r="V982" s="316"/>
      <c r="W982" s="324">
        <v>4</v>
      </c>
      <c r="X982" s="325">
        <v>1</v>
      </c>
      <c r="Y982" s="325">
        <v>1.5</v>
      </c>
      <c r="Z982" s="325">
        <v>3</v>
      </c>
      <c r="AA982" s="337">
        <v>230</v>
      </c>
      <c r="AB982" s="327">
        <v>9.3000000000000007</v>
      </c>
      <c r="AC982" s="327">
        <v>0.37</v>
      </c>
      <c r="AD982" s="328">
        <v>0.79</v>
      </c>
      <c r="AH982" s="316"/>
      <c r="AI982" s="316"/>
      <c r="AJ982" s="316"/>
    </row>
    <row r="983" spans="1:36" ht="17.25" thickBot="1" x14ac:dyDescent="0.35">
      <c r="B983" s="120">
        <v>3</v>
      </c>
      <c r="C983" s="428" t="s">
        <v>213</v>
      </c>
      <c r="D983" s="429"/>
      <c r="E983" s="114">
        <f>AI991</f>
        <v>1</v>
      </c>
      <c r="F983" s="83">
        <f>ROUND(E983/I977,2)+0.01</f>
        <v>0.19</v>
      </c>
      <c r="G983" s="74" t="str">
        <f>IF(C983=0,0,VLOOKUP(C983,Tabla1[],2,FALSE))</f>
        <v>Saco</v>
      </c>
      <c r="I983" s="115">
        <f>IF(C983=0,0,VLOOKUP(C983,Tabla1[],3,FALSE))</f>
        <v>80</v>
      </c>
      <c r="K983" s="84">
        <f t="shared" ref="K983:K990" si="28">+F983*I983</f>
        <v>15.2</v>
      </c>
      <c r="L983" s="116">
        <f t="shared" ref="L983:L990" si="29">E983*I983</f>
        <v>80</v>
      </c>
      <c r="P983"/>
      <c r="S983" s="338" t="s">
        <v>688</v>
      </c>
      <c r="T983" s="339">
        <f>T978*T979*T980</f>
        <v>0.15960000000000005</v>
      </c>
      <c r="U983" s="316"/>
      <c r="V983" s="316"/>
      <c r="W983" s="340">
        <v>5</v>
      </c>
      <c r="X983" s="341">
        <v>1</v>
      </c>
      <c r="Y983" s="341">
        <v>2</v>
      </c>
      <c r="Z983" s="341">
        <v>2</v>
      </c>
      <c r="AA983" s="337">
        <v>217</v>
      </c>
      <c r="AB983" s="342">
        <v>9.8000000000000007</v>
      </c>
      <c r="AC983" s="342">
        <v>0.55000000000000004</v>
      </c>
      <c r="AD983" s="343">
        <v>0.55000000000000004</v>
      </c>
      <c r="AH983" s="316"/>
      <c r="AI983" s="316"/>
      <c r="AJ983" s="316"/>
    </row>
    <row r="984" spans="1:36" x14ac:dyDescent="0.3">
      <c r="B984" s="120">
        <v>4</v>
      </c>
      <c r="C984" s="430" t="s">
        <v>72</v>
      </c>
      <c r="D984" s="429"/>
      <c r="E984" s="114">
        <f>AI992+0.2</f>
        <v>0.4</v>
      </c>
      <c r="F984" s="83">
        <f>ROUND(E984/I977,2)</f>
        <v>7.0000000000000007E-2</v>
      </c>
      <c r="G984" s="74" t="str">
        <f>IF(C984=0,0,VLOOKUP(C984,Tabla1[],2,FALSE))</f>
        <v>m³</v>
      </c>
      <c r="I984" s="115">
        <f>IF(C984=0,0,VLOOKUP(C984,Tabla1[],3,FALSE))</f>
        <v>250</v>
      </c>
      <c r="K984" s="84">
        <f t="shared" si="28"/>
        <v>17.5</v>
      </c>
      <c r="L984" s="116">
        <f t="shared" si="29"/>
        <v>100</v>
      </c>
      <c r="P984"/>
      <c r="S984" s="338"/>
      <c r="T984" s="344"/>
      <c r="U984" s="345"/>
      <c r="V984" s="316"/>
      <c r="W984" s="324">
        <v>6</v>
      </c>
      <c r="X984" s="325">
        <v>1</v>
      </c>
      <c r="Y984" s="325">
        <v>2</v>
      </c>
      <c r="Z984" s="325">
        <v>2.5</v>
      </c>
      <c r="AA984" s="326">
        <v>195</v>
      </c>
      <c r="AB984" s="327">
        <v>9.1</v>
      </c>
      <c r="AC984" s="327">
        <v>0.51</v>
      </c>
      <c r="AD984" s="328">
        <v>0.64</v>
      </c>
      <c r="AH984" s="316"/>
      <c r="AI984" s="316"/>
      <c r="AJ984" s="316"/>
    </row>
    <row r="985" spans="1:36" x14ac:dyDescent="0.3">
      <c r="B985" s="120">
        <v>5</v>
      </c>
      <c r="C985" s="430" t="s">
        <v>229</v>
      </c>
      <c r="D985" s="429"/>
      <c r="E985" s="114">
        <f>AI993+0.2</f>
        <v>0.4</v>
      </c>
      <c r="F985" s="83">
        <f>ROUND(E985/I977,2)</f>
        <v>7.0000000000000007E-2</v>
      </c>
      <c r="G985" s="74" t="str">
        <f>IF(C985=0,0,VLOOKUP(C985,Tabla1[],2,FALSE))</f>
        <v>m³</v>
      </c>
      <c r="I985" s="115">
        <f>IF(C985=0,0,VLOOKUP(C985,Tabla1[],3,FALSE))</f>
        <v>250</v>
      </c>
      <c r="K985" s="84">
        <f t="shared" si="28"/>
        <v>17.5</v>
      </c>
      <c r="L985" s="116">
        <f t="shared" si="29"/>
        <v>100</v>
      </c>
      <c r="P985"/>
      <c r="S985" s="380" t="s">
        <v>690</v>
      </c>
      <c r="T985" s="380"/>
      <c r="U985" s="347"/>
      <c r="V985" s="316"/>
      <c r="W985" s="324">
        <v>7</v>
      </c>
      <c r="X985" s="325">
        <v>1</v>
      </c>
      <c r="Y985" s="325">
        <v>2</v>
      </c>
      <c r="Z985" s="325">
        <v>3</v>
      </c>
      <c r="AA985" s="337">
        <v>165</v>
      </c>
      <c r="AB985" s="327">
        <v>8.4</v>
      </c>
      <c r="AC985" s="327">
        <v>0.47</v>
      </c>
      <c r="AD985" s="328">
        <v>0.71</v>
      </c>
      <c r="AH985" s="316"/>
      <c r="AI985" s="316"/>
      <c r="AJ985" s="316"/>
    </row>
    <row r="986" spans="1:36" ht="17.25" thickBot="1" x14ac:dyDescent="0.35">
      <c r="B986" s="120">
        <v>6</v>
      </c>
      <c r="C986" s="433" t="s">
        <v>368</v>
      </c>
      <c r="D986" s="433"/>
      <c r="E986" s="114">
        <f>T994</f>
        <v>4</v>
      </c>
      <c r="F986" s="83">
        <f>ROUND(E986/I977,2)</f>
        <v>0.7</v>
      </c>
      <c r="G986" s="74" t="str">
        <f>IF(C986=0,0,VLOOKUP(C986,Tabla1[],2,FALSE))</f>
        <v>Libra</v>
      </c>
      <c r="I986" s="115">
        <f>IF(C986=0,0,VLOOKUP(C986,Tabla1[],3,FALSE))</f>
        <v>8</v>
      </c>
      <c r="K986" s="84">
        <f t="shared" si="28"/>
        <v>5.6</v>
      </c>
      <c r="L986" s="116">
        <f t="shared" si="29"/>
        <v>32</v>
      </c>
      <c r="P986"/>
      <c r="S986" s="334" t="s">
        <v>691</v>
      </c>
      <c r="T986" s="329" t="s">
        <v>681</v>
      </c>
      <c r="U986" s="316"/>
      <c r="V986" s="316"/>
      <c r="W986" s="324">
        <v>8</v>
      </c>
      <c r="X986" s="325">
        <v>1</v>
      </c>
      <c r="Y986" s="325">
        <v>2</v>
      </c>
      <c r="Z986" s="325">
        <v>3.5</v>
      </c>
      <c r="AA986" s="337">
        <v>164</v>
      </c>
      <c r="AB986" s="327">
        <v>7.8</v>
      </c>
      <c r="AC986" s="327">
        <v>0.44</v>
      </c>
      <c r="AD986" s="328">
        <v>0.76</v>
      </c>
      <c r="AH986" s="316"/>
      <c r="AI986" s="316"/>
      <c r="AJ986" s="316"/>
    </row>
    <row r="987" spans="1:36" x14ac:dyDescent="0.3">
      <c r="B987" s="120">
        <v>7</v>
      </c>
      <c r="C987" s="433" t="s">
        <v>174</v>
      </c>
      <c r="D987" s="433"/>
      <c r="E987" s="114">
        <f>E986</f>
        <v>4</v>
      </c>
      <c r="F987" s="83">
        <f>ROUND(E987/I977,2)</f>
        <v>0.7</v>
      </c>
      <c r="G987" s="74" t="str">
        <f>IF(C987=0,0,VLOOKUP(C987,Tabla1[],2,FALSE))</f>
        <v>Libra</v>
      </c>
      <c r="I987" s="115">
        <f>IF(C987=0,0,VLOOKUP(C987,Tabla1[],3,FALSE))</f>
        <v>10</v>
      </c>
      <c r="K987" s="84">
        <f t="shared" si="28"/>
        <v>7</v>
      </c>
      <c r="L987" s="116">
        <f t="shared" si="29"/>
        <v>40</v>
      </c>
      <c r="P987"/>
      <c r="S987" s="338" t="s">
        <v>692</v>
      </c>
      <c r="T987" s="348">
        <v>5</v>
      </c>
      <c r="U987" s="387">
        <f>T987/(VLOOKUP(T986,P976:Q981,2,FALSE))</f>
        <v>0.38461538461538464</v>
      </c>
      <c r="V987" s="316"/>
      <c r="W987" s="324">
        <v>9</v>
      </c>
      <c r="X987" s="325">
        <v>1</v>
      </c>
      <c r="Y987" s="325">
        <v>2</v>
      </c>
      <c r="Z987" s="325">
        <v>4</v>
      </c>
      <c r="AA987" s="337">
        <v>140</v>
      </c>
      <c r="AB987" s="327">
        <v>7.3</v>
      </c>
      <c r="AC987" s="327">
        <v>0.41</v>
      </c>
      <c r="AD987" s="328">
        <v>0.82</v>
      </c>
      <c r="AF987" s="349" t="s">
        <v>693</v>
      </c>
      <c r="AG987" s="349"/>
      <c r="AH987" s="316"/>
      <c r="AI987" s="316"/>
      <c r="AJ987" s="316"/>
    </row>
    <row r="988" spans="1:36" x14ac:dyDescent="0.3">
      <c r="B988" s="120">
        <v>8</v>
      </c>
      <c r="C988" s="433" t="s">
        <v>179</v>
      </c>
      <c r="D988" s="433"/>
      <c r="E988" s="114">
        <f>I977*6</f>
        <v>34.200000000000003</v>
      </c>
      <c r="F988" s="83">
        <f>ROUND(E988/I977,2)</f>
        <v>6</v>
      </c>
      <c r="G988" s="74" t="str">
        <f>IF(C988=0,0,VLOOKUP(C988,Tabla1[],2,FALSE))</f>
        <v>pt</v>
      </c>
      <c r="I988" s="115">
        <f>IF(C988=0,0,VLOOKUP(C988,Tabla1[],3,FALSE))</f>
        <v>9</v>
      </c>
      <c r="K988" s="84">
        <f t="shared" si="28"/>
        <v>54</v>
      </c>
      <c r="L988" s="116">
        <f t="shared" si="29"/>
        <v>307.8</v>
      </c>
      <c r="P988"/>
      <c r="S988" s="350" t="s">
        <v>716</v>
      </c>
      <c r="T988" s="351" t="s">
        <v>679</v>
      </c>
      <c r="U988" s="316"/>
      <c r="V988" s="316"/>
      <c r="W988" s="324">
        <v>10</v>
      </c>
      <c r="X988" s="325">
        <v>1</v>
      </c>
      <c r="Y988" s="325">
        <v>2.5</v>
      </c>
      <c r="Z988" s="325">
        <v>2.5</v>
      </c>
      <c r="AA988" s="337">
        <v>156</v>
      </c>
      <c r="AB988" s="327">
        <v>8.3000000000000007</v>
      </c>
      <c r="AC988" s="327">
        <v>0.57999999999999996</v>
      </c>
      <c r="AD988" s="328">
        <v>0.57999999999999996</v>
      </c>
      <c r="AF988" s="352" t="s">
        <v>694</v>
      </c>
      <c r="AG988" s="329">
        <v>217</v>
      </c>
      <c r="AH988" s="353">
        <v>1.0999999999999999E-2</v>
      </c>
      <c r="AI988" s="316"/>
      <c r="AJ988" s="316"/>
    </row>
    <row r="989" spans="1:36" x14ac:dyDescent="0.3">
      <c r="B989" s="120"/>
      <c r="C989" s="410"/>
      <c r="D989" s="410"/>
      <c r="E989" s="114"/>
      <c r="F989" s="72"/>
      <c r="G989" s="74"/>
      <c r="I989" s="115">
        <f>IF(C989=0,0,VLOOKUP(C989,Tabla1[],3,FALSE))</f>
        <v>0</v>
      </c>
      <c r="K989" s="84">
        <f t="shared" si="28"/>
        <v>0</v>
      </c>
      <c r="L989" s="116">
        <f t="shared" si="29"/>
        <v>0</v>
      </c>
      <c r="P989"/>
      <c r="S989" s="354" t="s">
        <v>695</v>
      </c>
      <c r="T989" s="355">
        <v>0.2</v>
      </c>
      <c r="U989" s="316"/>
      <c r="V989" s="316"/>
      <c r="W989" s="324">
        <v>11</v>
      </c>
      <c r="X989" s="325">
        <v>1</v>
      </c>
      <c r="Y989" s="325">
        <v>2.5</v>
      </c>
      <c r="Z989" s="325">
        <v>3</v>
      </c>
      <c r="AA989" s="337">
        <v>147</v>
      </c>
      <c r="AB989" s="327">
        <v>7.6</v>
      </c>
      <c r="AC989" s="327">
        <v>0.54</v>
      </c>
      <c r="AD989" s="328">
        <v>0.65</v>
      </c>
      <c r="AF989" s="356" t="s">
        <v>696</v>
      </c>
      <c r="AG989" s="357">
        <f>AG988/0.07031</f>
        <v>3086.3319584696346</v>
      </c>
      <c r="AH989" s="316"/>
      <c r="AI989" s="316"/>
      <c r="AJ989" s="316"/>
    </row>
    <row r="990" spans="1:36" ht="17.25" thickBot="1" x14ac:dyDescent="0.35">
      <c r="B990" s="120"/>
      <c r="C990" s="410"/>
      <c r="D990" s="410"/>
      <c r="E990" s="114"/>
      <c r="F990" s="72"/>
      <c r="G990" s="74"/>
      <c r="I990" s="115">
        <f>IF(C990=0,0,VLOOKUP(C990,Tabla1[],3,FALSE))</f>
        <v>0</v>
      </c>
      <c r="K990" s="84">
        <f t="shared" si="28"/>
        <v>0</v>
      </c>
      <c r="L990" s="116">
        <f t="shared" si="29"/>
        <v>0</v>
      </c>
      <c r="P990"/>
      <c r="S990" s="354" t="s">
        <v>717</v>
      </c>
      <c r="T990" s="358">
        <f>ROUNDUP(T979-(2*T981)+T980-(2*T981)+0.25,2)</f>
        <v>0.49</v>
      </c>
      <c r="U990" s="316"/>
      <c r="V990" s="316"/>
      <c r="W990" s="324">
        <v>12</v>
      </c>
      <c r="X990" s="325">
        <v>1</v>
      </c>
      <c r="Y990" s="325">
        <v>2.5</v>
      </c>
      <c r="Z990" s="325">
        <v>3.5</v>
      </c>
      <c r="AA990" s="337">
        <v>132</v>
      </c>
      <c r="AB990" s="327">
        <v>7.2</v>
      </c>
      <c r="AC990" s="327">
        <v>0.51</v>
      </c>
      <c r="AD990" s="328">
        <v>0.71</v>
      </c>
      <c r="AF990" s="352" t="s">
        <v>698</v>
      </c>
      <c r="AG990" s="359">
        <f>T983</f>
        <v>0.15960000000000005</v>
      </c>
      <c r="AH990" s="316">
        <f>AG990*100*AH988</f>
        <v>0.17556000000000005</v>
      </c>
      <c r="AI990" s="316"/>
      <c r="AJ990" s="374"/>
    </row>
    <row r="991" spans="1:36" ht="17.25" thickBot="1" x14ac:dyDescent="0.35">
      <c r="P991"/>
      <c r="Q991" s="388">
        <f>Q987+R993+U987</f>
        <v>0.61794871794871797</v>
      </c>
      <c r="S991" s="354" t="s">
        <v>699</v>
      </c>
      <c r="T991" s="360">
        <f>ROUNDUP((U978/T989)+1,0)</f>
        <v>79</v>
      </c>
      <c r="U991" s="345"/>
      <c r="V991" s="316"/>
      <c r="W991" s="324">
        <v>13</v>
      </c>
      <c r="X991" s="325">
        <v>1</v>
      </c>
      <c r="Y991" s="325">
        <v>2.5</v>
      </c>
      <c r="Z991" s="325">
        <v>4</v>
      </c>
      <c r="AA991" s="337">
        <v>118</v>
      </c>
      <c r="AB991" s="327">
        <v>6.7</v>
      </c>
      <c r="AC991" s="327">
        <v>0.48</v>
      </c>
      <c r="AD991" s="328">
        <v>0.77</v>
      </c>
      <c r="AF991" s="361" t="s">
        <v>700</v>
      </c>
      <c r="AG991" s="362">
        <f>ROUND(((VLOOKUP(AG988,AA978:AD993,2,FALSE))*AG990),2)</f>
        <v>1.56</v>
      </c>
      <c r="AH991" s="316">
        <f>AH988*(100*AG991)</f>
        <v>1.716</v>
      </c>
      <c r="AI991" s="316">
        <f>ROUNDDOWN(AH991,0)</f>
        <v>1</v>
      </c>
      <c r="AJ991" s="374">
        <f>AI991/(100*AG991)</f>
        <v>6.41025641025641E-3</v>
      </c>
    </row>
    <row r="992" spans="1:36" ht="17.25" thickBot="1" x14ac:dyDescent="0.35">
      <c r="F992" s="402" t="s">
        <v>9</v>
      </c>
      <c r="G992" s="403"/>
      <c r="H992" s="403"/>
      <c r="I992" s="404"/>
      <c r="K992" s="224">
        <f>+SUM(K981:K990)</f>
        <v>177</v>
      </c>
      <c r="L992" s="117">
        <f>+SUM(L981:L990)</f>
        <v>999.8</v>
      </c>
      <c r="P992"/>
      <c r="S992" s="354" t="s">
        <v>701</v>
      </c>
      <c r="T992" s="363">
        <f>ROUNDDOWN(6/T990,0)</f>
        <v>12</v>
      </c>
      <c r="U992" s="364"/>
      <c r="V992" s="316"/>
      <c r="W992" s="324">
        <v>14</v>
      </c>
      <c r="X992" s="325">
        <v>1</v>
      </c>
      <c r="Y992" s="325">
        <v>3</v>
      </c>
      <c r="Z992" s="325">
        <v>4</v>
      </c>
      <c r="AA992" s="337">
        <v>94</v>
      </c>
      <c r="AB992" s="327">
        <v>6.3</v>
      </c>
      <c r="AC992" s="327">
        <v>0.53</v>
      </c>
      <c r="AD992" s="328">
        <v>0.71</v>
      </c>
      <c r="AF992" s="361" t="s">
        <v>702</v>
      </c>
      <c r="AG992" s="365">
        <f>(VLOOKUP(AG988,AA978:AD993,3,FALSE))*AG990</f>
        <v>8.7780000000000039E-2</v>
      </c>
      <c r="AH992" s="316">
        <f>AH988*(100*AG992)</f>
        <v>9.6558000000000033E-2</v>
      </c>
      <c r="AI992" s="316">
        <f>ROUNDUP(AH992,1)+0.1</f>
        <v>0.2</v>
      </c>
      <c r="AJ992" s="374">
        <f>AI992/(100*AG992)</f>
        <v>2.2784233310549091E-2</v>
      </c>
    </row>
    <row r="993" spans="2:36" ht="17.25" thickBot="1" x14ac:dyDescent="0.35">
      <c r="P993"/>
      <c r="R993">
        <f>T993/(VLOOKUP(T988,P976:Q981,2,FALSE))</f>
        <v>0.23333333333333334</v>
      </c>
      <c r="S993" s="338" t="s">
        <v>692</v>
      </c>
      <c r="T993" s="366">
        <f>ROUNDUP(T991/T992,0)</f>
        <v>7</v>
      </c>
      <c r="U993" s="316">
        <f>T993*T992</f>
        <v>84</v>
      </c>
      <c r="V993" s="316"/>
      <c r="W993" s="367">
        <v>15</v>
      </c>
      <c r="X993" s="368">
        <v>1</v>
      </c>
      <c r="Y993" s="368">
        <v>3</v>
      </c>
      <c r="Z993" s="368">
        <v>5</v>
      </c>
      <c r="AA993" s="369">
        <v>80</v>
      </c>
      <c r="AB993" s="370">
        <v>5.6</v>
      </c>
      <c r="AC993" s="370">
        <v>0.47</v>
      </c>
      <c r="AD993" s="371">
        <v>0.79</v>
      </c>
      <c r="AF993" s="361" t="s">
        <v>703</v>
      </c>
      <c r="AG993" s="365">
        <f>(VLOOKUP(AG988,AA978:AD993,4,FALSE))*AG990</f>
        <v>8.7780000000000039E-2</v>
      </c>
      <c r="AH993" s="316">
        <f>AH988*(100*AG993)</f>
        <v>9.6558000000000033E-2</v>
      </c>
      <c r="AI993" s="316">
        <f>ROUNDUP(AH993,1)+0.1</f>
        <v>0.2</v>
      </c>
      <c r="AJ993" s="374">
        <f>AI993/(100*AG993)</f>
        <v>2.2784233310549091E-2</v>
      </c>
    </row>
    <row r="994" spans="2:36" ht="17.25" thickBot="1" x14ac:dyDescent="0.35">
      <c r="B994" s="108" t="s">
        <v>10</v>
      </c>
      <c r="C994" s="413" t="s">
        <v>11</v>
      </c>
      <c r="D994" s="413"/>
      <c r="E994" s="413"/>
      <c r="F994" s="413"/>
      <c r="G994" s="414"/>
      <c r="P994" s="372"/>
      <c r="Q994" s="372"/>
      <c r="R994" s="316"/>
      <c r="S994" s="338" t="s">
        <v>704</v>
      </c>
      <c r="T994" s="373">
        <f>ROUNDUP(Q991*5*1.05,0)</f>
        <v>4</v>
      </c>
      <c r="U994" s="316"/>
      <c r="V994" s="316"/>
      <c r="W994" s="316"/>
      <c r="X994" s="316"/>
      <c r="Y994" s="316"/>
      <c r="Z994" s="316"/>
      <c r="AA994" s="316"/>
      <c r="AB994" s="316"/>
      <c r="AC994" s="316"/>
      <c r="AD994" s="316"/>
      <c r="AE994" s="316"/>
      <c r="AF994" s="316"/>
      <c r="AG994" s="316"/>
      <c r="AH994" s="316"/>
      <c r="AI994" s="316"/>
      <c r="AJ994" s="316"/>
    </row>
    <row r="995" spans="2:36" x14ac:dyDescent="0.3">
      <c r="B995" s="112" t="s">
        <v>6</v>
      </c>
      <c r="C995" s="415" t="s">
        <v>1</v>
      </c>
      <c r="D995" s="416"/>
      <c r="E995" s="110" t="s">
        <v>192</v>
      </c>
      <c r="F995" s="118" t="s">
        <v>2</v>
      </c>
      <c r="G995" s="112" t="s">
        <v>3</v>
      </c>
      <c r="H995" s="104"/>
      <c r="I995" s="105" t="s">
        <v>7</v>
      </c>
      <c r="J995" s="134"/>
      <c r="K995" s="105" t="s">
        <v>8</v>
      </c>
      <c r="L995" s="113" t="s">
        <v>193</v>
      </c>
    </row>
    <row r="996" spans="2:36" x14ac:dyDescent="0.3">
      <c r="B996" s="120"/>
      <c r="C996" s="409"/>
      <c r="D996" s="409"/>
      <c r="E996" s="114"/>
      <c r="F996" s="83"/>
      <c r="G996" s="74"/>
      <c r="I996" s="115">
        <f>IF(C996=0,0,VLOOKUP(C996,Tabla3[],3,FALSE))</f>
        <v>0</v>
      </c>
      <c r="K996" s="84">
        <f>+F996*I996</f>
        <v>0</v>
      </c>
      <c r="L996" s="116">
        <f>E996*I996</f>
        <v>0</v>
      </c>
    </row>
    <row r="997" spans="2:36" x14ac:dyDescent="0.3">
      <c r="B997" s="74"/>
      <c r="C997" s="377"/>
      <c r="D997" s="378"/>
      <c r="E997" s="119"/>
      <c r="F997" s="72"/>
      <c r="G997" s="74"/>
      <c r="I997" s="115">
        <f>IF(C997=0,0,VLOOKUP(C997,Tabla3[],3,FALSE))</f>
        <v>0</v>
      </c>
      <c r="K997" s="84">
        <f>+F997*I997</f>
        <v>0</v>
      </c>
      <c r="L997" s="116">
        <f>E997*I997</f>
        <v>0</v>
      </c>
    </row>
    <row r="998" spans="2:36" x14ac:dyDescent="0.3">
      <c r="B998" s="74"/>
      <c r="C998" s="377"/>
      <c r="D998" s="378"/>
      <c r="E998" s="119"/>
      <c r="F998" s="72"/>
      <c r="G998" s="74"/>
      <c r="I998" s="115">
        <f>IF(C998=0,0,VLOOKUP(C998,Tabla3[],3,FALSE))</f>
        <v>0</v>
      </c>
      <c r="K998" s="84">
        <f>+F998*I998</f>
        <v>0</v>
      </c>
      <c r="L998" s="116">
        <f>E998*I998</f>
        <v>0</v>
      </c>
    </row>
    <row r="999" spans="2:36" x14ac:dyDescent="0.3">
      <c r="B999" s="74"/>
      <c r="C999" s="411"/>
      <c r="D999" s="412"/>
      <c r="E999" s="119"/>
      <c r="F999" s="72"/>
      <c r="G999" s="74"/>
      <c r="I999" s="115">
        <f>IF(C999=0,0,VLOOKUP(C999,Tabla3[],3,FALSE))</f>
        <v>0</v>
      </c>
      <c r="K999" s="84">
        <f>+F999*I999</f>
        <v>0</v>
      </c>
      <c r="L999" s="116">
        <f>E999*I999</f>
        <v>0</v>
      </c>
    </row>
    <row r="1000" spans="2:36" ht="17.25" thickBot="1" x14ac:dyDescent="0.35"/>
    <row r="1001" spans="2:36" ht="17.25" thickBot="1" x14ac:dyDescent="0.35">
      <c r="F1001" s="402" t="s">
        <v>12</v>
      </c>
      <c r="G1001" s="403"/>
      <c r="H1001" s="403"/>
      <c r="I1001" s="404"/>
      <c r="K1001" s="224">
        <f>+SUM(K996:K999)</f>
        <v>0</v>
      </c>
      <c r="L1001" s="117">
        <f>+SUM(L996:L999)</f>
        <v>0</v>
      </c>
    </row>
    <row r="1002" spans="2:36" ht="17.25" thickBot="1" x14ac:dyDescent="0.35"/>
    <row r="1003" spans="2:36" ht="17.25" thickBot="1" x14ac:dyDescent="0.35">
      <c r="B1003" s="108" t="s">
        <v>13</v>
      </c>
      <c r="C1003" s="413" t="s">
        <v>14</v>
      </c>
      <c r="D1003" s="413"/>
      <c r="E1003" s="413"/>
      <c r="F1003" s="413"/>
      <c r="G1003" s="414"/>
    </row>
    <row r="1004" spans="2:36" x14ac:dyDescent="0.3">
      <c r="B1004" s="112" t="s">
        <v>6</v>
      </c>
      <c r="C1004" s="415" t="s">
        <v>1</v>
      </c>
      <c r="D1004" s="416"/>
      <c r="E1004" s="110" t="s">
        <v>192</v>
      </c>
      <c r="F1004" s="118" t="s">
        <v>2</v>
      </c>
      <c r="G1004" s="112" t="s">
        <v>3</v>
      </c>
      <c r="H1004" s="104"/>
      <c r="I1004" s="105" t="s">
        <v>7</v>
      </c>
      <c r="J1004" s="134"/>
      <c r="K1004" s="105" t="s">
        <v>8</v>
      </c>
      <c r="L1004" s="113" t="s">
        <v>193</v>
      </c>
    </row>
    <row r="1005" spans="2:36" x14ac:dyDescent="0.3">
      <c r="B1005" s="120">
        <v>1</v>
      </c>
      <c r="C1005" s="409" t="s">
        <v>423</v>
      </c>
      <c r="D1005" s="409"/>
      <c r="E1005" s="114">
        <f>I977</f>
        <v>5.7</v>
      </c>
      <c r="F1005" s="83">
        <f>ROUND(E1005/I977,2)</f>
        <v>1</v>
      </c>
      <c r="G1005" s="74" t="str">
        <f>IF(C1005=0,0,VLOOKUP(C1005,Tabla2[],2,FALSE))</f>
        <v>ml</v>
      </c>
      <c r="I1005" s="115">
        <f>IF(C1005=0,0,VLOOKUP(C1005,Tabla2[],3,FALSE))</f>
        <v>50</v>
      </c>
      <c r="K1005" s="84">
        <f>+F1005*I1005</f>
        <v>50</v>
      </c>
      <c r="L1005" s="116">
        <f>E1005*I1005</f>
        <v>285</v>
      </c>
    </row>
    <row r="1006" spans="2:36" x14ac:dyDescent="0.3">
      <c r="B1006" s="120"/>
      <c r="C1006" s="409"/>
      <c r="D1006" s="409"/>
      <c r="E1006" s="114"/>
      <c r="F1006" s="83"/>
      <c r="G1006" s="74"/>
      <c r="I1006" s="115">
        <f>IF(C1006=0,0,VLOOKUP(C1006,Tabla2[],3,FALSE))</f>
        <v>0</v>
      </c>
      <c r="K1006" s="84">
        <f>+F1006*I1006</f>
        <v>0</v>
      </c>
      <c r="L1006" s="116">
        <f>E1006*I1006</f>
        <v>0</v>
      </c>
    </row>
    <row r="1007" spans="2:36" ht="17.25" thickBot="1" x14ac:dyDescent="0.35">
      <c r="B1007" s="121"/>
      <c r="C1007" s="417"/>
      <c r="D1007" s="418"/>
      <c r="E1007" s="122"/>
      <c r="F1007" s="123"/>
      <c r="G1007" s="74"/>
      <c r="I1007" s="115">
        <f>IF(C1007=0,0,VLOOKUP(C1007,Tabla2[],3,FALSE))</f>
        <v>0</v>
      </c>
      <c r="K1007" s="84">
        <f>+F1007*I1007</f>
        <v>0</v>
      </c>
      <c r="L1007" s="116">
        <f>E1007*I1007</f>
        <v>0</v>
      </c>
    </row>
    <row r="1008" spans="2:36" ht="17.25" thickBot="1" x14ac:dyDescent="0.35">
      <c r="B1008" s="419" t="s">
        <v>15</v>
      </c>
      <c r="C1008" s="420"/>
      <c r="D1008" s="420"/>
      <c r="E1008" s="420"/>
      <c r="F1008" s="420"/>
      <c r="G1008" s="421"/>
      <c r="I1008" s="84">
        <v>0</v>
      </c>
      <c r="K1008" s="84">
        <v>0</v>
      </c>
      <c r="L1008" s="116">
        <f>E1008*I1008</f>
        <v>0</v>
      </c>
    </row>
    <row r="1009" spans="2:16" ht="17.25" thickBot="1" x14ac:dyDescent="0.35"/>
    <row r="1010" spans="2:16" ht="17.25" thickBot="1" x14ac:dyDescent="0.35">
      <c r="F1010" s="402" t="s">
        <v>16</v>
      </c>
      <c r="G1010" s="403"/>
      <c r="H1010" s="403"/>
      <c r="I1010" s="404"/>
      <c r="K1010" s="224">
        <f>+SUM(K1005:K1008)</f>
        <v>50</v>
      </c>
      <c r="L1010" s="117">
        <f>+SUM(L1005:L1008)</f>
        <v>285</v>
      </c>
    </row>
    <row r="1011" spans="2:16" ht="17.25" thickBot="1" x14ac:dyDescent="0.35"/>
    <row r="1012" spans="2:16" ht="17.25" thickBot="1" x14ac:dyDescent="0.35">
      <c r="B1012" s="108" t="s">
        <v>17</v>
      </c>
      <c r="C1012" s="413" t="s">
        <v>18</v>
      </c>
      <c r="D1012" s="413"/>
      <c r="E1012" s="413"/>
      <c r="F1012" s="413"/>
      <c r="G1012" s="414"/>
    </row>
    <row r="1013" spans="2:16" x14ac:dyDescent="0.3">
      <c r="B1013" s="112" t="s">
        <v>6</v>
      </c>
      <c r="C1013" s="415" t="s">
        <v>1</v>
      </c>
      <c r="D1013" s="416"/>
      <c r="E1013" s="124"/>
      <c r="F1013" s="118" t="s">
        <v>2</v>
      </c>
      <c r="G1013" s="112" t="s">
        <v>3</v>
      </c>
      <c r="H1013" s="104"/>
      <c r="I1013" s="105" t="s">
        <v>7</v>
      </c>
      <c r="J1013" s="134"/>
      <c r="K1013" s="105" t="s">
        <v>8</v>
      </c>
      <c r="L1013" s="113" t="s">
        <v>193</v>
      </c>
    </row>
    <row r="1014" spans="2:16" x14ac:dyDescent="0.3">
      <c r="B1014" s="74"/>
      <c r="C1014" s="411"/>
      <c r="D1014" s="412"/>
      <c r="E1014" s="125"/>
      <c r="F1014" s="72"/>
      <c r="G1014" s="74"/>
      <c r="I1014" s="84">
        <v>0</v>
      </c>
      <c r="K1014" s="84">
        <f>+F1014*I1014</f>
        <v>0</v>
      </c>
      <c r="L1014" s="116">
        <f>E1014*I1014</f>
        <v>0</v>
      </c>
    </row>
    <row r="1015" spans="2:16" x14ac:dyDescent="0.3">
      <c r="B1015" s="74"/>
      <c r="C1015" s="411"/>
      <c r="D1015" s="412"/>
      <c r="E1015" s="125"/>
      <c r="F1015" s="72"/>
      <c r="G1015" s="74"/>
      <c r="I1015" s="84">
        <v>0</v>
      </c>
      <c r="K1015" s="84">
        <f>+F1015*I1015</f>
        <v>0</v>
      </c>
      <c r="L1015" s="116">
        <f>E1015*I1015</f>
        <v>0</v>
      </c>
    </row>
    <row r="1016" spans="2:16" x14ac:dyDescent="0.3">
      <c r="B1016" s="74"/>
      <c r="C1016" s="411"/>
      <c r="D1016" s="412"/>
      <c r="E1016" s="125"/>
      <c r="F1016" s="72"/>
      <c r="G1016" s="74"/>
      <c r="I1016" s="84">
        <v>0</v>
      </c>
      <c r="K1016" s="84">
        <f>+F1016*I1016</f>
        <v>0</v>
      </c>
      <c r="L1016" s="116">
        <f>E1016*I1016</f>
        <v>0</v>
      </c>
    </row>
    <row r="1017" spans="2:16" ht="17.25" thickBot="1" x14ac:dyDescent="0.35">
      <c r="L1017" s="116"/>
    </row>
    <row r="1018" spans="2:16" ht="17.25" thickBot="1" x14ac:dyDescent="0.35">
      <c r="F1018" s="402" t="s">
        <v>19</v>
      </c>
      <c r="G1018" s="403"/>
      <c r="H1018" s="403"/>
      <c r="I1018" s="404"/>
      <c r="K1018" s="224">
        <f>+SUM(K1014:K1016)</f>
        <v>0</v>
      </c>
      <c r="L1018" s="117">
        <f>+SUM(L1013:L1016)</f>
        <v>0</v>
      </c>
    </row>
    <row r="1019" spans="2:16" ht="15" customHeight="1" x14ac:dyDescent="0.3">
      <c r="F1019" s="126"/>
      <c r="G1019" s="375"/>
      <c r="H1019" s="128"/>
      <c r="I1019" s="106"/>
      <c r="K1019" s="225"/>
    </row>
    <row r="1020" spans="2:16" ht="15" customHeight="1" thickBot="1" x14ac:dyDescent="0.35"/>
    <row r="1021" spans="2:16" ht="17.25" thickBot="1" x14ac:dyDescent="0.35">
      <c r="F1021" s="402" t="s">
        <v>20</v>
      </c>
      <c r="G1021" s="403"/>
      <c r="H1021" s="403"/>
      <c r="I1021" s="404"/>
      <c r="K1021" s="224">
        <f>(+K992+K1001+K1010+K1018)</f>
        <v>227</v>
      </c>
      <c r="L1021" s="117">
        <f>(+L992+L1001+L1010+L1018)</f>
        <v>1284.8</v>
      </c>
      <c r="N1021" s="129"/>
      <c r="O1021" s="39"/>
      <c r="P1021" s="40"/>
    </row>
    <row r="1022" spans="2:16" ht="7.5" customHeight="1" thickBot="1" x14ac:dyDescent="0.35">
      <c r="N1022" s="129"/>
      <c r="O1022" s="41"/>
      <c r="P1022" s="40"/>
    </row>
    <row r="1023" spans="2:16" ht="17.25" thickBot="1" x14ac:dyDescent="0.35">
      <c r="F1023" s="402" t="s">
        <v>21</v>
      </c>
      <c r="G1023" s="403"/>
      <c r="H1023" s="403"/>
      <c r="I1023" s="404"/>
      <c r="K1023" s="224">
        <f>K1021*$N$2</f>
        <v>90.800000000000011</v>
      </c>
      <c r="L1023" s="117">
        <f>L1021*$N$2</f>
        <v>513.91999999999996</v>
      </c>
    </row>
    <row r="1024" spans="2:16" ht="7.5" customHeight="1" thickBot="1" x14ac:dyDescent="0.35"/>
    <row r="1025" spans="1:16" ht="17.25" thickBot="1" x14ac:dyDescent="0.35">
      <c r="F1025" s="402" t="s">
        <v>22</v>
      </c>
      <c r="G1025" s="403"/>
      <c r="H1025" s="403"/>
      <c r="I1025" s="404"/>
      <c r="K1025" s="224">
        <f>+K1021+K1023</f>
        <v>317.8</v>
      </c>
      <c r="L1025" s="117">
        <f>+L1021+L1023</f>
        <v>1798.7199999999998</v>
      </c>
    </row>
    <row r="1026" spans="1:16" ht="17.25" thickBot="1" x14ac:dyDescent="0.35">
      <c r="F1026" s="126"/>
      <c r="G1026" s="375"/>
      <c r="H1026" s="128"/>
      <c r="I1026" s="106"/>
      <c r="K1026" s="226"/>
      <c r="L1026" s="130">
        <f>L1025/I977</f>
        <v>315.56491228070172</v>
      </c>
      <c r="M1026" s="131">
        <f>(K1025-L1026)*I977</f>
        <v>12.740000000000265</v>
      </c>
    </row>
    <row r="1027" spans="1:16" x14ac:dyDescent="0.3">
      <c r="F1027" s="126"/>
      <c r="G1027" s="375"/>
      <c r="H1027" s="128"/>
      <c r="I1027" s="106"/>
      <c r="K1027" s="227"/>
      <c r="L1027" s="129"/>
      <c r="M1027" s="132"/>
      <c r="N1027" s="133"/>
    </row>
    <row r="1028" spans="1:16" ht="17.25" thickBot="1" x14ac:dyDescent="0.35">
      <c r="B1028" s="405"/>
      <c r="C1028" s="405"/>
      <c r="D1028" s="405"/>
    </row>
    <row r="1029" spans="1:16" x14ac:dyDescent="0.3">
      <c r="B1029" s="406" t="s">
        <v>23</v>
      </c>
      <c r="C1029" s="406"/>
      <c r="D1029" s="406"/>
    </row>
    <row r="1030" spans="1:16" x14ac:dyDescent="0.3">
      <c r="B1030" s="376"/>
      <c r="C1030" s="376"/>
      <c r="D1030" s="376"/>
    </row>
    <row r="1031" spans="1:16" x14ac:dyDescent="0.3">
      <c r="B1031" s="281"/>
      <c r="C1031" s="281"/>
      <c r="D1031" s="281"/>
    </row>
    <row r="1032" spans="1:16" x14ac:dyDescent="0.3">
      <c r="B1032" s="103" t="s">
        <v>43</v>
      </c>
      <c r="C1032" s="104"/>
      <c r="D1032" s="422" t="s">
        <v>1</v>
      </c>
      <c r="E1032" s="422"/>
      <c r="F1032" s="422"/>
      <c r="G1032" s="422"/>
      <c r="H1032" s="104"/>
      <c r="I1032" s="105" t="s">
        <v>2</v>
      </c>
      <c r="J1032" s="134"/>
      <c r="K1032" s="105" t="s">
        <v>3</v>
      </c>
    </row>
    <row r="1033" spans="1:16" s="4" customFormat="1" ht="30.75" customHeight="1" x14ac:dyDescent="0.25">
      <c r="A1033" s="31"/>
      <c r="B1033" s="287">
        <f>CATALOGO!B51</f>
        <v>503.02</v>
      </c>
      <c r="C1033" s="71"/>
      <c r="D1033" s="423" t="str">
        <f>CATALOGO!C51</f>
        <v xml:space="preserve">COSTANERA DE 2" X 4" X 1/16" </v>
      </c>
      <c r="E1033" s="423"/>
      <c r="F1033" s="423"/>
      <c r="G1033" s="423"/>
      <c r="H1033" s="71"/>
      <c r="I1033" s="287">
        <f>CATALOGO!D51</f>
        <v>9.6</v>
      </c>
      <c r="J1033" s="107"/>
      <c r="K1033" s="222" t="str">
        <f>CATALOGO!G51</f>
        <v>ml</v>
      </c>
      <c r="L1033" s="71"/>
      <c r="M1033" s="71"/>
      <c r="N1033" s="102"/>
      <c r="O1033" s="37"/>
      <c r="P1033" s="37"/>
    </row>
    <row r="1034" spans="1:16" ht="17.25" thickBot="1" x14ac:dyDescent="0.35"/>
    <row r="1035" spans="1:16" ht="17.25" thickBot="1" x14ac:dyDescent="0.35">
      <c r="B1035" s="108" t="s">
        <v>4</v>
      </c>
      <c r="C1035" s="413" t="s">
        <v>5</v>
      </c>
      <c r="D1035" s="413"/>
      <c r="E1035" s="413"/>
      <c r="F1035" s="413"/>
      <c r="G1035" s="414"/>
    </row>
    <row r="1036" spans="1:16" x14ac:dyDescent="0.3">
      <c r="B1036" s="109" t="s">
        <v>6</v>
      </c>
      <c r="C1036" s="424" t="s">
        <v>1</v>
      </c>
      <c r="D1036" s="425"/>
      <c r="E1036" s="110" t="s">
        <v>192</v>
      </c>
      <c r="F1036" s="111" t="s">
        <v>2</v>
      </c>
      <c r="G1036" s="112" t="s">
        <v>3</v>
      </c>
      <c r="H1036" s="104"/>
      <c r="I1036" s="105" t="s">
        <v>7</v>
      </c>
      <c r="J1036" s="134"/>
      <c r="K1036" s="223" t="s">
        <v>8</v>
      </c>
      <c r="L1036" s="113" t="s">
        <v>193</v>
      </c>
    </row>
    <row r="1037" spans="1:16" x14ac:dyDescent="0.3">
      <c r="B1037" s="120">
        <v>1</v>
      </c>
      <c r="C1037" s="426" t="s">
        <v>197</v>
      </c>
      <c r="D1037" s="427"/>
      <c r="E1037" s="114">
        <f>I1033*0.02</f>
        <v>0.192</v>
      </c>
      <c r="F1037" s="83">
        <f>ROUND(E1037/I1033,2)</f>
        <v>0.02</v>
      </c>
      <c r="G1037" s="74" t="str">
        <f>IF(C1037=0,0,VLOOKUP(C1037,Tabla1[],2,FALSE))</f>
        <v>Unidad</v>
      </c>
      <c r="I1037" s="115">
        <f>IF(C1037=0,0,VLOOKUP(C1037,Tabla1[],3,FALSE))</f>
        <v>300</v>
      </c>
      <c r="K1037" s="84">
        <f>+F1037*I1037</f>
        <v>6</v>
      </c>
      <c r="L1037" s="116">
        <f>E1037*I1037</f>
        <v>57.6</v>
      </c>
    </row>
    <row r="1038" spans="1:16" x14ac:dyDescent="0.3">
      <c r="B1038" s="120">
        <v>2</v>
      </c>
      <c r="C1038" s="428" t="s">
        <v>77</v>
      </c>
      <c r="D1038" s="429"/>
      <c r="E1038" s="114">
        <f>I1033*0.02</f>
        <v>0.192</v>
      </c>
      <c r="F1038" s="83">
        <f>ROUND(E1038/I1033,2)</f>
        <v>0.02</v>
      </c>
      <c r="G1038" s="74" t="str">
        <f>IF(C1038=0,0,VLOOKUP(C1038,Tabla1[],2,FALSE))</f>
        <v>Unidad</v>
      </c>
      <c r="I1038" s="115">
        <f>IF(C1038=0,0,VLOOKUP(C1038,Tabla1[],3,FALSE))</f>
        <v>25</v>
      </c>
      <c r="K1038" s="84">
        <f t="shared" ref="K1038:K1046" si="30">+F1038*I1038</f>
        <v>0.5</v>
      </c>
      <c r="L1038" s="116">
        <f t="shared" ref="L1038:L1046" si="31">E1038*I1038</f>
        <v>4.8</v>
      </c>
    </row>
    <row r="1039" spans="1:16" x14ac:dyDescent="0.3">
      <c r="B1039" s="120">
        <v>3</v>
      </c>
      <c r="C1039" s="428" t="s">
        <v>195</v>
      </c>
      <c r="D1039" s="429"/>
      <c r="E1039" s="114">
        <f>I1033*0.02</f>
        <v>0.192</v>
      </c>
      <c r="F1039" s="83">
        <f>ROUND(E1039/I1033,2)</f>
        <v>0.02</v>
      </c>
      <c r="G1039" s="74" t="str">
        <f>IF(C1039=0,0,VLOOKUP(C1039,Tabla1[],2,FALSE))</f>
        <v>Galón</v>
      </c>
      <c r="I1039" s="115">
        <f>IF(C1039=0,0,VLOOKUP(C1039,Tabla1[],3,FALSE))</f>
        <v>200</v>
      </c>
      <c r="K1039" s="84">
        <f t="shared" si="30"/>
        <v>4</v>
      </c>
      <c r="L1039" s="116">
        <f t="shared" si="31"/>
        <v>38.4</v>
      </c>
    </row>
    <row r="1040" spans="1:16" x14ac:dyDescent="0.3">
      <c r="B1040" s="120">
        <v>4</v>
      </c>
      <c r="C1040" s="428" t="s">
        <v>183</v>
      </c>
      <c r="D1040" s="429"/>
      <c r="E1040" s="114">
        <f>I1033*0.02</f>
        <v>0.192</v>
      </c>
      <c r="F1040" s="83">
        <f>ROUND(E1040/I1033,2)</f>
        <v>0.02</v>
      </c>
      <c r="G1040" s="74" t="str">
        <f>IF(C1040=0,0,VLOOKUP(C1040,Tabla1[],2,FALSE))</f>
        <v>Libra</v>
      </c>
      <c r="I1040" s="115">
        <f>IF(C1040=0,0,VLOOKUP(C1040,Tabla1[],3,FALSE))</f>
        <v>25</v>
      </c>
      <c r="K1040" s="84">
        <f t="shared" si="30"/>
        <v>0.5</v>
      </c>
      <c r="L1040" s="116">
        <f t="shared" si="31"/>
        <v>4.8</v>
      </c>
    </row>
    <row r="1041" spans="2:12" x14ac:dyDescent="0.3">
      <c r="B1041" s="120">
        <v>5</v>
      </c>
      <c r="C1041" s="429" t="s">
        <v>199</v>
      </c>
      <c r="D1041" s="409"/>
      <c r="E1041" s="114">
        <f>I1033*0.1</f>
        <v>0.96</v>
      </c>
      <c r="F1041" s="83">
        <f>ROUND(E1041/I1033,2)</f>
        <v>0.1</v>
      </c>
      <c r="G1041" s="74" t="str">
        <f>IF(C1041=0,0,VLOOKUP(C1041,Tabla1[],2,FALSE))</f>
        <v>Libra</v>
      </c>
      <c r="I1041" s="115">
        <f>IF(C1041=0,0,VLOOKUP(C1041,Tabla1[],3,FALSE))</f>
        <v>20</v>
      </c>
      <c r="K1041" s="84">
        <f t="shared" si="30"/>
        <v>2</v>
      </c>
      <c r="L1041" s="116">
        <f t="shared" si="31"/>
        <v>19.2</v>
      </c>
    </row>
    <row r="1042" spans="2:12" x14ac:dyDescent="0.3">
      <c r="B1042" s="120">
        <v>6</v>
      </c>
      <c r="C1042" s="429" t="s">
        <v>181</v>
      </c>
      <c r="D1042" s="409"/>
      <c r="E1042" s="114">
        <f>I1033*0.04</f>
        <v>0.38400000000000001</v>
      </c>
      <c r="F1042" s="83">
        <f>ROUND(E1042/I1033,2)</f>
        <v>0.04</v>
      </c>
      <c r="G1042" s="74" t="str">
        <f>IF(C1042=0,0,VLOOKUP(C1042,Tabla1[],2,FALSE))</f>
        <v>Galón</v>
      </c>
      <c r="I1042" s="115">
        <f>IF(C1042=0,0,VLOOKUP(C1042,Tabla1[],3,FALSE))</f>
        <v>50</v>
      </c>
      <c r="K1042" s="84">
        <f t="shared" si="30"/>
        <v>2</v>
      </c>
      <c r="L1042" s="116">
        <f t="shared" si="31"/>
        <v>19.2</v>
      </c>
    </row>
    <row r="1043" spans="2:12" x14ac:dyDescent="0.3">
      <c r="B1043" s="120"/>
      <c r="C1043" s="429"/>
      <c r="D1043" s="409"/>
      <c r="E1043" s="114"/>
      <c r="F1043" s="83"/>
      <c r="G1043" s="74"/>
      <c r="I1043" s="115">
        <f>IF(C1043=0,0,VLOOKUP(C1043,Tabla1[],3,FALSE))</f>
        <v>0</v>
      </c>
      <c r="K1043" s="84">
        <f t="shared" si="30"/>
        <v>0</v>
      </c>
      <c r="L1043" s="116">
        <f t="shared" si="31"/>
        <v>0</v>
      </c>
    </row>
    <row r="1044" spans="2:12" x14ac:dyDescent="0.3">
      <c r="B1044" s="120"/>
      <c r="C1044" s="429"/>
      <c r="D1044" s="409"/>
      <c r="E1044" s="114"/>
      <c r="F1044" s="83"/>
      <c r="G1044" s="74"/>
      <c r="I1044" s="115">
        <f>IF(C1044=0,0,VLOOKUP(C1044,Tabla1[],3,FALSE))</f>
        <v>0</v>
      </c>
      <c r="K1044" s="84">
        <f t="shared" si="30"/>
        <v>0</v>
      </c>
      <c r="L1044" s="116">
        <f t="shared" si="31"/>
        <v>0</v>
      </c>
    </row>
    <row r="1045" spans="2:12" x14ac:dyDescent="0.3">
      <c r="B1045" s="120"/>
      <c r="C1045" s="426"/>
      <c r="D1045" s="427"/>
      <c r="E1045" s="114"/>
      <c r="F1045" s="83"/>
      <c r="G1045" s="74"/>
      <c r="I1045" s="115">
        <f>IF(C1045=0,0,VLOOKUP(C1045,Tabla1[],3,FALSE))</f>
        <v>0</v>
      </c>
      <c r="K1045" s="84">
        <f t="shared" si="30"/>
        <v>0</v>
      </c>
      <c r="L1045" s="116">
        <f t="shared" si="31"/>
        <v>0</v>
      </c>
    </row>
    <row r="1046" spans="2:12" x14ac:dyDescent="0.3">
      <c r="B1046" s="120"/>
      <c r="C1046" s="426"/>
      <c r="D1046" s="427"/>
      <c r="E1046" s="114"/>
      <c r="F1046" s="83"/>
      <c r="G1046" s="74"/>
      <c r="I1046" s="115">
        <f>IF(C1046=0,0,VLOOKUP(C1046,Tabla1[],3,FALSE))</f>
        <v>0</v>
      </c>
      <c r="K1046" s="84">
        <f t="shared" si="30"/>
        <v>0</v>
      </c>
      <c r="L1046" s="116">
        <f t="shared" si="31"/>
        <v>0</v>
      </c>
    </row>
    <row r="1047" spans="2:12" ht="17.25" thickBot="1" x14ac:dyDescent="0.35"/>
    <row r="1048" spans="2:12" ht="17.25" thickBot="1" x14ac:dyDescent="0.35">
      <c r="F1048" s="402" t="s">
        <v>9</v>
      </c>
      <c r="G1048" s="403"/>
      <c r="H1048" s="403"/>
      <c r="I1048" s="404"/>
      <c r="K1048" s="224">
        <f>+SUM(K1037:K1046)</f>
        <v>15</v>
      </c>
      <c r="L1048" s="117">
        <f>+SUM(L1037:L1046)</f>
        <v>144</v>
      </c>
    </row>
    <row r="1049" spans="2:12" ht="17.25" thickBot="1" x14ac:dyDescent="0.35"/>
    <row r="1050" spans="2:12" ht="17.25" thickBot="1" x14ac:dyDescent="0.35">
      <c r="B1050" s="108" t="s">
        <v>10</v>
      </c>
      <c r="C1050" s="413" t="s">
        <v>11</v>
      </c>
      <c r="D1050" s="413"/>
      <c r="E1050" s="413"/>
      <c r="F1050" s="413"/>
      <c r="G1050" s="414"/>
    </row>
    <row r="1051" spans="2:12" x14ac:dyDescent="0.3">
      <c r="B1051" s="112" t="s">
        <v>6</v>
      </c>
      <c r="C1051" s="415" t="s">
        <v>1</v>
      </c>
      <c r="D1051" s="416"/>
      <c r="E1051" s="110" t="s">
        <v>192</v>
      </c>
      <c r="F1051" s="118" t="s">
        <v>2</v>
      </c>
      <c r="G1051" s="112" t="s">
        <v>3</v>
      </c>
      <c r="H1051" s="104"/>
      <c r="I1051" s="105" t="s">
        <v>7</v>
      </c>
      <c r="J1051" s="134"/>
      <c r="K1051" s="105" t="s">
        <v>8</v>
      </c>
      <c r="L1051" s="113" t="s">
        <v>193</v>
      </c>
    </row>
    <row r="1052" spans="2:12" x14ac:dyDescent="0.3">
      <c r="B1052" s="120"/>
      <c r="C1052" s="409"/>
      <c r="D1052" s="409"/>
      <c r="E1052" s="114"/>
      <c r="F1052" s="83"/>
      <c r="G1052" s="74"/>
      <c r="I1052" s="115">
        <f>IF(C1052=0,0,VLOOKUP(C1052,Tabla3[],3,FALSE))</f>
        <v>0</v>
      </c>
      <c r="K1052" s="84">
        <f>+F1052*I1052</f>
        <v>0</v>
      </c>
      <c r="L1052" s="116">
        <f>E1052*I1052</f>
        <v>0</v>
      </c>
    </row>
    <row r="1053" spans="2:12" x14ac:dyDescent="0.3">
      <c r="B1053" s="74"/>
      <c r="C1053" s="409"/>
      <c r="D1053" s="409"/>
      <c r="E1053" s="119"/>
      <c r="F1053" s="72"/>
      <c r="G1053" s="74"/>
      <c r="I1053" s="115">
        <f>IF(C1053=0,0,VLOOKUP(C1053,Tabla3[],3,FALSE))</f>
        <v>0</v>
      </c>
      <c r="K1053" s="84">
        <f>+F1053*I1053</f>
        <v>0</v>
      </c>
      <c r="L1053" s="116">
        <f>E1053*I1053</f>
        <v>0</v>
      </c>
    </row>
    <row r="1054" spans="2:12" x14ac:dyDescent="0.3">
      <c r="B1054" s="74"/>
      <c r="C1054" s="409"/>
      <c r="D1054" s="409"/>
      <c r="E1054" s="119"/>
      <c r="F1054" s="72"/>
      <c r="G1054" s="74"/>
      <c r="I1054" s="115">
        <f>IF(C1054=0,0,VLOOKUP(C1054,Tabla3[],3,FALSE))</f>
        <v>0</v>
      </c>
      <c r="K1054" s="84">
        <f>+F1054*I1054</f>
        <v>0</v>
      </c>
      <c r="L1054" s="116">
        <f>E1054*I1054</f>
        <v>0</v>
      </c>
    </row>
    <row r="1055" spans="2:12" x14ac:dyDescent="0.3">
      <c r="B1055" s="74"/>
      <c r="C1055" s="411"/>
      <c r="D1055" s="412"/>
      <c r="E1055" s="119"/>
      <c r="F1055" s="72"/>
      <c r="G1055" s="74"/>
      <c r="I1055" s="115">
        <f>IF(C1055=0,0,VLOOKUP(C1055,Tabla3[],3,FALSE))</f>
        <v>0</v>
      </c>
      <c r="K1055" s="84">
        <f>+F1055*I1055</f>
        <v>0</v>
      </c>
      <c r="L1055" s="116">
        <f>E1055*I1055</f>
        <v>0</v>
      </c>
    </row>
    <row r="1056" spans="2:12" ht="17.25" thickBot="1" x14ac:dyDescent="0.35"/>
    <row r="1057" spans="2:12" ht="17.25" thickBot="1" x14ac:dyDescent="0.35">
      <c r="F1057" s="402" t="s">
        <v>12</v>
      </c>
      <c r="G1057" s="403"/>
      <c r="H1057" s="403"/>
      <c r="I1057" s="404"/>
      <c r="K1057" s="224">
        <f>+SUM(K1052:K1055)</f>
        <v>0</v>
      </c>
      <c r="L1057" s="117">
        <f>+SUM(L1052:L1055)</f>
        <v>0</v>
      </c>
    </row>
    <row r="1058" spans="2:12" ht="17.25" thickBot="1" x14ac:dyDescent="0.35"/>
    <row r="1059" spans="2:12" ht="17.25" thickBot="1" x14ac:dyDescent="0.35">
      <c r="B1059" s="108" t="s">
        <v>13</v>
      </c>
      <c r="C1059" s="413" t="s">
        <v>14</v>
      </c>
      <c r="D1059" s="413"/>
      <c r="E1059" s="413"/>
      <c r="F1059" s="413"/>
      <c r="G1059" s="414"/>
    </row>
    <row r="1060" spans="2:12" x14ac:dyDescent="0.3">
      <c r="B1060" s="112" t="s">
        <v>6</v>
      </c>
      <c r="C1060" s="415" t="s">
        <v>1</v>
      </c>
      <c r="D1060" s="416"/>
      <c r="E1060" s="110" t="s">
        <v>192</v>
      </c>
      <c r="F1060" s="118" t="s">
        <v>2</v>
      </c>
      <c r="G1060" s="112" t="s">
        <v>3</v>
      </c>
      <c r="H1060" s="104"/>
      <c r="I1060" s="105" t="s">
        <v>7</v>
      </c>
      <c r="J1060" s="134"/>
      <c r="K1060" s="105" t="s">
        <v>8</v>
      </c>
      <c r="L1060" s="113" t="s">
        <v>193</v>
      </c>
    </row>
    <row r="1061" spans="2:12" ht="16.5" customHeight="1" x14ac:dyDescent="0.3">
      <c r="B1061" s="120">
        <v>1</v>
      </c>
      <c r="C1061" s="434" t="s">
        <v>577</v>
      </c>
      <c r="D1061" s="434"/>
      <c r="E1061" s="114">
        <f>I1033</f>
        <v>9.6</v>
      </c>
      <c r="F1061" s="83">
        <f>ROUND(E1061/I1033,2)</f>
        <v>1</v>
      </c>
      <c r="G1061" s="74" t="str">
        <f>IF(C1061=0,0,VLOOKUP(C1061,Tabla2[],2,FALSE))</f>
        <v>ml</v>
      </c>
      <c r="I1061" s="115">
        <f>IF(C1061=0,0,VLOOKUP(C1061,Tabla2[],3,FALSE))</f>
        <v>75</v>
      </c>
      <c r="K1061" s="84">
        <f>+F1061*I1061</f>
        <v>75</v>
      </c>
      <c r="L1061" s="116">
        <f>E1061*I1061</f>
        <v>720</v>
      </c>
    </row>
    <row r="1062" spans="2:12" x14ac:dyDescent="0.3">
      <c r="B1062" s="120"/>
      <c r="C1062" s="434"/>
      <c r="D1062" s="434"/>
      <c r="E1062" s="114"/>
      <c r="F1062" s="83"/>
      <c r="G1062" s="74"/>
      <c r="I1062" s="115">
        <f>IF(C1062=0,0,VLOOKUP(C1062,Tabla2[],3,FALSE))</f>
        <v>0</v>
      </c>
      <c r="K1062" s="84">
        <f>+F1062*I1062</f>
        <v>0</v>
      </c>
      <c r="L1062" s="116">
        <f>E1062*I1062</f>
        <v>0</v>
      </c>
    </row>
    <row r="1063" spans="2:12" ht="17.25" thickBot="1" x14ac:dyDescent="0.35">
      <c r="B1063" s="121"/>
      <c r="C1063" s="417"/>
      <c r="D1063" s="418"/>
      <c r="E1063" s="122"/>
      <c r="F1063" s="123"/>
      <c r="G1063" s="74"/>
      <c r="I1063" s="115">
        <f>IF(C1063=0,0,VLOOKUP(C1063,Tabla2[],3,FALSE))</f>
        <v>0</v>
      </c>
      <c r="K1063" s="84">
        <f>+F1063*I1063</f>
        <v>0</v>
      </c>
      <c r="L1063" s="116">
        <f>E1063*I1063</f>
        <v>0</v>
      </c>
    </row>
    <row r="1064" spans="2:12" ht="17.25" thickBot="1" x14ac:dyDescent="0.35">
      <c r="B1064" s="419" t="s">
        <v>15</v>
      </c>
      <c r="C1064" s="420"/>
      <c r="D1064" s="420"/>
      <c r="E1064" s="420"/>
      <c r="F1064" s="420"/>
      <c r="G1064" s="421"/>
      <c r="I1064" s="84">
        <v>0</v>
      </c>
      <c r="K1064" s="84">
        <v>0</v>
      </c>
      <c r="L1064" s="116">
        <f>E1064*I1064</f>
        <v>0</v>
      </c>
    </row>
    <row r="1065" spans="2:12" ht="17.25" thickBot="1" x14ac:dyDescent="0.35"/>
    <row r="1066" spans="2:12" ht="17.25" thickBot="1" x14ac:dyDescent="0.35">
      <c r="F1066" s="402" t="s">
        <v>16</v>
      </c>
      <c r="G1066" s="403"/>
      <c r="H1066" s="403"/>
      <c r="I1066" s="404"/>
      <c r="K1066" s="224">
        <f>+SUM(K1061:K1064)</f>
        <v>75</v>
      </c>
      <c r="L1066" s="117">
        <f>+SUM(L1061:L1064)</f>
        <v>720</v>
      </c>
    </row>
    <row r="1067" spans="2:12" ht="17.25" thickBot="1" x14ac:dyDescent="0.35"/>
    <row r="1068" spans="2:12" ht="17.25" thickBot="1" x14ac:dyDescent="0.35">
      <c r="B1068" s="108" t="s">
        <v>17</v>
      </c>
      <c r="C1068" s="413" t="s">
        <v>18</v>
      </c>
      <c r="D1068" s="413"/>
      <c r="E1068" s="413"/>
      <c r="F1068" s="413"/>
      <c r="G1068" s="414"/>
    </row>
    <row r="1069" spans="2:12" x14ac:dyDescent="0.3">
      <c r="B1069" s="112" t="s">
        <v>6</v>
      </c>
      <c r="C1069" s="415" t="s">
        <v>1</v>
      </c>
      <c r="D1069" s="416"/>
      <c r="E1069" s="124"/>
      <c r="F1069" s="118" t="s">
        <v>2</v>
      </c>
      <c r="G1069" s="112" t="s">
        <v>3</v>
      </c>
      <c r="H1069" s="104"/>
      <c r="I1069" s="105" t="s">
        <v>7</v>
      </c>
      <c r="J1069" s="134"/>
      <c r="K1069" s="105" t="s">
        <v>8</v>
      </c>
      <c r="L1069" s="113" t="s">
        <v>193</v>
      </c>
    </row>
    <row r="1070" spans="2:12" x14ac:dyDescent="0.3">
      <c r="B1070" s="74"/>
      <c r="C1070" s="411"/>
      <c r="D1070" s="412"/>
      <c r="E1070" s="125"/>
      <c r="F1070" s="72"/>
      <c r="G1070" s="74"/>
      <c r="I1070" s="84">
        <v>0</v>
      </c>
      <c r="K1070" s="84">
        <f>+F1070*I1070</f>
        <v>0</v>
      </c>
      <c r="L1070" s="116">
        <f>E1070*I1070</f>
        <v>0</v>
      </c>
    </row>
    <row r="1071" spans="2:12" x14ac:dyDescent="0.3">
      <c r="B1071" s="74"/>
      <c r="C1071" s="411"/>
      <c r="D1071" s="412"/>
      <c r="E1071" s="125"/>
      <c r="F1071" s="72"/>
      <c r="G1071" s="74"/>
      <c r="I1071" s="84">
        <v>0</v>
      </c>
      <c r="K1071" s="84">
        <f>+F1071*I1071</f>
        <v>0</v>
      </c>
      <c r="L1071" s="116">
        <f>E1071*I1071</f>
        <v>0</v>
      </c>
    </row>
    <row r="1072" spans="2:12" x14ac:dyDescent="0.3">
      <c r="B1072" s="74"/>
      <c r="C1072" s="411"/>
      <c r="D1072" s="412"/>
      <c r="E1072" s="125"/>
      <c r="F1072" s="72"/>
      <c r="G1072" s="74"/>
      <c r="I1072" s="84">
        <v>0</v>
      </c>
      <c r="K1072" s="84">
        <f>+F1072*I1072</f>
        <v>0</v>
      </c>
      <c r="L1072" s="116">
        <f>E1072*I1072</f>
        <v>0</v>
      </c>
    </row>
    <row r="1073" spans="2:16" ht="17.25" thickBot="1" x14ac:dyDescent="0.35">
      <c r="L1073" s="116"/>
    </row>
    <row r="1074" spans="2:16" ht="17.25" thickBot="1" x14ac:dyDescent="0.35">
      <c r="F1074" s="402" t="s">
        <v>19</v>
      </c>
      <c r="G1074" s="403"/>
      <c r="H1074" s="403"/>
      <c r="I1074" s="404"/>
      <c r="K1074" s="224">
        <f>+SUM(K1070:K1072)</f>
        <v>0</v>
      </c>
      <c r="L1074" s="117">
        <f>+SUM(L1069:L1072)</f>
        <v>0</v>
      </c>
    </row>
    <row r="1075" spans="2:16" ht="15" customHeight="1" x14ac:dyDescent="0.3">
      <c r="F1075" s="126"/>
      <c r="G1075" s="280"/>
      <c r="H1075" s="128"/>
      <c r="I1075" s="106"/>
      <c r="K1075" s="225"/>
    </row>
    <row r="1076" spans="2:16" ht="15" customHeight="1" thickBot="1" x14ac:dyDescent="0.35"/>
    <row r="1077" spans="2:16" ht="17.25" thickBot="1" x14ac:dyDescent="0.35">
      <c r="F1077" s="402" t="s">
        <v>20</v>
      </c>
      <c r="G1077" s="403"/>
      <c r="H1077" s="403"/>
      <c r="I1077" s="404"/>
      <c r="K1077" s="224">
        <f>(+K1048+K1057+K1066+K1074)</f>
        <v>90</v>
      </c>
      <c r="L1077" s="117">
        <f>(+L1048+L1057+L1066+L1074)</f>
        <v>864</v>
      </c>
      <c r="N1077" s="129"/>
      <c r="O1077" s="39"/>
      <c r="P1077" s="40"/>
    </row>
    <row r="1078" spans="2:16" ht="7.5" customHeight="1" thickBot="1" x14ac:dyDescent="0.35">
      <c r="N1078" s="129"/>
      <c r="O1078" s="41"/>
      <c r="P1078" s="40"/>
    </row>
    <row r="1079" spans="2:16" ht="17.25" thickBot="1" x14ac:dyDescent="0.35">
      <c r="F1079" s="402" t="s">
        <v>21</v>
      </c>
      <c r="G1079" s="403"/>
      <c r="H1079" s="403"/>
      <c r="I1079" s="404"/>
      <c r="K1079" s="224">
        <f>K1077*$N$2</f>
        <v>36</v>
      </c>
      <c r="L1079" s="117">
        <f>L1077*$N$2</f>
        <v>345.6</v>
      </c>
    </row>
    <row r="1080" spans="2:16" ht="7.5" customHeight="1" thickBot="1" x14ac:dyDescent="0.35"/>
    <row r="1081" spans="2:16" ht="17.25" thickBot="1" x14ac:dyDescent="0.35">
      <c r="F1081" s="402" t="s">
        <v>22</v>
      </c>
      <c r="G1081" s="403"/>
      <c r="H1081" s="403"/>
      <c r="I1081" s="404"/>
      <c r="K1081" s="224">
        <f>+K1077+K1079</f>
        <v>126</v>
      </c>
      <c r="L1081" s="117">
        <f>+L1077+L1079</f>
        <v>1209.5999999999999</v>
      </c>
    </row>
    <row r="1082" spans="2:16" ht="17.25" thickBot="1" x14ac:dyDescent="0.35">
      <c r="F1082" s="126"/>
      <c r="G1082" s="280"/>
      <c r="H1082" s="128"/>
      <c r="I1082" s="106"/>
      <c r="K1082" s="226"/>
      <c r="L1082" s="130">
        <f>L1081/I1033</f>
        <v>126</v>
      </c>
      <c r="M1082" s="131">
        <f>(K1081-L1082)*I1033</f>
        <v>0</v>
      </c>
    </row>
    <row r="1083" spans="2:16" x14ac:dyDescent="0.3">
      <c r="F1083" s="126"/>
      <c r="G1083" s="280"/>
      <c r="H1083" s="128"/>
      <c r="I1083" s="106"/>
      <c r="K1083" s="227"/>
      <c r="L1083" s="129"/>
      <c r="M1083" s="132"/>
      <c r="N1083" s="133"/>
    </row>
    <row r="1084" spans="2:16" ht="17.25" thickBot="1" x14ac:dyDescent="0.35">
      <c r="B1084" s="405"/>
      <c r="C1084" s="405"/>
      <c r="D1084" s="405"/>
    </row>
    <row r="1085" spans="2:16" x14ac:dyDescent="0.3">
      <c r="B1085" s="406" t="s">
        <v>23</v>
      </c>
      <c r="C1085" s="406"/>
      <c r="D1085" s="406"/>
    </row>
    <row r="1086" spans="2:16" x14ac:dyDescent="0.3">
      <c r="B1086" s="281"/>
      <c r="C1086" s="281"/>
      <c r="D1086" s="281"/>
    </row>
    <row r="1087" spans="2:16" x14ac:dyDescent="0.3">
      <c r="B1087" s="281"/>
      <c r="C1087" s="281"/>
      <c r="D1087" s="281"/>
      <c r="F1087" s="77"/>
      <c r="J1087" s="78"/>
      <c r="N1087" s="144"/>
    </row>
    <row r="1088" spans="2:16" x14ac:dyDescent="0.3">
      <c r="B1088" s="103" t="s">
        <v>43</v>
      </c>
      <c r="C1088" s="104"/>
      <c r="D1088" s="422" t="s">
        <v>1</v>
      </c>
      <c r="E1088" s="422"/>
      <c r="F1088" s="422"/>
      <c r="G1088" s="422"/>
      <c r="H1088" s="104"/>
      <c r="I1088" s="105" t="s">
        <v>2</v>
      </c>
      <c r="J1088" s="106"/>
      <c r="K1088" s="105" t="s">
        <v>3</v>
      </c>
      <c r="N1088" s="144"/>
    </row>
    <row r="1089" spans="1:16" s="4" customFormat="1" ht="30.75" customHeight="1" x14ac:dyDescent="0.25">
      <c r="A1089" s="31"/>
      <c r="B1089" s="287">
        <f>CATALOGO!B52</f>
        <v>505.02</v>
      </c>
      <c r="C1089" s="71"/>
      <c r="D1089" s="423" t="str">
        <f>CATALOGO!C52</f>
        <v>CUBIERTA DE LÁMINA TERMOACÚSTICA (INCLUYE CANAL Y BAP Ѳ=3")</v>
      </c>
      <c r="E1089" s="423"/>
      <c r="F1089" s="423"/>
      <c r="G1089" s="423"/>
      <c r="H1089" s="71"/>
      <c r="I1089" s="287">
        <f>CATALOGO!D52</f>
        <v>6</v>
      </c>
      <c r="J1089" s="107"/>
      <c r="K1089" s="222" t="str">
        <f>CATALOGO!G52</f>
        <v>m²</v>
      </c>
      <c r="L1089" s="71"/>
      <c r="M1089" s="71"/>
      <c r="N1089" s="145"/>
      <c r="O1089" s="37"/>
      <c r="P1089" s="37"/>
    </row>
    <row r="1090" spans="1:16" ht="17.25" thickBot="1" x14ac:dyDescent="0.35">
      <c r="F1090" s="77"/>
      <c r="J1090" s="78"/>
      <c r="N1090" s="144"/>
    </row>
    <row r="1091" spans="1:16" ht="17.25" thickBot="1" x14ac:dyDescent="0.35">
      <c r="B1091" s="108" t="s">
        <v>4</v>
      </c>
      <c r="C1091" s="413" t="s">
        <v>5</v>
      </c>
      <c r="D1091" s="413"/>
      <c r="E1091" s="413"/>
      <c r="F1091" s="413"/>
      <c r="G1091" s="414"/>
      <c r="J1091" s="78"/>
      <c r="N1091" s="144"/>
    </row>
    <row r="1092" spans="1:16" s="20" customFormat="1" x14ac:dyDescent="0.3">
      <c r="A1092" s="53"/>
      <c r="B1092" s="109" t="s">
        <v>6</v>
      </c>
      <c r="C1092" s="424" t="s">
        <v>1</v>
      </c>
      <c r="D1092" s="425"/>
      <c r="E1092" s="110" t="s">
        <v>192</v>
      </c>
      <c r="F1092" s="109" t="s">
        <v>2</v>
      </c>
      <c r="G1092" s="112" t="s">
        <v>3</v>
      </c>
      <c r="H1092" s="104"/>
      <c r="I1092" s="105" t="s">
        <v>7</v>
      </c>
      <c r="J1092" s="106"/>
      <c r="K1092" s="223" t="s">
        <v>8</v>
      </c>
      <c r="L1092" s="113" t="s">
        <v>193</v>
      </c>
      <c r="M1092" s="17"/>
      <c r="N1092" s="144"/>
      <c r="O1092" s="36"/>
      <c r="P1092" s="36"/>
    </row>
    <row r="1093" spans="1:16" s="20" customFormat="1" x14ac:dyDescent="0.3">
      <c r="A1093" s="53"/>
      <c r="B1093" s="120">
        <v>1</v>
      </c>
      <c r="C1093" s="428" t="s">
        <v>169</v>
      </c>
      <c r="D1093" s="429"/>
      <c r="E1093" s="114">
        <f>I1089*0.5</f>
        <v>3</v>
      </c>
      <c r="F1093" s="146">
        <f>ROUND(E1093/I1089,2)</f>
        <v>0.5</v>
      </c>
      <c r="G1093" s="74" t="str">
        <f>IF(C1093=0,0,VLOOKUP(C1093,Tabla1[],2,FALSE))</f>
        <v>Varilla</v>
      </c>
      <c r="H1093" s="17"/>
      <c r="I1093" s="115">
        <f>IF(C1093=0,0,VLOOKUP(C1093,Tabla1[],3,FALSE))</f>
        <v>70</v>
      </c>
      <c r="J1093" s="95"/>
      <c r="K1093" s="84">
        <f>+F1093*I1093</f>
        <v>35</v>
      </c>
      <c r="L1093" s="116">
        <f>E1093*I1093</f>
        <v>210</v>
      </c>
      <c r="M1093" s="17"/>
      <c r="N1093" s="144"/>
      <c r="O1093" s="36"/>
      <c r="P1093" s="36"/>
    </row>
    <row r="1094" spans="1:16" s="20" customFormat="1" x14ac:dyDescent="0.3">
      <c r="A1094" s="53"/>
      <c r="B1094" s="120">
        <v>2</v>
      </c>
      <c r="C1094" s="430" t="s">
        <v>210</v>
      </c>
      <c r="D1094" s="429"/>
      <c r="E1094" s="114">
        <f>I1089*0.5</f>
        <v>3</v>
      </c>
      <c r="F1094" s="146">
        <f>ROUND(E1094/I1089,2)</f>
        <v>0.5</v>
      </c>
      <c r="G1094" s="74" t="str">
        <f>IF(C1094=0,0,VLOOKUP(C1094,Tabla1[],2,FALSE))</f>
        <v>Unidad</v>
      </c>
      <c r="H1094" s="17"/>
      <c r="I1094" s="115">
        <f>IF(C1094=0,0,VLOOKUP(C1094,Tabla1[],3,FALSE))</f>
        <v>7</v>
      </c>
      <c r="J1094" s="95"/>
      <c r="K1094" s="84">
        <f t="shared" ref="K1094:K1102" si="32">+F1094*I1094</f>
        <v>3.5</v>
      </c>
      <c r="L1094" s="116">
        <f t="shared" ref="L1094:L1102" si="33">E1094*I1094</f>
        <v>21</v>
      </c>
      <c r="M1094" s="17"/>
      <c r="N1094" s="144"/>
      <c r="O1094" s="36"/>
      <c r="P1094" s="36"/>
    </row>
    <row r="1095" spans="1:16" s="20" customFormat="1" x14ac:dyDescent="0.3">
      <c r="A1095" s="53"/>
      <c r="B1095" s="120">
        <v>3</v>
      </c>
      <c r="C1095" s="430" t="s">
        <v>237</v>
      </c>
      <c r="D1095" s="429"/>
      <c r="E1095" s="114">
        <f>I1089*0.4</f>
        <v>2.4000000000000004</v>
      </c>
      <c r="F1095" s="146">
        <f>ROUND(E1095/I1089,2)</f>
        <v>0.4</v>
      </c>
      <c r="G1095" s="74" t="str">
        <f>IF(C1095=0,0,VLOOKUP(C1095,Tabla1[],2,FALSE))</f>
        <v>Unidad</v>
      </c>
      <c r="H1095" s="17"/>
      <c r="I1095" s="115">
        <f>IF(C1095=0,0,VLOOKUP(C1095,Tabla1[],3,FALSE))</f>
        <v>50</v>
      </c>
      <c r="J1095" s="95"/>
      <c r="K1095" s="84">
        <f t="shared" si="32"/>
        <v>20</v>
      </c>
      <c r="L1095" s="116">
        <f t="shared" si="33"/>
        <v>120.00000000000001</v>
      </c>
      <c r="M1095" s="17"/>
      <c r="N1095" s="144"/>
      <c r="O1095" s="36"/>
      <c r="P1095" s="36"/>
    </row>
    <row r="1096" spans="1:16" s="20" customFormat="1" x14ac:dyDescent="0.3">
      <c r="A1096" s="53"/>
      <c r="B1096" s="120">
        <v>4</v>
      </c>
      <c r="C1096" s="430" t="s">
        <v>205</v>
      </c>
      <c r="D1096" s="429"/>
      <c r="E1096" s="114">
        <f>I1089*0.05</f>
        <v>0.30000000000000004</v>
      </c>
      <c r="F1096" s="146">
        <f>ROUND(E1096/I1089,2)</f>
        <v>0.05</v>
      </c>
      <c r="G1096" s="74" t="str">
        <f>IF(C1096=0,0,VLOOKUP(C1096,Tabla1[],2,FALSE))</f>
        <v>Unidad</v>
      </c>
      <c r="H1096" s="17"/>
      <c r="I1096" s="115">
        <f>IF(C1096=0,0,VLOOKUP(C1096,Tabla1[],3,FALSE))</f>
        <v>250</v>
      </c>
      <c r="J1096" s="95"/>
      <c r="K1096" s="84">
        <f t="shared" si="32"/>
        <v>12.5</v>
      </c>
      <c r="L1096" s="116">
        <f t="shared" si="33"/>
        <v>75.000000000000014</v>
      </c>
      <c r="M1096" s="17"/>
      <c r="N1096" s="144"/>
      <c r="O1096" s="36"/>
      <c r="P1096" s="36"/>
    </row>
    <row r="1097" spans="1:16" s="20" customFormat="1" x14ac:dyDescent="0.3">
      <c r="A1097" s="53"/>
      <c r="B1097" s="120">
        <v>5</v>
      </c>
      <c r="C1097" s="430" t="s">
        <v>236</v>
      </c>
      <c r="D1097" s="429"/>
      <c r="E1097" s="114">
        <f>I1089*0.1</f>
        <v>0.60000000000000009</v>
      </c>
      <c r="F1097" s="146">
        <f>ROUND(E1097/I1089,2)</f>
        <v>0.1</v>
      </c>
      <c r="G1097" s="74" t="str">
        <f>IF(C1097=0,0,VLOOKUP(C1097,Tabla1[],2,FALSE))</f>
        <v>ml</v>
      </c>
      <c r="H1097" s="17"/>
      <c r="I1097" s="115">
        <f>IF(C1097=0,0,VLOOKUP(C1097,Tabla1[],3,FALSE))</f>
        <v>300</v>
      </c>
      <c r="J1097" s="95"/>
      <c r="K1097" s="84">
        <f t="shared" si="32"/>
        <v>30</v>
      </c>
      <c r="L1097" s="116">
        <f t="shared" si="33"/>
        <v>180.00000000000003</v>
      </c>
      <c r="M1097" s="17"/>
      <c r="N1097" s="144"/>
      <c r="O1097" s="36"/>
      <c r="P1097" s="36"/>
    </row>
    <row r="1098" spans="1:16" s="20" customFormat="1" x14ac:dyDescent="0.3">
      <c r="A1098" s="53"/>
      <c r="B1098" s="120">
        <v>6</v>
      </c>
      <c r="C1098" s="430" t="s">
        <v>241</v>
      </c>
      <c r="D1098" s="429"/>
      <c r="E1098" s="114">
        <f>I1089*0.1</f>
        <v>0.60000000000000009</v>
      </c>
      <c r="F1098" s="146">
        <f>ROUND(E1098/I1089,2)</f>
        <v>0.1</v>
      </c>
      <c r="G1098" s="74" t="str">
        <f>IF(C1098=0,0,VLOOKUP(C1098,Tabla1[],2,FALSE))</f>
        <v>Unidad</v>
      </c>
      <c r="H1098" s="17"/>
      <c r="I1098" s="115">
        <f>IF(C1098=0,0,VLOOKUP(C1098,Tabla1[],3,FALSE))</f>
        <v>75</v>
      </c>
      <c r="J1098" s="95"/>
      <c r="K1098" s="84">
        <f t="shared" si="32"/>
        <v>7.5</v>
      </c>
      <c r="L1098" s="116">
        <f t="shared" si="33"/>
        <v>45.000000000000007</v>
      </c>
      <c r="M1098" s="17"/>
      <c r="N1098" s="144"/>
      <c r="O1098" s="36"/>
      <c r="P1098" s="36"/>
    </row>
    <row r="1099" spans="1:16" s="20" customFormat="1" x14ac:dyDescent="0.3">
      <c r="A1099" s="53"/>
      <c r="B1099" s="120">
        <v>7</v>
      </c>
      <c r="C1099" s="430" t="s">
        <v>204</v>
      </c>
      <c r="D1099" s="429"/>
      <c r="E1099" s="114">
        <f>I1089*0.5</f>
        <v>3</v>
      </c>
      <c r="F1099" s="146">
        <f>ROUND(E1099/I1089,2)</f>
        <v>0.5</v>
      </c>
      <c r="G1099" s="74" t="str">
        <f>IF(C1099=0,0,VLOOKUP(C1099,Tabla1[],2,FALSE))</f>
        <v>m²</v>
      </c>
      <c r="H1099" s="17"/>
      <c r="I1099" s="115">
        <f>IF(C1099=0,0,VLOOKUP(C1099,Tabla1[],3,FALSE))</f>
        <v>150</v>
      </c>
      <c r="J1099" s="95"/>
      <c r="K1099" s="84">
        <f t="shared" si="32"/>
        <v>75</v>
      </c>
      <c r="L1099" s="116">
        <f t="shared" si="33"/>
        <v>450</v>
      </c>
      <c r="M1099" s="17"/>
      <c r="N1099" s="144"/>
      <c r="O1099" s="36"/>
      <c r="P1099" s="36"/>
    </row>
    <row r="1100" spans="1:16" s="20" customFormat="1" x14ac:dyDescent="0.3">
      <c r="A1100" s="53"/>
      <c r="B1100" s="120">
        <v>8</v>
      </c>
      <c r="C1100" s="430" t="s">
        <v>238</v>
      </c>
      <c r="D1100" s="429"/>
      <c r="E1100" s="114">
        <f>I1089*0.06</f>
        <v>0.36</v>
      </c>
      <c r="F1100" s="146">
        <f>ROUND(E1100/I1089,2)</f>
        <v>0.06</v>
      </c>
      <c r="G1100" s="74" t="str">
        <f>IF(C1100=0,0,VLOOKUP(C1100,Tabla1[],2,FALSE))</f>
        <v>Unidad</v>
      </c>
      <c r="H1100" s="17"/>
      <c r="I1100" s="115">
        <f>IF(C1100=0,0,VLOOKUP(C1100,Tabla1[],3,FALSE))</f>
        <v>25</v>
      </c>
      <c r="J1100" s="95"/>
      <c r="K1100" s="84">
        <f t="shared" si="32"/>
        <v>1.5</v>
      </c>
      <c r="L1100" s="116">
        <f t="shared" si="33"/>
        <v>9</v>
      </c>
      <c r="M1100" s="17"/>
      <c r="N1100" s="144"/>
      <c r="O1100" s="36"/>
      <c r="P1100" s="36"/>
    </row>
    <row r="1101" spans="1:16" s="20" customFormat="1" x14ac:dyDescent="0.3">
      <c r="A1101" s="53"/>
      <c r="B1101" s="120">
        <v>9</v>
      </c>
      <c r="C1101" s="430" t="s">
        <v>226</v>
      </c>
      <c r="D1101" s="429"/>
      <c r="E1101" s="114">
        <f>I1089*2.5</f>
        <v>15</v>
      </c>
      <c r="F1101" s="146">
        <f>ROUND(E1101/I1089,2)</f>
        <v>2.5</v>
      </c>
      <c r="G1101" s="74" t="str">
        <f>IF(C1101=0,0,VLOOKUP(C1101,Tabla1[],2,FALSE))</f>
        <v>Unidad</v>
      </c>
      <c r="H1101" s="17"/>
      <c r="I1101" s="115">
        <f>IF(C1101=0,0,VLOOKUP(C1101,Tabla1[],3,FALSE))</f>
        <v>4</v>
      </c>
      <c r="J1101" s="95"/>
      <c r="K1101" s="84">
        <f t="shared" si="32"/>
        <v>10</v>
      </c>
      <c r="L1101" s="116">
        <f t="shared" si="33"/>
        <v>60</v>
      </c>
      <c r="M1101" s="17"/>
      <c r="N1101" s="144"/>
      <c r="O1101" s="36"/>
      <c r="P1101" s="36"/>
    </row>
    <row r="1102" spans="1:16" s="20" customFormat="1" x14ac:dyDescent="0.3">
      <c r="A1102" s="53"/>
      <c r="B1102" s="120">
        <v>10</v>
      </c>
      <c r="C1102" s="430" t="s">
        <v>239</v>
      </c>
      <c r="D1102" s="429"/>
      <c r="E1102" s="114">
        <f>I1089*0.02</f>
        <v>0.12</v>
      </c>
      <c r="F1102" s="146">
        <f>ROUND(E1102/I1089,2)</f>
        <v>0.02</v>
      </c>
      <c r="G1102" s="74" t="str">
        <f>IF(C1102=0,0,VLOOKUP(C1102,Tabla1[],2,FALSE))</f>
        <v>Unidad</v>
      </c>
      <c r="H1102" s="17"/>
      <c r="I1102" s="115">
        <f>IF(C1102=0,0,VLOOKUP(C1102,Tabla1[],3,FALSE))</f>
        <v>250</v>
      </c>
      <c r="J1102" s="95"/>
      <c r="K1102" s="84">
        <f t="shared" si="32"/>
        <v>5</v>
      </c>
      <c r="L1102" s="116">
        <f t="shared" si="33"/>
        <v>30</v>
      </c>
      <c r="M1102" s="17"/>
      <c r="N1102" s="144"/>
      <c r="O1102" s="36"/>
      <c r="P1102" s="36"/>
    </row>
    <row r="1103" spans="1:16" s="20" customFormat="1" ht="17.25" thickBot="1" x14ac:dyDescent="0.35">
      <c r="A1103" s="53"/>
      <c r="B1103" s="77"/>
      <c r="C1103" s="17"/>
      <c r="D1103" s="17"/>
      <c r="E1103" s="76"/>
      <c r="F1103" s="77"/>
      <c r="G1103" s="77"/>
      <c r="H1103" s="17"/>
      <c r="I1103" s="78"/>
      <c r="J1103" s="78"/>
      <c r="K1103" s="78"/>
      <c r="L1103" s="17"/>
      <c r="M1103" s="17"/>
      <c r="N1103" s="144"/>
      <c r="O1103" s="36"/>
      <c r="P1103" s="36"/>
    </row>
    <row r="1104" spans="1:16" s="20" customFormat="1" ht="17.25" thickBot="1" x14ac:dyDescent="0.35">
      <c r="A1104" s="53"/>
      <c r="B1104" s="77"/>
      <c r="C1104" s="17"/>
      <c r="D1104" s="17"/>
      <c r="E1104" s="76"/>
      <c r="F1104" s="402" t="s">
        <v>9</v>
      </c>
      <c r="G1104" s="403"/>
      <c r="H1104" s="403"/>
      <c r="I1104" s="404"/>
      <c r="J1104" s="78"/>
      <c r="K1104" s="224">
        <f>+SUM(K1093:K1102)</f>
        <v>200</v>
      </c>
      <c r="L1104" s="117">
        <f>+SUM(L1093:L1102)</f>
        <v>1200</v>
      </c>
      <c r="M1104" s="17"/>
      <c r="N1104" s="144"/>
      <c r="O1104" s="36"/>
      <c r="P1104" s="36"/>
    </row>
    <row r="1105" spans="1:16" s="20" customFormat="1" ht="17.25" thickBot="1" x14ac:dyDescent="0.35">
      <c r="A1105" s="53"/>
      <c r="B1105" s="77"/>
      <c r="C1105" s="17"/>
      <c r="D1105" s="17"/>
      <c r="E1105" s="76"/>
      <c r="F1105" s="77"/>
      <c r="G1105" s="77"/>
      <c r="H1105" s="17"/>
      <c r="I1105" s="78"/>
      <c r="J1105" s="78"/>
      <c r="K1105" s="78"/>
      <c r="L1105" s="17"/>
      <c r="M1105" s="17"/>
      <c r="N1105" s="144"/>
      <c r="O1105" s="36"/>
      <c r="P1105" s="36"/>
    </row>
    <row r="1106" spans="1:16" s="20" customFormat="1" ht="17.25" thickBot="1" x14ac:dyDescent="0.35">
      <c r="A1106" s="53"/>
      <c r="B1106" s="108" t="s">
        <v>10</v>
      </c>
      <c r="C1106" s="413" t="s">
        <v>11</v>
      </c>
      <c r="D1106" s="413"/>
      <c r="E1106" s="413"/>
      <c r="F1106" s="413"/>
      <c r="G1106" s="414"/>
      <c r="H1106" s="17"/>
      <c r="I1106" s="78"/>
      <c r="J1106" s="78"/>
      <c r="K1106" s="78"/>
      <c r="L1106" s="17"/>
      <c r="M1106" s="17"/>
      <c r="N1106" s="144"/>
      <c r="O1106" s="36"/>
      <c r="P1106" s="36"/>
    </row>
    <row r="1107" spans="1:16" s="20" customFormat="1" x14ac:dyDescent="0.3">
      <c r="A1107" s="53"/>
      <c r="B1107" s="112" t="s">
        <v>6</v>
      </c>
      <c r="C1107" s="415" t="s">
        <v>1</v>
      </c>
      <c r="D1107" s="416"/>
      <c r="E1107" s="110" t="s">
        <v>192</v>
      </c>
      <c r="F1107" s="112" t="s">
        <v>2</v>
      </c>
      <c r="G1107" s="112" t="s">
        <v>3</v>
      </c>
      <c r="H1107" s="104"/>
      <c r="I1107" s="105" t="s">
        <v>7</v>
      </c>
      <c r="J1107" s="106"/>
      <c r="K1107" s="105" t="s">
        <v>8</v>
      </c>
      <c r="L1107" s="113" t="s">
        <v>193</v>
      </c>
      <c r="M1107" s="17"/>
      <c r="N1107" s="144"/>
      <c r="O1107" s="36"/>
      <c r="P1107" s="36"/>
    </row>
    <row r="1108" spans="1:16" s="20" customFormat="1" x14ac:dyDescent="0.3">
      <c r="A1108" s="53"/>
      <c r="B1108" s="120"/>
      <c r="C1108" s="409"/>
      <c r="D1108" s="409"/>
      <c r="E1108" s="114"/>
      <c r="F1108" s="146"/>
      <c r="G1108" s="74"/>
      <c r="H1108" s="17"/>
      <c r="I1108" s="115">
        <f>IF(C1108=0,0,VLOOKUP(C1108,Tabla3[],3,FALSE))</f>
        <v>0</v>
      </c>
      <c r="J1108" s="95"/>
      <c r="K1108" s="84">
        <f>+F1108*I1108</f>
        <v>0</v>
      </c>
      <c r="L1108" s="116">
        <f>E1108*I1108</f>
        <v>0</v>
      </c>
      <c r="M1108" s="17"/>
      <c r="N1108" s="144"/>
      <c r="O1108" s="36"/>
      <c r="P1108" s="36"/>
    </row>
    <row r="1109" spans="1:16" s="20" customFormat="1" x14ac:dyDescent="0.3">
      <c r="A1109" s="53"/>
      <c r="B1109" s="74"/>
      <c r="C1109" s="431"/>
      <c r="D1109" s="432"/>
      <c r="E1109" s="119"/>
      <c r="F1109" s="74"/>
      <c r="G1109" s="74"/>
      <c r="H1109" s="17"/>
      <c r="I1109" s="115">
        <f>IF(C1109=0,0,VLOOKUP(C1109,Tabla3[],3,FALSE))</f>
        <v>0</v>
      </c>
      <c r="J1109" s="95"/>
      <c r="K1109" s="84">
        <f>+F1109*I1109</f>
        <v>0</v>
      </c>
      <c r="L1109" s="116">
        <f>E1109*I1109</f>
        <v>0</v>
      </c>
      <c r="M1109" s="17"/>
      <c r="N1109" s="144"/>
      <c r="O1109" s="36"/>
      <c r="P1109" s="36"/>
    </row>
    <row r="1110" spans="1:16" s="20" customFormat="1" x14ac:dyDescent="0.3">
      <c r="A1110" s="53"/>
      <c r="B1110" s="74"/>
      <c r="C1110" s="431"/>
      <c r="D1110" s="432"/>
      <c r="E1110" s="119"/>
      <c r="F1110" s="74"/>
      <c r="G1110" s="74"/>
      <c r="H1110" s="17"/>
      <c r="I1110" s="115">
        <f>IF(C1110=0,0,VLOOKUP(C1110,Tabla3[],3,FALSE))</f>
        <v>0</v>
      </c>
      <c r="J1110" s="95"/>
      <c r="K1110" s="84">
        <f>+F1110*I1110</f>
        <v>0</v>
      </c>
      <c r="L1110" s="116">
        <f>E1110*I1110</f>
        <v>0</v>
      </c>
      <c r="M1110" s="17"/>
      <c r="N1110" s="144"/>
      <c r="O1110" s="36"/>
      <c r="P1110" s="36"/>
    </row>
    <row r="1111" spans="1:16" s="20" customFormat="1" x14ac:dyDescent="0.3">
      <c r="A1111" s="53"/>
      <c r="B1111" s="74"/>
      <c r="C1111" s="411"/>
      <c r="D1111" s="412"/>
      <c r="E1111" s="119"/>
      <c r="F1111" s="74"/>
      <c r="G1111" s="74"/>
      <c r="H1111" s="17"/>
      <c r="I1111" s="115">
        <f>IF(C1111=0,0,VLOOKUP(C1111,Tabla3[],3,FALSE))</f>
        <v>0</v>
      </c>
      <c r="J1111" s="95"/>
      <c r="K1111" s="84">
        <f>+F1111*I1111</f>
        <v>0</v>
      </c>
      <c r="L1111" s="116">
        <f>E1111*I1111</f>
        <v>0</v>
      </c>
      <c r="M1111" s="17"/>
      <c r="N1111" s="144"/>
      <c r="O1111" s="36"/>
      <c r="P1111" s="36"/>
    </row>
    <row r="1112" spans="1:16" s="20" customFormat="1" ht="17.25" thickBot="1" x14ac:dyDescent="0.35">
      <c r="A1112" s="53"/>
      <c r="B1112" s="77"/>
      <c r="C1112" s="17"/>
      <c r="D1112" s="17"/>
      <c r="E1112" s="76"/>
      <c r="F1112" s="77"/>
      <c r="G1112" s="77"/>
      <c r="H1112" s="17"/>
      <c r="I1112" s="78"/>
      <c r="J1112" s="78"/>
      <c r="K1112" s="78"/>
      <c r="L1112" s="17"/>
      <c r="M1112" s="17"/>
      <c r="N1112" s="144"/>
      <c r="O1112" s="36"/>
      <c r="P1112" s="36"/>
    </row>
    <row r="1113" spans="1:16" s="20" customFormat="1" ht="17.25" thickBot="1" x14ac:dyDescent="0.35">
      <c r="A1113" s="53"/>
      <c r="B1113" s="77"/>
      <c r="C1113" s="17"/>
      <c r="D1113" s="17"/>
      <c r="E1113" s="76"/>
      <c r="F1113" s="402" t="s">
        <v>12</v>
      </c>
      <c r="G1113" s="403"/>
      <c r="H1113" s="403"/>
      <c r="I1113" s="404"/>
      <c r="J1113" s="78"/>
      <c r="K1113" s="224">
        <f>+SUM(K1108:K1111)</f>
        <v>0</v>
      </c>
      <c r="L1113" s="117">
        <f>+SUM(L1108:L1111)</f>
        <v>0</v>
      </c>
      <c r="M1113" s="17"/>
      <c r="N1113" s="144"/>
      <c r="O1113" s="36"/>
      <c r="P1113" s="36"/>
    </row>
    <row r="1114" spans="1:16" s="20" customFormat="1" ht="17.25" thickBot="1" x14ac:dyDescent="0.35">
      <c r="A1114" s="53"/>
      <c r="B1114" s="77"/>
      <c r="C1114" s="17"/>
      <c r="D1114" s="17"/>
      <c r="E1114" s="76"/>
      <c r="F1114" s="77"/>
      <c r="G1114" s="77"/>
      <c r="H1114" s="17"/>
      <c r="I1114" s="78"/>
      <c r="J1114" s="78"/>
      <c r="K1114" s="78"/>
      <c r="L1114" s="17"/>
      <c r="M1114" s="17"/>
      <c r="N1114" s="144"/>
      <c r="O1114" s="36"/>
      <c r="P1114" s="36"/>
    </row>
    <row r="1115" spans="1:16" s="20" customFormat="1" ht="17.25" thickBot="1" x14ac:dyDescent="0.35">
      <c r="A1115" s="53"/>
      <c r="B1115" s="108" t="s">
        <v>13</v>
      </c>
      <c r="C1115" s="413" t="s">
        <v>14</v>
      </c>
      <c r="D1115" s="413"/>
      <c r="E1115" s="413"/>
      <c r="F1115" s="413"/>
      <c r="G1115" s="414"/>
      <c r="H1115" s="17"/>
      <c r="I1115" s="78"/>
      <c r="J1115" s="78"/>
      <c r="K1115" s="78"/>
      <c r="L1115" s="17"/>
      <c r="M1115" s="17"/>
      <c r="N1115" s="144"/>
      <c r="O1115" s="36"/>
      <c r="P1115" s="36"/>
    </row>
    <row r="1116" spans="1:16" s="20" customFormat="1" x14ac:dyDescent="0.3">
      <c r="A1116" s="53"/>
      <c r="B1116" s="112" t="s">
        <v>6</v>
      </c>
      <c r="C1116" s="415" t="s">
        <v>1</v>
      </c>
      <c r="D1116" s="416"/>
      <c r="E1116" s="110" t="s">
        <v>192</v>
      </c>
      <c r="F1116" s="112" t="s">
        <v>2</v>
      </c>
      <c r="G1116" s="112" t="s">
        <v>3</v>
      </c>
      <c r="H1116" s="104"/>
      <c r="I1116" s="105" t="s">
        <v>7</v>
      </c>
      <c r="J1116" s="106"/>
      <c r="K1116" s="105" t="s">
        <v>8</v>
      </c>
      <c r="L1116" s="113" t="s">
        <v>193</v>
      </c>
      <c r="M1116" s="17"/>
      <c r="N1116" s="144"/>
      <c r="O1116" s="36"/>
      <c r="P1116" s="36"/>
    </row>
    <row r="1117" spans="1:16" s="20" customFormat="1" x14ac:dyDescent="0.3">
      <c r="A1117" s="53"/>
      <c r="B1117" s="120">
        <v>1</v>
      </c>
      <c r="C1117" s="409" t="s">
        <v>207</v>
      </c>
      <c r="D1117" s="409"/>
      <c r="E1117" s="114">
        <f>I1089</f>
        <v>6</v>
      </c>
      <c r="F1117" s="146">
        <f>ROUND(E1117/I1089,2)</f>
        <v>1</v>
      </c>
      <c r="G1117" s="74" t="str">
        <f>IF(C1117=0,0,VLOOKUP(C1117,Tabla2[],2,FALSE))</f>
        <v>m²</v>
      </c>
      <c r="H1117" s="17"/>
      <c r="I1117" s="115">
        <f>IF(C1117=0,0,VLOOKUP(C1117,Tabla2[],3,FALSE))</f>
        <v>100</v>
      </c>
      <c r="J1117" s="95"/>
      <c r="K1117" s="84">
        <f>+F1117*I1117</f>
        <v>100</v>
      </c>
      <c r="L1117" s="116">
        <f>E1117*I1117</f>
        <v>600</v>
      </c>
      <c r="M1117" s="17"/>
      <c r="N1117" s="144"/>
      <c r="O1117" s="36"/>
      <c r="P1117" s="36"/>
    </row>
    <row r="1118" spans="1:16" s="20" customFormat="1" x14ac:dyDescent="0.3">
      <c r="A1118" s="53"/>
      <c r="B1118" s="120"/>
      <c r="C1118" s="409"/>
      <c r="D1118" s="409"/>
      <c r="E1118" s="114"/>
      <c r="F1118" s="146"/>
      <c r="G1118" s="74"/>
      <c r="H1118" s="17"/>
      <c r="I1118" s="115">
        <f>IF(C1118=0,0,VLOOKUP(C1118,Tabla2[],3,FALSE))</f>
        <v>0</v>
      </c>
      <c r="J1118" s="95"/>
      <c r="K1118" s="84">
        <f>+F1118*I1118</f>
        <v>0</v>
      </c>
      <c r="L1118" s="116">
        <f>E1118*I1118</f>
        <v>0</v>
      </c>
      <c r="M1118" s="17"/>
      <c r="N1118" s="144"/>
      <c r="O1118" s="36"/>
      <c r="P1118" s="36"/>
    </row>
    <row r="1119" spans="1:16" s="20" customFormat="1" ht="17.25" thickBot="1" x14ac:dyDescent="0.35">
      <c r="A1119" s="53"/>
      <c r="B1119" s="121"/>
      <c r="C1119" s="417"/>
      <c r="D1119" s="418"/>
      <c r="E1119" s="122"/>
      <c r="F1119" s="121"/>
      <c r="G1119" s="74"/>
      <c r="H1119" s="17"/>
      <c r="I1119" s="115">
        <f>IF(C1119=0,0,VLOOKUP(C1119,Tabla2[],3,FALSE))</f>
        <v>0</v>
      </c>
      <c r="J1119" s="95"/>
      <c r="K1119" s="84">
        <f>+F1119*I1119</f>
        <v>0</v>
      </c>
      <c r="L1119" s="116">
        <f>E1119*I1119</f>
        <v>0</v>
      </c>
      <c r="M1119" s="17"/>
      <c r="N1119" s="144"/>
      <c r="O1119" s="36"/>
      <c r="P1119" s="36"/>
    </row>
    <row r="1120" spans="1:16" s="20" customFormat="1" ht="17.25" thickBot="1" x14ac:dyDescent="0.35">
      <c r="A1120" s="53"/>
      <c r="B1120" s="419" t="s">
        <v>15</v>
      </c>
      <c r="C1120" s="420"/>
      <c r="D1120" s="420"/>
      <c r="E1120" s="420"/>
      <c r="F1120" s="420"/>
      <c r="G1120" s="421"/>
      <c r="H1120" s="17"/>
      <c r="I1120" s="84">
        <v>0</v>
      </c>
      <c r="J1120" s="78"/>
      <c r="K1120" s="84">
        <v>0</v>
      </c>
      <c r="L1120" s="116">
        <f>E1120*I1120</f>
        <v>0</v>
      </c>
      <c r="M1120" s="17"/>
      <c r="N1120" s="144"/>
      <c r="O1120" s="36"/>
      <c r="P1120" s="36"/>
    </row>
    <row r="1121" spans="1:16" s="20" customFormat="1" ht="17.25" thickBot="1" x14ac:dyDescent="0.35">
      <c r="A1121" s="53"/>
      <c r="B1121" s="77"/>
      <c r="C1121" s="17"/>
      <c r="D1121" s="17"/>
      <c r="E1121" s="76"/>
      <c r="F1121" s="77"/>
      <c r="G1121" s="77"/>
      <c r="H1121" s="17"/>
      <c r="I1121" s="78"/>
      <c r="J1121" s="78"/>
      <c r="K1121" s="78"/>
      <c r="L1121" s="17"/>
      <c r="M1121" s="17"/>
      <c r="N1121" s="144"/>
      <c r="O1121" s="36"/>
      <c r="P1121" s="36"/>
    </row>
    <row r="1122" spans="1:16" s="20" customFormat="1" ht="17.25" thickBot="1" x14ac:dyDescent="0.35">
      <c r="A1122" s="53"/>
      <c r="B1122" s="77"/>
      <c r="C1122" s="17"/>
      <c r="D1122" s="17"/>
      <c r="E1122" s="76"/>
      <c r="F1122" s="402" t="s">
        <v>16</v>
      </c>
      <c r="G1122" s="403"/>
      <c r="H1122" s="403"/>
      <c r="I1122" s="404"/>
      <c r="J1122" s="78"/>
      <c r="K1122" s="224">
        <f>+SUM(K1117:K1120)</f>
        <v>100</v>
      </c>
      <c r="L1122" s="117">
        <f>+SUM(L1117:L1120)</f>
        <v>600</v>
      </c>
      <c r="M1122" s="17"/>
      <c r="N1122" s="144"/>
      <c r="O1122" s="36"/>
      <c r="P1122" s="36"/>
    </row>
    <row r="1123" spans="1:16" ht="17.25" thickBot="1" x14ac:dyDescent="0.35">
      <c r="F1123" s="77"/>
      <c r="J1123" s="78"/>
      <c r="N1123" s="144"/>
    </row>
    <row r="1124" spans="1:16" ht="17.25" thickBot="1" x14ac:dyDescent="0.35">
      <c r="B1124" s="108" t="s">
        <v>17</v>
      </c>
      <c r="C1124" s="413" t="s">
        <v>18</v>
      </c>
      <c r="D1124" s="413"/>
      <c r="E1124" s="413"/>
      <c r="F1124" s="413"/>
      <c r="G1124" s="414"/>
      <c r="J1124" s="78"/>
      <c r="N1124" s="144"/>
    </row>
    <row r="1125" spans="1:16" x14ac:dyDescent="0.3">
      <c r="B1125" s="112" t="s">
        <v>6</v>
      </c>
      <c r="C1125" s="415" t="s">
        <v>1</v>
      </c>
      <c r="D1125" s="416"/>
      <c r="E1125" s="124"/>
      <c r="F1125" s="112" t="s">
        <v>2</v>
      </c>
      <c r="G1125" s="112" t="s">
        <v>3</v>
      </c>
      <c r="H1125" s="104"/>
      <c r="I1125" s="105" t="s">
        <v>7</v>
      </c>
      <c r="J1125" s="106"/>
      <c r="K1125" s="105" t="s">
        <v>8</v>
      </c>
      <c r="L1125" s="113" t="s">
        <v>193</v>
      </c>
      <c r="N1125" s="144"/>
    </row>
    <row r="1126" spans="1:16" x14ac:dyDescent="0.3">
      <c r="B1126" s="74"/>
      <c r="C1126" s="411"/>
      <c r="D1126" s="412"/>
      <c r="E1126" s="125"/>
      <c r="F1126" s="74"/>
      <c r="G1126" s="74"/>
      <c r="I1126" s="84">
        <v>0</v>
      </c>
      <c r="J1126" s="78"/>
      <c r="K1126" s="84">
        <f>+F1126*I1126</f>
        <v>0</v>
      </c>
      <c r="L1126" s="116">
        <f>E1126*I1126</f>
        <v>0</v>
      </c>
      <c r="N1126" s="144"/>
    </row>
    <row r="1127" spans="1:16" x14ac:dyDescent="0.3">
      <c r="B1127" s="74"/>
      <c r="C1127" s="411"/>
      <c r="D1127" s="412"/>
      <c r="E1127" s="125"/>
      <c r="F1127" s="74"/>
      <c r="G1127" s="74"/>
      <c r="I1127" s="84">
        <v>0</v>
      </c>
      <c r="J1127" s="78"/>
      <c r="K1127" s="84">
        <f>+F1127*I1127</f>
        <v>0</v>
      </c>
      <c r="L1127" s="116">
        <f>E1127*I1127</f>
        <v>0</v>
      </c>
      <c r="N1127" s="144"/>
    </row>
    <row r="1128" spans="1:16" x14ac:dyDescent="0.3">
      <c r="B1128" s="74"/>
      <c r="C1128" s="411"/>
      <c r="D1128" s="412"/>
      <c r="E1128" s="125"/>
      <c r="F1128" s="74"/>
      <c r="G1128" s="74"/>
      <c r="I1128" s="84">
        <v>0</v>
      </c>
      <c r="J1128" s="78"/>
      <c r="K1128" s="84">
        <f>+F1128*I1128</f>
        <v>0</v>
      </c>
      <c r="L1128" s="116">
        <f>E1128*I1128</f>
        <v>0</v>
      </c>
      <c r="N1128" s="144"/>
    </row>
    <row r="1129" spans="1:16" ht="17.25" thickBot="1" x14ac:dyDescent="0.35">
      <c r="F1129" s="77"/>
      <c r="J1129" s="78"/>
      <c r="L1129" s="116"/>
      <c r="N1129" s="144"/>
    </row>
    <row r="1130" spans="1:16" ht="17.25" thickBot="1" x14ac:dyDescent="0.35">
      <c r="F1130" s="402" t="s">
        <v>19</v>
      </c>
      <c r="G1130" s="403"/>
      <c r="H1130" s="403"/>
      <c r="I1130" s="404"/>
      <c r="J1130" s="78"/>
      <c r="K1130" s="224">
        <f>+SUM(K1126:K1128)</f>
        <v>0</v>
      </c>
      <c r="L1130" s="117">
        <f>+SUM(L1125:L1128)</f>
        <v>0</v>
      </c>
      <c r="N1130" s="144"/>
    </row>
    <row r="1131" spans="1:16" ht="15" customHeight="1" x14ac:dyDescent="0.3">
      <c r="F1131" s="280"/>
      <c r="G1131" s="280"/>
      <c r="H1131" s="128"/>
      <c r="I1131" s="106"/>
      <c r="J1131" s="78"/>
      <c r="K1131" s="225"/>
      <c r="N1131" s="144"/>
    </row>
    <row r="1132" spans="1:16" ht="15" customHeight="1" thickBot="1" x14ac:dyDescent="0.35">
      <c r="F1132" s="77"/>
      <c r="J1132" s="78"/>
      <c r="N1132" s="144"/>
    </row>
    <row r="1133" spans="1:16" ht="17.25" thickBot="1" x14ac:dyDescent="0.35">
      <c r="F1133" s="402" t="s">
        <v>20</v>
      </c>
      <c r="G1133" s="403"/>
      <c r="H1133" s="403"/>
      <c r="I1133" s="404"/>
      <c r="J1133" s="78"/>
      <c r="K1133" s="224">
        <f>(+K1104+K1113+K1122+K1130)</f>
        <v>300</v>
      </c>
      <c r="L1133" s="117">
        <f>(+L1104+L1113+L1122+L1130)</f>
        <v>1800</v>
      </c>
      <c r="N1133" s="147"/>
      <c r="O1133" s="39"/>
      <c r="P1133" s="40"/>
    </row>
    <row r="1134" spans="1:16" ht="7.5" customHeight="1" thickBot="1" x14ac:dyDescent="0.35">
      <c r="F1134" s="77"/>
      <c r="J1134" s="78"/>
      <c r="N1134" s="147"/>
      <c r="O1134" s="41"/>
      <c r="P1134" s="40"/>
    </row>
    <row r="1135" spans="1:16" ht="17.25" thickBot="1" x14ac:dyDescent="0.35">
      <c r="F1135" s="402" t="s">
        <v>21</v>
      </c>
      <c r="G1135" s="403"/>
      <c r="H1135" s="403"/>
      <c r="I1135" s="404"/>
      <c r="J1135" s="78"/>
      <c r="K1135" s="224">
        <f>K1133*$N$2</f>
        <v>120</v>
      </c>
      <c r="L1135" s="117">
        <f>L1133*$N$2</f>
        <v>720</v>
      </c>
      <c r="N1135" s="144"/>
    </row>
    <row r="1136" spans="1:16" ht="7.5" customHeight="1" thickBot="1" x14ac:dyDescent="0.35">
      <c r="F1136" s="77"/>
      <c r="J1136" s="78"/>
      <c r="N1136" s="144"/>
    </row>
    <row r="1137" spans="1:16" ht="17.25" thickBot="1" x14ac:dyDescent="0.35">
      <c r="F1137" s="402" t="s">
        <v>22</v>
      </c>
      <c r="G1137" s="403"/>
      <c r="H1137" s="403"/>
      <c r="I1137" s="404"/>
      <c r="J1137" s="78"/>
      <c r="K1137" s="224">
        <f>+K1133+K1135</f>
        <v>420</v>
      </c>
      <c r="L1137" s="117">
        <f>+L1133+L1135</f>
        <v>2520</v>
      </c>
      <c r="N1137" s="144"/>
    </row>
    <row r="1138" spans="1:16" ht="17.25" thickBot="1" x14ac:dyDescent="0.35">
      <c r="F1138" s="280"/>
      <c r="G1138" s="280"/>
      <c r="H1138" s="128"/>
      <c r="I1138" s="106"/>
      <c r="J1138" s="78"/>
      <c r="K1138" s="226"/>
      <c r="L1138" s="130">
        <f>L1137/I1089</f>
        <v>420</v>
      </c>
      <c r="M1138" s="131">
        <f>(K1137-L1138)*I1089</f>
        <v>0</v>
      </c>
      <c r="N1138" s="144"/>
    </row>
    <row r="1139" spans="1:16" x14ac:dyDescent="0.3">
      <c r="F1139" s="280"/>
      <c r="G1139" s="280"/>
      <c r="H1139" s="128"/>
      <c r="I1139" s="106"/>
      <c r="J1139" s="78"/>
      <c r="K1139" s="227"/>
      <c r="L1139" s="129"/>
      <c r="M1139" s="132"/>
      <c r="N1139" s="148"/>
    </row>
    <row r="1140" spans="1:16" ht="17.25" thickBot="1" x14ac:dyDescent="0.35">
      <c r="B1140" s="405"/>
      <c r="C1140" s="405"/>
      <c r="D1140" s="405"/>
      <c r="F1140" s="77"/>
      <c r="J1140" s="78"/>
      <c r="N1140" s="144"/>
    </row>
    <row r="1141" spans="1:16" x14ac:dyDescent="0.3">
      <c r="B1141" s="406" t="s">
        <v>23</v>
      </c>
      <c r="C1141" s="406"/>
      <c r="D1141" s="406"/>
      <c r="F1141" s="77"/>
      <c r="J1141" s="78"/>
      <c r="N1141" s="144"/>
    </row>
    <row r="1142" spans="1:16" x14ac:dyDescent="0.3">
      <c r="B1142" s="281"/>
      <c r="C1142" s="281"/>
      <c r="D1142" s="281"/>
      <c r="F1142" s="77"/>
      <c r="J1142" s="78"/>
      <c r="N1142" s="144"/>
    </row>
    <row r="1143" spans="1:16" x14ac:dyDescent="0.3">
      <c r="B1143" s="281"/>
      <c r="C1143" s="281"/>
      <c r="D1143" s="281"/>
      <c r="F1143" s="77"/>
      <c r="J1143" s="78"/>
      <c r="N1143" s="144"/>
    </row>
    <row r="1144" spans="1:16" x14ac:dyDescent="0.3">
      <c r="B1144" s="103" t="s">
        <v>43</v>
      </c>
      <c r="C1144" s="104"/>
      <c r="D1144" s="422" t="s">
        <v>1</v>
      </c>
      <c r="E1144" s="422"/>
      <c r="F1144" s="422"/>
      <c r="G1144" s="422"/>
      <c r="H1144" s="104"/>
      <c r="I1144" s="105" t="s">
        <v>2</v>
      </c>
      <c r="J1144" s="106"/>
      <c r="K1144" s="105" t="s">
        <v>3</v>
      </c>
      <c r="N1144" s="144"/>
    </row>
    <row r="1145" spans="1:16" s="4" customFormat="1" ht="30.75" customHeight="1" x14ac:dyDescent="0.25">
      <c r="A1145" s="31"/>
      <c r="B1145" s="287">
        <f>CATALOGO!B53</f>
        <v>511.01</v>
      </c>
      <c r="C1145" s="71"/>
      <c r="D1145" s="423" t="str">
        <f>CATALOGO!C53</f>
        <v>COLUMNA METÁLICA DE TUBO 4" X 4", CH 14</v>
      </c>
      <c r="E1145" s="423"/>
      <c r="F1145" s="423"/>
      <c r="G1145" s="423"/>
      <c r="H1145" s="71"/>
      <c r="I1145" s="287">
        <f>CATALOGO!D53</f>
        <v>5.6</v>
      </c>
      <c r="J1145" s="107"/>
      <c r="K1145" s="222" t="str">
        <f>CATALOGO!G53</f>
        <v>ml</v>
      </c>
      <c r="L1145" s="71"/>
      <c r="M1145" s="71"/>
      <c r="N1145" s="145"/>
      <c r="O1145" s="37"/>
      <c r="P1145" s="37"/>
    </row>
    <row r="1146" spans="1:16" ht="17.25" thickBot="1" x14ac:dyDescent="0.35">
      <c r="F1146" s="77"/>
      <c r="J1146" s="78"/>
      <c r="N1146" s="144"/>
    </row>
    <row r="1147" spans="1:16" ht="17.25" thickBot="1" x14ac:dyDescent="0.35">
      <c r="B1147" s="108" t="s">
        <v>4</v>
      </c>
      <c r="C1147" s="413" t="s">
        <v>5</v>
      </c>
      <c r="D1147" s="413"/>
      <c r="E1147" s="413"/>
      <c r="F1147" s="413"/>
      <c r="G1147" s="414"/>
      <c r="J1147" s="78"/>
      <c r="N1147" s="144"/>
    </row>
    <row r="1148" spans="1:16" s="20" customFormat="1" x14ac:dyDescent="0.3">
      <c r="A1148" s="53"/>
      <c r="B1148" s="109" t="s">
        <v>6</v>
      </c>
      <c r="C1148" s="424" t="s">
        <v>1</v>
      </c>
      <c r="D1148" s="425"/>
      <c r="E1148" s="110" t="s">
        <v>192</v>
      </c>
      <c r="F1148" s="109" t="s">
        <v>2</v>
      </c>
      <c r="G1148" s="112" t="s">
        <v>3</v>
      </c>
      <c r="H1148" s="104"/>
      <c r="I1148" s="105" t="s">
        <v>7</v>
      </c>
      <c r="J1148" s="106"/>
      <c r="K1148" s="223" t="s">
        <v>8</v>
      </c>
      <c r="L1148" s="113" t="s">
        <v>193</v>
      </c>
      <c r="M1148" s="17"/>
      <c r="N1148" s="144"/>
      <c r="O1148" s="36"/>
      <c r="P1148" s="36"/>
    </row>
    <row r="1149" spans="1:16" s="20" customFormat="1" x14ac:dyDescent="0.3">
      <c r="A1149" s="53"/>
      <c r="B1149" s="120">
        <v>1</v>
      </c>
      <c r="C1149" s="407" t="s">
        <v>401</v>
      </c>
      <c r="D1149" s="408"/>
      <c r="E1149" s="114">
        <f>I1145*0.3</f>
        <v>1.68</v>
      </c>
      <c r="F1149" s="83">
        <f>ROUND(E1149/I1145,2)</f>
        <v>0.3</v>
      </c>
      <c r="G1149" s="74" t="str">
        <f>IF(C1149=0,0,VLOOKUP(C1149,Tabla1[],2,FALSE))</f>
        <v>Unidad</v>
      </c>
      <c r="H1149" s="17"/>
      <c r="I1149" s="115">
        <f>IF(C1149=0,0,VLOOKUP(C1149,Tabla1[],3,FALSE))</f>
        <v>550</v>
      </c>
      <c r="J1149" s="95"/>
      <c r="K1149" s="84">
        <f>+F1149*I1149</f>
        <v>165</v>
      </c>
      <c r="L1149" s="116">
        <f>E1149*I1149</f>
        <v>924</v>
      </c>
      <c r="M1149" s="17"/>
      <c r="N1149" s="144"/>
      <c r="O1149" s="36"/>
      <c r="P1149" s="36"/>
    </row>
    <row r="1150" spans="1:16" s="20" customFormat="1" x14ac:dyDescent="0.3">
      <c r="A1150" s="53"/>
      <c r="B1150" s="120">
        <v>2</v>
      </c>
      <c r="C1150" s="430" t="s">
        <v>580</v>
      </c>
      <c r="D1150" s="429"/>
      <c r="E1150" s="114">
        <f>I1145*0.1</f>
        <v>0.55999999999999994</v>
      </c>
      <c r="F1150" s="83">
        <f>ROUND(E1150/I1145,2)</f>
        <v>0.1</v>
      </c>
      <c r="G1150" s="74" t="str">
        <f>IF(C1150=0,0,VLOOKUP(C1150,Tabla1[],2,FALSE))</f>
        <v>Unidad</v>
      </c>
      <c r="H1150" s="17"/>
      <c r="I1150" s="115">
        <f>IF(C1150=0,0,VLOOKUP(C1150,Tabla1[],3,FALSE))</f>
        <v>20</v>
      </c>
      <c r="J1150" s="95"/>
      <c r="K1150" s="84">
        <f t="shared" ref="K1150:K1158" si="34">+F1150*I1150</f>
        <v>2</v>
      </c>
      <c r="L1150" s="116">
        <f t="shared" ref="L1150:L1158" si="35">E1150*I1150</f>
        <v>11.2</v>
      </c>
      <c r="M1150" s="17"/>
      <c r="N1150" s="144"/>
      <c r="O1150" s="36"/>
      <c r="P1150" s="36"/>
    </row>
    <row r="1151" spans="1:16" s="20" customFormat="1" x14ac:dyDescent="0.3">
      <c r="A1151" s="53"/>
      <c r="B1151" s="120">
        <v>3</v>
      </c>
      <c r="C1151" s="430" t="s">
        <v>581</v>
      </c>
      <c r="D1151" s="429"/>
      <c r="E1151" s="114">
        <f>I1145*0.1</f>
        <v>0.55999999999999994</v>
      </c>
      <c r="F1151" s="83">
        <f>ROUND(E1151/I1145,2)</f>
        <v>0.1</v>
      </c>
      <c r="G1151" s="74" t="str">
        <f>IF(C1151=0,0,VLOOKUP(C1151,Tabla1[],2,FALSE))</f>
        <v>Unidad</v>
      </c>
      <c r="H1151" s="17"/>
      <c r="I1151" s="115">
        <f>IF(C1151=0,0,VLOOKUP(C1151,Tabla1[],3,FALSE))</f>
        <v>10</v>
      </c>
      <c r="J1151" s="95"/>
      <c r="K1151" s="84">
        <f t="shared" si="34"/>
        <v>1</v>
      </c>
      <c r="L1151" s="116">
        <f t="shared" si="35"/>
        <v>5.6</v>
      </c>
      <c r="M1151" s="17"/>
      <c r="N1151" s="144"/>
      <c r="O1151" s="36"/>
      <c r="P1151" s="36"/>
    </row>
    <row r="1152" spans="1:16" s="20" customFormat="1" x14ac:dyDescent="0.3">
      <c r="A1152" s="53"/>
      <c r="B1152" s="120">
        <v>4</v>
      </c>
      <c r="C1152" s="430" t="s">
        <v>582</v>
      </c>
      <c r="D1152" s="429"/>
      <c r="E1152" s="114">
        <f>I1145*0.05</f>
        <v>0.27999999999999997</v>
      </c>
      <c r="F1152" s="83">
        <f>ROUND(E1152/I1145,2)</f>
        <v>0.05</v>
      </c>
      <c r="G1152" s="74" t="str">
        <f>IF(C1152=0,0,VLOOKUP(C1152,Tabla1[],2,FALSE))</f>
        <v>Unidad</v>
      </c>
      <c r="H1152" s="17"/>
      <c r="I1152" s="115">
        <f>IF(C1152=0,0,VLOOKUP(C1152,Tabla1[],3,FALSE))</f>
        <v>20</v>
      </c>
      <c r="J1152" s="95"/>
      <c r="K1152" s="84">
        <f t="shared" si="34"/>
        <v>1</v>
      </c>
      <c r="L1152" s="116">
        <f t="shared" si="35"/>
        <v>5.6</v>
      </c>
      <c r="M1152" s="17"/>
      <c r="N1152" s="144"/>
      <c r="O1152" s="36"/>
      <c r="P1152" s="36"/>
    </row>
    <row r="1153" spans="1:16" s="20" customFormat="1" x14ac:dyDescent="0.3">
      <c r="A1153" s="53"/>
      <c r="B1153" s="120">
        <v>5</v>
      </c>
      <c r="C1153" s="430" t="s">
        <v>199</v>
      </c>
      <c r="D1153" s="429"/>
      <c r="E1153" s="114">
        <f>I1145*0.3</f>
        <v>1.68</v>
      </c>
      <c r="F1153" s="83">
        <f>ROUND(E1153/I1145,2)</f>
        <v>0.3</v>
      </c>
      <c r="G1153" s="74" t="str">
        <f>IF(C1153=0,0,VLOOKUP(C1153,Tabla1[],2,FALSE))</f>
        <v>Libra</v>
      </c>
      <c r="H1153" s="17"/>
      <c r="I1153" s="115">
        <f>IF(C1153=0,0,VLOOKUP(C1153,Tabla1[],3,FALSE))</f>
        <v>20</v>
      </c>
      <c r="J1153" s="95"/>
      <c r="K1153" s="84">
        <f t="shared" si="34"/>
        <v>6</v>
      </c>
      <c r="L1153" s="116">
        <f t="shared" si="35"/>
        <v>33.6</v>
      </c>
      <c r="M1153" s="17"/>
      <c r="N1153" s="144"/>
      <c r="O1153" s="36"/>
      <c r="P1153" s="36"/>
    </row>
    <row r="1154" spans="1:16" s="20" customFormat="1" x14ac:dyDescent="0.3">
      <c r="A1154" s="53"/>
      <c r="B1154" s="120"/>
      <c r="C1154" s="286"/>
      <c r="D1154" s="285"/>
      <c r="E1154" s="114"/>
      <c r="F1154" s="83"/>
      <c r="G1154" s="74"/>
      <c r="H1154" s="17"/>
      <c r="I1154" s="115">
        <f>IF(C1154=0,0,VLOOKUP(C1154,Tabla1[],3,FALSE))</f>
        <v>0</v>
      </c>
      <c r="J1154" s="95"/>
      <c r="K1154" s="84">
        <f t="shared" si="34"/>
        <v>0</v>
      </c>
      <c r="L1154" s="116">
        <f t="shared" si="35"/>
        <v>0</v>
      </c>
      <c r="M1154" s="17"/>
      <c r="N1154" s="144"/>
      <c r="O1154" s="36"/>
      <c r="P1154" s="36"/>
    </row>
    <row r="1155" spans="1:16" s="20" customFormat="1" x14ac:dyDescent="0.3">
      <c r="A1155" s="53"/>
      <c r="B1155" s="120"/>
      <c r="C1155" s="286"/>
      <c r="D1155" s="285"/>
      <c r="E1155" s="114"/>
      <c r="F1155" s="83"/>
      <c r="G1155" s="74"/>
      <c r="H1155" s="17"/>
      <c r="I1155" s="115">
        <f>IF(C1155=0,0,VLOOKUP(C1155,Tabla1[],3,FALSE))</f>
        <v>0</v>
      </c>
      <c r="J1155" s="95"/>
      <c r="K1155" s="84">
        <f t="shared" si="34"/>
        <v>0</v>
      </c>
      <c r="L1155" s="116">
        <f t="shared" si="35"/>
        <v>0</v>
      </c>
      <c r="M1155" s="17"/>
      <c r="N1155" s="144"/>
      <c r="O1155" s="36"/>
      <c r="P1155" s="36"/>
    </row>
    <row r="1156" spans="1:16" s="20" customFormat="1" x14ac:dyDescent="0.3">
      <c r="A1156" s="53"/>
      <c r="B1156" s="120"/>
      <c r="C1156" s="430"/>
      <c r="D1156" s="429"/>
      <c r="E1156" s="114"/>
      <c r="F1156" s="146"/>
      <c r="G1156" s="74"/>
      <c r="H1156" s="17"/>
      <c r="I1156" s="115">
        <f>IF(C1156=0,0,VLOOKUP(C1156,Tabla1[],3,FALSE))</f>
        <v>0</v>
      </c>
      <c r="J1156" s="95"/>
      <c r="K1156" s="84">
        <f t="shared" si="34"/>
        <v>0</v>
      </c>
      <c r="L1156" s="116">
        <f t="shared" si="35"/>
        <v>0</v>
      </c>
      <c r="M1156" s="17"/>
      <c r="N1156" s="144"/>
      <c r="O1156" s="36"/>
      <c r="P1156" s="36"/>
    </row>
    <row r="1157" spans="1:16" s="20" customFormat="1" x14ac:dyDescent="0.3">
      <c r="A1157" s="53"/>
      <c r="B1157" s="120"/>
      <c r="C1157" s="430"/>
      <c r="D1157" s="429"/>
      <c r="E1157" s="114"/>
      <c r="F1157" s="146"/>
      <c r="G1157" s="74"/>
      <c r="H1157" s="17"/>
      <c r="I1157" s="115">
        <f>IF(C1157=0,0,VLOOKUP(C1157,Tabla1[],3,FALSE))</f>
        <v>0</v>
      </c>
      <c r="J1157" s="95"/>
      <c r="K1157" s="84">
        <f t="shared" si="34"/>
        <v>0</v>
      </c>
      <c r="L1157" s="116">
        <f t="shared" si="35"/>
        <v>0</v>
      </c>
      <c r="M1157" s="17"/>
      <c r="N1157" s="144"/>
      <c r="O1157" s="36"/>
      <c r="P1157" s="36"/>
    </row>
    <row r="1158" spans="1:16" s="20" customFormat="1" x14ac:dyDescent="0.3">
      <c r="A1158" s="53"/>
      <c r="B1158" s="120"/>
      <c r="C1158" s="430"/>
      <c r="D1158" s="429"/>
      <c r="E1158" s="114"/>
      <c r="F1158" s="146"/>
      <c r="G1158" s="74"/>
      <c r="H1158" s="17"/>
      <c r="I1158" s="115">
        <f>IF(C1158=0,0,VLOOKUP(C1158,Tabla1[],3,FALSE))</f>
        <v>0</v>
      </c>
      <c r="J1158" s="95"/>
      <c r="K1158" s="84">
        <f t="shared" si="34"/>
        <v>0</v>
      </c>
      <c r="L1158" s="116">
        <f t="shared" si="35"/>
        <v>0</v>
      </c>
      <c r="M1158" s="17"/>
      <c r="N1158" s="144"/>
      <c r="O1158" s="36"/>
      <c r="P1158" s="36"/>
    </row>
    <row r="1159" spans="1:16" s="20" customFormat="1" ht="17.25" thickBot="1" x14ac:dyDescent="0.35">
      <c r="A1159" s="53"/>
      <c r="B1159" s="77"/>
      <c r="C1159" s="17"/>
      <c r="D1159" s="17"/>
      <c r="E1159" s="76"/>
      <c r="F1159" s="77"/>
      <c r="G1159" s="77"/>
      <c r="H1159" s="17"/>
      <c r="I1159" s="78"/>
      <c r="J1159" s="78"/>
      <c r="K1159" s="78"/>
      <c r="L1159" s="17"/>
      <c r="M1159" s="17"/>
      <c r="N1159" s="144"/>
      <c r="O1159" s="36"/>
      <c r="P1159" s="36"/>
    </row>
    <row r="1160" spans="1:16" s="20" customFormat="1" ht="17.25" thickBot="1" x14ac:dyDescent="0.35">
      <c r="A1160" s="53"/>
      <c r="B1160" s="77"/>
      <c r="C1160" s="17"/>
      <c r="D1160" s="17"/>
      <c r="E1160" s="76"/>
      <c r="F1160" s="402" t="s">
        <v>9</v>
      </c>
      <c r="G1160" s="403"/>
      <c r="H1160" s="403"/>
      <c r="I1160" s="404"/>
      <c r="J1160" s="78"/>
      <c r="K1160" s="224">
        <f>+SUM(K1149:K1158)</f>
        <v>175</v>
      </c>
      <c r="L1160" s="117">
        <f>+SUM(L1149:L1158)</f>
        <v>980.00000000000011</v>
      </c>
      <c r="M1160" s="17"/>
      <c r="N1160" s="144"/>
      <c r="O1160" s="36"/>
      <c r="P1160" s="36"/>
    </row>
    <row r="1161" spans="1:16" s="20" customFormat="1" ht="17.25" thickBot="1" x14ac:dyDescent="0.35">
      <c r="A1161" s="53"/>
      <c r="B1161" s="77"/>
      <c r="C1161" s="17"/>
      <c r="D1161" s="17"/>
      <c r="E1161" s="76"/>
      <c r="F1161" s="77"/>
      <c r="G1161" s="77"/>
      <c r="H1161" s="17"/>
      <c r="I1161" s="78"/>
      <c r="J1161" s="78"/>
      <c r="K1161" s="78"/>
      <c r="L1161" s="17"/>
      <c r="M1161" s="17"/>
      <c r="N1161" s="144"/>
      <c r="O1161" s="36"/>
      <c r="P1161" s="36"/>
    </row>
    <row r="1162" spans="1:16" s="20" customFormat="1" ht="17.25" thickBot="1" x14ac:dyDescent="0.35">
      <c r="A1162" s="53"/>
      <c r="B1162" s="108" t="s">
        <v>10</v>
      </c>
      <c r="C1162" s="413" t="s">
        <v>11</v>
      </c>
      <c r="D1162" s="413"/>
      <c r="E1162" s="413"/>
      <c r="F1162" s="413"/>
      <c r="G1162" s="414"/>
      <c r="H1162" s="17"/>
      <c r="I1162" s="78"/>
      <c r="J1162" s="78"/>
      <c r="K1162" s="78"/>
      <c r="L1162" s="17"/>
      <c r="M1162" s="17"/>
      <c r="N1162" s="144"/>
      <c r="O1162" s="36"/>
      <c r="P1162" s="36"/>
    </row>
    <row r="1163" spans="1:16" s="20" customFormat="1" x14ac:dyDescent="0.3">
      <c r="A1163" s="53"/>
      <c r="B1163" s="112" t="s">
        <v>6</v>
      </c>
      <c r="C1163" s="415" t="s">
        <v>1</v>
      </c>
      <c r="D1163" s="416"/>
      <c r="E1163" s="110" t="s">
        <v>192</v>
      </c>
      <c r="F1163" s="112" t="s">
        <v>2</v>
      </c>
      <c r="G1163" s="112" t="s">
        <v>3</v>
      </c>
      <c r="H1163" s="104"/>
      <c r="I1163" s="105" t="s">
        <v>7</v>
      </c>
      <c r="J1163" s="106"/>
      <c r="K1163" s="105" t="s">
        <v>8</v>
      </c>
      <c r="L1163" s="113" t="s">
        <v>193</v>
      </c>
      <c r="M1163" s="17"/>
      <c r="N1163" s="144"/>
      <c r="O1163" s="36"/>
      <c r="P1163" s="36"/>
    </row>
    <row r="1164" spans="1:16" s="20" customFormat="1" x14ac:dyDescent="0.3">
      <c r="A1164" s="53"/>
      <c r="B1164" s="120"/>
      <c r="C1164" s="409"/>
      <c r="D1164" s="409"/>
      <c r="E1164" s="114"/>
      <c r="F1164" s="146"/>
      <c r="G1164" s="74"/>
      <c r="H1164" s="17"/>
      <c r="I1164" s="115">
        <f>IF(C1164=0,0,VLOOKUP(C1164,Tabla3[],3,FALSE))</f>
        <v>0</v>
      </c>
      <c r="J1164" s="95"/>
      <c r="K1164" s="84">
        <f>+F1164*I1164</f>
        <v>0</v>
      </c>
      <c r="L1164" s="116">
        <f>E1164*I1164</f>
        <v>0</v>
      </c>
      <c r="M1164" s="17"/>
      <c r="N1164" s="144"/>
      <c r="O1164" s="36"/>
      <c r="P1164" s="36"/>
    </row>
    <row r="1165" spans="1:16" s="20" customFormat="1" x14ac:dyDescent="0.3">
      <c r="A1165" s="53"/>
      <c r="B1165" s="74"/>
      <c r="C1165" s="431"/>
      <c r="D1165" s="432"/>
      <c r="E1165" s="119"/>
      <c r="F1165" s="74"/>
      <c r="G1165" s="74"/>
      <c r="H1165" s="17"/>
      <c r="I1165" s="115">
        <f>IF(C1165=0,0,VLOOKUP(C1165,Tabla3[],3,FALSE))</f>
        <v>0</v>
      </c>
      <c r="J1165" s="95"/>
      <c r="K1165" s="84">
        <f>+F1165*I1165</f>
        <v>0</v>
      </c>
      <c r="L1165" s="116">
        <f>E1165*I1165</f>
        <v>0</v>
      </c>
      <c r="M1165" s="17"/>
      <c r="N1165" s="144"/>
      <c r="O1165" s="36"/>
      <c r="P1165" s="36"/>
    </row>
    <row r="1166" spans="1:16" s="20" customFormat="1" x14ac:dyDescent="0.3">
      <c r="A1166" s="53"/>
      <c r="B1166" s="74"/>
      <c r="C1166" s="431"/>
      <c r="D1166" s="432"/>
      <c r="E1166" s="119"/>
      <c r="F1166" s="74"/>
      <c r="G1166" s="74"/>
      <c r="H1166" s="17"/>
      <c r="I1166" s="115">
        <f>IF(C1166=0,0,VLOOKUP(C1166,Tabla3[],3,FALSE))</f>
        <v>0</v>
      </c>
      <c r="J1166" s="95"/>
      <c r="K1166" s="84">
        <f>+F1166*I1166</f>
        <v>0</v>
      </c>
      <c r="L1166" s="116">
        <f>E1166*I1166</f>
        <v>0</v>
      </c>
      <c r="M1166" s="17"/>
      <c r="N1166" s="144"/>
      <c r="O1166" s="36"/>
      <c r="P1166" s="36"/>
    </row>
    <row r="1167" spans="1:16" s="20" customFormat="1" x14ac:dyDescent="0.3">
      <c r="A1167" s="53"/>
      <c r="B1167" s="74"/>
      <c r="C1167" s="411"/>
      <c r="D1167" s="412"/>
      <c r="E1167" s="119"/>
      <c r="F1167" s="74"/>
      <c r="G1167" s="74"/>
      <c r="H1167" s="17"/>
      <c r="I1167" s="115">
        <f>IF(C1167=0,0,VLOOKUP(C1167,Tabla3[],3,FALSE))</f>
        <v>0</v>
      </c>
      <c r="J1167" s="95"/>
      <c r="K1167" s="84">
        <f>+F1167*I1167</f>
        <v>0</v>
      </c>
      <c r="L1167" s="116">
        <f>E1167*I1167</f>
        <v>0</v>
      </c>
      <c r="M1167" s="17"/>
      <c r="N1167" s="144"/>
      <c r="O1167" s="36"/>
      <c r="P1167" s="36"/>
    </row>
    <row r="1168" spans="1:16" s="20" customFormat="1" ht="17.25" thickBot="1" x14ac:dyDescent="0.35">
      <c r="A1168" s="53"/>
      <c r="B1168" s="77"/>
      <c r="C1168" s="17"/>
      <c r="D1168" s="17"/>
      <c r="E1168" s="76"/>
      <c r="F1168" s="77"/>
      <c r="G1168" s="77"/>
      <c r="H1168" s="17"/>
      <c r="I1168" s="78"/>
      <c r="J1168" s="78"/>
      <c r="K1168" s="78"/>
      <c r="L1168" s="17"/>
      <c r="M1168" s="17"/>
      <c r="N1168" s="144"/>
      <c r="O1168" s="36"/>
      <c r="P1168" s="36"/>
    </row>
    <row r="1169" spans="1:16" s="20" customFormat="1" ht="17.25" thickBot="1" x14ac:dyDescent="0.35">
      <c r="A1169" s="53"/>
      <c r="B1169" s="77"/>
      <c r="C1169" s="17"/>
      <c r="D1169" s="17"/>
      <c r="E1169" s="76"/>
      <c r="F1169" s="402" t="s">
        <v>12</v>
      </c>
      <c r="G1169" s="403"/>
      <c r="H1169" s="403"/>
      <c r="I1169" s="404"/>
      <c r="J1169" s="78"/>
      <c r="K1169" s="224">
        <f>+SUM(K1164:K1167)</f>
        <v>0</v>
      </c>
      <c r="L1169" s="117">
        <f>+SUM(L1164:L1167)</f>
        <v>0</v>
      </c>
      <c r="M1169" s="17"/>
      <c r="N1169" s="144"/>
      <c r="O1169" s="36"/>
      <c r="P1169" s="36"/>
    </row>
    <row r="1170" spans="1:16" s="20" customFormat="1" ht="17.25" thickBot="1" x14ac:dyDescent="0.35">
      <c r="A1170" s="53"/>
      <c r="B1170" s="77"/>
      <c r="C1170" s="17"/>
      <c r="D1170" s="17"/>
      <c r="E1170" s="76"/>
      <c r="F1170" s="77"/>
      <c r="G1170" s="77"/>
      <c r="H1170" s="17"/>
      <c r="I1170" s="78"/>
      <c r="J1170" s="78"/>
      <c r="K1170" s="78"/>
      <c r="L1170" s="17"/>
      <c r="M1170" s="17"/>
      <c r="N1170" s="144"/>
      <c r="O1170" s="36"/>
      <c r="P1170" s="36"/>
    </row>
    <row r="1171" spans="1:16" s="20" customFormat="1" ht="17.25" thickBot="1" x14ac:dyDescent="0.35">
      <c r="A1171" s="53"/>
      <c r="B1171" s="108" t="s">
        <v>13</v>
      </c>
      <c r="C1171" s="413" t="s">
        <v>14</v>
      </c>
      <c r="D1171" s="413"/>
      <c r="E1171" s="413"/>
      <c r="F1171" s="413"/>
      <c r="G1171" s="414"/>
      <c r="H1171" s="17"/>
      <c r="I1171" s="78"/>
      <c r="J1171" s="78"/>
      <c r="K1171" s="78"/>
      <c r="L1171" s="17"/>
      <c r="M1171" s="17"/>
      <c r="N1171" s="144"/>
      <c r="O1171" s="36"/>
      <c r="P1171" s="36"/>
    </row>
    <row r="1172" spans="1:16" s="20" customFormat="1" x14ac:dyDescent="0.3">
      <c r="A1172" s="53"/>
      <c r="B1172" s="112" t="s">
        <v>6</v>
      </c>
      <c r="C1172" s="415" t="s">
        <v>1</v>
      </c>
      <c r="D1172" s="416"/>
      <c r="E1172" s="110" t="s">
        <v>192</v>
      </c>
      <c r="F1172" s="112" t="s">
        <v>2</v>
      </c>
      <c r="G1172" s="112" t="s">
        <v>3</v>
      </c>
      <c r="H1172" s="104"/>
      <c r="I1172" s="105" t="s">
        <v>7</v>
      </c>
      <c r="J1172" s="106"/>
      <c r="K1172" s="105" t="s">
        <v>8</v>
      </c>
      <c r="L1172" s="113" t="s">
        <v>193</v>
      </c>
      <c r="M1172" s="17"/>
      <c r="N1172" s="144"/>
      <c r="O1172" s="36"/>
      <c r="P1172" s="36"/>
    </row>
    <row r="1173" spans="1:16" s="20" customFormat="1" x14ac:dyDescent="0.3">
      <c r="A1173" s="53"/>
      <c r="B1173" s="120">
        <v>1</v>
      </c>
      <c r="C1173" s="409" t="s">
        <v>583</v>
      </c>
      <c r="D1173" s="409"/>
      <c r="E1173" s="114">
        <f>I1145</f>
        <v>5.6</v>
      </c>
      <c r="F1173" s="146">
        <f>ROUND(E1173/I1145,2)</f>
        <v>1</v>
      </c>
      <c r="G1173" s="74" t="str">
        <f>IF(C1173=0,0,VLOOKUP(C1173,Tabla2[],2,FALSE))</f>
        <v>ml</v>
      </c>
      <c r="H1173" s="17"/>
      <c r="I1173" s="115">
        <f>IF(C1173=0,0,VLOOKUP(C1173,Tabla2[],3,FALSE))</f>
        <v>60</v>
      </c>
      <c r="J1173" s="95"/>
      <c r="K1173" s="84">
        <f>+F1173*I1173</f>
        <v>60</v>
      </c>
      <c r="L1173" s="116">
        <f>E1173*I1173</f>
        <v>336</v>
      </c>
      <c r="M1173" s="17"/>
      <c r="N1173" s="144"/>
      <c r="O1173" s="36"/>
      <c r="P1173" s="36"/>
    </row>
    <row r="1174" spans="1:16" s="20" customFormat="1" x14ac:dyDescent="0.3">
      <c r="A1174" s="53"/>
      <c r="B1174" s="120"/>
      <c r="C1174" s="409"/>
      <c r="D1174" s="409"/>
      <c r="E1174" s="114"/>
      <c r="F1174" s="146"/>
      <c r="G1174" s="74"/>
      <c r="H1174" s="17"/>
      <c r="I1174" s="115">
        <f>IF(C1174=0,0,VLOOKUP(C1174,Tabla2[],3,FALSE))</f>
        <v>0</v>
      </c>
      <c r="J1174" s="95"/>
      <c r="K1174" s="84">
        <f>+F1174*I1174</f>
        <v>0</v>
      </c>
      <c r="L1174" s="116">
        <f>E1174*I1174</f>
        <v>0</v>
      </c>
      <c r="M1174" s="17"/>
      <c r="N1174" s="144"/>
      <c r="O1174" s="36"/>
      <c r="P1174" s="36"/>
    </row>
    <row r="1175" spans="1:16" s="20" customFormat="1" ht="17.25" thickBot="1" x14ac:dyDescent="0.35">
      <c r="A1175" s="53"/>
      <c r="B1175" s="121"/>
      <c r="C1175" s="417"/>
      <c r="D1175" s="418"/>
      <c r="E1175" s="122"/>
      <c r="F1175" s="121"/>
      <c r="G1175" s="74"/>
      <c r="H1175" s="17"/>
      <c r="I1175" s="115">
        <f>IF(C1175=0,0,VLOOKUP(C1175,Tabla2[],3,FALSE))</f>
        <v>0</v>
      </c>
      <c r="J1175" s="95"/>
      <c r="K1175" s="84">
        <f>+F1175*I1175</f>
        <v>0</v>
      </c>
      <c r="L1175" s="116">
        <f>E1175*I1175</f>
        <v>0</v>
      </c>
      <c r="M1175" s="17"/>
      <c r="N1175" s="144"/>
      <c r="O1175" s="36"/>
      <c r="P1175" s="36"/>
    </row>
    <row r="1176" spans="1:16" s="20" customFormat="1" ht="17.25" thickBot="1" x14ac:dyDescent="0.35">
      <c r="A1176" s="53"/>
      <c r="B1176" s="419" t="s">
        <v>15</v>
      </c>
      <c r="C1176" s="420"/>
      <c r="D1176" s="420"/>
      <c r="E1176" s="420"/>
      <c r="F1176" s="420"/>
      <c r="G1176" s="421"/>
      <c r="H1176" s="17"/>
      <c r="I1176" s="84">
        <v>0</v>
      </c>
      <c r="J1176" s="78"/>
      <c r="K1176" s="84">
        <v>0</v>
      </c>
      <c r="L1176" s="116">
        <f>E1176*I1176</f>
        <v>0</v>
      </c>
      <c r="M1176" s="17"/>
      <c r="N1176" s="144"/>
      <c r="O1176" s="36"/>
      <c r="P1176" s="36"/>
    </row>
    <row r="1177" spans="1:16" s="20" customFormat="1" ht="17.25" thickBot="1" x14ac:dyDescent="0.35">
      <c r="A1177" s="53"/>
      <c r="B1177" s="77"/>
      <c r="C1177" s="17"/>
      <c r="D1177" s="17"/>
      <c r="E1177" s="76"/>
      <c r="F1177" s="77"/>
      <c r="G1177" s="77"/>
      <c r="H1177" s="17"/>
      <c r="I1177" s="78"/>
      <c r="J1177" s="78"/>
      <c r="K1177" s="78"/>
      <c r="L1177" s="17"/>
      <c r="M1177" s="17"/>
      <c r="N1177" s="144"/>
      <c r="O1177" s="36"/>
      <c r="P1177" s="36"/>
    </row>
    <row r="1178" spans="1:16" s="20" customFormat="1" ht="17.25" thickBot="1" x14ac:dyDescent="0.35">
      <c r="A1178" s="53"/>
      <c r="B1178" s="77"/>
      <c r="C1178" s="17"/>
      <c r="D1178" s="17"/>
      <c r="E1178" s="76"/>
      <c r="F1178" s="402" t="s">
        <v>16</v>
      </c>
      <c r="G1178" s="403"/>
      <c r="H1178" s="403"/>
      <c r="I1178" s="404"/>
      <c r="J1178" s="78"/>
      <c r="K1178" s="224">
        <f>+SUM(K1173:K1176)</f>
        <v>60</v>
      </c>
      <c r="L1178" s="117">
        <f>+SUM(L1173:L1176)</f>
        <v>336</v>
      </c>
      <c r="M1178" s="17"/>
      <c r="N1178" s="144"/>
      <c r="O1178" s="36"/>
      <c r="P1178" s="36"/>
    </row>
    <row r="1179" spans="1:16" ht="17.25" thickBot="1" x14ac:dyDescent="0.35">
      <c r="F1179" s="77"/>
      <c r="J1179" s="78"/>
      <c r="N1179" s="144"/>
    </row>
    <row r="1180" spans="1:16" ht="17.25" thickBot="1" x14ac:dyDescent="0.35">
      <c r="B1180" s="108" t="s">
        <v>17</v>
      </c>
      <c r="C1180" s="413" t="s">
        <v>18</v>
      </c>
      <c r="D1180" s="413"/>
      <c r="E1180" s="413"/>
      <c r="F1180" s="413"/>
      <c r="G1180" s="414"/>
      <c r="J1180" s="78"/>
      <c r="N1180" s="144"/>
    </row>
    <row r="1181" spans="1:16" x14ac:dyDescent="0.3">
      <c r="B1181" s="112" t="s">
        <v>6</v>
      </c>
      <c r="C1181" s="415" t="s">
        <v>1</v>
      </c>
      <c r="D1181" s="416"/>
      <c r="E1181" s="124"/>
      <c r="F1181" s="112" t="s">
        <v>2</v>
      </c>
      <c r="G1181" s="112" t="s">
        <v>3</v>
      </c>
      <c r="H1181" s="104"/>
      <c r="I1181" s="105" t="s">
        <v>7</v>
      </c>
      <c r="J1181" s="106"/>
      <c r="K1181" s="105" t="s">
        <v>8</v>
      </c>
      <c r="L1181" s="113" t="s">
        <v>193</v>
      </c>
      <c r="N1181" s="144"/>
    </row>
    <row r="1182" spans="1:16" x14ac:dyDescent="0.3">
      <c r="B1182" s="74"/>
      <c r="C1182" s="411"/>
      <c r="D1182" s="412"/>
      <c r="E1182" s="125"/>
      <c r="F1182" s="74"/>
      <c r="G1182" s="74"/>
      <c r="I1182" s="84">
        <v>0</v>
      </c>
      <c r="J1182" s="78"/>
      <c r="K1182" s="84">
        <f>+F1182*I1182</f>
        <v>0</v>
      </c>
      <c r="L1182" s="116">
        <f>E1182*I1182</f>
        <v>0</v>
      </c>
      <c r="N1182" s="144"/>
    </row>
    <row r="1183" spans="1:16" x14ac:dyDescent="0.3">
      <c r="B1183" s="74"/>
      <c r="C1183" s="411"/>
      <c r="D1183" s="412"/>
      <c r="E1183" s="125"/>
      <c r="F1183" s="74"/>
      <c r="G1183" s="74"/>
      <c r="I1183" s="84">
        <v>0</v>
      </c>
      <c r="J1183" s="78"/>
      <c r="K1183" s="84">
        <f>+F1183*I1183</f>
        <v>0</v>
      </c>
      <c r="L1183" s="116">
        <f>E1183*I1183</f>
        <v>0</v>
      </c>
      <c r="N1183" s="144"/>
    </row>
    <row r="1184" spans="1:16" x14ac:dyDescent="0.3">
      <c r="B1184" s="74"/>
      <c r="C1184" s="411"/>
      <c r="D1184" s="412"/>
      <c r="E1184" s="125"/>
      <c r="F1184" s="74"/>
      <c r="G1184" s="74"/>
      <c r="I1184" s="84">
        <v>0</v>
      </c>
      <c r="J1184" s="78"/>
      <c r="K1184" s="84">
        <f>+F1184*I1184</f>
        <v>0</v>
      </c>
      <c r="L1184" s="116">
        <f>E1184*I1184</f>
        <v>0</v>
      </c>
      <c r="N1184" s="144"/>
    </row>
    <row r="1185" spans="2:16" ht="17.25" thickBot="1" x14ac:dyDescent="0.35">
      <c r="F1185" s="77"/>
      <c r="J1185" s="78"/>
      <c r="L1185" s="116"/>
      <c r="N1185" s="144"/>
    </row>
    <row r="1186" spans="2:16" ht="17.25" thickBot="1" x14ac:dyDescent="0.35">
      <c r="F1186" s="402" t="s">
        <v>19</v>
      </c>
      <c r="G1186" s="403"/>
      <c r="H1186" s="403"/>
      <c r="I1186" s="404"/>
      <c r="J1186" s="78"/>
      <c r="K1186" s="224">
        <f>+SUM(K1182:K1184)</f>
        <v>0</v>
      </c>
      <c r="L1186" s="117">
        <f>+SUM(L1181:L1184)</f>
        <v>0</v>
      </c>
      <c r="N1186" s="144"/>
    </row>
    <row r="1187" spans="2:16" ht="15" customHeight="1" x14ac:dyDescent="0.3">
      <c r="F1187" s="280"/>
      <c r="G1187" s="280"/>
      <c r="H1187" s="128"/>
      <c r="I1187" s="106"/>
      <c r="J1187" s="78"/>
      <c r="K1187" s="225"/>
      <c r="N1187" s="144"/>
    </row>
    <row r="1188" spans="2:16" ht="15" customHeight="1" thickBot="1" x14ac:dyDescent="0.35">
      <c r="F1188" s="77"/>
      <c r="J1188" s="78"/>
      <c r="N1188" s="144"/>
    </row>
    <row r="1189" spans="2:16" ht="17.25" thickBot="1" x14ac:dyDescent="0.35">
      <c r="F1189" s="402" t="s">
        <v>20</v>
      </c>
      <c r="G1189" s="403"/>
      <c r="H1189" s="403"/>
      <c r="I1189" s="404"/>
      <c r="J1189" s="78"/>
      <c r="K1189" s="224">
        <f>(+K1160+K1169+K1178+K1186)</f>
        <v>235</v>
      </c>
      <c r="L1189" s="117">
        <f>(+L1160+L1169+L1178+L1186)</f>
        <v>1316</v>
      </c>
      <c r="N1189" s="147"/>
      <c r="O1189" s="39"/>
      <c r="P1189" s="40"/>
    </row>
    <row r="1190" spans="2:16" ht="7.5" customHeight="1" thickBot="1" x14ac:dyDescent="0.35">
      <c r="F1190" s="77"/>
      <c r="J1190" s="78"/>
      <c r="N1190" s="147"/>
      <c r="O1190" s="41"/>
      <c r="P1190" s="40"/>
    </row>
    <row r="1191" spans="2:16" ht="17.25" thickBot="1" x14ac:dyDescent="0.35">
      <c r="F1191" s="402" t="s">
        <v>21</v>
      </c>
      <c r="G1191" s="403"/>
      <c r="H1191" s="403"/>
      <c r="I1191" s="404"/>
      <c r="J1191" s="78"/>
      <c r="K1191" s="224">
        <f>K1189*$N$2</f>
        <v>94</v>
      </c>
      <c r="L1191" s="117">
        <f>L1189*$N$2</f>
        <v>526.4</v>
      </c>
      <c r="N1191" s="144"/>
    </row>
    <row r="1192" spans="2:16" ht="7.5" customHeight="1" thickBot="1" x14ac:dyDescent="0.35">
      <c r="F1192" s="77"/>
      <c r="J1192" s="78"/>
      <c r="N1192" s="144"/>
    </row>
    <row r="1193" spans="2:16" ht="17.25" thickBot="1" x14ac:dyDescent="0.35">
      <c r="F1193" s="402" t="s">
        <v>22</v>
      </c>
      <c r="G1193" s="403"/>
      <c r="H1193" s="403"/>
      <c r="I1193" s="404"/>
      <c r="J1193" s="78"/>
      <c r="K1193" s="224">
        <f>+K1189+K1191</f>
        <v>329</v>
      </c>
      <c r="L1193" s="117">
        <f>+L1189+L1191</f>
        <v>1842.4</v>
      </c>
      <c r="N1193" s="144"/>
    </row>
    <row r="1194" spans="2:16" ht="17.25" thickBot="1" x14ac:dyDescent="0.35">
      <c r="F1194" s="280"/>
      <c r="G1194" s="280"/>
      <c r="H1194" s="128"/>
      <c r="I1194" s="106"/>
      <c r="J1194" s="78"/>
      <c r="K1194" s="226"/>
      <c r="L1194" s="130">
        <f>L1193/I1145</f>
        <v>329.00000000000006</v>
      </c>
      <c r="M1194" s="131">
        <f>(K1193-L1194)*I1145</f>
        <v>-3.1832314562052486E-13</v>
      </c>
      <c r="N1194" s="144"/>
    </row>
    <row r="1195" spans="2:16" x14ac:dyDescent="0.3">
      <c r="F1195" s="280"/>
      <c r="G1195" s="280"/>
      <c r="H1195" s="128"/>
      <c r="I1195" s="106"/>
      <c r="J1195" s="78"/>
      <c r="K1195" s="227"/>
      <c r="L1195" s="129"/>
      <c r="M1195" s="132"/>
      <c r="N1195" s="148"/>
    </row>
    <row r="1196" spans="2:16" ht="17.25" thickBot="1" x14ac:dyDescent="0.35">
      <c r="B1196" s="405"/>
      <c r="C1196" s="405"/>
      <c r="D1196" s="405"/>
      <c r="F1196" s="77"/>
      <c r="J1196" s="78"/>
      <c r="N1196" s="144"/>
    </row>
    <row r="1197" spans="2:16" x14ac:dyDescent="0.3">
      <c r="B1197" s="406" t="s">
        <v>23</v>
      </c>
      <c r="C1197" s="406"/>
      <c r="D1197" s="406"/>
      <c r="F1197" s="77"/>
      <c r="J1197" s="78"/>
      <c r="N1197" s="144"/>
    </row>
    <row r="1198" spans="2:16" x14ac:dyDescent="0.3">
      <c r="B1198" s="281"/>
      <c r="C1198" s="281"/>
      <c r="D1198" s="281"/>
      <c r="F1198" s="77"/>
      <c r="J1198" s="78"/>
      <c r="N1198" s="144"/>
    </row>
    <row r="1199" spans="2:16" x14ac:dyDescent="0.3">
      <c r="B1199" s="281"/>
      <c r="C1199" s="281"/>
      <c r="D1199" s="281"/>
    </row>
    <row r="1200" spans="2:16" x14ac:dyDescent="0.3">
      <c r="B1200" s="103" t="s">
        <v>43</v>
      </c>
      <c r="C1200" s="104"/>
      <c r="D1200" s="422" t="s">
        <v>1</v>
      </c>
      <c r="E1200" s="422"/>
      <c r="F1200" s="422"/>
      <c r="G1200" s="422"/>
      <c r="H1200" s="104"/>
      <c r="I1200" s="105" t="s">
        <v>2</v>
      </c>
      <c r="J1200" s="134"/>
      <c r="K1200" s="105" t="s">
        <v>3</v>
      </c>
    </row>
    <row r="1201" spans="1:16" s="4" customFormat="1" ht="30.75" customHeight="1" x14ac:dyDescent="0.25">
      <c r="A1201" s="31"/>
      <c r="B1201" s="287">
        <f>CATALOGO!B55</f>
        <v>601.07000000000005</v>
      </c>
      <c r="C1201" s="71"/>
      <c r="D1201" s="423" t="str">
        <f>CATALOGO!C55</f>
        <v>REPELLO + CERNIDO EN CIELOS</v>
      </c>
      <c r="E1201" s="423"/>
      <c r="F1201" s="423"/>
      <c r="G1201" s="423"/>
      <c r="H1201" s="71"/>
      <c r="I1201" s="287">
        <f>CATALOGO!D55</f>
        <v>41.71</v>
      </c>
      <c r="J1201" s="107"/>
      <c r="K1201" s="222" t="str">
        <f>CATALOGO!G55</f>
        <v>m²</v>
      </c>
      <c r="L1201" s="71"/>
      <c r="M1201" s="71"/>
      <c r="N1201" s="71"/>
      <c r="O1201" s="37"/>
      <c r="P1201" s="37"/>
    </row>
    <row r="1202" spans="1:16" ht="17.25" thickBot="1" x14ac:dyDescent="0.35"/>
    <row r="1203" spans="1:16" ht="17.25" thickBot="1" x14ac:dyDescent="0.35">
      <c r="B1203" s="108" t="s">
        <v>4</v>
      </c>
      <c r="C1203" s="413" t="s">
        <v>5</v>
      </c>
      <c r="D1203" s="413"/>
      <c r="E1203" s="413"/>
      <c r="F1203" s="413"/>
      <c r="G1203" s="414"/>
    </row>
    <row r="1204" spans="1:16" x14ac:dyDescent="0.25">
      <c r="B1204" s="109" t="s">
        <v>6</v>
      </c>
      <c r="C1204" s="424" t="s">
        <v>1</v>
      </c>
      <c r="D1204" s="425"/>
      <c r="E1204" s="110" t="s">
        <v>192</v>
      </c>
      <c r="F1204" s="111" t="s">
        <v>2</v>
      </c>
      <c r="G1204" s="112" t="s">
        <v>3</v>
      </c>
      <c r="H1204" s="104"/>
      <c r="I1204" s="105" t="s">
        <v>7</v>
      </c>
      <c r="J1204" s="134"/>
      <c r="K1204" s="223" t="s">
        <v>8</v>
      </c>
      <c r="L1204" s="113" t="s">
        <v>193</v>
      </c>
      <c r="O1204" s="438"/>
      <c r="P1204" s="438"/>
    </row>
    <row r="1205" spans="1:16" ht="16.5" customHeight="1" x14ac:dyDescent="0.25">
      <c r="B1205" s="120">
        <v>1</v>
      </c>
      <c r="C1205" s="430" t="s">
        <v>72</v>
      </c>
      <c r="D1205" s="429"/>
      <c r="E1205" s="114">
        <f>I1201*0.18</f>
        <v>7.5077999999999996</v>
      </c>
      <c r="F1205" s="83">
        <f>ROUND(E1205/I1201,2)</f>
        <v>0.18</v>
      </c>
      <c r="G1205" s="74" t="str">
        <f>IF(C1205=0,0,VLOOKUP(C1205,Tabla1[],2,FALSE))</f>
        <v>m³</v>
      </c>
      <c r="I1205" s="115">
        <f>IF(C1205=0,0,VLOOKUP(C1205,Tabla1[],3,FALSE))</f>
        <v>250</v>
      </c>
      <c r="K1205" s="84">
        <f>F1205*I1205</f>
        <v>45</v>
      </c>
      <c r="L1205" s="116">
        <f t="shared" ref="L1205:L1214" si="36">E1205*I1205</f>
        <v>1876.9499999999998</v>
      </c>
      <c r="O1205" s="44"/>
      <c r="P1205" s="45"/>
    </row>
    <row r="1206" spans="1:16" x14ac:dyDescent="0.3">
      <c r="B1206" s="120">
        <v>2</v>
      </c>
      <c r="C1206" s="428" t="s">
        <v>213</v>
      </c>
      <c r="D1206" s="429"/>
      <c r="E1206" s="114">
        <f>I1201*1</f>
        <v>41.71</v>
      </c>
      <c r="F1206" s="83">
        <f>ROUND(E1206/I1201,2)</f>
        <v>1</v>
      </c>
      <c r="G1206" s="74" t="str">
        <f>IF(C1206=0,0,VLOOKUP(C1206,Tabla1[],2,FALSE))</f>
        <v>Saco</v>
      </c>
      <c r="I1206" s="115">
        <f>IF(C1206=0,0,VLOOKUP(C1206,Tabla1[],3,FALSE))</f>
        <v>80</v>
      </c>
      <c r="K1206" s="84">
        <f t="shared" ref="K1206:K1214" si="37">+F1206*I1206</f>
        <v>80</v>
      </c>
      <c r="L1206" s="116">
        <f t="shared" si="36"/>
        <v>3336.8</v>
      </c>
      <c r="P1206" s="45"/>
    </row>
    <row r="1207" spans="1:16" x14ac:dyDescent="0.25">
      <c r="B1207" s="120"/>
      <c r="C1207" s="430"/>
      <c r="D1207" s="429"/>
      <c r="E1207" s="114"/>
      <c r="F1207" s="83"/>
      <c r="G1207" s="74"/>
      <c r="I1207" s="115">
        <f>IF(C1207=0,0,VLOOKUP(C1207,Tabla1[],3,FALSE))</f>
        <v>0</v>
      </c>
      <c r="K1207" s="84">
        <f t="shared" si="37"/>
        <v>0</v>
      </c>
      <c r="L1207" s="116">
        <f t="shared" si="36"/>
        <v>0</v>
      </c>
      <c r="O1207" s="44"/>
      <c r="P1207" s="46"/>
    </row>
    <row r="1208" spans="1:16" x14ac:dyDescent="0.25">
      <c r="B1208" s="120"/>
      <c r="C1208" s="430"/>
      <c r="D1208" s="429"/>
      <c r="E1208" s="114"/>
      <c r="F1208" s="83"/>
      <c r="G1208" s="74"/>
      <c r="I1208" s="115">
        <f>IF(C1208=0,0,VLOOKUP(C1208,Tabla1[],3,FALSE))</f>
        <v>0</v>
      </c>
      <c r="K1208" s="84">
        <f t="shared" si="37"/>
        <v>0</v>
      </c>
      <c r="L1208" s="116">
        <f t="shared" si="36"/>
        <v>0</v>
      </c>
      <c r="O1208" s="44"/>
      <c r="P1208" s="47"/>
    </row>
    <row r="1209" spans="1:16" x14ac:dyDescent="0.25">
      <c r="B1209" s="120"/>
      <c r="C1209" s="286"/>
      <c r="D1209" s="285"/>
      <c r="E1209" s="114"/>
      <c r="F1209" s="83"/>
      <c r="G1209" s="74"/>
      <c r="I1209" s="115">
        <f>IF(C1209=0,0,VLOOKUP(C1209,Tabla1[],3,FALSE))</f>
        <v>0</v>
      </c>
      <c r="K1209" s="84">
        <f t="shared" si="37"/>
        <v>0</v>
      </c>
      <c r="L1209" s="116">
        <f t="shared" si="36"/>
        <v>0</v>
      </c>
      <c r="O1209" s="44"/>
      <c r="P1209" s="47"/>
    </row>
    <row r="1210" spans="1:16" x14ac:dyDescent="0.25">
      <c r="B1210" s="120"/>
      <c r="C1210" s="286"/>
      <c r="D1210" s="285"/>
      <c r="E1210" s="114"/>
      <c r="F1210" s="83"/>
      <c r="G1210" s="74"/>
      <c r="I1210" s="115">
        <f>IF(C1210=0,0,VLOOKUP(C1210,Tabla1[],3,FALSE))</f>
        <v>0</v>
      </c>
      <c r="K1210" s="84">
        <f t="shared" si="37"/>
        <v>0</v>
      </c>
      <c r="L1210" s="116">
        <f t="shared" si="36"/>
        <v>0</v>
      </c>
      <c r="O1210" s="44"/>
      <c r="P1210" s="47"/>
    </row>
    <row r="1211" spans="1:16" x14ac:dyDescent="0.25">
      <c r="B1211" s="120"/>
      <c r="C1211" s="286"/>
      <c r="D1211" s="285"/>
      <c r="E1211" s="114"/>
      <c r="F1211" s="83"/>
      <c r="G1211" s="74"/>
      <c r="I1211" s="115">
        <f>IF(C1211=0,0,VLOOKUP(C1211,Tabla1[],3,FALSE))</f>
        <v>0</v>
      </c>
      <c r="K1211" s="84">
        <f t="shared" si="37"/>
        <v>0</v>
      </c>
      <c r="L1211" s="116">
        <f t="shared" si="36"/>
        <v>0</v>
      </c>
      <c r="O1211" s="44"/>
      <c r="P1211" s="47"/>
    </row>
    <row r="1212" spans="1:16" x14ac:dyDescent="0.3">
      <c r="B1212" s="120"/>
      <c r="C1212" s="430"/>
      <c r="D1212" s="429"/>
      <c r="E1212" s="114"/>
      <c r="F1212" s="83"/>
      <c r="G1212" s="74"/>
      <c r="I1212" s="115">
        <f>IF(C1212=0,0,VLOOKUP(C1212,Tabla1[],3,FALSE))</f>
        <v>0</v>
      </c>
      <c r="K1212" s="84">
        <f t="shared" si="37"/>
        <v>0</v>
      </c>
      <c r="L1212" s="116">
        <f t="shared" si="36"/>
        <v>0</v>
      </c>
      <c r="O1212" s="48"/>
      <c r="P1212" s="49"/>
    </row>
    <row r="1213" spans="1:16" x14ac:dyDescent="0.3">
      <c r="B1213" s="120"/>
      <c r="C1213" s="430"/>
      <c r="D1213" s="429"/>
      <c r="E1213" s="114"/>
      <c r="F1213" s="83"/>
      <c r="G1213" s="74"/>
      <c r="I1213" s="115">
        <f>IF(C1213=0,0,VLOOKUP(C1213,Tabla1[],3,FALSE))</f>
        <v>0</v>
      </c>
      <c r="K1213" s="84">
        <f t="shared" si="37"/>
        <v>0</v>
      </c>
      <c r="L1213" s="116">
        <f t="shared" si="36"/>
        <v>0</v>
      </c>
      <c r="O1213" s="48"/>
      <c r="P1213" s="43"/>
    </row>
    <row r="1214" spans="1:16" x14ac:dyDescent="0.3">
      <c r="B1214" s="120"/>
      <c r="C1214" s="430"/>
      <c r="D1214" s="429"/>
      <c r="E1214" s="114"/>
      <c r="F1214" s="83"/>
      <c r="G1214" s="74"/>
      <c r="I1214" s="115">
        <f>IF(C1214=0,0,VLOOKUP(C1214,Tabla1[],3,FALSE))</f>
        <v>0</v>
      </c>
      <c r="K1214" s="84">
        <f t="shared" si="37"/>
        <v>0</v>
      </c>
      <c r="L1214" s="116">
        <f t="shared" si="36"/>
        <v>0</v>
      </c>
      <c r="O1214" s="48"/>
      <c r="P1214" s="49"/>
    </row>
    <row r="1215" spans="1:16" ht="17.25" thickBot="1" x14ac:dyDescent="0.35"/>
    <row r="1216" spans="1:16" ht="17.25" thickBot="1" x14ac:dyDescent="0.3">
      <c r="F1216" s="402" t="s">
        <v>9</v>
      </c>
      <c r="G1216" s="403"/>
      <c r="H1216" s="403"/>
      <c r="I1216" s="404"/>
      <c r="K1216" s="224">
        <f>+SUM(K1205:K1214)</f>
        <v>125</v>
      </c>
      <c r="L1216" s="117">
        <f>+SUM(L1205:L1214)</f>
        <v>5213.75</v>
      </c>
      <c r="O1216" s="38"/>
      <c r="P1216" s="38"/>
    </row>
    <row r="1217" spans="2:16" ht="17.25" thickBot="1" x14ac:dyDescent="0.35">
      <c r="O1217" s="42"/>
      <c r="P1217" s="43"/>
    </row>
    <row r="1218" spans="2:16" ht="17.25" thickBot="1" x14ac:dyDescent="0.35">
      <c r="B1218" s="108" t="s">
        <v>10</v>
      </c>
      <c r="C1218" s="413" t="s">
        <v>11</v>
      </c>
      <c r="D1218" s="413"/>
      <c r="E1218" s="413"/>
      <c r="F1218" s="413"/>
      <c r="G1218" s="414"/>
    </row>
    <row r="1219" spans="2:16" x14ac:dyDescent="0.3">
      <c r="B1219" s="112" t="s">
        <v>6</v>
      </c>
      <c r="C1219" s="415" t="s">
        <v>1</v>
      </c>
      <c r="D1219" s="416"/>
      <c r="E1219" s="110" t="s">
        <v>192</v>
      </c>
      <c r="F1219" s="118" t="s">
        <v>2</v>
      </c>
      <c r="G1219" s="112" t="s">
        <v>3</v>
      </c>
      <c r="H1219" s="104"/>
      <c r="I1219" s="105" t="s">
        <v>7</v>
      </c>
      <c r="J1219" s="134"/>
      <c r="K1219" s="105" t="s">
        <v>8</v>
      </c>
      <c r="L1219" s="113" t="s">
        <v>193</v>
      </c>
    </row>
    <row r="1220" spans="2:16" x14ac:dyDescent="0.3">
      <c r="B1220" s="120"/>
      <c r="C1220" s="409"/>
      <c r="D1220" s="409"/>
      <c r="E1220" s="114"/>
      <c r="F1220" s="83"/>
      <c r="G1220" s="74"/>
      <c r="I1220" s="115">
        <f>IF(C1220=0,0,VLOOKUP(C1220,Tabla3[],3,FALSE))</f>
        <v>0</v>
      </c>
      <c r="K1220" s="84">
        <f>F1220*I1220</f>
        <v>0</v>
      </c>
      <c r="L1220" s="116">
        <f>E1220*I1220</f>
        <v>0</v>
      </c>
    </row>
    <row r="1221" spans="2:16" x14ac:dyDescent="0.3">
      <c r="B1221" s="74"/>
      <c r="C1221" s="431"/>
      <c r="D1221" s="432"/>
      <c r="E1221" s="119"/>
      <c r="F1221" s="72"/>
      <c r="G1221" s="74"/>
      <c r="I1221" s="115">
        <f>IF(C1221=0,0,VLOOKUP(C1221,Tabla3[],3,FALSE))</f>
        <v>0</v>
      </c>
      <c r="K1221" s="84">
        <f>+F1221*I1221</f>
        <v>0</v>
      </c>
      <c r="L1221" s="116">
        <f>E1221*I1221</f>
        <v>0</v>
      </c>
    </row>
    <row r="1222" spans="2:16" x14ac:dyDescent="0.3">
      <c r="B1222" s="74"/>
      <c r="C1222" s="431"/>
      <c r="D1222" s="432"/>
      <c r="E1222" s="119"/>
      <c r="F1222" s="72"/>
      <c r="G1222" s="74"/>
      <c r="I1222" s="115">
        <f>IF(C1222=0,0,VLOOKUP(C1222,Tabla3[],3,FALSE))</f>
        <v>0</v>
      </c>
      <c r="K1222" s="84">
        <f>+F1222*I1222</f>
        <v>0</v>
      </c>
      <c r="L1222" s="116">
        <f>E1222*I1222</f>
        <v>0</v>
      </c>
    </row>
    <row r="1223" spans="2:16" x14ac:dyDescent="0.3">
      <c r="B1223" s="74"/>
      <c r="C1223" s="411"/>
      <c r="D1223" s="412"/>
      <c r="E1223" s="119"/>
      <c r="F1223" s="72"/>
      <c r="G1223" s="74"/>
      <c r="I1223" s="115">
        <f>IF(C1223=0,0,VLOOKUP(C1223,Tabla3[],3,FALSE))</f>
        <v>0</v>
      </c>
      <c r="K1223" s="84">
        <f>+F1223*I1223</f>
        <v>0</v>
      </c>
      <c r="L1223" s="116">
        <f>E1223*I1223</f>
        <v>0</v>
      </c>
    </row>
    <row r="1224" spans="2:16" ht="17.25" thickBot="1" x14ac:dyDescent="0.35"/>
    <row r="1225" spans="2:16" ht="17.25" thickBot="1" x14ac:dyDescent="0.35">
      <c r="F1225" s="402" t="s">
        <v>12</v>
      </c>
      <c r="G1225" s="403"/>
      <c r="H1225" s="403"/>
      <c r="I1225" s="404"/>
      <c r="K1225" s="224">
        <f>+SUM(K1220:K1223)</f>
        <v>0</v>
      </c>
      <c r="L1225" s="117">
        <f>+SUM(L1220:L1223)</f>
        <v>0</v>
      </c>
    </row>
    <row r="1226" spans="2:16" ht="17.25" thickBot="1" x14ac:dyDescent="0.35"/>
    <row r="1227" spans="2:16" ht="17.25" thickBot="1" x14ac:dyDescent="0.35">
      <c r="B1227" s="108" t="s">
        <v>13</v>
      </c>
      <c r="C1227" s="413" t="s">
        <v>14</v>
      </c>
      <c r="D1227" s="413"/>
      <c r="E1227" s="413"/>
      <c r="F1227" s="413"/>
      <c r="G1227" s="414"/>
    </row>
    <row r="1228" spans="2:16" x14ac:dyDescent="0.3">
      <c r="B1228" s="112" t="s">
        <v>6</v>
      </c>
      <c r="C1228" s="415" t="s">
        <v>1</v>
      </c>
      <c r="D1228" s="416"/>
      <c r="E1228" s="110" t="s">
        <v>192</v>
      </c>
      <c r="F1228" s="118" t="s">
        <v>2</v>
      </c>
      <c r="G1228" s="112" t="s">
        <v>3</v>
      </c>
      <c r="H1228" s="104"/>
      <c r="I1228" s="105" t="s">
        <v>7</v>
      </c>
      <c r="J1228" s="134"/>
      <c r="K1228" s="105" t="s">
        <v>8</v>
      </c>
      <c r="L1228" s="113" t="s">
        <v>193</v>
      </c>
    </row>
    <row r="1229" spans="2:16" x14ac:dyDescent="0.3">
      <c r="B1229" s="120">
        <v>1</v>
      </c>
      <c r="C1229" s="409" t="s">
        <v>584</v>
      </c>
      <c r="D1229" s="409"/>
      <c r="E1229" s="114">
        <f>I1201</f>
        <v>41.71</v>
      </c>
      <c r="F1229" s="83">
        <f>ROUND(E1229/I1201,2)</f>
        <v>1</v>
      </c>
      <c r="G1229" s="74" t="str">
        <f>IF(C1229=0,0,VLOOKUP(C1229,Tabla2[],2,FALSE))</f>
        <v>m²</v>
      </c>
      <c r="I1229" s="115">
        <f>IF(C1229=0,0,VLOOKUP(C1229,Tabla2[],3,FALSE))</f>
        <v>20</v>
      </c>
      <c r="K1229" s="84">
        <f>+F1229*I1229</f>
        <v>20</v>
      </c>
      <c r="L1229" s="116">
        <f>E1229*I1229</f>
        <v>834.2</v>
      </c>
    </row>
    <row r="1230" spans="2:16" x14ac:dyDescent="0.3">
      <c r="B1230" s="120"/>
      <c r="C1230" s="409"/>
      <c r="D1230" s="409"/>
      <c r="E1230" s="114"/>
      <c r="F1230" s="83"/>
      <c r="G1230" s="74"/>
      <c r="I1230" s="115">
        <f>IF(C1230=0,0,VLOOKUP(C1230,Tabla2[],3,FALSE))</f>
        <v>0</v>
      </c>
      <c r="K1230" s="84">
        <f>+F1230*I1230</f>
        <v>0</v>
      </c>
      <c r="L1230" s="116">
        <f>E1230*I1230</f>
        <v>0</v>
      </c>
    </row>
    <row r="1231" spans="2:16" ht="17.25" thickBot="1" x14ac:dyDescent="0.35">
      <c r="B1231" s="121"/>
      <c r="C1231" s="417"/>
      <c r="D1231" s="418"/>
      <c r="E1231" s="122"/>
      <c r="F1231" s="123"/>
      <c r="G1231" s="74"/>
      <c r="I1231" s="115">
        <f>IF(C1231=0,0,VLOOKUP(C1231,Tabla2[],3,FALSE))</f>
        <v>0</v>
      </c>
      <c r="K1231" s="84">
        <f>+F1231*I1231</f>
        <v>0</v>
      </c>
      <c r="L1231" s="116">
        <f>E1231*I1231</f>
        <v>0</v>
      </c>
    </row>
    <row r="1232" spans="2:16" ht="17.25" thickBot="1" x14ac:dyDescent="0.35">
      <c r="B1232" s="419" t="s">
        <v>15</v>
      </c>
      <c r="C1232" s="420"/>
      <c r="D1232" s="420"/>
      <c r="E1232" s="420"/>
      <c r="F1232" s="420"/>
      <c r="G1232" s="421"/>
      <c r="I1232" s="84">
        <v>0</v>
      </c>
      <c r="K1232" s="84">
        <v>0</v>
      </c>
      <c r="L1232" s="116">
        <f>E1232*I1232</f>
        <v>0</v>
      </c>
    </row>
    <row r="1233" spans="2:16" ht="17.25" thickBot="1" x14ac:dyDescent="0.35"/>
    <row r="1234" spans="2:16" ht="17.25" thickBot="1" x14ac:dyDescent="0.35">
      <c r="F1234" s="402" t="s">
        <v>16</v>
      </c>
      <c r="G1234" s="403"/>
      <c r="H1234" s="403"/>
      <c r="I1234" s="404"/>
      <c r="K1234" s="224">
        <f>+SUM(K1229:K1232)</f>
        <v>20</v>
      </c>
      <c r="L1234" s="117">
        <f>+SUM(L1229:L1232)</f>
        <v>834.2</v>
      </c>
    </row>
    <row r="1235" spans="2:16" ht="17.25" thickBot="1" x14ac:dyDescent="0.35"/>
    <row r="1236" spans="2:16" ht="17.25" thickBot="1" x14ac:dyDescent="0.35">
      <c r="B1236" s="108" t="s">
        <v>17</v>
      </c>
      <c r="C1236" s="413" t="s">
        <v>18</v>
      </c>
      <c r="D1236" s="413"/>
      <c r="E1236" s="413"/>
      <c r="F1236" s="413"/>
      <c r="G1236" s="414"/>
    </row>
    <row r="1237" spans="2:16" x14ac:dyDescent="0.3">
      <c r="B1237" s="112" t="s">
        <v>6</v>
      </c>
      <c r="C1237" s="415" t="s">
        <v>1</v>
      </c>
      <c r="D1237" s="416"/>
      <c r="E1237" s="124"/>
      <c r="F1237" s="118" t="s">
        <v>2</v>
      </c>
      <c r="G1237" s="112" t="s">
        <v>3</v>
      </c>
      <c r="H1237" s="104"/>
      <c r="I1237" s="105" t="s">
        <v>7</v>
      </c>
      <c r="J1237" s="134"/>
      <c r="K1237" s="105" t="s">
        <v>8</v>
      </c>
      <c r="L1237" s="113" t="s">
        <v>193</v>
      </c>
    </row>
    <row r="1238" spans="2:16" x14ac:dyDescent="0.3">
      <c r="B1238" s="74"/>
      <c r="C1238" s="411"/>
      <c r="D1238" s="412"/>
      <c r="E1238" s="125"/>
      <c r="F1238" s="72"/>
      <c r="G1238" s="74"/>
      <c r="I1238" s="84">
        <v>0</v>
      </c>
      <c r="K1238" s="84">
        <f>+F1238*I1238</f>
        <v>0</v>
      </c>
      <c r="L1238" s="116">
        <f>E1238*I1238</f>
        <v>0</v>
      </c>
    </row>
    <row r="1239" spans="2:16" x14ac:dyDescent="0.3">
      <c r="B1239" s="74"/>
      <c r="C1239" s="411"/>
      <c r="D1239" s="412"/>
      <c r="E1239" s="125"/>
      <c r="F1239" s="72"/>
      <c r="G1239" s="74"/>
      <c r="I1239" s="84">
        <v>0</v>
      </c>
      <c r="K1239" s="84">
        <f>+F1239*I1239</f>
        <v>0</v>
      </c>
      <c r="L1239" s="116">
        <f>E1239*I1239</f>
        <v>0</v>
      </c>
    </row>
    <row r="1240" spans="2:16" x14ac:dyDescent="0.3">
      <c r="B1240" s="74"/>
      <c r="C1240" s="411"/>
      <c r="D1240" s="412"/>
      <c r="E1240" s="125"/>
      <c r="F1240" s="72"/>
      <c r="G1240" s="74"/>
      <c r="I1240" s="84">
        <v>0</v>
      </c>
      <c r="K1240" s="84">
        <f>+F1240*I1240</f>
        <v>0</v>
      </c>
      <c r="L1240" s="116">
        <f>E1240*I1240</f>
        <v>0</v>
      </c>
    </row>
    <row r="1241" spans="2:16" ht="17.25" thickBot="1" x14ac:dyDescent="0.35">
      <c r="L1241" s="116"/>
    </row>
    <row r="1242" spans="2:16" ht="17.25" thickBot="1" x14ac:dyDescent="0.35">
      <c r="F1242" s="402" t="s">
        <v>19</v>
      </c>
      <c r="G1242" s="403"/>
      <c r="H1242" s="403"/>
      <c r="I1242" s="404"/>
      <c r="K1242" s="224">
        <f>+SUM(K1238:K1240)</f>
        <v>0</v>
      </c>
      <c r="L1242" s="117">
        <f>+SUM(L1237:L1240)</f>
        <v>0</v>
      </c>
    </row>
    <row r="1243" spans="2:16" ht="15" customHeight="1" x14ac:dyDescent="0.3">
      <c r="F1243" s="126"/>
      <c r="G1243" s="280"/>
      <c r="H1243" s="128"/>
      <c r="I1243" s="106"/>
      <c r="K1243" s="225"/>
    </row>
    <row r="1244" spans="2:16" ht="15" customHeight="1" thickBot="1" x14ac:dyDescent="0.35"/>
    <row r="1245" spans="2:16" ht="17.25" thickBot="1" x14ac:dyDescent="0.35">
      <c r="F1245" s="402" t="s">
        <v>20</v>
      </c>
      <c r="G1245" s="403"/>
      <c r="H1245" s="403"/>
      <c r="I1245" s="404"/>
      <c r="K1245" s="224">
        <f>(+K1216+K1225+K1234+K1242)</f>
        <v>145</v>
      </c>
      <c r="L1245" s="117">
        <f>(+L1216+L1225+L1234+L1242)</f>
        <v>6047.95</v>
      </c>
      <c r="N1245" s="129"/>
      <c r="O1245" s="39"/>
      <c r="P1245" s="40"/>
    </row>
    <row r="1246" spans="2:16" ht="7.5" customHeight="1" thickBot="1" x14ac:dyDescent="0.35">
      <c r="N1246" s="129"/>
      <c r="O1246" s="41"/>
      <c r="P1246" s="40"/>
    </row>
    <row r="1247" spans="2:16" ht="17.25" thickBot="1" x14ac:dyDescent="0.35">
      <c r="F1247" s="402" t="s">
        <v>21</v>
      </c>
      <c r="G1247" s="403"/>
      <c r="H1247" s="403"/>
      <c r="I1247" s="404"/>
      <c r="K1247" s="224">
        <f>K1245*$N$2</f>
        <v>58</v>
      </c>
      <c r="L1247" s="117">
        <f>L1245*$N$2</f>
        <v>2419.1799999999998</v>
      </c>
    </row>
    <row r="1248" spans="2:16" ht="7.5" customHeight="1" thickBot="1" x14ac:dyDescent="0.35"/>
    <row r="1249" spans="1:16" ht="17.25" thickBot="1" x14ac:dyDescent="0.35">
      <c r="F1249" s="402" t="s">
        <v>22</v>
      </c>
      <c r="G1249" s="403"/>
      <c r="H1249" s="403"/>
      <c r="I1249" s="404"/>
      <c r="K1249" s="224">
        <f>+K1245+K1247</f>
        <v>203</v>
      </c>
      <c r="L1249" s="117">
        <f>+L1245+L1247</f>
        <v>8467.1299999999992</v>
      </c>
    </row>
    <row r="1250" spans="1:16" ht="17.25" thickBot="1" x14ac:dyDescent="0.35">
      <c r="F1250" s="126"/>
      <c r="G1250" s="280"/>
      <c r="H1250" s="128"/>
      <c r="I1250" s="106"/>
      <c r="K1250" s="226"/>
      <c r="L1250" s="130">
        <f>L1249/I1201</f>
        <v>202.99999999999997</v>
      </c>
      <c r="M1250" s="131">
        <f>(K1249-L1250)*I1201</f>
        <v>1.1854695003421512E-12</v>
      </c>
    </row>
    <row r="1251" spans="1:16" x14ac:dyDescent="0.3">
      <c r="F1251" s="126"/>
      <c r="G1251" s="280"/>
      <c r="H1251" s="128"/>
      <c r="I1251" s="106"/>
      <c r="K1251" s="227"/>
      <c r="L1251" s="129"/>
      <c r="M1251" s="132"/>
      <c r="N1251" s="133"/>
    </row>
    <row r="1252" spans="1:16" ht="17.25" thickBot="1" x14ac:dyDescent="0.35">
      <c r="B1252" s="405"/>
      <c r="C1252" s="405"/>
      <c r="D1252" s="405"/>
    </row>
    <row r="1253" spans="1:16" x14ac:dyDescent="0.3">
      <c r="B1253" s="406" t="s">
        <v>23</v>
      </c>
      <c r="C1253" s="406"/>
      <c r="D1253" s="406"/>
    </row>
    <row r="1254" spans="1:16" x14ac:dyDescent="0.3">
      <c r="B1254" s="281"/>
      <c r="C1254" s="281"/>
      <c r="D1254" s="281"/>
    </row>
    <row r="1255" spans="1:16" x14ac:dyDescent="0.3">
      <c r="B1255" s="281"/>
      <c r="C1255" s="281"/>
      <c r="D1255" s="281"/>
    </row>
    <row r="1256" spans="1:16" x14ac:dyDescent="0.3">
      <c r="B1256" s="103" t="s">
        <v>43</v>
      </c>
      <c r="C1256" s="104"/>
      <c r="D1256" s="422" t="s">
        <v>1</v>
      </c>
      <c r="E1256" s="422"/>
      <c r="F1256" s="422"/>
      <c r="G1256" s="422"/>
      <c r="H1256" s="104"/>
      <c r="I1256" s="105" t="s">
        <v>2</v>
      </c>
      <c r="J1256" s="134"/>
      <c r="K1256" s="105" t="s">
        <v>3</v>
      </c>
    </row>
    <row r="1257" spans="1:16" s="4" customFormat="1" ht="30.75" customHeight="1" x14ac:dyDescent="0.25">
      <c r="A1257" s="31"/>
      <c r="B1257" s="287">
        <f>CATALOGO!B56</f>
        <v>601.08000000000004</v>
      </c>
      <c r="C1257" s="71"/>
      <c r="D1257" s="423" t="str">
        <f>CATALOGO!C56</f>
        <v>REPELLO + BLANQUEADO</v>
      </c>
      <c r="E1257" s="423"/>
      <c r="F1257" s="423"/>
      <c r="G1257" s="423"/>
      <c r="H1257" s="71"/>
      <c r="I1257" s="287">
        <f>CATALOGO!D56</f>
        <v>140.94</v>
      </c>
      <c r="J1257" s="107"/>
      <c r="K1257" s="222" t="str">
        <f>CATALOGO!G56</f>
        <v>m²</v>
      </c>
      <c r="L1257" s="71"/>
      <c r="M1257" s="71"/>
      <c r="N1257" s="71"/>
      <c r="O1257" s="37"/>
      <c r="P1257" s="37"/>
    </row>
    <row r="1258" spans="1:16" ht="17.25" thickBot="1" x14ac:dyDescent="0.35"/>
    <row r="1259" spans="1:16" ht="17.25" thickBot="1" x14ac:dyDescent="0.35">
      <c r="B1259" s="108" t="s">
        <v>4</v>
      </c>
      <c r="C1259" s="413" t="s">
        <v>5</v>
      </c>
      <c r="D1259" s="413"/>
      <c r="E1259" s="413"/>
      <c r="F1259" s="413"/>
      <c r="G1259" s="414"/>
    </row>
    <row r="1260" spans="1:16" x14ac:dyDescent="0.25">
      <c r="B1260" s="109" t="s">
        <v>6</v>
      </c>
      <c r="C1260" s="424" t="s">
        <v>1</v>
      </c>
      <c r="D1260" s="425"/>
      <c r="E1260" s="110" t="s">
        <v>192</v>
      </c>
      <c r="F1260" s="111" t="s">
        <v>2</v>
      </c>
      <c r="G1260" s="112" t="s">
        <v>3</v>
      </c>
      <c r="H1260" s="104"/>
      <c r="I1260" s="105" t="s">
        <v>7</v>
      </c>
      <c r="J1260" s="134"/>
      <c r="K1260" s="223" t="s">
        <v>8</v>
      </c>
      <c r="L1260" s="113" t="s">
        <v>193</v>
      </c>
      <c r="O1260" s="438"/>
      <c r="P1260" s="438"/>
    </row>
    <row r="1261" spans="1:16" ht="16.5" customHeight="1" x14ac:dyDescent="0.25">
      <c r="B1261" s="120">
        <v>1</v>
      </c>
      <c r="C1261" s="430" t="s">
        <v>72</v>
      </c>
      <c r="D1261" s="429"/>
      <c r="E1261" s="114">
        <f>I1257*0.18</f>
        <v>25.369199999999999</v>
      </c>
      <c r="F1261" s="83">
        <f>ROUND(E1261/I1257,2)</f>
        <v>0.18</v>
      </c>
      <c r="G1261" s="74" t="str">
        <f>IF(C1261=0,0,VLOOKUP(C1261,Tabla1[],2,FALSE))</f>
        <v>m³</v>
      </c>
      <c r="I1261" s="115">
        <f>IF(C1261=0,0,VLOOKUP(C1261,Tabla1[],3,FALSE))</f>
        <v>250</v>
      </c>
      <c r="K1261" s="84">
        <f>F1261*I1261</f>
        <v>45</v>
      </c>
      <c r="L1261" s="116">
        <f t="shared" ref="L1261:L1270" si="38">E1261*I1261</f>
        <v>6342.3</v>
      </c>
      <c r="O1261" s="44"/>
      <c r="P1261" s="45"/>
    </row>
    <row r="1262" spans="1:16" x14ac:dyDescent="0.3">
      <c r="B1262" s="120">
        <v>2</v>
      </c>
      <c r="C1262" s="428" t="s">
        <v>213</v>
      </c>
      <c r="D1262" s="429"/>
      <c r="E1262" s="114">
        <f>I1257*1</f>
        <v>140.94</v>
      </c>
      <c r="F1262" s="83">
        <f>ROUND(E1262/I1257,2)</f>
        <v>1</v>
      </c>
      <c r="G1262" s="74" t="str">
        <f>IF(C1262=0,0,VLOOKUP(C1262,Tabla1[],2,FALSE))</f>
        <v>Saco</v>
      </c>
      <c r="I1262" s="115">
        <f>IF(C1262=0,0,VLOOKUP(C1262,Tabla1[],3,FALSE))</f>
        <v>80</v>
      </c>
      <c r="K1262" s="84">
        <f t="shared" ref="K1262:K1270" si="39">+F1262*I1262</f>
        <v>80</v>
      </c>
      <c r="L1262" s="116">
        <f t="shared" si="38"/>
        <v>11275.2</v>
      </c>
      <c r="P1262" s="45"/>
    </row>
    <row r="1263" spans="1:16" x14ac:dyDescent="0.25">
      <c r="B1263" s="120"/>
      <c r="C1263" s="430"/>
      <c r="D1263" s="429"/>
      <c r="E1263" s="114"/>
      <c r="F1263" s="83"/>
      <c r="G1263" s="74"/>
      <c r="I1263" s="115">
        <f>IF(C1263=0,0,VLOOKUP(C1263,Tabla1[],3,FALSE))</f>
        <v>0</v>
      </c>
      <c r="K1263" s="84">
        <f t="shared" si="39"/>
        <v>0</v>
      </c>
      <c r="L1263" s="116">
        <f t="shared" si="38"/>
        <v>0</v>
      </c>
      <c r="O1263" s="44"/>
      <c r="P1263" s="46"/>
    </row>
    <row r="1264" spans="1:16" x14ac:dyDescent="0.25">
      <c r="B1264" s="120"/>
      <c r="C1264" s="430"/>
      <c r="D1264" s="429"/>
      <c r="E1264" s="114"/>
      <c r="F1264" s="83"/>
      <c r="G1264" s="74"/>
      <c r="I1264" s="115">
        <f>IF(C1264=0,0,VLOOKUP(C1264,Tabla1[],3,FALSE))</f>
        <v>0</v>
      </c>
      <c r="K1264" s="84">
        <f t="shared" si="39"/>
        <v>0</v>
      </c>
      <c r="L1264" s="116">
        <f t="shared" si="38"/>
        <v>0</v>
      </c>
      <c r="O1264" s="44"/>
      <c r="P1264" s="47"/>
    </row>
    <row r="1265" spans="2:16" x14ac:dyDescent="0.25">
      <c r="B1265" s="120"/>
      <c r="C1265" s="286"/>
      <c r="D1265" s="285"/>
      <c r="E1265" s="114"/>
      <c r="F1265" s="83"/>
      <c r="G1265" s="74"/>
      <c r="I1265" s="115">
        <f>IF(C1265=0,0,VLOOKUP(C1265,Tabla1[],3,FALSE))</f>
        <v>0</v>
      </c>
      <c r="K1265" s="84">
        <f t="shared" si="39"/>
        <v>0</v>
      </c>
      <c r="L1265" s="116">
        <f t="shared" si="38"/>
        <v>0</v>
      </c>
      <c r="O1265" s="44"/>
      <c r="P1265" s="47"/>
    </row>
    <row r="1266" spans="2:16" x14ac:dyDescent="0.25">
      <c r="B1266" s="120"/>
      <c r="C1266" s="286"/>
      <c r="D1266" s="285"/>
      <c r="E1266" s="114"/>
      <c r="F1266" s="83"/>
      <c r="G1266" s="74"/>
      <c r="I1266" s="115">
        <f>IF(C1266=0,0,VLOOKUP(C1266,Tabla1[],3,FALSE))</f>
        <v>0</v>
      </c>
      <c r="K1266" s="84">
        <f t="shared" si="39"/>
        <v>0</v>
      </c>
      <c r="L1266" s="116">
        <f t="shared" si="38"/>
        <v>0</v>
      </c>
      <c r="O1266" s="44"/>
      <c r="P1266" s="47"/>
    </row>
    <row r="1267" spans="2:16" x14ac:dyDescent="0.25">
      <c r="B1267" s="120"/>
      <c r="C1267" s="286"/>
      <c r="D1267" s="285"/>
      <c r="E1267" s="114"/>
      <c r="F1267" s="83"/>
      <c r="G1267" s="74"/>
      <c r="I1267" s="115">
        <f>IF(C1267=0,0,VLOOKUP(C1267,Tabla1[],3,FALSE))</f>
        <v>0</v>
      </c>
      <c r="K1267" s="84">
        <f t="shared" si="39"/>
        <v>0</v>
      </c>
      <c r="L1267" s="116">
        <f t="shared" si="38"/>
        <v>0</v>
      </c>
      <c r="O1267" s="44"/>
      <c r="P1267" s="47"/>
    </row>
    <row r="1268" spans="2:16" x14ac:dyDescent="0.3">
      <c r="B1268" s="120"/>
      <c r="C1268" s="430"/>
      <c r="D1268" s="429"/>
      <c r="E1268" s="114"/>
      <c r="F1268" s="83"/>
      <c r="G1268" s="74"/>
      <c r="I1268" s="115">
        <f>IF(C1268=0,0,VLOOKUP(C1268,Tabla1[],3,FALSE))</f>
        <v>0</v>
      </c>
      <c r="K1268" s="84">
        <f t="shared" si="39"/>
        <v>0</v>
      </c>
      <c r="L1268" s="116">
        <f t="shared" si="38"/>
        <v>0</v>
      </c>
      <c r="O1268" s="48"/>
      <c r="P1268" s="49"/>
    </row>
    <row r="1269" spans="2:16" x14ac:dyDescent="0.3">
      <c r="B1269" s="120"/>
      <c r="C1269" s="430"/>
      <c r="D1269" s="429"/>
      <c r="E1269" s="114"/>
      <c r="F1269" s="83"/>
      <c r="G1269" s="74"/>
      <c r="I1269" s="115">
        <f>IF(C1269=0,0,VLOOKUP(C1269,Tabla1[],3,FALSE))</f>
        <v>0</v>
      </c>
      <c r="K1269" s="84">
        <f t="shared" si="39"/>
        <v>0</v>
      </c>
      <c r="L1269" s="116">
        <f t="shared" si="38"/>
        <v>0</v>
      </c>
      <c r="O1269" s="48"/>
      <c r="P1269" s="43"/>
    </row>
    <row r="1270" spans="2:16" x14ac:dyDescent="0.3">
      <c r="B1270" s="120"/>
      <c r="C1270" s="430"/>
      <c r="D1270" s="429"/>
      <c r="E1270" s="114"/>
      <c r="F1270" s="83"/>
      <c r="G1270" s="74"/>
      <c r="I1270" s="115">
        <f>IF(C1270=0,0,VLOOKUP(C1270,Tabla1[],3,FALSE))</f>
        <v>0</v>
      </c>
      <c r="K1270" s="84">
        <f t="shared" si="39"/>
        <v>0</v>
      </c>
      <c r="L1270" s="116">
        <f t="shared" si="38"/>
        <v>0</v>
      </c>
      <c r="O1270" s="48"/>
      <c r="P1270" s="49"/>
    </row>
    <row r="1271" spans="2:16" ht="17.25" thickBot="1" x14ac:dyDescent="0.35"/>
    <row r="1272" spans="2:16" ht="17.25" thickBot="1" x14ac:dyDescent="0.3">
      <c r="F1272" s="402" t="s">
        <v>9</v>
      </c>
      <c r="G1272" s="403"/>
      <c r="H1272" s="403"/>
      <c r="I1272" s="404"/>
      <c r="K1272" s="224">
        <f>+SUM(K1261:K1270)</f>
        <v>125</v>
      </c>
      <c r="L1272" s="117">
        <f>+SUM(L1261:L1270)</f>
        <v>17617.5</v>
      </c>
      <c r="O1272" s="38"/>
      <c r="P1272" s="38"/>
    </row>
    <row r="1273" spans="2:16" ht="17.25" thickBot="1" x14ac:dyDescent="0.35">
      <c r="O1273" s="42"/>
      <c r="P1273" s="43"/>
    </row>
    <row r="1274" spans="2:16" ht="17.25" thickBot="1" x14ac:dyDescent="0.35">
      <c r="B1274" s="108" t="s">
        <v>10</v>
      </c>
      <c r="C1274" s="413" t="s">
        <v>11</v>
      </c>
      <c r="D1274" s="413"/>
      <c r="E1274" s="413"/>
      <c r="F1274" s="413"/>
      <c r="G1274" s="414"/>
    </row>
    <row r="1275" spans="2:16" x14ac:dyDescent="0.3">
      <c r="B1275" s="112" t="s">
        <v>6</v>
      </c>
      <c r="C1275" s="415" t="s">
        <v>1</v>
      </c>
      <c r="D1275" s="416"/>
      <c r="E1275" s="110" t="s">
        <v>192</v>
      </c>
      <c r="F1275" s="118" t="s">
        <v>2</v>
      </c>
      <c r="G1275" s="112" t="s">
        <v>3</v>
      </c>
      <c r="H1275" s="104"/>
      <c r="I1275" s="105" t="s">
        <v>7</v>
      </c>
      <c r="J1275" s="134"/>
      <c r="K1275" s="105" t="s">
        <v>8</v>
      </c>
      <c r="L1275" s="113" t="s">
        <v>193</v>
      </c>
    </row>
    <row r="1276" spans="2:16" x14ac:dyDescent="0.3">
      <c r="B1276" s="120"/>
      <c r="C1276" s="409"/>
      <c r="D1276" s="409"/>
      <c r="E1276" s="114"/>
      <c r="F1276" s="83"/>
      <c r="G1276" s="74"/>
      <c r="I1276" s="115">
        <f>IF(C1276=0,0,VLOOKUP(C1276,Tabla3[],3,FALSE))</f>
        <v>0</v>
      </c>
      <c r="K1276" s="84">
        <f>F1276*I1276</f>
        <v>0</v>
      </c>
      <c r="L1276" s="116">
        <f>E1276*I1276</f>
        <v>0</v>
      </c>
    </row>
    <row r="1277" spans="2:16" x14ac:dyDescent="0.3">
      <c r="B1277" s="74"/>
      <c r="C1277" s="431"/>
      <c r="D1277" s="432"/>
      <c r="E1277" s="119"/>
      <c r="F1277" s="72"/>
      <c r="G1277" s="74"/>
      <c r="I1277" s="115">
        <f>IF(C1277=0,0,VLOOKUP(C1277,Tabla3[],3,FALSE))</f>
        <v>0</v>
      </c>
      <c r="K1277" s="84">
        <f>+F1277*I1277</f>
        <v>0</v>
      </c>
      <c r="L1277" s="116">
        <f>E1277*I1277</f>
        <v>0</v>
      </c>
    </row>
    <row r="1278" spans="2:16" x14ac:dyDescent="0.3">
      <c r="B1278" s="74"/>
      <c r="C1278" s="431"/>
      <c r="D1278" s="432"/>
      <c r="E1278" s="119"/>
      <c r="F1278" s="72"/>
      <c r="G1278" s="74"/>
      <c r="I1278" s="115">
        <f>IF(C1278=0,0,VLOOKUP(C1278,Tabla3[],3,FALSE))</f>
        <v>0</v>
      </c>
      <c r="K1278" s="84">
        <f>+F1278*I1278</f>
        <v>0</v>
      </c>
      <c r="L1278" s="116">
        <f>E1278*I1278</f>
        <v>0</v>
      </c>
    </row>
    <row r="1279" spans="2:16" x14ac:dyDescent="0.3">
      <c r="B1279" s="74"/>
      <c r="C1279" s="411"/>
      <c r="D1279" s="412"/>
      <c r="E1279" s="119"/>
      <c r="F1279" s="72"/>
      <c r="G1279" s="74"/>
      <c r="I1279" s="115">
        <f>IF(C1279=0,0,VLOOKUP(C1279,Tabla3[],3,FALSE))</f>
        <v>0</v>
      </c>
      <c r="K1279" s="84">
        <f>+F1279*I1279</f>
        <v>0</v>
      </c>
      <c r="L1279" s="116">
        <f>E1279*I1279</f>
        <v>0</v>
      </c>
    </row>
    <row r="1280" spans="2:16" ht="17.25" thickBot="1" x14ac:dyDescent="0.35"/>
    <row r="1281" spans="2:12" ht="17.25" thickBot="1" x14ac:dyDescent="0.35">
      <c r="F1281" s="402" t="s">
        <v>12</v>
      </c>
      <c r="G1281" s="403"/>
      <c r="H1281" s="403"/>
      <c r="I1281" s="404"/>
      <c r="K1281" s="224">
        <f>+SUM(K1276:K1279)</f>
        <v>0</v>
      </c>
      <c r="L1281" s="117">
        <f>+SUM(L1276:L1279)</f>
        <v>0</v>
      </c>
    </row>
    <row r="1282" spans="2:12" ht="17.25" thickBot="1" x14ac:dyDescent="0.35"/>
    <row r="1283" spans="2:12" ht="17.25" thickBot="1" x14ac:dyDescent="0.35">
      <c r="B1283" s="108" t="s">
        <v>13</v>
      </c>
      <c r="C1283" s="413" t="s">
        <v>14</v>
      </c>
      <c r="D1283" s="413"/>
      <c r="E1283" s="413"/>
      <c r="F1283" s="413"/>
      <c r="G1283" s="414"/>
    </row>
    <row r="1284" spans="2:12" x14ac:dyDescent="0.3">
      <c r="B1284" s="112" t="s">
        <v>6</v>
      </c>
      <c r="C1284" s="415" t="s">
        <v>1</v>
      </c>
      <c r="D1284" s="416"/>
      <c r="E1284" s="110" t="s">
        <v>192</v>
      </c>
      <c r="F1284" s="118" t="s">
        <v>2</v>
      </c>
      <c r="G1284" s="112" t="s">
        <v>3</v>
      </c>
      <c r="H1284" s="104"/>
      <c r="I1284" s="105" t="s">
        <v>7</v>
      </c>
      <c r="J1284" s="134"/>
      <c r="K1284" s="105" t="s">
        <v>8</v>
      </c>
      <c r="L1284" s="113" t="s">
        <v>193</v>
      </c>
    </row>
    <row r="1285" spans="2:12" x14ac:dyDescent="0.3">
      <c r="B1285" s="120">
        <v>1</v>
      </c>
      <c r="C1285" s="409" t="s">
        <v>584</v>
      </c>
      <c r="D1285" s="409"/>
      <c r="E1285" s="114">
        <f>I1257</f>
        <v>140.94</v>
      </c>
      <c r="F1285" s="83">
        <f>ROUND(E1285/I1257,2)</f>
        <v>1</v>
      </c>
      <c r="G1285" s="74" t="str">
        <f>IF(C1285=0,0,VLOOKUP(C1285,Tabla2[],2,FALSE))</f>
        <v>m²</v>
      </c>
      <c r="I1285" s="115">
        <f>IF(C1285=0,0,VLOOKUP(C1285,Tabla2[],3,FALSE))</f>
        <v>20</v>
      </c>
      <c r="K1285" s="84">
        <f>+F1285*I1285</f>
        <v>20</v>
      </c>
      <c r="L1285" s="116">
        <f>E1285*I1285</f>
        <v>2818.8</v>
      </c>
    </row>
    <row r="1286" spans="2:12" x14ac:dyDescent="0.3">
      <c r="B1286" s="120"/>
      <c r="C1286" s="409"/>
      <c r="D1286" s="409"/>
      <c r="E1286" s="114"/>
      <c r="F1286" s="83"/>
      <c r="G1286" s="74"/>
      <c r="I1286" s="115">
        <f>IF(C1286=0,0,VLOOKUP(C1286,Tabla2[],3,FALSE))</f>
        <v>0</v>
      </c>
      <c r="K1286" s="84">
        <f>+F1286*I1286</f>
        <v>0</v>
      </c>
      <c r="L1286" s="116">
        <f>E1286*I1286</f>
        <v>0</v>
      </c>
    </row>
    <row r="1287" spans="2:12" ht="17.25" thickBot="1" x14ac:dyDescent="0.35">
      <c r="B1287" s="121"/>
      <c r="C1287" s="417"/>
      <c r="D1287" s="418"/>
      <c r="E1287" s="122"/>
      <c r="F1287" s="123"/>
      <c r="G1287" s="74"/>
      <c r="I1287" s="115">
        <f>IF(C1287=0,0,VLOOKUP(C1287,Tabla2[],3,FALSE))</f>
        <v>0</v>
      </c>
      <c r="K1287" s="84">
        <f>+F1287*I1287</f>
        <v>0</v>
      </c>
      <c r="L1287" s="116">
        <f>E1287*I1287</f>
        <v>0</v>
      </c>
    </row>
    <row r="1288" spans="2:12" ht="17.25" thickBot="1" x14ac:dyDescent="0.35">
      <c r="B1288" s="419" t="s">
        <v>15</v>
      </c>
      <c r="C1288" s="420"/>
      <c r="D1288" s="420"/>
      <c r="E1288" s="420"/>
      <c r="F1288" s="420"/>
      <c r="G1288" s="421"/>
      <c r="I1288" s="84">
        <v>0</v>
      </c>
      <c r="K1288" s="84">
        <v>0</v>
      </c>
      <c r="L1288" s="116">
        <f>E1288*I1288</f>
        <v>0</v>
      </c>
    </row>
    <row r="1289" spans="2:12" ht="17.25" thickBot="1" x14ac:dyDescent="0.35"/>
    <row r="1290" spans="2:12" ht="17.25" thickBot="1" x14ac:dyDescent="0.35">
      <c r="F1290" s="402" t="s">
        <v>16</v>
      </c>
      <c r="G1290" s="403"/>
      <c r="H1290" s="403"/>
      <c r="I1290" s="404"/>
      <c r="K1290" s="224">
        <f>+SUM(K1285:K1288)</f>
        <v>20</v>
      </c>
      <c r="L1290" s="117">
        <f>+SUM(L1285:L1288)</f>
        <v>2818.8</v>
      </c>
    </row>
    <row r="1291" spans="2:12" ht="17.25" thickBot="1" x14ac:dyDescent="0.35"/>
    <row r="1292" spans="2:12" ht="17.25" thickBot="1" x14ac:dyDescent="0.35">
      <c r="B1292" s="108" t="s">
        <v>17</v>
      </c>
      <c r="C1292" s="413" t="s">
        <v>18</v>
      </c>
      <c r="D1292" s="413"/>
      <c r="E1292" s="413"/>
      <c r="F1292" s="413"/>
      <c r="G1292" s="414"/>
    </row>
    <row r="1293" spans="2:12" x14ac:dyDescent="0.3">
      <c r="B1293" s="112" t="s">
        <v>6</v>
      </c>
      <c r="C1293" s="415" t="s">
        <v>1</v>
      </c>
      <c r="D1293" s="416"/>
      <c r="E1293" s="124"/>
      <c r="F1293" s="118" t="s">
        <v>2</v>
      </c>
      <c r="G1293" s="112" t="s">
        <v>3</v>
      </c>
      <c r="H1293" s="104"/>
      <c r="I1293" s="105" t="s">
        <v>7</v>
      </c>
      <c r="J1293" s="134"/>
      <c r="K1293" s="105" t="s">
        <v>8</v>
      </c>
      <c r="L1293" s="113" t="s">
        <v>193</v>
      </c>
    </row>
    <row r="1294" spans="2:12" x14ac:dyDescent="0.3">
      <c r="B1294" s="74"/>
      <c r="C1294" s="411"/>
      <c r="D1294" s="412"/>
      <c r="E1294" s="125"/>
      <c r="F1294" s="72"/>
      <c r="G1294" s="74"/>
      <c r="I1294" s="84">
        <v>0</v>
      </c>
      <c r="K1294" s="84">
        <f>+F1294*I1294</f>
        <v>0</v>
      </c>
      <c r="L1294" s="116">
        <f>E1294*I1294</f>
        <v>0</v>
      </c>
    </row>
    <row r="1295" spans="2:12" x14ac:dyDescent="0.3">
      <c r="B1295" s="74"/>
      <c r="C1295" s="411"/>
      <c r="D1295" s="412"/>
      <c r="E1295" s="125"/>
      <c r="F1295" s="72"/>
      <c r="G1295" s="74"/>
      <c r="I1295" s="84">
        <v>0</v>
      </c>
      <c r="K1295" s="84">
        <f>+F1295*I1295</f>
        <v>0</v>
      </c>
      <c r="L1295" s="116">
        <f>E1295*I1295</f>
        <v>0</v>
      </c>
    </row>
    <row r="1296" spans="2:12" x14ac:dyDescent="0.3">
      <c r="B1296" s="74"/>
      <c r="C1296" s="411"/>
      <c r="D1296" s="412"/>
      <c r="E1296" s="125"/>
      <c r="F1296" s="72"/>
      <c r="G1296" s="74"/>
      <c r="I1296" s="84">
        <v>0</v>
      </c>
      <c r="K1296" s="84">
        <f>+F1296*I1296</f>
        <v>0</v>
      </c>
      <c r="L1296" s="116">
        <f>E1296*I1296</f>
        <v>0</v>
      </c>
    </row>
    <row r="1297" spans="2:16" ht="17.25" thickBot="1" x14ac:dyDescent="0.35">
      <c r="L1297" s="116"/>
    </row>
    <row r="1298" spans="2:16" ht="17.25" thickBot="1" x14ac:dyDescent="0.35">
      <c r="F1298" s="402" t="s">
        <v>19</v>
      </c>
      <c r="G1298" s="403"/>
      <c r="H1298" s="403"/>
      <c r="I1298" s="404"/>
      <c r="K1298" s="224">
        <f>+SUM(K1294:K1296)</f>
        <v>0</v>
      </c>
      <c r="L1298" s="117">
        <f>+SUM(L1293:L1296)</f>
        <v>0</v>
      </c>
    </row>
    <row r="1299" spans="2:16" ht="15" customHeight="1" x14ac:dyDescent="0.3">
      <c r="F1299" s="126"/>
      <c r="G1299" s="280"/>
      <c r="H1299" s="128"/>
      <c r="I1299" s="106"/>
      <c r="K1299" s="225"/>
    </row>
    <row r="1300" spans="2:16" ht="15" customHeight="1" thickBot="1" x14ac:dyDescent="0.35"/>
    <row r="1301" spans="2:16" ht="17.25" thickBot="1" x14ac:dyDescent="0.35">
      <c r="F1301" s="402" t="s">
        <v>20</v>
      </c>
      <c r="G1301" s="403"/>
      <c r="H1301" s="403"/>
      <c r="I1301" s="404"/>
      <c r="K1301" s="224">
        <f>(+K1272+K1281+K1290+K1298)</f>
        <v>145</v>
      </c>
      <c r="L1301" s="117">
        <f>(+L1272+L1281+L1290+L1298)</f>
        <v>20436.3</v>
      </c>
      <c r="N1301" s="129"/>
      <c r="O1301" s="39"/>
      <c r="P1301" s="40"/>
    </row>
    <row r="1302" spans="2:16" ht="7.5" customHeight="1" thickBot="1" x14ac:dyDescent="0.35">
      <c r="N1302" s="129"/>
      <c r="O1302" s="41"/>
      <c r="P1302" s="40"/>
    </row>
    <row r="1303" spans="2:16" ht="17.25" thickBot="1" x14ac:dyDescent="0.35">
      <c r="F1303" s="402" t="s">
        <v>21</v>
      </c>
      <c r="G1303" s="403"/>
      <c r="H1303" s="403"/>
      <c r="I1303" s="404"/>
      <c r="K1303" s="224">
        <f>K1301*$N$2</f>
        <v>58</v>
      </c>
      <c r="L1303" s="117">
        <f>L1301*$N$2</f>
        <v>8174.52</v>
      </c>
    </row>
    <row r="1304" spans="2:16" ht="7.5" customHeight="1" thickBot="1" x14ac:dyDescent="0.35"/>
    <row r="1305" spans="2:16" ht="17.25" thickBot="1" x14ac:dyDescent="0.35">
      <c r="F1305" s="402" t="s">
        <v>22</v>
      </c>
      <c r="G1305" s="403"/>
      <c r="H1305" s="403"/>
      <c r="I1305" s="404"/>
      <c r="K1305" s="224">
        <f>+K1301+K1303</f>
        <v>203</v>
      </c>
      <c r="L1305" s="117">
        <f>+L1301+L1303</f>
        <v>28610.82</v>
      </c>
    </row>
    <row r="1306" spans="2:16" ht="17.25" thickBot="1" x14ac:dyDescent="0.35">
      <c r="F1306" s="126"/>
      <c r="G1306" s="280"/>
      <c r="H1306" s="128"/>
      <c r="I1306" s="106"/>
      <c r="K1306" s="226"/>
      <c r="L1306" s="130">
        <f>L1305/I1257</f>
        <v>203</v>
      </c>
      <c r="M1306" s="131">
        <f>(K1305-L1306)*I1257</f>
        <v>0</v>
      </c>
    </row>
    <row r="1307" spans="2:16" x14ac:dyDescent="0.3">
      <c r="F1307" s="126"/>
      <c r="G1307" s="280"/>
      <c r="H1307" s="128"/>
      <c r="I1307" s="106"/>
      <c r="K1307" s="227"/>
      <c r="L1307" s="129"/>
      <c r="M1307" s="132"/>
      <c r="N1307" s="133"/>
    </row>
    <row r="1308" spans="2:16" ht="17.25" thickBot="1" x14ac:dyDescent="0.35">
      <c r="B1308" s="405"/>
      <c r="C1308" s="405"/>
      <c r="D1308" s="405"/>
    </row>
    <row r="1309" spans="2:16" x14ac:dyDescent="0.3">
      <c r="B1309" s="406" t="s">
        <v>23</v>
      </c>
      <c r="C1309" s="406"/>
      <c r="D1309" s="406"/>
    </row>
    <row r="1310" spans="2:16" x14ac:dyDescent="0.3">
      <c r="B1310" s="281"/>
      <c r="C1310" s="281"/>
      <c r="D1310" s="281"/>
    </row>
    <row r="1311" spans="2:16" x14ac:dyDescent="0.3">
      <c r="B1311" s="281"/>
      <c r="C1311" s="281"/>
      <c r="D1311" s="281"/>
    </row>
    <row r="1312" spans="2:16" x14ac:dyDescent="0.3">
      <c r="B1312" s="103" t="s">
        <v>43</v>
      </c>
      <c r="C1312" s="104"/>
      <c r="D1312" s="422" t="s">
        <v>1</v>
      </c>
      <c r="E1312" s="422"/>
      <c r="F1312" s="422"/>
      <c r="G1312" s="422"/>
      <c r="H1312" s="104"/>
      <c r="I1312" s="105" t="s">
        <v>2</v>
      </c>
      <c r="J1312" s="134"/>
      <c r="K1312" s="105" t="s">
        <v>3</v>
      </c>
    </row>
    <row r="1313" spans="1:16" s="4" customFormat="1" ht="30.75" customHeight="1" x14ac:dyDescent="0.25">
      <c r="A1313" s="31"/>
      <c r="B1313" s="287">
        <f>CATALOGO!B57</f>
        <v>604.03</v>
      </c>
      <c r="C1313" s="71"/>
      <c r="D1313" s="423" t="str">
        <f>CATALOGO!C57</f>
        <v>PISO GRANITO (BASE SELECTO-CEMENTO T = 0.20m)</v>
      </c>
      <c r="E1313" s="423"/>
      <c r="F1313" s="423"/>
      <c r="G1313" s="423"/>
      <c r="H1313" s="71"/>
      <c r="I1313" s="287">
        <f>CATALOGO!D57</f>
        <v>51.5</v>
      </c>
      <c r="J1313" s="107"/>
      <c r="K1313" s="222" t="str">
        <f>CATALOGO!G57</f>
        <v>m²</v>
      </c>
      <c r="L1313" s="71"/>
      <c r="M1313" s="71"/>
      <c r="N1313" s="102"/>
      <c r="O1313" s="37"/>
      <c r="P1313" s="37"/>
    </row>
    <row r="1314" spans="1:16" ht="17.25" thickBot="1" x14ac:dyDescent="0.35"/>
    <row r="1315" spans="1:16" ht="17.25" thickBot="1" x14ac:dyDescent="0.35">
      <c r="B1315" s="108" t="s">
        <v>4</v>
      </c>
      <c r="C1315" s="413" t="s">
        <v>5</v>
      </c>
      <c r="D1315" s="413"/>
      <c r="E1315" s="413"/>
      <c r="F1315" s="413"/>
      <c r="G1315" s="414"/>
    </row>
    <row r="1316" spans="1:16" x14ac:dyDescent="0.25">
      <c r="B1316" s="109" t="s">
        <v>6</v>
      </c>
      <c r="C1316" s="424" t="s">
        <v>1</v>
      </c>
      <c r="D1316" s="425"/>
      <c r="E1316" s="110" t="s">
        <v>192</v>
      </c>
      <c r="F1316" s="111" t="s">
        <v>2</v>
      </c>
      <c r="G1316" s="112" t="s">
        <v>3</v>
      </c>
      <c r="H1316" s="104"/>
      <c r="I1316" s="105" t="s">
        <v>7</v>
      </c>
      <c r="J1316" s="134"/>
      <c r="K1316" s="223" t="s">
        <v>8</v>
      </c>
      <c r="L1316" s="113" t="s">
        <v>193</v>
      </c>
      <c r="O1316" s="438"/>
      <c r="P1316" s="438"/>
    </row>
    <row r="1317" spans="1:16" ht="17.25" customHeight="1" x14ac:dyDescent="0.25">
      <c r="B1317" s="120">
        <v>1</v>
      </c>
      <c r="C1317" s="428" t="s">
        <v>213</v>
      </c>
      <c r="D1317" s="429"/>
      <c r="E1317" s="114">
        <f>I1313*0.75</f>
        <v>38.625</v>
      </c>
      <c r="F1317" s="83">
        <f>ROUND(E1317/I1313,2)</f>
        <v>0.75</v>
      </c>
      <c r="G1317" s="74" t="str">
        <f>IF(C1317=0,0,VLOOKUP(C1317,Tabla1[],2,FALSE))</f>
        <v>Saco</v>
      </c>
      <c r="I1317" s="115">
        <f>IF(C1317=0,0,VLOOKUP(C1317,Tabla1[],3,FALSE))</f>
        <v>80</v>
      </c>
      <c r="K1317" s="84">
        <f>F1317*I1317</f>
        <v>60</v>
      </c>
      <c r="L1317" s="116">
        <f t="shared" ref="L1317:L1323" si="40">E1317*I1317</f>
        <v>3090</v>
      </c>
      <c r="O1317" s="44"/>
      <c r="P1317" s="45"/>
    </row>
    <row r="1318" spans="1:16" x14ac:dyDescent="0.3">
      <c r="B1318" s="120">
        <v>2</v>
      </c>
      <c r="C1318" s="428" t="s">
        <v>72</v>
      </c>
      <c r="D1318" s="429"/>
      <c r="E1318" s="114">
        <f>I1313*0.02</f>
        <v>1.03</v>
      </c>
      <c r="F1318" s="83">
        <f>ROUND(E1318/I1313,2)</f>
        <v>0.02</v>
      </c>
      <c r="G1318" s="74" t="str">
        <f>IF(C1318=0,0,VLOOKUP(C1318,Tabla1[],2,FALSE))</f>
        <v>m³</v>
      </c>
      <c r="I1318" s="115">
        <f>IF(C1318=0,0,VLOOKUP(C1318,Tabla1[],3,FALSE))</f>
        <v>250</v>
      </c>
      <c r="K1318" s="84">
        <f t="shared" ref="K1318:K1323" si="41">+F1318*I1318</f>
        <v>5</v>
      </c>
      <c r="L1318" s="116">
        <f t="shared" si="40"/>
        <v>257.5</v>
      </c>
      <c r="P1318" s="45"/>
    </row>
    <row r="1319" spans="1:16" x14ac:dyDescent="0.25">
      <c r="B1319" s="120">
        <v>3</v>
      </c>
      <c r="C1319" s="428" t="s">
        <v>73</v>
      </c>
      <c r="D1319" s="429"/>
      <c r="E1319" s="114">
        <f>I1313*0.02</f>
        <v>1.03</v>
      </c>
      <c r="F1319" s="83">
        <f>ROUND(E1319/I1313,2)</f>
        <v>0.02</v>
      </c>
      <c r="G1319" s="74" t="str">
        <f>IF(C1319=0,0,VLOOKUP(C1319,Tabla1[],2,FALSE))</f>
        <v>m³</v>
      </c>
      <c r="I1319" s="115">
        <f>IF(C1319=0,0,VLOOKUP(C1319,Tabla1[],3,FALSE))</f>
        <v>250</v>
      </c>
      <c r="K1319" s="84">
        <f t="shared" si="41"/>
        <v>5</v>
      </c>
      <c r="L1319" s="116">
        <f t="shared" si="40"/>
        <v>257.5</v>
      </c>
      <c r="O1319" s="44"/>
      <c r="P1319" s="46"/>
    </row>
    <row r="1320" spans="1:16" x14ac:dyDescent="0.25">
      <c r="B1320" s="120">
        <v>4</v>
      </c>
      <c r="C1320" s="428" t="s">
        <v>179</v>
      </c>
      <c r="D1320" s="429"/>
      <c r="E1320" s="114">
        <f>I1313</f>
        <v>51.5</v>
      </c>
      <c r="F1320" s="83">
        <f>ROUND(E1320/I1313,2)</f>
        <v>1</v>
      </c>
      <c r="G1320" s="74" t="str">
        <f>IF(C1320=0,0,VLOOKUP(C1320,Tabla1[],2,FALSE))</f>
        <v>pt</v>
      </c>
      <c r="I1320" s="115">
        <f>IF(C1320=0,0,VLOOKUP(C1320,Tabla1[],3,FALSE))</f>
        <v>9</v>
      </c>
      <c r="K1320" s="84">
        <f t="shared" si="41"/>
        <v>9</v>
      </c>
      <c r="L1320" s="116">
        <f t="shared" si="40"/>
        <v>463.5</v>
      </c>
      <c r="O1320" s="44"/>
      <c r="P1320" s="51"/>
    </row>
    <row r="1321" spans="1:16" x14ac:dyDescent="0.3">
      <c r="B1321" s="120">
        <v>5</v>
      </c>
      <c r="C1321" s="428" t="s">
        <v>101</v>
      </c>
      <c r="D1321" s="429"/>
      <c r="E1321" s="114">
        <f>I1313*0.1</f>
        <v>5.15</v>
      </c>
      <c r="F1321" s="83">
        <f>ROUND(E1321/I1313,2)</f>
        <v>0.1</v>
      </c>
      <c r="G1321" s="74" t="str">
        <f>IF(C1321=0,0,VLOOKUP(C1321,Tabla1[],2,FALSE))</f>
        <v>m³</v>
      </c>
      <c r="I1321" s="115">
        <f>IF(C1321=0,0,VLOOKUP(C1321,Tabla1[],3,FALSE))</f>
        <v>300</v>
      </c>
      <c r="K1321" s="84">
        <f t="shared" si="41"/>
        <v>30</v>
      </c>
      <c r="L1321" s="116">
        <f t="shared" si="40"/>
        <v>1545</v>
      </c>
      <c r="O1321" s="48"/>
      <c r="P1321" s="52"/>
    </row>
    <row r="1322" spans="1:16" x14ac:dyDescent="0.3">
      <c r="B1322" s="120">
        <v>6</v>
      </c>
      <c r="C1322" s="407" t="s">
        <v>466</v>
      </c>
      <c r="D1322" s="408"/>
      <c r="E1322" s="114">
        <f>I1313*1</f>
        <v>51.5</v>
      </c>
      <c r="F1322" s="83">
        <f>ROUND(E1322/I1313,2)</f>
        <v>1</v>
      </c>
      <c r="G1322" s="74" t="str">
        <f>IF(C1322=0,0,VLOOKUP(C1322,Tabla1[],2,FALSE))</f>
        <v>m²</v>
      </c>
      <c r="I1322" s="115">
        <f>IF(C1322=0,0,VLOOKUP(C1322,Tabla1[],3,FALSE))</f>
        <v>125</v>
      </c>
      <c r="K1322" s="84">
        <f t="shared" si="41"/>
        <v>125</v>
      </c>
      <c r="L1322" s="116">
        <f t="shared" si="40"/>
        <v>6437.5</v>
      </c>
      <c r="O1322" s="48"/>
      <c r="P1322" s="52"/>
    </row>
    <row r="1323" spans="1:16" x14ac:dyDescent="0.3">
      <c r="B1323" s="120">
        <v>7</v>
      </c>
      <c r="C1323" s="430" t="s">
        <v>214</v>
      </c>
      <c r="D1323" s="429"/>
      <c r="E1323" s="114">
        <f>I1313*0.12</f>
        <v>6.18</v>
      </c>
      <c r="F1323" s="83">
        <f>ROUND(E1323/I1313,2)</f>
        <v>0.12</v>
      </c>
      <c r="G1323" s="74" t="str">
        <f>IF(C1323=0,0,VLOOKUP(C1323,Tabla1[],2,FALSE))</f>
        <v>Bolsa</v>
      </c>
      <c r="I1323" s="115">
        <f>IF(C1323=0,0,VLOOKUP(C1323,Tabla1[],3,FALSE))</f>
        <v>50</v>
      </c>
      <c r="K1323" s="84">
        <f t="shared" si="41"/>
        <v>6</v>
      </c>
      <c r="L1323" s="116">
        <f t="shared" si="40"/>
        <v>309</v>
      </c>
      <c r="O1323" s="48"/>
      <c r="P1323" s="52"/>
    </row>
    <row r="1324" spans="1:16" ht="17.25" thickBot="1" x14ac:dyDescent="0.35"/>
    <row r="1325" spans="1:16" ht="17.25" thickBot="1" x14ac:dyDescent="0.3">
      <c r="F1325" s="402" t="s">
        <v>9</v>
      </c>
      <c r="G1325" s="403"/>
      <c r="H1325" s="403"/>
      <c r="I1325" s="404"/>
      <c r="K1325" s="224">
        <f>+SUM(K1317:K1323)</f>
        <v>240</v>
      </c>
      <c r="L1325" s="117">
        <f>+SUM(L1317:L1323)</f>
        <v>12360</v>
      </c>
      <c r="O1325" s="38"/>
      <c r="P1325" s="38"/>
    </row>
    <row r="1326" spans="1:16" ht="17.25" thickBot="1" x14ac:dyDescent="0.35">
      <c r="O1326" s="42"/>
      <c r="P1326" s="43"/>
    </row>
    <row r="1327" spans="1:16" ht="17.25" thickBot="1" x14ac:dyDescent="0.35">
      <c r="B1327" s="108" t="s">
        <v>10</v>
      </c>
      <c r="C1327" s="413" t="s">
        <v>11</v>
      </c>
      <c r="D1327" s="413"/>
      <c r="E1327" s="413"/>
      <c r="F1327" s="413"/>
      <c r="G1327" s="414"/>
    </row>
    <row r="1328" spans="1:16" x14ac:dyDescent="0.3">
      <c r="B1328" s="112" t="s">
        <v>6</v>
      </c>
      <c r="C1328" s="415" t="s">
        <v>1</v>
      </c>
      <c r="D1328" s="416"/>
      <c r="E1328" s="110" t="s">
        <v>192</v>
      </c>
      <c r="F1328" s="118" t="s">
        <v>2</v>
      </c>
      <c r="G1328" s="112" t="s">
        <v>3</v>
      </c>
      <c r="H1328" s="104"/>
      <c r="I1328" s="105" t="s">
        <v>7</v>
      </c>
      <c r="J1328" s="134"/>
      <c r="K1328" s="105" t="s">
        <v>8</v>
      </c>
      <c r="L1328" s="113" t="s">
        <v>193</v>
      </c>
    </row>
    <row r="1329" spans="2:12" x14ac:dyDescent="0.3">
      <c r="B1329" s="120"/>
      <c r="C1329" s="409"/>
      <c r="D1329" s="409"/>
      <c r="E1329" s="114"/>
      <c r="F1329" s="83"/>
      <c r="G1329" s="74"/>
      <c r="I1329" s="115">
        <f>IF(C1329=0,0,VLOOKUP(C1329,Tabla3[],3,FALSE))</f>
        <v>0</v>
      </c>
      <c r="K1329" s="84">
        <f>F1329*I1329</f>
        <v>0</v>
      </c>
      <c r="L1329" s="116">
        <f>E1329*I1329</f>
        <v>0</v>
      </c>
    </row>
    <row r="1330" spans="2:12" x14ac:dyDescent="0.3">
      <c r="B1330" s="74"/>
      <c r="C1330" s="431"/>
      <c r="D1330" s="432"/>
      <c r="E1330" s="119"/>
      <c r="F1330" s="72"/>
      <c r="G1330" s="74"/>
      <c r="I1330" s="115">
        <f>IF(C1330=0,0,VLOOKUP(C1330,Tabla3[],3,FALSE))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74"/>
      <c r="C1331" s="431"/>
      <c r="D1331" s="432"/>
      <c r="E1331" s="119"/>
      <c r="F1331" s="72"/>
      <c r="G1331" s="74"/>
      <c r="I1331" s="115">
        <f>IF(C1331=0,0,VLOOKUP(C1331,Tabla3[],3,FALSE))</f>
        <v>0</v>
      </c>
      <c r="K1331" s="84">
        <f>+F1331*I1331</f>
        <v>0</v>
      </c>
      <c r="L1331" s="116">
        <f>E1331*I1331</f>
        <v>0</v>
      </c>
    </row>
    <row r="1332" spans="2:12" x14ac:dyDescent="0.3">
      <c r="B1332" s="74"/>
      <c r="C1332" s="411"/>
      <c r="D1332" s="412"/>
      <c r="E1332" s="119"/>
      <c r="F1332" s="72"/>
      <c r="G1332" s="74"/>
      <c r="I1332" s="115">
        <f>IF(C1332=0,0,VLOOKUP(C1332,Tabla3[],3,FALSE))</f>
        <v>0</v>
      </c>
      <c r="K1332" s="84">
        <f>+F1332*I1332</f>
        <v>0</v>
      </c>
      <c r="L1332" s="116">
        <f>E1332*I1332</f>
        <v>0</v>
      </c>
    </row>
    <row r="1333" spans="2:12" ht="17.25" thickBot="1" x14ac:dyDescent="0.35"/>
    <row r="1334" spans="2:12" ht="17.25" thickBot="1" x14ac:dyDescent="0.35">
      <c r="F1334" s="402" t="s">
        <v>12</v>
      </c>
      <c r="G1334" s="403"/>
      <c r="H1334" s="403"/>
      <c r="I1334" s="404"/>
      <c r="K1334" s="224">
        <f>+SUM(K1329:K1332)</f>
        <v>0</v>
      </c>
      <c r="L1334" s="117">
        <f>+SUM(L1329:L1332)</f>
        <v>0</v>
      </c>
    </row>
    <row r="1335" spans="2:12" ht="17.25" thickBot="1" x14ac:dyDescent="0.35"/>
    <row r="1336" spans="2:12" ht="17.25" thickBot="1" x14ac:dyDescent="0.35">
      <c r="B1336" s="108" t="s">
        <v>13</v>
      </c>
      <c r="C1336" s="413" t="s">
        <v>14</v>
      </c>
      <c r="D1336" s="413"/>
      <c r="E1336" s="413"/>
      <c r="F1336" s="413"/>
      <c r="G1336" s="414"/>
    </row>
    <row r="1337" spans="2:12" x14ac:dyDescent="0.3">
      <c r="B1337" s="112" t="s">
        <v>6</v>
      </c>
      <c r="C1337" s="415" t="s">
        <v>1</v>
      </c>
      <c r="D1337" s="416"/>
      <c r="E1337" s="110" t="s">
        <v>192</v>
      </c>
      <c r="F1337" s="118" t="s">
        <v>2</v>
      </c>
      <c r="G1337" s="112" t="s">
        <v>3</v>
      </c>
      <c r="H1337" s="104"/>
      <c r="I1337" s="105" t="s">
        <v>7</v>
      </c>
      <c r="J1337" s="134"/>
      <c r="K1337" s="105" t="s">
        <v>8</v>
      </c>
      <c r="L1337" s="113" t="s">
        <v>193</v>
      </c>
    </row>
    <row r="1338" spans="2:12" x14ac:dyDescent="0.3">
      <c r="B1338" s="120">
        <v>1</v>
      </c>
      <c r="C1338" s="409" t="s">
        <v>414</v>
      </c>
      <c r="D1338" s="409"/>
      <c r="E1338" s="114">
        <f>I1313*0.1</f>
        <v>5.15</v>
      </c>
      <c r="F1338" s="83">
        <f>ROUND(E1338/I1313,2)</f>
        <v>0.1</v>
      </c>
      <c r="G1338" s="74" t="str">
        <f>IF(C1338=0,0,VLOOKUP(C1338,Tabla2[],2,FALSE))</f>
        <v>m³</v>
      </c>
      <c r="I1338" s="115">
        <f>IF(C1338=0,0,VLOOKUP(C1338,Tabla2[],3,FALSE))</f>
        <v>100</v>
      </c>
      <c r="K1338" s="84">
        <f>+F1338*I1338</f>
        <v>10</v>
      </c>
      <c r="L1338" s="116">
        <f>E1338*I1338</f>
        <v>515</v>
      </c>
    </row>
    <row r="1339" spans="2:12" x14ac:dyDescent="0.3">
      <c r="B1339" s="120">
        <v>2</v>
      </c>
      <c r="C1339" s="409" t="s">
        <v>215</v>
      </c>
      <c r="D1339" s="409"/>
      <c r="E1339" s="114">
        <f>I1313</f>
        <v>51.5</v>
      </c>
      <c r="F1339" s="83">
        <f>ROUND(E1339/I1313,2)</f>
        <v>1</v>
      </c>
      <c r="G1339" s="74" t="str">
        <f>IF(C1339=0,0,VLOOKUP(C1339,Tabla2[],2,FALSE))</f>
        <v>m²</v>
      </c>
      <c r="I1339" s="115">
        <f>IF(C1339=0,0,VLOOKUP(C1339,Tabla2[],3,FALSE))</f>
        <v>100</v>
      </c>
      <c r="K1339" s="84">
        <f>+F1339*I1339</f>
        <v>100</v>
      </c>
      <c r="L1339" s="116">
        <f>E1339*I1339</f>
        <v>5150</v>
      </c>
    </row>
    <row r="1340" spans="2:12" ht="17.25" thickBot="1" x14ac:dyDescent="0.35">
      <c r="B1340" s="121"/>
      <c r="C1340" s="417"/>
      <c r="D1340" s="418"/>
      <c r="E1340" s="122"/>
      <c r="F1340" s="123"/>
      <c r="G1340" s="74"/>
      <c r="I1340" s="115">
        <f>IF(C1340=0,0,VLOOKUP(C1340,Tabla2[],3,FALSE))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>
      <c r="B1341" s="419" t="s">
        <v>15</v>
      </c>
      <c r="C1341" s="420"/>
      <c r="D1341" s="420"/>
      <c r="E1341" s="420"/>
      <c r="F1341" s="420"/>
      <c r="G1341" s="421"/>
      <c r="I1341" s="84">
        <v>0</v>
      </c>
      <c r="K1341" s="84">
        <v>0</v>
      </c>
      <c r="L1341" s="116">
        <f>E1341*I1341</f>
        <v>0</v>
      </c>
    </row>
    <row r="1342" spans="2:12" ht="17.25" thickBot="1" x14ac:dyDescent="0.35"/>
    <row r="1343" spans="2:12" ht="17.25" thickBot="1" x14ac:dyDescent="0.35">
      <c r="F1343" s="402" t="s">
        <v>16</v>
      </c>
      <c r="G1343" s="403"/>
      <c r="H1343" s="403"/>
      <c r="I1343" s="404"/>
      <c r="K1343" s="224">
        <f>+SUM(K1338:K1341)</f>
        <v>110</v>
      </c>
      <c r="L1343" s="117">
        <f>+SUM(L1338:L1341)</f>
        <v>5665</v>
      </c>
    </row>
    <row r="1344" spans="2:12" ht="17.25" thickBot="1" x14ac:dyDescent="0.35"/>
    <row r="1345" spans="2:16" ht="17.25" thickBot="1" x14ac:dyDescent="0.35">
      <c r="B1345" s="108" t="s">
        <v>17</v>
      </c>
      <c r="C1345" s="413" t="s">
        <v>18</v>
      </c>
      <c r="D1345" s="413"/>
      <c r="E1345" s="413"/>
      <c r="F1345" s="413"/>
      <c r="G1345" s="414"/>
    </row>
    <row r="1346" spans="2:16" x14ac:dyDescent="0.3">
      <c r="B1346" s="112" t="s">
        <v>6</v>
      </c>
      <c r="C1346" s="415" t="s">
        <v>1</v>
      </c>
      <c r="D1346" s="416"/>
      <c r="E1346" s="124"/>
      <c r="F1346" s="118" t="s">
        <v>2</v>
      </c>
      <c r="G1346" s="112" t="s">
        <v>3</v>
      </c>
      <c r="H1346" s="104"/>
      <c r="I1346" s="105" t="s">
        <v>7</v>
      </c>
      <c r="J1346" s="134"/>
      <c r="K1346" s="105" t="s">
        <v>8</v>
      </c>
      <c r="L1346" s="113" t="s">
        <v>193</v>
      </c>
    </row>
    <row r="1347" spans="2:16" x14ac:dyDescent="0.3">
      <c r="B1347" s="74"/>
      <c r="C1347" s="411"/>
      <c r="D1347" s="412"/>
      <c r="E1347" s="125"/>
      <c r="F1347" s="72"/>
      <c r="G1347" s="74"/>
      <c r="I1347" s="84">
        <v>0</v>
      </c>
      <c r="K1347" s="84">
        <f>+F1347*I1347</f>
        <v>0</v>
      </c>
      <c r="L1347" s="116">
        <f>E1347*I1347</f>
        <v>0</v>
      </c>
    </row>
    <row r="1348" spans="2:16" x14ac:dyDescent="0.3">
      <c r="B1348" s="74"/>
      <c r="C1348" s="411"/>
      <c r="D1348" s="412"/>
      <c r="E1348" s="125"/>
      <c r="F1348" s="72"/>
      <c r="G1348" s="74"/>
      <c r="I1348" s="84">
        <v>0</v>
      </c>
      <c r="K1348" s="84">
        <f>+F1348*I1348</f>
        <v>0</v>
      </c>
      <c r="L1348" s="116">
        <f>E1348*I1348</f>
        <v>0</v>
      </c>
    </row>
    <row r="1349" spans="2:16" x14ac:dyDescent="0.3">
      <c r="B1349" s="74"/>
      <c r="C1349" s="411"/>
      <c r="D1349" s="412"/>
      <c r="E1349" s="125"/>
      <c r="F1349" s="72"/>
      <c r="G1349" s="74"/>
      <c r="I1349" s="84">
        <v>0</v>
      </c>
      <c r="K1349" s="84">
        <f>+F1349*I1349</f>
        <v>0</v>
      </c>
      <c r="L1349" s="116">
        <f>E1349*I1349</f>
        <v>0</v>
      </c>
    </row>
    <row r="1350" spans="2:16" ht="17.25" thickBot="1" x14ac:dyDescent="0.35">
      <c r="L1350" s="116"/>
    </row>
    <row r="1351" spans="2:16" ht="17.25" thickBot="1" x14ac:dyDescent="0.35">
      <c r="F1351" s="402" t="s">
        <v>19</v>
      </c>
      <c r="G1351" s="403"/>
      <c r="H1351" s="403"/>
      <c r="I1351" s="404"/>
      <c r="K1351" s="224">
        <f>+SUM(K1347:K1349)</f>
        <v>0</v>
      </c>
      <c r="L1351" s="117">
        <f>+SUM(L1346:L1349)</f>
        <v>0</v>
      </c>
    </row>
    <row r="1352" spans="2:16" ht="15" customHeight="1" x14ac:dyDescent="0.3">
      <c r="F1352" s="126"/>
      <c r="G1352" s="280"/>
      <c r="H1352" s="128"/>
      <c r="I1352" s="106"/>
      <c r="K1352" s="225"/>
    </row>
    <row r="1353" spans="2:16" ht="15" customHeight="1" thickBot="1" x14ac:dyDescent="0.35"/>
    <row r="1354" spans="2:16" ht="17.25" thickBot="1" x14ac:dyDescent="0.35">
      <c r="F1354" s="402" t="s">
        <v>20</v>
      </c>
      <c r="G1354" s="403"/>
      <c r="H1354" s="403"/>
      <c r="I1354" s="404"/>
      <c r="K1354" s="224">
        <f>(+K1325+K1334+K1343+K1351)</f>
        <v>350</v>
      </c>
      <c r="L1354" s="117">
        <f>(+L1325+L1334+L1343+L1351)</f>
        <v>18025</v>
      </c>
      <c r="N1354" s="129"/>
      <c r="O1354" s="39"/>
      <c r="P1354" s="40"/>
    </row>
    <row r="1355" spans="2:16" ht="7.5" customHeight="1" thickBot="1" x14ac:dyDescent="0.35">
      <c r="N1355" s="129"/>
      <c r="O1355" s="41"/>
      <c r="P1355" s="40"/>
    </row>
    <row r="1356" spans="2:16" ht="17.25" thickBot="1" x14ac:dyDescent="0.35">
      <c r="F1356" s="402" t="s">
        <v>21</v>
      </c>
      <c r="G1356" s="403"/>
      <c r="H1356" s="403"/>
      <c r="I1356" s="404"/>
      <c r="K1356" s="224">
        <f>K1354*$N$2</f>
        <v>140</v>
      </c>
      <c r="L1356" s="117">
        <f>L1354*$N$2</f>
        <v>7210</v>
      </c>
    </row>
    <row r="1357" spans="2:16" ht="7.5" customHeight="1" thickBot="1" x14ac:dyDescent="0.35"/>
    <row r="1358" spans="2:16" ht="17.25" thickBot="1" x14ac:dyDescent="0.35">
      <c r="F1358" s="402" t="s">
        <v>22</v>
      </c>
      <c r="G1358" s="403"/>
      <c r="H1358" s="403"/>
      <c r="I1358" s="404"/>
      <c r="K1358" s="224">
        <f>+K1354+K1356</f>
        <v>490</v>
      </c>
      <c r="L1358" s="117">
        <f>+L1354+L1356</f>
        <v>25235</v>
      </c>
    </row>
    <row r="1359" spans="2:16" ht="17.25" thickBot="1" x14ac:dyDescent="0.35">
      <c r="F1359" s="126"/>
      <c r="G1359" s="280"/>
      <c r="H1359" s="128"/>
      <c r="I1359" s="106"/>
      <c r="K1359" s="226"/>
      <c r="L1359" s="130">
        <f>L1358/I1313</f>
        <v>490</v>
      </c>
      <c r="M1359" s="131">
        <f>(K1358-L1359)*I1313</f>
        <v>0</v>
      </c>
    </row>
    <row r="1360" spans="2:16" x14ac:dyDescent="0.3">
      <c r="F1360" s="126"/>
      <c r="G1360" s="280"/>
      <c r="H1360" s="128"/>
      <c r="I1360" s="106"/>
      <c r="K1360" s="227"/>
      <c r="L1360" s="129"/>
      <c r="M1360" s="132"/>
      <c r="N1360" s="133"/>
    </row>
    <row r="1361" spans="1:16" ht="17.25" thickBot="1" x14ac:dyDescent="0.35">
      <c r="B1361" s="405"/>
      <c r="C1361" s="405"/>
      <c r="D1361" s="405"/>
    </row>
    <row r="1362" spans="1:16" x14ac:dyDescent="0.3">
      <c r="B1362" s="406" t="s">
        <v>23</v>
      </c>
      <c r="C1362" s="406"/>
      <c r="D1362" s="406"/>
    </row>
    <row r="1363" spans="1:16" x14ac:dyDescent="0.3">
      <c r="B1363" s="281"/>
      <c r="C1363" s="281"/>
      <c r="D1363" s="281"/>
    </row>
    <row r="1364" spans="1:16" x14ac:dyDescent="0.3">
      <c r="B1364" s="281"/>
      <c r="C1364" s="281"/>
      <c r="D1364" s="281"/>
    </row>
    <row r="1365" spans="1:16" x14ac:dyDescent="0.3">
      <c r="B1365" s="103" t="s">
        <v>43</v>
      </c>
      <c r="C1365" s="104"/>
      <c r="D1365" s="422" t="s">
        <v>1</v>
      </c>
      <c r="E1365" s="422"/>
      <c r="F1365" s="422"/>
      <c r="G1365" s="422"/>
      <c r="H1365" s="104"/>
      <c r="I1365" s="105" t="s">
        <v>2</v>
      </c>
      <c r="J1365" s="134"/>
      <c r="K1365" s="105" t="s">
        <v>3</v>
      </c>
    </row>
    <row r="1366" spans="1:16" s="4" customFormat="1" ht="30.75" customHeight="1" x14ac:dyDescent="0.25">
      <c r="A1366" s="31"/>
      <c r="B1366" s="287">
        <f>CATALOGO!B58</f>
        <v>604.04999999999995</v>
      </c>
      <c r="C1366" s="71"/>
      <c r="D1366" s="423" t="str">
        <f>CATALOGO!C58</f>
        <v>PISO DE GRANITO ANTIDESLIZANTE</v>
      </c>
      <c r="E1366" s="423"/>
      <c r="F1366" s="423"/>
      <c r="G1366" s="423"/>
      <c r="H1366" s="71"/>
      <c r="I1366" s="287">
        <f>CATALOGO!D58</f>
        <v>15.02</v>
      </c>
      <c r="J1366" s="107"/>
      <c r="K1366" s="222" t="str">
        <f>CATALOGO!G58</f>
        <v>m²</v>
      </c>
      <c r="L1366" s="71"/>
      <c r="M1366" s="71"/>
      <c r="N1366" s="102"/>
      <c r="O1366" s="37"/>
      <c r="P1366" s="37"/>
    </row>
    <row r="1367" spans="1:16" ht="17.25" thickBot="1" x14ac:dyDescent="0.35"/>
    <row r="1368" spans="1:16" ht="17.25" thickBot="1" x14ac:dyDescent="0.35">
      <c r="B1368" s="108" t="s">
        <v>4</v>
      </c>
      <c r="C1368" s="413" t="s">
        <v>5</v>
      </c>
      <c r="D1368" s="413"/>
      <c r="E1368" s="413"/>
      <c r="F1368" s="413"/>
      <c r="G1368" s="414"/>
    </row>
    <row r="1369" spans="1:16" x14ac:dyDescent="0.25">
      <c r="B1369" s="109" t="s">
        <v>6</v>
      </c>
      <c r="C1369" s="424" t="s">
        <v>1</v>
      </c>
      <c r="D1369" s="425"/>
      <c r="E1369" s="110" t="s">
        <v>192</v>
      </c>
      <c r="F1369" s="111" t="s">
        <v>2</v>
      </c>
      <c r="G1369" s="112" t="s">
        <v>3</v>
      </c>
      <c r="H1369" s="104"/>
      <c r="I1369" s="105" t="s">
        <v>7</v>
      </c>
      <c r="J1369" s="134"/>
      <c r="K1369" s="223" t="s">
        <v>8</v>
      </c>
      <c r="L1369" s="113" t="s">
        <v>193</v>
      </c>
      <c r="O1369" s="438"/>
      <c r="P1369" s="438"/>
    </row>
    <row r="1370" spans="1:16" ht="17.25" customHeight="1" x14ac:dyDescent="0.25">
      <c r="B1370" s="120">
        <v>1</v>
      </c>
      <c r="C1370" s="407" t="s">
        <v>466</v>
      </c>
      <c r="D1370" s="408"/>
      <c r="E1370" s="114">
        <f>I1366*1</f>
        <v>15.02</v>
      </c>
      <c r="F1370" s="83">
        <f>ROUND(E1370/I1366,2)</f>
        <v>1</v>
      </c>
      <c r="G1370" s="74" t="str">
        <f>IF(C1370=0,0,VLOOKUP(C1370,Tabla1[],2,FALSE))</f>
        <v>m²</v>
      </c>
      <c r="I1370" s="115">
        <f>IF(C1370=0,0,VLOOKUP(C1370,Tabla1[],3,FALSE))</f>
        <v>125</v>
      </c>
      <c r="K1370" s="84">
        <f>F1370*I1370</f>
        <v>125</v>
      </c>
      <c r="L1370" s="116">
        <f t="shared" ref="L1370:L1379" si="42">E1370*I1370</f>
        <v>1877.5</v>
      </c>
      <c r="O1370" s="44"/>
      <c r="P1370" s="45"/>
    </row>
    <row r="1371" spans="1:16" x14ac:dyDescent="0.3">
      <c r="B1371" s="120">
        <v>2</v>
      </c>
      <c r="C1371" s="428" t="s">
        <v>213</v>
      </c>
      <c r="D1371" s="429"/>
      <c r="E1371" s="114">
        <f>I1366*0.7</f>
        <v>10.513999999999999</v>
      </c>
      <c r="F1371" s="83">
        <f>ROUND(E1371/I1366,2)</f>
        <v>0.7</v>
      </c>
      <c r="G1371" s="74" t="str">
        <f>IF(C1371=0,0,VLOOKUP(C1371,Tabla1[],2,FALSE))</f>
        <v>Saco</v>
      </c>
      <c r="I1371" s="115">
        <f>IF(C1371=0,0,VLOOKUP(C1371,Tabla1[],3,FALSE))</f>
        <v>80</v>
      </c>
      <c r="K1371" s="84">
        <f t="shared" ref="K1371:K1379" si="43">+F1371*I1371</f>
        <v>56</v>
      </c>
      <c r="L1371" s="116">
        <f t="shared" si="42"/>
        <v>841.11999999999989</v>
      </c>
      <c r="P1371" s="45"/>
    </row>
    <row r="1372" spans="1:16" ht="16.5" customHeight="1" x14ac:dyDescent="0.25">
      <c r="B1372" s="120">
        <v>3</v>
      </c>
      <c r="C1372" s="430" t="s">
        <v>72</v>
      </c>
      <c r="D1372" s="429"/>
      <c r="E1372" s="114">
        <f>I1366*0.02</f>
        <v>0.3004</v>
      </c>
      <c r="F1372" s="83">
        <f>ROUND(E1372/I1366,2)</f>
        <v>0.02</v>
      </c>
      <c r="G1372" s="74" t="str">
        <f>IF(C1372=0,0,VLOOKUP(C1372,Tabla1[],2,FALSE))</f>
        <v>m³</v>
      </c>
      <c r="I1372" s="115">
        <f>IF(C1372=0,0,VLOOKUP(C1372,Tabla1[],3,FALSE))</f>
        <v>250</v>
      </c>
      <c r="K1372" s="84">
        <f t="shared" si="43"/>
        <v>5</v>
      </c>
      <c r="L1372" s="116">
        <f t="shared" si="42"/>
        <v>75.099999999999994</v>
      </c>
      <c r="O1372" s="44"/>
      <c r="P1372" s="46"/>
    </row>
    <row r="1373" spans="1:16" x14ac:dyDescent="0.25">
      <c r="B1373" s="120">
        <v>4</v>
      </c>
      <c r="C1373" s="430" t="s">
        <v>214</v>
      </c>
      <c r="D1373" s="429"/>
      <c r="E1373" s="114">
        <f>I1366*0.08</f>
        <v>1.2016</v>
      </c>
      <c r="F1373" s="83">
        <f>ROUND(E1373/I1366,2)</f>
        <v>0.08</v>
      </c>
      <c r="G1373" s="74" t="str">
        <f>IF(C1373=0,0,VLOOKUP(C1373,Tabla1[],2,FALSE))</f>
        <v>Bolsa</v>
      </c>
      <c r="I1373" s="115">
        <f>IF(C1373=0,0,VLOOKUP(C1373,Tabla1[],3,FALSE))</f>
        <v>50</v>
      </c>
      <c r="K1373" s="84">
        <f t="shared" si="43"/>
        <v>4</v>
      </c>
      <c r="L1373" s="116">
        <f t="shared" si="42"/>
        <v>60.08</v>
      </c>
      <c r="O1373" s="44"/>
      <c r="P1373" s="51"/>
    </row>
    <row r="1374" spans="1:16" x14ac:dyDescent="0.25">
      <c r="B1374" s="120"/>
      <c r="C1374" s="284"/>
      <c r="D1374" s="285"/>
      <c r="E1374" s="114"/>
      <c r="F1374" s="83"/>
      <c r="G1374" s="74"/>
      <c r="I1374" s="115">
        <f>IF(C1374=0,0,VLOOKUP(C1374,Tabla1[],3,FALSE))</f>
        <v>0</v>
      </c>
      <c r="K1374" s="84">
        <f t="shared" si="43"/>
        <v>0</v>
      </c>
      <c r="L1374" s="116">
        <f t="shared" si="42"/>
        <v>0</v>
      </c>
      <c r="O1374" s="44"/>
      <c r="P1374" s="51"/>
    </row>
    <row r="1375" spans="1:16" x14ac:dyDescent="0.25">
      <c r="B1375" s="120"/>
      <c r="C1375" s="284"/>
      <c r="D1375" s="285"/>
      <c r="E1375" s="114"/>
      <c r="F1375" s="83"/>
      <c r="G1375" s="74"/>
      <c r="I1375" s="115">
        <f>IF(C1375=0,0,VLOOKUP(C1375,Tabla1[],3,FALSE))</f>
        <v>0</v>
      </c>
      <c r="K1375" s="84">
        <f t="shared" si="43"/>
        <v>0</v>
      </c>
      <c r="L1375" s="116">
        <f t="shared" si="42"/>
        <v>0</v>
      </c>
      <c r="O1375" s="44"/>
      <c r="P1375" s="51"/>
    </row>
    <row r="1376" spans="1:16" x14ac:dyDescent="0.25">
      <c r="B1376" s="120"/>
      <c r="C1376" s="284"/>
      <c r="D1376" s="285"/>
      <c r="E1376" s="114"/>
      <c r="F1376" s="83"/>
      <c r="G1376" s="74"/>
      <c r="I1376" s="115">
        <f>IF(C1376=0,0,VLOOKUP(C1376,Tabla1[],3,FALSE))</f>
        <v>0</v>
      </c>
      <c r="K1376" s="84">
        <f t="shared" si="43"/>
        <v>0</v>
      </c>
      <c r="L1376" s="116">
        <f t="shared" si="42"/>
        <v>0</v>
      </c>
      <c r="O1376" s="44"/>
      <c r="P1376" s="51"/>
    </row>
    <row r="1377" spans="2:16" x14ac:dyDescent="0.3">
      <c r="B1377" s="120"/>
      <c r="C1377" s="428"/>
      <c r="D1377" s="429"/>
      <c r="E1377" s="114"/>
      <c r="F1377" s="83"/>
      <c r="G1377" s="74"/>
      <c r="I1377" s="115">
        <f>IF(C1377=0,0,VLOOKUP(C1377,Tabla1[],3,FALSE))</f>
        <v>0</v>
      </c>
      <c r="K1377" s="84">
        <f t="shared" si="43"/>
        <v>0</v>
      </c>
      <c r="L1377" s="116">
        <f t="shared" si="42"/>
        <v>0</v>
      </c>
      <c r="O1377" s="48"/>
      <c r="P1377" s="52"/>
    </row>
    <row r="1378" spans="2:16" x14ac:dyDescent="0.3">
      <c r="B1378" s="120"/>
      <c r="C1378" s="407"/>
      <c r="D1378" s="408"/>
      <c r="E1378" s="114"/>
      <c r="F1378" s="83"/>
      <c r="G1378" s="74"/>
      <c r="I1378" s="115">
        <f>IF(C1378=0,0,VLOOKUP(C1378,Tabla1[],3,FALSE))</f>
        <v>0</v>
      </c>
      <c r="K1378" s="84">
        <f t="shared" si="43"/>
        <v>0</v>
      </c>
      <c r="L1378" s="116">
        <f t="shared" si="42"/>
        <v>0</v>
      </c>
      <c r="O1378" s="48"/>
      <c r="P1378" s="52"/>
    </row>
    <row r="1379" spans="2:16" x14ac:dyDescent="0.3">
      <c r="B1379" s="120"/>
      <c r="C1379" s="430"/>
      <c r="D1379" s="429"/>
      <c r="E1379" s="114"/>
      <c r="F1379" s="83"/>
      <c r="G1379" s="74"/>
      <c r="I1379" s="115">
        <f>IF(C1379=0,0,VLOOKUP(C1379,Tabla1[],3,FALSE))</f>
        <v>0</v>
      </c>
      <c r="K1379" s="84">
        <f t="shared" si="43"/>
        <v>0</v>
      </c>
      <c r="L1379" s="116">
        <f t="shared" si="42"/>
        <v>0</v>
      </c>
      <c r="O1379" s="48"/>
      <c r="P1379" s="52"/>
    </row>
    <row r="1380" spans="2:16" ht="17.25" thickBot="1" x14ac:dyDescent="0.35"/>
    <row r="1381" spans="2:16" ht="17.25" thickBot="1" x14ac:dyDescent="0.3">
      <c r="F1381" s="402" t="s">
        <v>9</v>
      </c>
      <c r="G1381" s="403"/>
      <c r="H1381" s="403"/>
      <c r="I1381" s="404"/>
      <c r="K1381" s="224">
        <f>+SUM(K1370:K1379)</f>
        <v>190</v>
      </c>
      <c r="L1381" s="117">
        <f>+SUM(L1370:L1379)</f>
        <v>2853.7999999999997</v>
      </c>
      <c r="O1381" s="38"/>
      <c r="P1381" s="38"/>
    </row>
    <row r="1382" spans="2:16" ht="17.25" thickBot="1" x14ac:dyDescent="0.35">
      <c r="O1382" s="42"/>
      <c r="P1382" s="43"/>
    </row>
    <row r="1383" spans="2:16" ht="17.25" thickBot="1" x14ac:dyDescent="0.35">
      <c r="B1383" s="108" t="s">
        <v>10</v>
      </c>
      <c r="C1383" s="413" t="s">
        <v>11</v>
      </c>
      <c r="D1383" s="413"/>
      <c r="E1383" s="413"/>
      <c r="F1383" s="413"/>
      <c r="G1383" s="414"/>
    </row>
    <row r="1384" spans="2:16" x14ac:dyDescent="0.3">
      <c r="B1384" s="112" t="s">
        <v>6</v>
      </c>
      <c r="C1384" s="415" t="s">
        <v>1</v>
      </c>
      <c r="D1384" s="416"/>
      <c r="E1384" s="110" t="s">
        <v>192</v>
      </c>
      <c r="F1384" s="118" t="s">
        <v>2</v>
      </c>
      <c r="G1384" s="112" t="s">
        <v>3</v>
      </c>
      <c r="H1384" s="104"/>
      <c r="I1384" s="105" t="s">
        <v>7</v>
      </c>
      <c r="J1384" s="134"/>
      <c r="K1384" s="105" t="s">
        <v>8</v>
      </c>
      <c r="L1384" s="113" t="s">
        <v>193</v>
      </c>
    </row>
    <row r="1385" spans="2:16" x14ac:dyDescent="0.3">
      <c r="B1385" s="120"/>
      <c r="C1385" s="409"/>
      <c r="D1385" s="409"/>
      <c r="E1385" s="114"/>
      <c r="F1385" s="83"/>
      <c r="G1385" s="74"/>
      <c r="I1385" s="115">
        <f>IF(C1385=0,0,VLOOKUP(C1385,Tabla3[],3,FALSE))</f>
        <v>0</v>
      </c>
      <c r="K1385" s="84">
        <f>F1385*I1385</f>
        <v>0</v>
      </c>
      <c r="L1385" s="116">
        <f>E1385*I1385</f>
        <v>0</v>
      </c>
    </row>
    <row r="1386" spans="2:16" x14ac:dyDescent="0.3">
      <c r="B1386" s="74"/>
      <c r="C1386" s="431"/>
      <c r="D1386" s="432"/>
      <c r="E1386" s="119"/>
      <c r="F1386" s="72"/>
      <c r="G1386" s="74"/>
      <c r="I1386" s="115">
        <f>IF(C1386=0,0,VLOOKUP(C1386,Tabla3[],3,FALSE))</f>
        <v>0</v>
      </c>
      <c r="K1386" s="84">
        <f>+F1386*I1386</f>
        <v>0</v>
      </c>
      <c r="L1386" s="116">
        <f>E1386*I1386</f>
        <v>0</v>
      </c>
    </row>
    <row r="1387" spans="2:16" x14ac:dyDescent="0.3">
      <c r="B1387" s="74"/>
      <c r="C1387" s="431"/>
      <c r="D1387" s="432"/>
      <c r="E1387" s="119"/>
      <c r="F1387" s="72"/>
      <c r="G1387" s="74"/>
      <c r="I1387" s="115">
        <f>IF(C1387=0,0,VLOOKUP(C1387,Tabla3[],3,FALSE))</f>
        <v>0</v>
      </c>
      <c r="K1387" s="84">
        <f>+F1387*I1387</f>
        <v>0</v>
      </c>
      <c r="L1387" s="116">
        <f>E1387*I1387</f>
        <v>0</v>
      </c>
    </row>
    <row r="1388" spans="2:16" x14ac:dyDescent="0.3">
      <c r="B1388" s="74"/>
      <c r="C1388" s="411"/>
      <c r="D1388" s="412"/>
      <c r="E1388" s="119"/>
      <c r="F1388" s="72"/>
      <c r="G1388" s="74"/>
      <c r="I1388" s="115">
        <f>IF(C1388=0,0,VLOOKUP(C1388,Tabla3[],3,FALSE))</f>
        <v>0</v>
      </c>
      <c r="K1388" s="84">
        <f>+F1388*I1388</f>
        <v>0</v>
      </c>
      <c r="L1388" s="116">
        <f>E1388*I1388</f>
        <v>0</v>
      </c>
    </row>
    <row r="1389" spans="2:16" ht="17.25" thickBot="1" x14ac:dyDescent="0.35"/>
    <row r="1390" spans="2:16" ht="17.25" thickBot="1" x14ac:dyDescent="0.35">
      <c r="F1390" s="402" t="s">
        <v>12</v>
      </c>
      <c r="G1390" s="403"/>
      <c r="H1390" s="403"/>
      <c r="I1390" s="404"/>
      <c r="K1390" s="224">
        <f>+SUM(K1385:K1388)</f>
        <v>0</v>
      </c>
      <c r="L1390" s="117">
        <f>+SUM(L1385:L1388)</f>
        <v>0</v>
      </c>
    </row>
    <row r="1391" spans="2:16" ht="17.25" thickBot="1" x14ac:dyDescent="0.35"/>
    <row r="1392" spans="2:16" ht="17.25" thickBot="1" x14ac:dyDescent="0.35">
      <c r="B1392" s="108" t="s">
        <v>13</v>
      </c>
      <c r="C1392" s="413" t="s">
        <v>14</v>
      </c>
      <c r="D1392" s="413"/>
      <c r="E1392" s="413"/>
      <c r="F1392" s="413"/>
      <c r="G1392" s="414"/>
    </row>
    <row r="1393" spans="2:12" x14ac:dyDescent="0.3">
      <c r="B1393" s="112" t="s">
        <v>6</v>
      </c>
      <c r="C1393" s="415" t="s">
        <v>1</v>
      </c>
      <c r="D1393" s="416"/>
      <c r="E1393" s="110" t="s">
        <v>192</v>
      </c>
      <c r="F1393" s="118" t="s">
        <v>2</v>
      </c>
      <c r="G1393" s="112" t="s">
        <v>3</v>
      </c>
      <c r="H1393" s="104"/>
      <c r="I1393" s="105" t="s">
        <v>7</v>
      </c>
      <c r="J1393" s="134"/>
      <c r="K1393" s="105" t="s">
        <v>8</v>
      </c>
      <c r="L1393" s="113" t="s">
        <v>193</v>
      </c>
    </row>
    <row r="1394" spans="2:12" x14ac:dyDescent="0.3">
      <c r="B1394" s="120">
        <v>1</v>
      </c>
      <c r="C1394" s="409" t="s">
        <v>215</v>
      </c>
      <c r="D1394" s="409"/>
      <c r="E1394" s="114">
        <f>I1366</f>
        <v>15.02</v>
      </c>
      <c r="F1394" s="83">
        <f>ROUND(E1394/I1366,2)</f>
        <v>1</v>
      </c>
      <c r="G1394" s="74" t="str">
        <f>IF(C1394=0,0,VLOOKUP(C1394,Tabla2[],2,FALSE))</f>
        <v>m²</v>
      </c>
      <c r="I1394" s="115">
        <f>IF(C1394=0,0,VLOOKUP(C1394,Tabla2[],3,FALSE))</f>
        <v>100</v>
      </c>
      <c r="K1394" s="84">
        <f>+F1394*I1394</f>
        <v>100</v>
      </c>
      <c r="L1394" s="116">
        <f>E1394*I1394</f>
        <v>1502</v>
      </c>
    </row>
    <row r="1395" spans="2:12" x14ac:dyDescent="0.3">
      <c r="B1395" s="120"/>
      <c r="C1395" s="409"/>
      <c r="D1395" s="409"/>
      <c r="E1395" s="114"/>
      <c r="F1395" s="83"/>
      <c r="G1395" s="74"/>
      <c r="I1395" s="115">
        <f>IF(C1395=0,0,VLOOKUP(C1395,Tabla2[],3,FALSE))</f>
        <v>0</v>
      </c>
      <c r="K1395" s="84">
        <f>+F1395*I1395</f>
        <v>0</v>
      </c>
      <c r="L1395" s="116">
        <f>E1395*I1395</f>
        <v>0</v>
      </c>
    </row>
    <row r="1396" spans="2:12" ht="17.25" thickBot="1" x14ac:dyDescent="0.35">
      <c r="B1396" s="121"/>
      <c r="C1396" s="417"/>
      <c r="D1396" s="418"/>
      <c r="E1396" s="122"/>
      <c r="F1396" s="123"/>
      <c r="G1396" s="74"/>
      <c r="I1396" s="115">
        <f>IF(C1396=0,0,VLOOKUP(C1396,Tabla2[],3,FALSE))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>
      <c r="B1397" s="419" t="s">
        <v>15</v>
      </c>
      <c r="C1397" s="420"/>
      <c r="D1397" s="420"/>
      <c r="E1397" s="420"/>
      <c r="F1397" s="420"/>
      <c r="G1397" s="421"/>
      <c r="I1397" s="84">
        <v>0</v>
      </c>
      <c r="K1397" s="84">
        <v>0</v>
      </c>
      <c r="L1397" s="116">
        <f>E1397*I1397</f>
        <v>0</v>
      </c>
    </row>
    <row r="1398" spans="2:12" ht="17.25" thickBot="1" x14ac:dyDescent="0.35"/>
    <row r="1399" spans="2:12" ht="17.25" thickBot="1" x14ac:dyDescent="0.35">
      <c r="F1399" s="402" t="s">
        <v>16</v>
      </c>
      <c r="G1399" s="403"/>
      <c r="H1399" s="403"/>
      <c r="I1399" s="404"/>
      <c r="K1399" s="224">
        <f>+SUM(K1394:K1397)</f>
        <v>100</v>
      </c>
      <c r="L1399" s="117">
        <f>+SUM(L1394:L1397)</f>
        <v>1502</v>
      </c>
    </row>
    <row r="1400" spans="2:12" ht="17.25" thickBot="1" x14ac:dyDescent="0.35"/>
    <row r="1401" spans="2:12" ht="17.25" thickBot="1" x14ac:dyDescent="0.35">
      <c r="B1401" s="108" t="s">
        <v>17</v>
      </c>
      <c r="C1401" s="413" t="s">
        <v>18</v>
      </c>
      <c r="D1401" s="413"/>
      <c r="E1401" s="413"/>
      <c r="F1401" s="413"/>
      <c r="G1401" s="414"/>
    </row>
    <row r="1402" spans="2:12" x14ac:dyDescent="0.3">
      <c r="B1402" s="112" t="s">
        <v>6</v>
      </c>
      <c r="C1402" s="415" t="s">
        <v>1</v>
      </c>
      <c r="D1402" s="416"/>
      <c r="E1402" s="124"/>
      <c r="F1402" s="118" t="s">
        <v>2</v>
      </c>
      <c r="G1402" s="112" t="s">
        <v>3</v>
      </c>
      <c r="H1402" s="104"/>
      <c r="I1402" s="105" t="s">
        <v>7</v>
      </c>
      <c r="J1402" s="134"/>
      <c r="K1402" s="105" t="s">
        <v>8</v>
      </c>
      <c r="L1402" s="113" t="s">
        <v>193</v>
      </c>
    </row>
    <row r="1403" spans="2:12" x14ac:dyDescent="0.3">
      <c r="B1403" s="74"/>
      <c r="C1403" s="411"/>
      <c r="D1403" s="412"/>
      <c r="E1403" s="125"/>
      <c r="F1403" s="72"/>
      <c r="G1403" s="74"/>
      <c r="I1403" s="84">
        <v>0</v>
      </c>
      <c r="K1403" s="84">
        <f>+F1403*I1403</f>
        <v>0</v>
      </c>
      <c r="L1403" s="116">
        <f>E1403*I1403</f>
        <v>0</v>
      </c>
    </row>
    <row r="1404" spans="2:12" x14ac:dyDescent="0.3">
      <c r="B1404" s="74"/>
      <c r="C1404" s="411"/>
      <c r="D1404" s="412"/>
      <c r="E1404" s="125"/>
      <c r="F1404" s="72"/>
      <c r="G1404" s="74"/>
      <c r="I1404" s="84">
        <v>0</v>
      </c>
      <c r="K1404" s="84">
        <f>+F1404*I1404</f>
        <v>0</v>
      </c>
      <c r="L1404" s="116">
        <f>E1404*I1404</f>
        <v>0</v>
      </c>
    </row>
    <row r="1405" spans="2:12" x14ac:dyDescent="0.3">
      <c r="B1405" s="74"/>
      <c r="C1405" s="411"/>
      <c r="D1405" s="412"/>
      <c r="E1405" s="125"/>
      <c r="F1405" s="72"/>
      <c r="G1405" s="74"/>
      <c r="I1405" s="84">
        <v>0</v>
      </c>
      <c r="K1405" s="84">
        <f>+F1405*I1405</f>
        <v>0</v>
      </c>
      <c r="L1405" s="116">
        <f>E1405*I1405</f>
        <v>0</v>
      </c>
    </row>
    <row r="1406" spans="2:12" ht="17.25" thickBot="1" x14ac:dyDescent="0.35">
      <c r="L1406" s="116"/>
    </row>
    <row r="1407" spans="2:12" ht="17.25" thickBot="1" x14ac:dyDescent="0.35">
      <c r="F1407" s="402" t="s">
        <v>19</v>
      </c>
      <c r="G1407" s="403"/>
      <c r="H1407" s="403"/>
      <c r="I1407" s="404"/>
      <c r="K1407" s="224">
        <f>+SUM(K1403:K1405)</f>
        <v>0</v>
      </c>
      <c r="L1407" s="117">
        <f>+SUM(L1402:L1405)</f>
        <v>0</v>
      </c>
    </row>
    <row r="1408" spans="2:12" ht="15" customHeight="1" x14ac:dyDescent="0.3">
      <c r="F1408" s="126"/>
      <c r="G1408" s="280"/>
      <c r="H1408" s="128"/>
      <c r="I1408" s="106"/>
      <c r="K1408" s="225"/>
    </row>
    <row r="1409" spans="1:16" ht="15" customHeight="1" thickBot="1" x14ac:dyDescent="0.35"/>
    <row r="1410" spans="1:16" ht="17.25" thickBot="1" x14ac:dyDescent="0.35">
      <c r="F1410" s="402" t="s">
        <v>20</v>
      </c>
      <c r="G1410" s="403"/>
      <c r="H1410" s="403"/>
      <c r="I1410" s="404"/>
      <c r="K1410" s="224">
        <f>(+K1381+K1390+K1399+K1407)</f>
        <v>290</v>
      </c>
      <c r="L1410" s="117">
        <f>(+L1381+L1390+L1399+L1407)</f>
        <v>4355.7999999999993</v>
      </c>
      <c r="N1410" s="129"/>
      <c r="O1410" s="39"/>
      <c r="P1410" s="40"/>
    </row>
    <row r="1411" spans="1:16" ht="7.5" customHeight="1" thickBot="1" x14ac:dyDescent="0.35">
      <c r="N1411" s="129"/>
      <c r="O1411" s="41"/>
      <c r="P1411" s="40"/>
    </row>
    <row r="1412" spans="1:16" ht="17.25" thickBot="1" x14ac:dyDescent="0.35">
      <c r="F1412" s="402" t="s">
        <v>21</v>
      </c>
      <c r="G1412" s="403"/>
      <c r="H1412" s="403"/>
      <c r="I1412" s="404"/>
      <c r="K1412" s="224">
        <f>K1410*$N$2</f>
        <v>116</v>
      </c>
      <c r="L1412" s="117">
        <f>L1410*$N$2</f>
        <v>1742.3199999999997</v>
      </c>
    </row>
    <row r="1413" spans="1:16" ht="7.5" customHeight="1" thickBot="1" x14ac:dyDescent="0.35"/>
    <row r="1414" spans="1:16" ht="17.25" thickBot="1" x14ac:dyDescent="0.35">
      <c r="F1414" s="402" t="s">
        <v>22</v>
      </c>
      <c r="G1414" s="403"/>
      <c r="H1414" s="403"/>
      <c r="I1414" s="404"/>
      <c r="K1414" s="224">
        <f>+K1410+K1412</f>
        <v>406</v>
      </c>
      <c r="L1414" s="117">
        <f>+L1410+L1412</f>
        <v>6098.119999999999</v>
      </c>
    </row>
    <row r="1415" spans="1:16" ht="17.25" thickBot="1" x14ac:dyDescent="0.35">
      <c r="F1415" s="126"/>
      <c r="G1415" s="280"/>
      <c r="H1415" s="128"/>
      <c r="I1415" s="106"/>
      <c r="K1415" s="226"/>
      <c r="L1415" s="130">
        <f>L1414/I1366</f>
        <v>405.99999999999994</v>
      </c>
      <c r="M1415" s="131">
        <f>(K1414-L1415)*I1366</f>
        <v>8.5378815128933636E-13</v>
      </c>
    </row>
    <row r="1416" spans="1:16" x14ac:dyDescent="0.3">
      <c r="F1416" s="126"/>
      <c r="G1416" s="280"/>
      <c r="H1416" s="128"/>
      <c r="I1416" s="106"/>
      <c r="K1416" s="227"/>
      <c r="L1416" s="129"/>
      <c r="M1416" s="132"/>
      <c r="N1416" s="133"/>
    </row>
    <row r="1417" spans="1:16" ht="17.25" thickBot="1" x14ac:dyDescent="0.35">
      <c r="B1417" s="405"/>
      <c r="C1417" s="405"/>
      <c r="D1417" s="405"/>
    </row>
    <row r="1418" spans="1:16" x14ac:dyDescent="0.3">
      <c r="B1418" s="406" t="s">
        <v>23</v>
      </c>
      <c r="C1418" s="406"/>
      <c r="D1418" s="406"/>
    </row>
    <row r="1419" spans="1:16" x14ac:dyDescent="0.3">
      <c r="B1419" s="281"/>
      <c r="C1419" s="281"/>
      <c r="D1419" s="281"/>
    </row>
    <row r="1420" spans="1:16" x14ac:dyDescent="0.3">
      <c r="B1420" s="281"/>
      <c r="C1420" s="281"/>
      <c r="D1420" s="281"/>
    </row>
    <row r="1421" spans="1:16" x14ac:dyDescent="0.3">
      <c r="B1421" s="103" t="s">
        <v>43</v>
      </c>
      <c r="C1421" s="104"/>
      <c r="D1421" s="422" t="s">
        <v>1</v>
      </c>
      <c r="E1421" s="422"/>
      <c r="F1421" s="422"/>
      <c r="G1421" s="422"/>
      <c r="H1421" s="104"/>
      <c r="I1421" s="105" t="s">
        <v>2</v>
      </c>
      <c r="J1421" s="134"/>
      <c r="K1421" s="105" t="s">
        <v>3</v>
      </c>
    </row>
    <row r="1422" spans="1:16" s="4" customFormat="1" ht="30.75" customHeight="1" x14ac:dyDescent="0.25">
      <c r="A1422" s="31"/>
      <c r="B1422" s="287">
        <f>CATALOGO!B59</f>
        <v>607.02</v>
      </c>
      <c r="C1422" s="71"/>
      <c r="D1422" s="423" t="str">
        <f>CATALOGO!C59</f>
        <v>PAÑUELOS E IMPERMEABILIZACIÓN</v>
      </c>
      <c r="E1422" s="423"/>
      <c r="F1422" s="423"/>
      <c r="G1422" s="423"/>
      <c r="H1422" s="71"/>
      <c r="I1422" s="287">
        <f>CATALOGO!D59</f>
        <v>37</v>
      </c>
      <c r="J1422" s="107"/>
      <c r="K1422" s="222" t="str">
        <f>CATALOGO!G59</f>
        <v>m²</v>
      </c>
      <c r="L1422" s="71"/>
      <c r="M1422" s="71"/>
      <c r="N1422" s="102"/>
      <c r="O1422" s="37"/>
      <c r="P1422" s="37"/>
    </row>
    <row r="1423" spans="1:16" ht="17.25" thickBot="1" x14ac:dyDescent="0.35"/>
    <row r="1424" spans="1:16" ht="17.25" thickBot="1" x14ac:dyDescent="0.35">
      <c r="B1424" s="108" t="s">
        <v>4</v>
      </c>
      <c r="C1424" s="413" t="s">
        <v>5</v>
      </c>
      <c r="D1424" s="413"/>
      <c r="E1424" s="413"/>
      <c r="F1424" s="413"/>
      <c r="G1424" s="414"/>
    </row>
    <row r="1425" spans="2:16" x14ac:dyDescent="0.25">
      <c r="B1425" s="109" t="s">
        <v>6</v>
      </c>
      <c r="C1425" s="424" t="s">
        <v>1</v>
      </c>
      <c r="D1425" s="425"/>
      <c r="E1425" s="110" t="s">
        <v>192</v>
      </c>
      <c r="F1425" s="111" t="s">
        <v>2</v>
      </c>
      <c r="G1425" s="112" t="s">
        <v>3</v>
      </c>
      <c r="H1425" s="104"/>
      <c r="I1425" s="105" t="s">
        <v>7</v>
      </c>
      <c r="J1425" s="134"/>
      <c r="K1425" s="223" t="s">
        <v>8</v>
      </c>
      <c r="L1425" s="113" t="s">
        <v>193</v>
      </c>
      <c r="O1425" s="438"/>
      <c r="P1425" s="438"/>
    </row>
    <row r="1426" spans="2:16" ht="17.25" customHeight="1" x14ac:dyDescent="0.25">
      <c r="B1426" s="120">
        <v>1</v>
      </c>
      <c r="C1426" s="430" t="s">
        <v>72</v>
      </c>
      <c r="D1426" s="429"/>
      <c r="E1426" s="114">
        <f>I1422*0.28</f>
        <v>10.360000000000001</v>
      </c>
      <c r="F1426" s="83">
        <f>ROUND(E1426/I1422,2)</f>
        <v>0.28000000000000003</v>
      </c>
      <c r="G1426" s="74" t="str">
        <f>IF(C1426=0,0,VLOOKUP(C1426,Tabla1[],2,FALSE))</f>
        <v>m³</v>
      </c>
      <c r="I1426" s="115">
        <f>IF(C1426=0,0,VLOOKUP(C1426,Tabla1[],3,FALSE))</f>
        <v>250</v>
      </c>
      <c r="K1426" s="84">
        <f>F1426*I1426</f>
        <v>70</v>
      </c>
      <c r="L1426" s="116">
        <f t="shared" ref="L1426:L1435" si="44">E1426*I1426</f>
        <v>2590.0000000000005</v>
      </c>
      <c r="O1426" s="44"/>
      <c r="P1426" s="45"/>
    </row>
    <row r="1427" spans="2:16" x14ac:dyDescent="0.3">
      <c r="B1427" s="120">
        <v>2</v>
      </c>
      <c r="C1427" s="428" t="s">
        <v>213</v>
      </c>
      <c r="D1427" s="429"/>
      <c r="E1427" s="114">
        <f>I1422*0.5</f>
        <v>18.5</v>
      </c>
      <c r="F1427" s="83">
        <f>ROUND(E1427/I1422,2)</f>
        <v>0.5</v>
      </c>
      <c r="G1427" s="74" t="str">
        <f>IF(C1427=0,0,VLOOKUP(C1427,Tabla1[],2,FALSE))</f>
        <v>Saco</v>
      </c>
      <c r="I1427" s="115">
        <f>IF(C1427=0,0,VLOOKUP(C1427,Tabla1[],3,FALSE))</f>
        <v>80</v>
      </c>
      <c r="K1427" s="84">
        <f t="shared" ref="K1427:K1435" si="45">+F1427*I1427</f>
        <v>40</v>
      </c>
      <c r="L1427" s="116">
        <f t="shared" si="44"/>
        <v>1480</v>
      </c>
      <c r="P1427" s="45"/>
    </row>
    <row r="1428" spans="2:16" ht="16.5" customHeight="1" x14ac:dyDescent="0.25">
      <c r="B1428" s="120"/>
      <c r="C1428" s="430"/>
      <c r="D1428" s="429"/>
      <c r="E1428" s="114"/>
      <c r="F1428" s="83"/>
      <c r="G1428" s="74"/>
      <c r="I1428" s="115">
        <f>IF(C1428=0,0,VLOOKUP(C1428,Tabla1[],3,FALSE))</f>
        <v>0</v>
      </c>
      <c r="K1428" s="84">
        <f t="shared" si="45"/>
        <v>0</v>
      </c>
      <c r="L1428" s="116">
        <f t="shared" si="44"/>
        <v>0</v>
      </c>
      <c r="O1428" s="44"/>
      <c r="P1428" s="46"/>
    </row>
    <row r="1429" spans="2:16" x14ac:dyDescent="0.25">
      <c r="B1429" s="120"/>
      <c r="C1429" s="430"/>
      <c r="D1429" s="429"/>
      <c r="E1429" s="114"/>
      <c r="F1429" s="83"/>
      <c r="G1429" s="74"/>
      <c r="I1429" s="115">
        <f>IF(C1429=0,0,VLOOKUP(C1429,Tabla1[],3,FALSE))</f>
        <v>0</v>
      </c>
      <c r="K1429" s="84">
        <f t="shared" si="45"/>
        <v>0</v>
      </c>
      <c r="L1429" s="116">
        <f t="shared" si="44"/>
        <v>0</v>
      </c>
      <c r="O1429" s="44"/>
      <c r="P1429" s="51"/>
    </row>
    <row r="1430" spans="2:16" x14ac:dyDescent="0.25">
      <c r="B1430" s="120"/>
      <c r="C1430" s="284"/>
      <c r="D1430" s="285"/>
      <c r="E1430" s="114"/>
      <c r="F1430" s="83"/>
      <c r="G1430" s="74"/>
      <c r="I1430" s="115">
        <f>IF(C1430=0,0,VLOOKUP(C1430,Tabla1[],3,FALSE))</f>
        <v>0</v>
      </c>
      <c r="K1430" s="84">
        <f t="shared" si="45"/>
        <v>0</v>
      </c>
      <c r="L1430" s="116">
        <f t="shared" si="44"/>
        <v>0</v>
      </c>
      <c r="O1430" s="44"/>
      <c r="P1430" s="51"/>
    </row>
    <row r="1431" spans="2:16" x14ac:dyDescent="0.25">
      <c r="B1431" s="120"/>
      <c r="C1431" s="284"/>
      <c r="D1431" s="285"/>
      <c r="E1431" s="114"/>
      <c r="F1431" s="83"/>
      <c r="G1431" s="74"/>
      <c r="I1431" s="115">
        <f>IF(C1431=0,0,VLOOKUP(C1431,Tabla1[],3,FALSE))</f>
        <v>0</v>
      </c>
      <c r="K1431" s="84">
        <f t="shared" si="45"/>
        <v>0</v>
      </c>
      <c r="L1431" s="116">
        <f t="shared" si="44"/>
        <v>0</v>
      </c>
      <c r="O1431" s="44"/>
      <c r="P1431" s="51"/>
    </row>
    <row r="1432" spans="2:16" x14ac:dyDescent="0.25">
      <c r="B1432" s="120"/>
      <c r="C1432" s="284"/>
      <c r="D1432" s="285"/>
      <c r="E1432" s="114"/>
      <c r="F1432" s="83"/>
      <c r="G1432" s="74"/>
      <c r="I1432" s="115">
        <f>IF(C1432=0,0,VLOOKUP(C1432,Tabla1[],3,FALSE))</f>
        <v>0</v>
      </c>
      <c r="K1432" s="84">
        <f t="shared" si="45"/>
        <v>0</v>
      </c>
      <c r="L1432" s="116">
        <f t="shared" si="44"/>
        <v>0</v>
      </c>
      <c r="O1432" s="44"/>
      <c r="P1432" s="51"/>
    </row>
    <row r="1433" spans="2:16" x14ac:dyDescent="0.3">
      <c r="B1433" s="120"/>
      <c r="C1433" s="428"/>
      <c r="D1433" s="429"/>
      <c r="E1433" s="114"/>
      <c r="F1433" s="83"/>
      <c r="G1433" s="74"/>
      <c r="I1433" s="115">
        <f>IF(C1433=0,0,VLOOKUP(C1433,Tabla1[],3,FALSE))</f>
        <v>0</v>
      </c>
      <c r="K1433" s="84">
        <f t="shared" si="45"/>
        <v>0</v>
      </c>
      <c r="L1433" s="116">
        <f t="shared" si="44"/>
        <v>0</v>
      </c>
      <c r="O1433" s="48"/>
      <c r="P1433" s="52"/>
    </row>
    <row r="1434" spans="2:16" x14ac:dyDescent="0.3">
      <c r="B1434" s="120"/>
      <c r="C1434" s="407"/>
      <c r="D1434" s="408"/>
      <c r="E1434" s="114"/>
      <c r="F1434" s="83"/>
      <c r="G1434" s="74"/>
      <c r="I1434" s="115">
        <f>IF(C1434=0,0,VLOOKUP(C1434,Tabla1[],3,FALSE))</f>
        <v>0</v>
      </c>
      <c r="K1434" s="84">
        <f t="shared" si="45"/>
        <v>0</v>
      </c>
      <c r="L1434" s="116">
        <f t="shared" si="44"/>
        <v>0</v>
      </c>
      <c r="O1434" s="48"/>
      <c r="P1434" s="52"/>
    </row>
    <row r="1435" spans="2:16" x14ac:dyDescent="0.3">
      <c r="B1435" s="120"/>
      <c r="C1435" s="430"/>
      <c r="D1435" s="429"/>
      <c r="E1435" s="114"/>
      <c r="F1435" s="83"/>
      <c r="G1435" s="74"/>
      <c r="I1435" s="115">
        <f>IF(C1435=0,0,VLOOKUP(C1435,Tabla1[],3,FALSE))</f>
        <v>0</v>
      </c>
      <c r="K1435" s="84">
        <f t="shared" si="45"/>
        <v>0</v>
      </c>
      <c r="L1435" s="116">
        <f t="shared" si="44"/>
        <v>0</v>
      </c>
      <c r="O1435" s="48"/>
      <c r="P1435" s="52"/>
    </row>
    <row r="1436" spans="2:16" ht="17.25" thickBot="1" x14ac:dyDescent="0.35"/>
    <row r="1437" spans="2:16" ht="17.25" thickBot="1" x14ac:dyDescent="0.3">
      <c r="F1437" s="402" t="s">
        <v>9</v>
      </c>
      <c r="G1437" s="403"/>
      <c r="H1437" s="403"/>
      <c r="I1437" s="404"/>
      <c r="K1437" s="224">
        <f>+SUM(K1426:K1435)</f>
        <v>110</v>
      </c>
      <c r="L1437" s="117">
        <f>+SUM(L1426:L1435)</f>
        <v>4070.0000000000005</v>
      </c>
      <c r="O1437" s="38"/>
      <c r="P1437" s="38"/>
    </row>
    <row r="1438" spans="2:16" ht="17.25" thickBot="1" x14ac:dyDescent="0.35">
      <c r="O1438" s="42"/>
      <c r="P1438" s="43"/>
    </row>
    <row r="1439" spans="2:16" ht="17.25" thickBot="1" x14ac:dyDescent="0.35">
      <c r="B1439" s="108" t="s">
        <v>10</v>
      </c>
      <c r="C1439" s="413" t="s">
        <v>11</v>
      </c>
      <c r="D1439" s="413"/>
      <c r="E1439" s="413"/>
      <c r="F1439" s="413"/>
      <c r="G1439" s="414"/>
    </row>
    <row r="1440" spans="2:16" x14ac:dyDescent="0.3">
      <c r="B1440" s="112" t="s">
        <v>6</v>
      </c>
      <c r="C1440" s="415" t="s">
        <v>1</v>
      </c>
      <c r="D1440" s="416"/>
      <c r="E1440" s="110" t="s">
        <v>192</v>
      </c>
      <c r="F1440" s="118" t="s">
        <v>2</v>
      </c>
      <c r="G1440" s="112" t="s">
        <v>3</v>
      </c>
      <c r="H1440" s="104"/>
      <c r="I1440" s="105" t="s">
        <v>7</v>
      </c>
      <c r="J1440" s="134"/>
      <c r="K1440" s="105" t="s">
        <v>8</v>
      </c>
      <c r="L1440" s="113" t="s">
        <v>193</v>
      </c>
    </row>
    <row r="1441" spans="2:12" x14ac:dyDescent="0.3">
      <c r="B1441" s="120"/>
      <c r="C1441" s="409"/>
      <c r="D1441" s="409"/>
      <c r="E1441" s="114"/>
      <c r="F1441" s="83"/>
      <c r="G1441" s="74"/>
      <c r="I1441" s="115">
        <f>IF(C1441=0,0,VLOOKUP(C1441,Tabla3[],3,FALSE))</f>
        <v>0</v>
      </c>
      <c r="K1441" s="84">
        <f>F1441*I1441</f>
        <v>0</v>
      </c>
      <c r="L1441" s="116">
        <f>E1441*I1441</f>
        <v>0</v>
      </c>
    </row>
    <row r="1442" spans="2:12" x14ac:dyDescent="0.3">
      <c r="B1442" s="74"/>
      <c r="C1442" s="431"/>
      <c r="D1442" s="432"/>
      <c r="E1442" s="119"/>
      <c r="F1442" s="72"/>
      <c r="G1442" s="74"/>
      <c r="I1442" s="115">
        <f>IF(C1442=0,0,VLOOKUP(C1442,Tabla3[],3,FALSE))</f>
        <v>0</v>
      </c>
      <c r="K1442" s="84">
        <f>+F1442*I1442</f>
        <v>0</v>
      </c>
      <c r="L1442" s="116">
        <f>E1442*I1442</f>
        <v>0</v>
      </c>
    </row>
    <row r="1443" spans="2:12" x14ac:dyDescent="0.3">
      <c r="B1443" s="74"/>
      <c r="C1443" s="431"/>
      <c r="D1443" s="432"/>
      <c r="E1443" s="119"/>
      <c r="F1443" s="72"/>
      <c r="G1443" s="74"/>
      <c r="I1443" s="115">
        <f>IF(C1443=0,0,VLOOKUP(C1443,Tabla3[],3,FALSE))</f>
        <v>0</v>
      </c>
      <c r="K1443" s="84">
        <f>+F1443*I1443</f>
        <v>0</v>
      </c>
      <c r="L1443" s="116">
        <f>E1443*I1443</f>
        <v>0</v>
      </c>
    </row>
    <row r="1444" spans="2:12" x14ac:dyDescent="0.3">
      <c r="B1444" s="74"/>
      <c r="C1444" s="411"/>
      <c r="D1444" s="412"/>
      <c r="E1444" s="119"/>
      <c r="F1444" s="72"/>
      <c r="G1444" s="74"/>
      <c r="I1444" s="115">
        <f>IF(C1444=0,0,VLOOKUP(C1444,Tabla3[],3,FALSE))</f>
        <v>0</v>
      </c>
      <c r="K1444" s="84">
        <f>+F1444*I1444</f>
        <v>0</v>
      </c>
      <c r="L1444" s="116">
        <f>E1444*I1444</f>
        <v>0</v>
      </c>
    </row>
    <row r="1445" spans="2:12" ht="17.25" thickBot="1" x14ac:dyDescent="0.35"/>
    <row r="1446" spans="2:12" ht="17.25" thickBot="1" x14ac:dyDescent="0.35">
      <c r="F1446" s="402" t="s">
        <v>12</v>
      </c>
      <c r="G1446" s="403"/>
      <c r="H1446" s="403"/>
      <c r="I1446" s="404"/>
      <c r="K1446" s="224">
        <f>+SUM(K1441:K1444)</f>
        <v>0</v>
      </c>
      <c r="L1446" s="117">
        <f>+SUM(L1441:L1444)</f>
        <v>0</v>
      </c>
    </row>
    <row r="1447" spans="2:12" ht="17.25" thickBot="1" x14ac:dyDescent="0.35"/>
    <row r="1448" spans="2:12" ht="17.25" thickBot="1" x14ac:dyDescent="0.35">
      <c r="B1448" s="108" t="s">
        <v>13</v>
      </c>
      <c r="C1448" s="413" t="s">
        <v>14</v>
      </c>
      <c r="D1448" s="413"/>
      <c r="E1448" s="413"/>
      <c r="F1448" s="413"/>
      <c r="G1448" s="414"/>
    </row>
    <row r="1449" spans="2:12" x14ac:dyDescent="0.3">
      <c r="B1449" s="112" t="s">
        <v>6</v>
      </c>
      <c r="C1449" s="415" t="s">
        <v>1</v>
      </c>
      <c r="D1449" s="416"/>
      <c r="E1449" s="110" t="s">
        <v>192</v>
      </c>
      <c r="F1449" s="118" t="s">
        <v>2</v>
      </c>
      <c r="G1449" s="112" t="s">
        <v>3</v>
      </c>
      <c r="H1449" s="104"/>
      <c r="I1449" s="105" t="s">
        <v>7</v>
      </c>
      <c r="J1449" s="134"/>
      <c r="K1449" s="105" t="s">
        <v>8</v>
      </c>
      <c r="L1449" s="113" t="s">
        <v>193</v>
      </c>
    </row>
    <row r="1450" spans="2:12" x14ac:dyDescent="0.3">
      <c r="B1450" s="120">
        <v>1</v>
      </c>
      <c r="C1450" s="409" t="s">
        <v>395</v>
      </c>
      <c r="D1450" s="409"/>
      <c r="E1450" s="114">
        <f>I1422</f>
        <v>37</v>
      </c>
      <c r="F1450" s="83">
        <f>ROUND(E1450/I1422,2)</f>
        <v>1</v>
      </c>
      <c r="G1450" s="74" t="str">
        <f>IF(C1450=0,0,VLOOKUP(C1450,Tabla2[],2,FALSE))</f>
        <v>m²</v>
      </c>
      <c r="I1450" s="115">
        <f>IF(C1450=0,0,VLOOKUP(C1450,Tabla2[],3,FALSE))</f>
        <v>100</v>
      </c>
      <c r="K1450" s="84">
        <f>+F1450*I1450</f>
        <v>100</v>
      </c>
      <c r="L1450" s="116">
        <f>E1450*I1450</f>
        <v>3700</v>
      </c>
    </row>
    <row r="1451" spans="2:12" x14ac:dyDescent="0.3">
      <c r="B1451" s="120"/>
      <c r="C1451" s="409"/>
      <c r="D1451" s="409"/>
      <c r="E1451" s="114"/>
      <c r="F1451" s="83"/>
      <c r="G1451" s="74"/>
      <c r="I1451" s="115">
        <f>IF(C1451=0,0,VLOOKUP(C1451,Tabla2[],3,FALSE))</f>
        <v>0</v>
      </c>
      <c r="K1451" s="84">
        <f>+F1451*I1451</f>
        <v>0</v>
      </c>
      <c r="L1451" s="116">
        <f>E1451*I1451</f>
        <v>0</v>
      </c>
    </row>
    <row r="1452" spans="2:12" ht="17.25" thickBot="1" x14ac:dyDescent="0.35">
      <c r="B1452" s="121"/>
      <c r="C1452" s="417"/>
      <c r="D1452" s="418"/>
      <c r="E1452" s="122"/>
      <c r="F1452" s="123"/>
      <c r="G1452" s="74"/>
      <c r="I1452" s="115">
        <f>IF(C1452=0,0,VLOOKUP(C1452,Tabla2[],3,FALSE))</f>
        <v>0</v>
      </c>
      <c r="K1452" s="84">
        <f>+F1452*I1452</f>
        <v>0</v>
      </c>
      <c r="L1452" s="116">
        <f>E1452*I1452</f>
        <v>0</v>
      </c>
    </row>
    <row r="1453" spans="2:12" ht="17.25" thickBot="1" x14ac:dyDescent="0.35">
      <c r="B1453" s="419" t="s">
        <v>15</v>
      </c>
      <c r="C1453" s="420"/>
      <c r="D1453" s="420"/>
      <c r="E1453" s="420"/>
      <c r="F1453" s="420"/>
      <c r="G1453" s="421"/>
      <c r="I1453" s="84">
        <v>0</v>
      </c>
      <c r="K1453" s="84">
        <v>0</v>
      </c>
      <c r="L1453" s="116">
        <f>E1453*I1453</f>
        <v>0</v>
      </c>
    </row>
    <row r="1454" spans="2:12" ht="17.25" thickBot="1" x14ac:dyDescent="0.35"/>
    <row r="1455" spans="2:12" ht="17.25" thickBot="1" x14ac:dyDescent="0.35">
      <c r="F1455" s="402" t="s">
        <v>16</v>
      </c>
      <c r="G1455" s="403"/>
      <c r="H1455" s="403"/>
      <c r="I1455" s="404"/>
      <c r="K1455" s="224">
        <f>+SUM(K1450:K1453)</f>
        <v>100</v>
      </c>
      <c r="L1455" s="117">
        <f>+SUM(L1450:L1453)</f>
        <v>3700</v>
      </c>
    </row>
    <row r="1456" spans="2:12" ht="17.25" thickBot="1" x14ac:dyDescent="0.35"/>
    <row r="1457" spans="2:16" ht="17.25" thickBot="1" x14ac:dyDescent="0.35">
      <c r="B1457" s="108" t="s">
        <v>17</v>
      </c>
      <c r="C1457" s="413" t="s">
        <v>18</v>
      </c>
      <c r="D1457" s="413"/>
      <c r="E1457" s="413"/>
      <c r="F1457" s="413"/>
      <c r="G1457" s="414"/>
    </row>
    <row r="1458" spans="2:16" x14ac:dyDescent="0.3">
      <c r="B1458" s="112" t="s">
        <v>6</v>
      </c>
      <c r="C1458" s="415" t="s">
        <v>1</v>
      </c>
      <c r="D1458" s="416"/>
      <c r="E1458" s="124"/>
      <c r="F1458" s="118" t="s">
        <v>2</v>
      </c>
      <c r="G1458" s="112" t="s">
        <v>3</v>
      </c>
      <c r="H1458" s="104"/>
      <c r="I1458" s="105" t="s">
        <v>7</v>
      </c>
      <c r="J1458" s="134"/>
      <c r="K1458" s="105" t="s">
        <v>8</v>
      </c>
      <c r="L1458" s="113" t="s">
        <v>193</v>
      </c>
    </row>
    <row r="1459" spans="2:16" x14ac:dyDescent="0.3">
      <c r="B1459" s="74"/>
      <c r="C1459" s="411"/>
      <c r="D1459" s="412"/>
      <c r="E1459" s="125"/>
      <c r="F1459" s="72"/>
      <c r="G1459" s="74"/>
      <c r="I1459" s="84">
        <v>0</v>
      </c>
      <c r="K1459" s="84">
        <f>+F1459*I1459</f>
        <v>0</v>
      </c>
      <c r="L1459" s="116">
        <f>E1459*I1459</f>
        <v>0</v>
      </c>
    </row>
    <row r="1460" spans="2:16" x14ac:dyDescent="0.3">
      <c r="B1460" s="74"/>
      <c r="C1460" s="411"/>
      <c r="D1460" s="412"/>
      <c r="E1460" s="125"/>
      <c r="F1460" s="72"/>
      <c r="G1460" s="74"/>
      <c r="I1460" s="84">
        <v>0</v>
      </c>
      <c r="K1460" s="84">
        <f>+F1460*I1460</f>
        <v>0</v>
      </c>
      <c r="L1460" s="116">
        <f>E1460*I1460</f>
        <v>0</v>
      </c>
    </row>
    <row r="1461" spans="2:16" x14ac:dyDescent="0.3">
      <c r="B1461" s="74"/>
      <c r="C1461" s="411"/>
      <c r="D1461" s="412"/>
      <c r="E1461" s="125"/>
      <c r="F1461" s="72"/>
      <c r="G1461" s="74"/>
      <c r="I1461" s="84">
        <v>0</v>
      </c>
      <c r="K1461" s="84">
        <f>+F1461*I1461</f>
        <v>0</v>
      </c>
      <c r="L1461" s="116">
        <f>E1461*I1461</f>
        <v>0</v>
      </c>
    </row>
    <row r="1462" spans="2:16" ht="17.25" thickBot="1" x14ac:dyDescent="0.35">
      <c r="L1462" s="116"/>
    </row>
    <row r="1463" spans="2:16" ht="17.25" thickBot="1" x14ac:dyDescent="0.35">
      <c r="F1463" s="402" t="s">
        <v>19</v>
      </c>
      <c r="G1463" s="403"/>
      <c r="H1463" s="403"/>
      <c r="I1463" s="404"/>
      <c r="K1463" s="224">
        <f>+SUM(K1459:K1461)</f>
        <v>0</v>
      </c>
      <c r="L1463" s="117">
        <f>+SUM(L1458:L1461)</f>
        <v>0</v>
      </c>
    </row>
    <row r="1464" spans="2:16" ht="15" customHeight="1" x14ac:dyDescent="0.3">
      <c r="F1464" s="126"/>
      <c r="G1464" s="280"/>
      <c r="H1464" s="128"/>
      <c r="I1464" s="106"/>
      <c r="K1464" s="225"/>
    </row>
    <row r="1465" spans="2:16" ht="15" customHeight="1" thickBot="1" x14ac:dyDescent="0.35"/>
    <row r="1466" spans="2:16" ht="17.25" thickBot="1" x14ac:dyDescent="0.35">
      <c r="F1466" s="402" t="s">
        <v>20</v>
      </c>
      <c r="G1466" s="403"/>
      <c r="H1466" s="403"/>
      <c r="I1466" s="404"/>
      <c r="K1466" s="224">
        <f>(+K1437+K1446+K1455+K1463)</f>
        <v>210</v>
      </c>
      <c r="L1466" s="117">
        <f>(+L1437+L1446+L1455+L1463)</f>
        <v>7770</v>
      </c>
      <c r="N1466" s="129"/>
      <c r="O1466" s="39"/>
      <c r="P1466" s="40"/>
    </row>
    <row r="1467" spans="2:16" ht="7.5" customHeight="1" thickBot="1" x14ac:dyDescent="0.35">
      <c r="N1467" s="129"/>
      <c r="O1467" s="41"/>
      <c r="P1467" s="40"/>
    </row>
    <row r="1468" spans="2:16" ht="17.25" thickBot="1" x14ac:dyDescent="0.35">
      <c r="F1468" s="402" t="s">
        <v>21</v>
      </c>
      <c r="G1468" s="403"/>
      <c r="H1468" s="403"/>
      <c r="I1468" s="404"/>
      <c r="K1468" s="224">
        <f>K1466*$N$2</f>
        <v>84</v>
      </c>
      <c r="L1468" s="117">
        <f>L1466*$N$2</f>
        <v>3108</v>
      </c>
    </row>
    <row r="1469" spans="2:16" ht="7.5" customHeight="1" thickBot="1" x14ac:dyDescent="0.35"/>
    <row r="1470" spans="2:16" ht="17.25" thickBot="1" x14ac:dyDescent="0.35">
      <c r="F1470" s="402" t="s">
        <v>22</v>
      </c>
      <c r="G1470" s="403"/>
      <c r="H1470" s="403"/>
      <c r="I1470" s="404"/>
      <c r="K1470" s="224">
        <f>+K1466+K1468</f>
        <v>294</v>
      </c>
      <c r="L1470" s="117">
        <f>+L1466+L1468</f>
        <v>10878</v>
      </c>
    </row>
    <row r="1471" spans="2:16" ht="17.25" thickBot="1" x14ac:dyDescent="0.35">
      <c r="F1471" s="126"/>
      <c r="G1471" s="280"/>
      <c r="H1471" s="128"/>
      <c r="I1471" s="106"/>
      <c r="K1471" s="226"/>
      <c r="L1471" s="130">
        <f>L1470/I1422</f>
        <v>294</v>
      </c>
      <c r="M1471" s="131">
        <f>(K1470-L1471)*I1422</f>
        <v>0</v>
      </c>
    </row>
    <row r="1472" spans="2:16" x14ac:dyDescent="0.3">
      <c r="F1472" s="126"/>
      <c r="G1472" s="280"/>
      <c r="H1472" s="128"/>
      <c r="I1472" s="106"/>
      <c r="K1472" s="227"/>
      <c r="L1472" s="129"/>
      <c r="M1472" s="132"/>
      <c r="N1472" s="133"/>
    </row>
    <row r="1473" spans="1:16" ht="17.25" thickBot="1" x14ac:dyDescent="0.35">
      <c r="B1473" s="405"/>
      <c r="C1473" s="405"/>
      <c r="D1473" s="405"/>
    </row>
    <row r="1474" spans="1:16" x14ac:dyDescent="0.3">
      <c r="B1474" s="406" t="s">
        <v>23</v>
      </c>
      <c r="C1474" s="406"/>
      <c r="D1474" s="406"/>
    </row>
    <row r="1475" spans="1:16" x14ac:dyDescent="0.3">
      <c r="B1475" s="281"/>
      <c r="C1475" s="281"/>
      <c r="D1475" s="281"/>
    </row>
    <row r="1476" spans="1:16" x14ac:dyDescent="0.3">
      <c r="B1476" s="281"/>
      <c r="C1476" s="281"/>
      <c r="D1476" s="281"/>
    </row>
    <row r="1477" spans="1:16" x14ac:dyDescent="0.3">
      <c r="B1477" s="103" t="s">
        <v>43</v>
      </c>
      <c r="C1477" s="104"/>
      <c r="D1477" s="422" t="s">
        <v>1</v>
      </c>
      <c r="E1477" s="422"/>
      <c r="F1477" s="422"/>
      <c r="G1477" s="422"/>
      <c r="H1477" s="104"/>
      <c r="I1477" s="105" t="s">
        <v>2</v>
      </c>
      <c r="J1477" s="134"/>
      <c r="K1477" s="105" t="s">
        <v>3</v>
      </c>
    </row>
    <row r="1478" spans="1:16" s="4" customFormat="1" ht="30.75" customHeight="1" x14ac:dyDescent="0.25">
      <c r="A1478" s="31"/>
      <c r="B1478" s="287">
        <f>CATALOGO!B60</f>
        <v>609.02</v>
      </c>
      <c r="C1478" s="71"/>
      <c r="D1478" s="423" t="str">
        <f>CATALOGO!C60</f>
        <v>AZULEJO DE PORCELANATO</v>
      </c>
      <c r="E1478" s="423"/>
      <c r="F1478" s="423"/>
      <c r="G1478" s="423"/>
      <c r="H1478" s="71"/>
      <c r="I1478" s="287">
        <f>CATALOGO!D60</f>
        <v>25</v>
      </c>
      <c r="J1478" s="107"/>
      <c r="K1478" s="222" t="str">
        <f>CATALOGO!G60</f>
        <v>m²</v>
      </c>
      <c r="L1478" s="71"/>
      <c r="M1478" s="71"/>
      <c r="N1478" s="102"/>
      <c r="O1478" s="37"/>
      <c r="P1478" s="37"/>
    </row>
    <row r="1479" spans="1:16" ht="17.25" thickBot="1" x14ac:dyDescent="0.35"/>
    <row r="1480" spans="1:16" ht="17.25" thickBot="1" x14ac:dyDescent="0.35">
      <c r="B1480" s="108" t="s">
        <v>4</v>
      </c>
      <c r="C1480" s="413" t="s">
        <v>5</v>
      </c>
      <c r="D1480" s="413"/>
      <c r="E1480" s="413"/>
      <c r="F1480" s="413"/>
      <c r="G1480" s="414"/>
    </row>
    <row r="1481" spans="1:16" x14ac:dyDescent="0.25">
      <c r="B1481" s="109" t="s">
        <v>6</v>
      </c>
      <c r="C1481" s="424" t="s">
        <v>1</v>
      </c>
      <c r="D1481" s="425"/>
      <c r="E1481" s="110" t="s">
        <v>192</v>
      </c>
      <c r="F1481" s="111" t="s">
        <v>2</v>
      </c>
      <c r="G1481" s="112" t="s">
        <v>3</v>
      </c>
      <c r="H1481" s="104"/>
      <c r="I1481" s="105" t="s">
        <v>7</v>
      </c>
      <c r="J1481" s="134"/>
      <c r="K1481" s="223" t="s">
        <v>8</v>
      </c>
      <c r="L1481" s="113" t="s">
        <v>193</v>
      </c>
      <c r="O1481" s="438"/>
      <c r="P1481" s="438"/>
    </row>
    <row r="1482" spans="1:16" x14ac:dyDescent="0.25">
      <c r="B1482" s="120">
        <v>1</v>
      </c>
      <c r="C1482" s="407" t="s">
        <v>469</v>
      </c>
      <c r="D1482" s="408"/>
      <c r="E1482" s="114">
        <f>I1478</f>
        <v>25</v>
      </c>
      <c r="F1482" s="83">
        <f>ROUND(E1482/I1478,3)</f>
        <v>1</v>
      </c>
      <c r="G1482" s="74" t="str">
        <f>IF(C1482=0,0,VLOOKUP(C1482,Tabla1[],2,FALSE))</f>
        <v>m²</v>
      </c>
      <c r="I1482" s="115">
        <f>IF(C1482=0,0,VLOOKUP(C1482,Tabla1[],3,FALSE))</f>
        <v>120</v>
      </c>
      <c r="K1482" s="84">
        <f>F1482*I1482</f>
        <v>120</v>
      </c>
      <c r="L1482" s="116">
        <f t="shared" ref="L1482:L1488" si="46">E1482*I1482</f>
        <v>3000</v>
      </c>
      <c r="O1482" s="44"/>
      <c r="P1482" s="45"/>
    </row>
    <row r="1483" spans="1:16" x14ac:dyDescent="0.3">
      <c r="B1483" s="120">
        <v>2</v>
      </c>
      <c r="C1483" s="428" t="s">
        <v>95</v>
      </c>
      <c r="D1483" s="429"/>
      <c r="E1483" s="114">
        <f>I1478*0.75</f>
        <v>18.75</v>
      </c>
      <c r="F1483" s="83">
        <f>ROUND(E1483/I1478,2)</f>
        <v>0.75</v>
      </c>
      <c r="G1483" s="74" t="str">
        <f>IF(C1483=0,0,VLOOKUP(C1483,Tabla1[],2,FALSE))</f>
        <v>Libra</v>
      </c>
      <c r="I1483" s="115">
        <f>IF(C1483=0,0,VLOOKUP(C1483,Tabla1[],3,FALSE))</f>
        <v>20</v>
      </c>
      <c r="K1483" s="84">
        <f t="shared" ref="K1483:K1488" si="47">+F1483*I1483</f>
        <v>15</v>
      </c>
      <c r="L1483" s="116">
        <f t="shared" si="46"/>
        <v>375</v>
      </c>
      <c r="P1483" s="45"/>
    </row>
    <row r="1484" spans="1:16" x14ac:dyDescent="0.25">
      <c r="B1484" s="120">
        <v>3</v>
      </c>
      <c r="C1484" s="430" t="s">
        <v>284</v>
      </c>
      <c r="D1484" s="429"/>
      <c r="E1484" s="114">
        <f>I1478*0.3</f>
        <v>7.5</v>
      </c>
      <c r="F1484" s="83">
        <f>ROUND(E1484/I1478,2)</f>
        <v>0.3</v>
      </c>
      <c r="G1484" s="74" t="str">
        <f>IF(C1484=0,0,VLOOKUP(C1484,Tabla1[],2,FALSE))</f>
        <v>Bolsa</v>
      </c>
      <c r="I1484" s="115">
        <f>IF(C1484=0,0,VLOOKUP(C1484,Tabla1[],3,FALSE))</f>
        <v>50</v>
      </c>
      <c r="K1484" s="84">
        <f t="shared" si="47"/>
        <v>15</v>
      </c>
      <c r="L1484" s="116">
        <f t="shared" si="46"/>
        <v>375</v>
      </c>
      <c r="O1484" s="44"/>
      <c r="P1484" s="46"/>
    </row>
    <row r="1485" spans="1:16" x14ac:dyDescent="0.25">
      <c r="B1485" s="120"/>
      <c r="C1485" s="430"/>
      <c r="D1485" s="429"/>
      <c r="E1485" s="114"/>
      <c r="F1485" s="83"/>
      <c r="G1485" s="74"/>
      <c r="I1485" s="115">
        <f>IF(C1485=0,0,VLOOKUP(C1485,Tabla1[],3,FALSE))</f>
        <v>0</v>
      </c>
      <c r="K1485" s="84">
        <f t="shared" si="47"/>
        <v>0</v>
      </c>
      <c r="L1485" s="116">
        <f t="shared" si="46"/>
        <v>0</v>
      </c>
      <c r="O1485" s="44"/>
      <c r="P1485" s="47"/>
    </row>
    <row r="1486" spans="1:16" x14ac:dyDescent="0.3">
      <c r="B1486" s="120"/>
      <c r="C1486" s="430"/>
      <c r="D1486" s="429"/>
      <c r="E1486" s="114"/>
      <c r="F1486" s="83"/>
      <c r="G1486" s="74"/>
      <c r="I1486" s="115">
        <f>IF(C1486=0,0,VLOOKUP(C1486,Tabla1[],3,FALSE))</f>
        <v>0</v>
      </c>
      <c r="K1486" s="84">
        <f t="shared" si="47"/>
        <v>0</v>
      </c>
      <c r="L1486" s="116">
        <f t="shared" si="46"/>
        <v>0</v>
      </c>
      <c r="O1486" s="48"/>
      <c r="P1486" s="49"/>
    </row>
    <row r="1487" spans="1:16" x14ac:dyDescent="0.3">
      <c r="B1487" s="120"/>
      <c r="C1487" s="430"/>
      <c r="D1487" s="429"/>
      <c r="E1487" s="114"/>
      <c r="F1487" s="83"/>
      <c r="G1487" s="74"/>
      <c r="I1487" s="115">
        <f>IF(C1487=0,0,VLOOKUP(C1487,Tabla1[],3,FALSE))</f>
        <v>0</v>
      </c>
      <c r="K1487" s="84">
        <f t="shared" si="47"/>
        <v>0</v>
      </c>
      <c r="L1487" s="116">
        <f t="shared" si="46"/>
        <v>0</v>
      </c>
      <c r="O1487" s="48"/>
      <c r="P1487" s="43"/>
    </row>
    <row r="1488" spans="1:16" x14ac:dyDescent="0.3">
      <c r="B1488" s="120"/>
      <c r="C1488" s="430"/>
      <c r="D1488" s="429"/>
      <c r="E1488" s="114"/>
      <c r="F1488" s="83"/>
      <c r="G1488" s="74"/>
      <c r="I1488" s="115">
        <f>IF(C1488=0,0,VLOOKUP(C1488,Tabla1[],3,FALSE))</f>
        <v>0</v>
      </c>
      <c r="K1488" s="84">
        <f t="shared" si="47"/>
        <v>0</v>
      </c>
      <c r="L1488" s="116">
        <f t="shared" si="46"/>
        <v>0</v>
      </c>
      <c r="O1488" s="48"/>
      <c r="P1488" s="49"/>
    </row>
    <row r="1489" spans="2:16" ht="17.25" thickBot="1" x14ac:dyDescent="0.35"/>
    <row r="1490" spans="2:16" ht="17.25" thickBot="1" x14ac:dyDescent="0.3">
      <c r="F1490" s="402" t="s">
        <v>9</v>
      </c>
      <c r="G1490" s="403"/>
      <c r="H1490" s="403"/>
      <c r="I1490" s="404"/>
      <c r="K1490" s="224">
        <f>+SUM(K1482:K1488)</f>
        <v>150</v>
      </c>
      <c r="L1490" s="117">
        <f>+SUM(L1482:L1488)</f>
        <v>3750</v>
      </c>
      <c r="O1490" s="38"/>
      <c r="P1490" s="38"/>
    </row>
    <row r="1491" spans="2:16" ht="17.25" thickBot="1" x14ac:dyDescent="0.35">
      <c r="O1491" s="42"/>
      <c r="P1491" s="43"/>
    </row>
    <row r="1492" spans="2:16" ht="17.25" thickBot="1" x14ac:dyDescent="0.35">
      <c r="B1492" s="108" t="s">
        <v>10</v>
      </c>
      <c r="C1492" s="413" t="s">
        <v>11</v>
      </c>
      <c r="D1492" s="413"/>
      <c r="E1492" s="413"/>
      <c r="F1492" s="413"/>
      <c r="G1492" s="414"/>
    </row>
    <row r="1493" spans="2:16" x14ac:dyDescent="0.3">
      <c r="B1493" s="112" t="s">
        <v>6</v>
      </c>
      <c r="C1493" s="415" t="s">
        <v>1</v>
      </c>
      <c r="D1493" s="416"/>
      <c r="E1493" s="110" t="s">
        <v>192</v>
      </c>
      <c r="F1493" s="118" t="s">
        <v>2</v>
      </c>
      <c r="G1493" s="112" t="s">
        <v>3</v>
      </c>
      <c r="H1493" s="104"/>
      <c r="I1493" s="105" t="s">
        <v>7</v>
      </c>
      <c r="J1493" s="134"/>
      <c r="K1493" s="105" t="s">
        <v>8</v>
      </c>
      <c r="L1493" s="113" t="s">
        <v>193</v>
      </c>
    </row>
    <row r="1494" spans="2:16" x14ac:dyDescent="0.3">
      <c r="B1494" s="120"/>
      <c r="C1494" s="409"/>
      <c r="D1494" s="409"/>
      <c r="E1494" s="114"/>
      <c r="F1494" s="83"/>
      <c r="G1494" s="74"/>
      <c r="I1494" s="115">
        <f>IF(C1494=0,0,VLOOKUP(C1494,Tabla3[],3,FALSE))</f>
        <v>0</v>
      </c>
      <c r="K1494" s="84">
        <f>F1494*I1494</f>
        <v>0</v>
      </c>
      <c r="L1494" s="116">
        <f>E1494*I1494</f>
        <v>0</v>
      </c>
    </row>
    <row r="1495" spans="2:16" x14ac:dyDescent="0.3">
      <c r="B1495" s="74"/>
      <c r="C1495" s="431"/>
      <c r="D1495" s="432"/>
      <c r="E1495" s="119"/>
      <c r="F1495" s="72"/>
      <c r="G1495" s="74"/>
      <c r="I1495" s="115">
        <f>IF(C1495=0,0,VLOOKUP(C1495,Tabla3[],3,FALSE))</f>
        <v>0</v>
      </c>
      <c r="K1495" s="84">
        <f>+F1495*I1495</f>
        <v>0</v>
      </c>
      <c r="L1495" s="116">
        <f>E1495*I1495</f>
        <v>0</v>
      </c>
    </row>
    <row r="1496" spans="2:16" x14ac:dyDescent="0.3">
      <c r="B1496" s="74"/>
      <c r="C1496" s="431"/>
      <c r="D1496" s="432"/>
      <c r="E1496" s="119"/>
      <c r="F1496" s="72"/>
      <c r="G1496" s="74"/>
      <c r="I1496" s="115">
        <f>IF(C1496=0,0,VLOOKUP(C1496,Tabla3[],3,FALSE))</f>
        <v>0</v>
      </c>
      <c r="K1496" s="84">
        <f>+F1496*I1496</f>
        <v>0</v>
      </c>
      <c r="L1496" s="116">
        <f>E1496*I1496</f>
        <v>0</v>
      </c>
    </row>
    <row r="1497" spans="2:16" x14ac:dyDescent="0.3">
      <c r="B1497" s="74"/>
      <c r="C1497" s="411"/>
      <c r="D1497" s="412"/>
      <c r="E1497" s="119"/>
      <c r="F1497" s="72"/>
      <c r="G1497" s="74"/>
      <c r="I1497" s="115">
        <f>IF(C1497=0,0,VLOOKUP(C1497,Tabla3[],3,FALSE))</f>
        <v>0</v>
      </c>
      <c r="K1497" s="84">
        <f>+F1497*I1497</f>
        <v>0</v>
      </c>
      <c r="L1497" s="116">
        <f>E1497*I1497</f>
        <v>0</v>
      </c>
    </row>
    <row r="1498" spans="2:16" ht="17.25" thickBot="1" x14ac:dyDescent="0.35"/>
    <row r="1499" spans="2:16" ht="17.25" thickBot="1" x14ac:dyDescent="0.35">
      <c r="F1499" s="402" t="s">
        <v>12</v>
      </c>
      <c r="G1499" s="403"/>
      <c r="H1499" s="403"/>
      <c r="I1499" s="404"/>
      <c r="K1499" s="224">
        <f>+SUM(K1494:K1497)</f>
        <v>0</v>
      </c>
      <c r="L1499" s="117">
        <f>+SUM(L1494:L1497)</f>
        <v>0</v>
      </c>
    </row>
    <row r="1500" spans="2:16" ht="17.25" thickBot="1" x14ac:dyDescent="0.35"/>
    <row r="1501" spans="2:16" ht="17.25" thickBot="1" x14ac:dyDescent="0.35">
      <c r="B1501" s="108" t="s">
        <v>13</v>
      </c>
      <c r="C1501" s="413" t="s">
        <v>14</v>
      </c>
      <c r="D1501" s="413"/>
      <c r="E1501" s="413"/>
      <c r="F1501" s="413"/>
      <c r="G1501" s="414"/>
    </row>
    <row r="1502" spans="2:16" x14ac:dyDescent="0.3">
      <c r="B1502" s="112" t="s">
        <v>6</v>
      </c>
      <c r="C1502" s="415" t="s">
        <v>1</v>
      </c>
      <c r="D1502" s="416"/>
      <c r="E1502" s="110" t="s">
        <v>192</v>
      </c>
      <c r="F1502" s="118" t="s">
        <v>2</v>
      </c>
      <c r="G1502" s="112" t="s">
        <v>3</v>
      </c>
      <c r="H1502" s="104"/>
      <c r="I1502" s="105" t="s">
        <v>7</v>
      </c>
      <c r="J1502" s="134"/>
      <c r="K1502" s="105" t="s">
        <v>8</v>
      </c>
      <c r="L1502" s="113" t="s">
        <v>193</v>
      </c>
    </row>
    <row r="1503" spans="2:16" x14ac:dyDescent="0.3">
      <c r="B1503" s="120">
        <v>1</v>
      </c>
      <c r="C1503" s="409" t="s">
        <v>602</v>
      </c>
      <c r="D1503" s="409"/>
      <c r="E1503" s="114">
        <f>I1478</f>
        <v>25</v>
      </c>
      <c r="F1503" s="83">
        <f>ROUND(E1503/I1478,2)</f>
        <v>1</v>
      </c>
      <c r="G1503" s="74" t="str">
        <f>IF(C1503=0,0,VLOOKUP(C1503,Tabla2[],2,FALSE))</f>
        <v>m²</v>
      </c>
      <c r="I1503" s="115">
        <f>IF(C1503=0,0,VLOOKUP(C1503,Tabla2[],3,FALSE))</f>
        <v>80</v>
      </c>
      <c r="K1503" s="84">
        <f>+F1503*I1503</f>
        <v>80</v>
      </c>
      <c r="L1503" s="116">
        <f>E1503*I1503</f>
        <v>2000</v>
      </c>
    </row>
    <row r="1504" spans="2:16" x14ac:dyDescent="0.3">
      <c r="B1504" s="120"/>
      <c r="C1504" s="409"/>
      <c r="D1504" s="409"/>
      <c r="E1504" s="114"/>
      <c r="F1504" s="83"/>
      <c r="G1504" s="74"/>
      <c r="I1504" s="115">
        <f>IF(C1504=0,0,VLOOKUP(C1504,Tabla2[],3,FALSE))</f>
        <v>0</v>
      </c>
      <c r="K1504" s="84">
        <f>+F1504*I1504</f>
        <v>0</v>
      </c>
      <c r="L1504" s="116">
        <f>E1504*I1504</f>
        <v>0</v>
      </c>
    </row>
    <row r="1505" spans="2:16" ht="17.25" thickBot="1" x14ac:dyDescent="0.35">
      <c r="B1505" s="121"/>
      <c r="C1505" s="417"/>
      <c r="D1505" s="418"/>
      <c r="E1505" s="122"/>
      <c r="F1505" s="123"/>
      <c r="G1505" s="74"/>
      <c r="I1505" s="115">
        <f>IF(C1505=0,0,VLOOKUP(C1505,Tabla2[],3,FALSE))</f>
        <v>0</v>
      </c>
      <c r="K1505" s="84">
        <f>+F1505*I1505</f>
        <v>0</v>
      </c>
      <c r="L1505" s="116">
        <f>E1505*I1505</f>
        <v>0</v>
      </c>
    </row>
    <row r="1506" spans="2:16" ht="17.25" thickBot="1" x14ac:dyDescent="0.35">
      <c r="B1506" s="419" t="s">
        <v>15</v>
      </c>
      <c r="C1506" s="420"/>
      <c r="D1506" s="420"/>
      <c r="E1506" s="420"/>
      <c r="F1506" s="420"/>
      <c r="G1506" s="421"/>
      <c r="I1506" s="84">
        <v>0</v>
      </c>
      <c r="K1506" s="84">
        <v>0</v>
      </c>
      <c r="L1506" s="116">
        <f>E1506*I1506</f>
        <v>0</v>
      </c>
    </row>
    <row r="1507" spans="2:16" ht="17.25" thickBot="1" x14ac:dyDescent="0.35"/>
    <row r="1508" spans="2:16" ht="17.25" thickBot="1" x14ac:dyDescent="0.35">
      <c r="F1508" s="402" t="s">
        <v>16</v>
      </c>
      <c r="G1508" s="403"/>
      <c r="H1508" s="403"/>
      <c r="I1508" s="404"/>
      <c r="K1508" s="224">
        <f>+SUM(K1503:K1506)</f>
        <v>80</v>
      </c>
      <c r="L1508" s="117">
        <f>+SUM(L1503:L1506)</f>
        <v>2000</v>
      </c>
    </row>
    <row r="1509" spans="2:16" ht="17.25" thickBot="1" x14ac:dyDescent="0.35"/>
    <row r="1510" spans="2:16" ht="17.25" thickBot="1" x14ac:dyDescent="0.35">
      <c r="B1510" s="108" t="s">
        <v>17</v>
      </c>
      <c r="C1510" s="413" t="s">
        <v>18</v>
      </c>
      <c r="D1510" s="413"/>
      <c r="E1510" s="413"/>
      <c r="F1510" s="413"/>
      <c r="G1510" s="414"/>
    </row>
    <row r="1511" spans="2:16" x14ac:dyDescent="0.3">
      <c r="B1511" s="112" t="s">
        <v>6</v>
      </c>
      <c r="C1511" s="415" t="s">
        <v>1</v>
      </c>
      <c r="D1511" s="416"/>
      <c r="E1511" s="124"/>
      <c r="F1511" s="118" t="s">
        <v>2</v>
      </c>
      <c r="G1511" s="112" t="s">
        <v>3</v>
      </c>
      <c r="H1511" s="104"/>
      <c r="I1511" s="105" t="s">
        <v>7</v>
      </c>
      <c r="J1511" s="134"/>
      <c r="K1511" s="105" t="s">
        <v>8</v>
      </c>
      <c r="L1511" s="113" t="s">
        <v>193</v>
      </c>
    </row>
    <row r="1512" spans="2:16" x14ac:dyDescent="0.3">
      <c r="B1512" s="74"/>
      <c r="C1512" s="411"/>
      <c r="D1512" s="412"/>
      <c r="E1512" s="125"/>
      <c r="F1512" s="72"/>
      <c r="G1512" s="74"/>
      <c r="I1512" s="84">
        <v>0</v>
      </c>
      <c r="K1512" s="84">
        <f>+F1512*I1512</f>
        <v>0</v>
      </c>
      <c r="L1512" s="116">
        <f>E1512*I1512</f>
        <v>0</v>
      </c>
    </row>
    <row r="1513" spans="2:16" x14ac:dyDescent="0.3">
      <c r="B1513" s="74"/>
      <c r="C1513" s="411"/>
      <c r="D1513" s="412"/>
      <c r="E1513" s="125"/>
      <c r="F1513" s="72"/>
      <c r="G1513" s="74"/>
      <c r="I1513" s="84">
        <v>0</v>
      </c>
      <c r="K1513" s="84">
        <f>+F1513*I1513</f>
        <v>0</v>
      </c>
      <c r="L1513" s="116">
        <f>E1513*I1513</f>
        <v>0</v>
      </c>
    </row>
    <row r="1514" spans="2:16" x14ac:dyDescent="0.3">
      <c r="B1514" s="74"/>
      <c r="C1514" s="411"/>
      <c r="D1514" s="412"/>
      <c r="E1514" s="125"/>
      <c r="F1514" s="72"/>
      <c r="G1514" s="74"/>
      <c r="I1514" s="84">
        <v>0</v>
      </c>
      <c r="K1514" s="84">
        <f>+F1514*I1514</f>
        <v>0</v>
      </c>
      <c r="L1514" s="116">
        <f>E1514*I1514</f>
        <v>0</v>
      </c>
    </row>
    <row r="1515" spans="2:16" ht="17.25" thickBot="1" x14ac:dyDescent="0.35">
      <c r="L1515" s="116"/>
    </row>
    <row r="1516" spans="2:16" ht="17.25" thickBot="1" x14ac:dyDescent="0.35">
      <c r="F1516" s="402" t="s">
        <v>19</v>
      </c>
      <c r="G1516" s="403"/>
      <c r="H1516" s="403"/>
      <c r="I1516" s="404"/>
      <c r="K1516" s="224">
        <f>+SUM(K1512:K1514)</f>
        <v>0</v>
      </c>
      <c r="L1516" s="117">
        <f>+SUM(L1511:L1514)</f>
        <v>0</v>
      </c>
    </row>
    <row r="1517" spans="2:16" ht="15" customHeight="1" x14ac:dyDescent="0.3">
      <c r="F1517" s="126"/>
      <c r="G1517" s="280"/>
      <c r="H1517" s="128"/>
      <c r="I1517" s="106"/>
      <c r="K1517" s="225"/>
    </row>
    <row r="1518" spans="2:16" ht="15" customHeight="1" thickBot="1" x14ac:dyDescent="0.35"/>
    <row r="1519" spans="2:16" ht="17.25" thickBot="1" x14ac:dyDescent="0.35">
      <c r="F1519" s="402" t="s">
        <v>20</v>
      </c>
      <c r="G1519" s="403"/>
      <c r="H1519" s="403"/>
      <c r="I1519" s="404"/>
      <c r="K1519" s="224">
        <f>(+K1490+K1499+K1508+K1516)</f>
        <v>230</v>
      </c>
      <c r="L1519" s="117">
        <f>(+L1490+L1499+L1508+L1516)</f>
        <v>5750</v>
      </c>
      <c r="N1519" s="129"/>
      <c r="O1519" s="39"/>
      <c r="P1519" s="40"/>
    </row>
    <row r="1520" spans="2:16" ht="7.5" customHeight="1" thickBot="1" x14ac:dyDescent="0.35">
      <c r="N1520" s="129"/>
      <c r="O1520" s="41"/>
      <c r="P1520" s="40"/>
    </row>
    <row r="1521" spans="1:16" ht="17.25" thickBot="1" x14ac:dyDescent="0.35">
      <c r="F1521" s="402" t="s">
        <v>21</v>
      </c>
      <c r="G1521" s="403"/>
      <c r="H1521" s="403"/>
      <c r="I1521" s="404"/>
      <c r="K1521" s="224">
        <f>K1519*$N$2</f>
        <v>92</v>
      </c>
      <c r="L1521" s="117">
        <f>L1519*$N$2</f>
        <v>2300</v>
      </c>
    </row>
    <row r="1522" spans="1:16" ht="7.5" customHeight="1" thickBot="1" x14ac:dyDescent="0.35"/>
    <row r="1523" spans="1:16" ht="17.25" thickBot="1" x14ac:dyDescent="0.35">
      <c r="F1523" s="402" t="s">
        <v>22</v>
      </c>
      <c r="G1523" s="403"/>
      <c r="H1523" s="403"/>
      <c r="I1523" s="404"/>
      <c r="K1523" s="224">
        <f>+K1519+K1521</f>
        <v>322</v>
      </c>
      <c r="L1523" s="117">
        <f>+L1519+L1521</f>
        <v>8050</v>
      </c>
    </row>
    <row r="1524" spans="1:16" ht="17.25" thickBot="1" x14ac:dyDescent="0.35">
      <c r="F1524" s="126"/>
      <c r="G1524" s="280"/>
      <c r="H1524" s="128"/>
      <c r="I1524" s="106"/>
      <c r="K1524" s="226"/>
      <c r="L1524" s="130">
        <f>L1523/I1478</f>
        <v>322</v>
      </c>
      <c r="M1524" s="131">
        <f>(K1523-L1524)*I1478</f>
        <v>0</v>
      </c>
    </row>
    <row r="1525" spans="1:16" x14ac:dyDescent="0.3">
      <c r="F1525" s="126"/>
      <c r="G1525" s="280"/>
      <c r="H1525" s="128"/>
      <c r="I1525" s="106"/>
      <c r="K1525" s="227"/>
      <c r="L1525" s="129"/>
      <c r="M1525" s="132"/>
      <c r="N1525" s="133"/>
    </row>
    <row r="1526" spans="1:16" ht="17.25" thickBot="1" x14ac:dyDescent="0.35">
      <c r="B1526" s="405"/>
      <c r="C1526" s="405"/>
      <c r="D1526" s="405"/>
    </row>
    <row r="1527" spans="1:16" x14ac:dyDescent="0.3">
      <c r="B1527" s="406" t="s">
        <v>23</v>
      </c>
      <c r="C1527" s="406"/>
      <c r="D1527" s="406"/>
    </row>
    <row r="1528" spans="1:16" x14ac:dyDescent="0.3">
      <c r="B1528" s="281"/>
      <c r="C1528" s="281"/>
      <c r="D1528" s="281"/>
    </row>
    <row r="1529" spans="1:16" x14ac:dyDescent="0.3">
      <c r="B1529" s="281"/>
      <c r="C1529" s="281"/>
      <c r="D1529" s="281"/>
    </row>
    <row r="1530" spans="1:16" x14ac:dyDescent="0.3">
      <c r="B1530" s="103" t="s">
        <v>43</v>
      </c>
      <c r="C1530" s="104"/>
      <c r="D1530" s="422" t="s">
        <v>1</v>
      </c>
      <c r="E1530" s="422"/>
      <c r="F1530" s="422"/>
      <c r="G1530" s="422"/>
      <c r="H1530" s="104"/>
      <c r="I1530" s="105" t="s">
        <v>2</v>
      </c>
      <c r="J1530" s="134"/>
      <c r="K1530" s="105" t="s">
        <v>3</v>
      </c>
    </row>
    <row r="1531" spans="1:16" s="4" customFormat="1" ht="30.75" customHeight="1" x14ac:dyDescent="0.25">
      <c r="A1531" s="31"/>
      <c r="B1531" s="287">
        <f>CATALOGO!B61</f>
        <v>611.01</v>
      </c>
      <c r="C1531" s="71"/>
      <c r="D1531" s="436" t="str">
        <f>CATALOGO!C61</f>
        <v>PINTURA DE MUROS</v>
      </c>
      <c r="E1531" s="436"/>
      <c r="F1531" s="436"/>
      <c r="G1531" s="436"/>
      <c r="H1531" s="71"/>
      <c r="I1531" s="287">
        <f>CATALOGO!D61</f>
        <v>117.1</v>
      </c>
      <c r="J1531" s="107"/>
      <c r="K1531" s="222" t="str">
        <f>CATALOGO!G61</f>
        <v>m²</v>
      </c>
      <c r="L1531" s="71"/>
      <c r="M1531" s="71"/>
      <c r="N1531" s="71"/>
      <c r="O1531" s="37"/>
      <c r="P1531" s="37"/>
    </row>
    <row r="1532" spans="1:16" ht="17.25" thickBot="1" x14ac:dyDescent="0.35"/>
    <row r="1533" spans="1:16" ht="17.25" thickBot="1" x14ac:dyDescent="0.35">
      <c r="B1533" s="108" t="s">
        <v>4</v>
      </c>
      <c r="C1533" s="413" t="s">
        <v>5</v>
      </c>
      <c r="D1533" s="413"/>
      <c r="E1533" s="413"/>
      <c r="F1533" s="413"/>
      <c r="G1533" s="414"/>
    </row>
    <row r="1534" spans="1:16" x14ac:dyDescent="0.25">
      <c r="B1534" s="109" t="s">
        <v>6</v>
      </c>
      <c r="C1534" s="424" t="s">
        <v>1</v>
      </c>
      <c r="D1534" s="425"/>
      <c r="E1534" s="110" t="s">
        <v>192</v>
      </c>
      <c r="F1534" s="111" t="s">
        <v>2</v>
      </c>
      <c r="G1534" s="112" t="s">
        <v>3</v>
      </c>
      <c r="H1534" s="104"/>
      <c r="I1534" s="105" t="s">
        <v>7</v>
      </c>
      <c r="J1534" s="134"/>
      <c r="K1534" s="223" t="s">
        <v>8</v>
      </c>
      <c r="L1534" s="113" t="s">
        <v>193</v>
      </c>
      <c r="O1534" s="438"/>
      <c r="P1534" s="438"/>
    </row>
    <row r="1535" spans="1:16" ht="17.25" customHeight="1" x14ac:dyDescent="0.25">
      <c r="B1535" s="120">
        <v>1</v>
      </c>
      <c r="C1535" s="428" t="s">
        <v>77</v>
      </c>
      <c r="D1535" s="429"/>
      <c r="E1535" s="114">
        <f>I1531*0.04</f>
        <v>4.6840000000000002</v>
      </c>
      <c r="F1535" s="83">
        <f>ROUND(E1535/I1531,2)</f>
        <v>0.04</v>
      </c>
      <c r="G1535" s="74" t="str">
        <f>IF(C1535=0,0,VLOOKUP(C1535,Tabla1[],2,FALSE))</f>
        <v>Unidad</v>
      </c>
      <c r="I1535" s="115">
        <f>IF(C1535=0,0,VLOOKUP(C1535,Tabla1[],3,FALSE))</f>
        <v>25</v>
      </c>
      <c r="K1535" s="84">
        <f>F1535*I1535</f>
        <v>1</v>
      </c>
      <c r="L1535" s="116">
        <f t="shared" ref="L1535:L1544" si="48">E1535*I1535</f>
        <v>117.10000000000001</v>
      </c>
      <c r="O1535" s="44"/>
      <c r="P1535" s="45"/>
    </row>
    <row r="1536" spans="1:16" x14ac:dyDescent="0.3">
      <c r="B1536" s="120">
        <v>2</v>
      </c>
      <c r="C1536" s="428" t="s">
        <v>78</v>
      </c>
      <c r="D1536" s="429"/>
      <c r="E1536" s="114">
        <f>I1531*0.02</f>
        <v>2.3420000000000001</v>
      </c>
      <c r="F1536" s="83">
        <f>ROUND(E1536/I1531,2)</f>
        <v>0.02</v>
      </c>
      <c r="G1536" s="74" t="str">
        <f>IF(C1536=0,0,VLOOKUP(C1536,Tabla1[],2,FALSE))</f>
        <v>Unidad</v>
      </c>
      <c r="I1536" s="115">
        <f>IF(C1536=0,0,VLOOKUP(C1536,Tabla1[],3,FALSE))</f>
        <v>50</v>
      </c>
      <c r="K1536" s="84">
        <f t="shared" ref="K1536:K1544" si="49">+F1536*I1536</f>
        <v>1</v>
      </c>
      <c r="L1536" s="116">
        <f t="shared" si="48"/>
        <v>117.10000000000001</v>
      </c>
      <c r="P1536" s="45"/>
    </row>
    <row r="1537" spans="2:16" x14ac:dyDescent="0.3">
      <c r="B1537" s="120">
        <v>3</v>
      </c>
      <c r="C1537" s="428" t="s">
        <v>219</v>
      </c>
      <c r="D1537" s="429"/>
      <c r="E1537" s="114">
        <f>I1531*0.01</f>
        <v>1.171</v>
      </c>
      <c r="F1537" s="83">
        <f>ROUND(E1537/I1531,2)</f>
        <v>0.01</v>
      </c>
      <c r="G1537" s="74" t="str">
        <f>IF(C1537=0,0,VLOOKUP(C1537,Tabla1[],2,FALSE))</f>
        <v>Cubeta</v>
      </c>
      <c r="I1537" s="115">
        <f>IF(C1537=0,0,VLOOKUP(C1537,Tabla1[],3,FALSE))</f>
        <v>1500</v>
      </c>
      <c r="K1537" s="84">
        <f t="shared" si="49"/>
        <v>15</v>
      </c>
      <c r="L1537" s="116">
        <f t="shared" si="48"/>
        <v>1756.5</v>
      </c>
      <c r="O1537" s="48"/>
      <c r="P1537" s="49"/>
    </row>
    <row r="1538" spans="2:16" x14ac:dyDescent="0.3">
      <c r="B1538" s="120">
        <v>4</v>
      </c>
      <c r="C1538" s="428" t="s">
        <v>220</v>
      </c>
      <c r="D1538" s="429"/>
      <c r="E1538" s="114">
        <f>I1531*0.02</f>
        <v>2.3420000000000001</v>
      </c>
      <c r="F1538" s="83">
        <f>ROUND(E1538/I1531,2)</f>
        <v>0.02</v>
      </c>
      <c r="G1538" s="74" t="str">
        <f>IF(C1538=0,0,VLOOKUP(C1538,Tabla1[],2,FALSE))</f>
        <v>Unidad</v>
      </c>
      <c r="I1538" s="115">
        <f>IF(C1538=0,0,VLOOKUP(C1538,Tabla1[],3,FALSE))</f>
        <v>50</v>
      </c>
      <c r="K1538" s="84">
        <f t="shared" si="49"/>
        <v>1</v>
      </c>
      <c r="L1538" s="116">
        <f t="shared" si="48"/>
        <v>117.10000000000001</v>
      </c>
      <c r="O1538" s="48"/>
      <c r="P1538" s="49"/>
    </row>
    <row r="1539" spans="2:16" x14ac:dyDescent="0.3">
      <c r="B1539" s="120">
        <v>5</v>
      </c>
      <c r="C1539" s="428" t="s">
        <v>183</v>
      </c>
      <c r="D1539" s="429"/>
      <c r="E1539" s="114">
        <f>I1531*0.08</f>
        <v>9.3680000000000003</v>
      </c>
      <c r="F1539" s="83">
        <f>ROUND(E1539/I1531,2)</f>
        <v>0.08</v>
      </c>
      <c r="G1539" s="74" t="str">
        <f>IF(C1539=0,0,VLOOKUP(C1539,Tabla1[],2,FALSE))</f>
        <v>Libra</v>
      </c>
      <c r="I1539" s="115">
        <f>IF(C1539=0,0,VLOOKUP(C1539,Tabla1[],3,FALSE))</f>
        <v>25</v>
      </c>
      <c r="K1539" s="84">
        <f t="shared" si="49"/>
        <v>2</v>
      </c>
      <c r="L1539" s="116">
        <f t="shared" si="48"/>
        <v>234.20000000000002</v>
      </c>
      <c r="O1539" s="48"/>
      <c r="P1539" s="49"/>
    </row>
    <row r="1540" spans="2:16" x14ac:dyDescent="0.3">
      <c r="B1540" s="120">
        <v>6</v>
      </c>
      <c r="C1540" s="429" t="s">
        <v>79</v>
      </c>
      <c r="D1540" s="409"/>
      <c r="E1540" s="114">
        <f>I1531*0.04</f>
        <v>4.6840000000000002</v>
      </c>
      <c r="F1540" s="83">
        <f>ROUND(E1540/I1531,2)</f>
        <v>0.04</v>
      </c>
      <c r="G1540" s="74" t="str">
        <f>IF(C1540=0,0,VLOOKUP(C1540,Tabla1[],2,FALSE))</f>
        <v>Unidad</v>
      </c>
      <c r="I1540" s="115">
        <f>IF(C1540=0,0,VLOOKUP(C1540,Tabla1[],3,FALSE))</f>
        <v>100</v>
      </c>
      <c r="K1540" s="84">
        <f t="shared" si="49"/>
        <v>4</v>
      </c>
      <c r="L1540" s="116">
        <f t="shared" si="48"/>
        <v>468.40000000000003</v>
      </c>
      <c r="O1540" s="48"/>
      <c r="P1540" s="49"/>
    </row>
    <row r="1541" spans="2:16" x14ac:dyDescent="0.3">
      <c r="B1541" s="120">
        <v>7</v>
      </c>
      <c r="C1541" s="429" t="s">
        <v>222</v>
      </c>
      <c r="D1541" s="409"/>
      <c r="E1541" s="114">
        <f>I1531*0.02</f>
        <v>2.3420000000000001</v>
      </c>
      <c r="F1541" s="83">
        <f>ROUND(E1541/I1531,2)</f>
        <v>0.02</v>
      </c>
      <c r="G1541" s="74" t="str">
        <f>IF(C1541=0,0,VLOOKUP(C1541,Tabla1[],2,FALSE))</f>
        <v>Unidad</v>
      </c>
      <c r="I1541" s="115">
        <f>IF(C1541=0,0,VLOOKUP(C1541,Tabla1[],3,FALSE))</f>
        <v>50</v>
      </c>
      <c r="K1541" s="84">
        <f t="shared" si="49"/>
        <v>1</v>
      </c>
      <c r="L1541" s="116">
        <f t="shared" si="48"/>
        <v>117.10000000000001</v>
      </c>
      <c r="O1541" s="48"/>
      <c r="P1541" s="49"/>
    </row>
    <row r="1542" spans="2:16" x14ac:dyDescent="0.3">
      <c r="B1542" s="120"/>
      <c r="C1542" s="428"/>
      <c r="D1542" s="429"/>
      <c r="E1542" s="114"/>
      <c r="F1542" s="83"/>
      <c r="G1542" s="74"/>
      <c r="I1542" s="115">
        <f>IF(C1542=0,0,VLOOKUP(C1542,Tabla1[],3,FALSE))</f>
        <v>0</v>
      </c>
      <c r="K1542" s="84">
        <f t="shared" si="49"/>
        <v>0</v>
      </c>
      <c r="L1542" s="116">
        <f t="shared" si="48"/>
        <v>0</v>
      </c>
      <c r="O1542" s="48"/>
      <c r="P1542" s="49"/>
    </row>
    <row r="1543" spans="2:16" x14ac:dyDescent="0.3">
      <c r="B1543" s="120"/>
      <c r="C1543" s="428"/>
      <c r="D1543" s="429"/>
      <c r="E1543" s="114"/>
      <c r="F1543" s="83"/>
      <c r="G1543" s="74"/>
      <c r="I1543" s="115">
        <f>IF(C1543=0,0,VLOOKUP(C1543,Tabla1[],3,FALSE))</f>
        <v>0</v>
      </c>
      <c r="K1543" s="84">
        <f t="shared" si="49"/>
        <v>0</v>
      </c>
      <c r="L1543" s="116">
        <f t="shared" si="48"/>
        <v>0</v>
      </c>
      <c r="O1543" s="48"/>
      <c r="P1543" s="49"/>
    </row>
    <row r="1544" spans="2:16" x14ac:dyDescent="0.3">
      <c r="B1544" s="120"/>
      <c r="C1544" s="430"/>
      <c r="D1544" s="429"/>
      <c r="E1544" s="114"/>
      <c r="F1544" s="83"/>
      <c r="G1544" s="74"/>
      <c r="I1544" s="115">
        <f>IF(C1544=0,0,VLOOKUP(C1544,Tabla1[],3,FALSE))</f>
        <v>0</v>
      </c>
      <c r="K1544" s="84">
        <f t="shared" si="49"/>
        <v>0</v>
      </c>
      <c r="L1544" s="116">
        <f t="shared" si="48"/>
        <v>0</v>
      </c>
      <c r="O1544" s="48"/>
      <c r="P1544" s="43"/>
    </row>
    <row r="1545" spans="2:16" ht="17.25" thickBot="1" x14ac:dyDescent="0.35"/>
    <row r="1546" spans="2:16" ht="17.25" thickBot="1" x14ac:dyDescent="0.3">
      <c r="F1546" s="402" t="s">
        <v>9</v>
      </c>
      <c r="G1546" s="403"/>
      <c r="H1546" s="403"/>
      <c r="I1546" s="404"/>
      <c r="K1546" s="224">
        <f>+SUM(K1535:K1544)</f>
        <v>25</v>
      </c>
      <c r="L1546" s="117">
        <f>+SUM(L1535:L1544)</f>
        <v>2927.5</v>
      </c>
      <c r="O1546" s="38"/>
      <c r="P1546" s="38"/>
    </row>
    <row r="1547" spans="2:16" ht="17.25" thickBot="1" x14ac:dyDescent="0.35">
      <c r="O1547" s="42"/>
      <c r="P1547" s="43"/>
    </row>
    <row r="1548" spans="2:16" ht="17.25" thickBot="1" x14ac:dyDescent="0.35">
      <c r="B1548" s="108" t="s">
        <v>10</v>
      </c>
      <c r="C1548" s="413" t="s">
        <v>11</v>
      </c>
      <c r="D1548" s="413"/>
      <c r="E1548" s="413"/>
      <c r="F1548" s="413"/>
      <c r="G1548" s="414"/>
    </row>
    <row r="1549" spans="2:16" x14ac:dyDescent="0.3">
      <c r="B1549" s="112" t="s">
        <v>6</v>
      </c>
      <c r="C1549" s="415" t="s">
        <v>1</v>
      </c>
      <c r="D1549" s="416"/>
      <c r="E1549" s="110" t="s">
        <v>192</v>
      </c>
      <c r="F1549" s="118" t="s">
        <v>2</v>
      </c>
      <c r="G1549" s="112" t="s">
        <v>3</v>
      </c>
      <c r="H1549" s="104"/>
      <c r="I1549" s="105" t="s">
        <v>7</v>
      </c>
      <c r="J1549" s="134"/>
      <c r="K1549" s="105" t="s">
        <v>8</v>
      </c>
      <c r="L1549" s="113" t="s">
        <v>193</v>
      </c>
    </row>
    <row r="1550" spans="2:16" x14ac:dyDescent="0.3">
      <c r="B1550" s="120"/>
      <c r="C1550" s="409"/>
      <c r="D1550" s="409"/>
      <c r="E1550" s="114"/>
      <c r="F1550" s="83"/>
      <c r="G1550" s="74"/>
      <c r="I1550" s="115">
        <f>IF(C1550=0,0,VLOOKUP(C1550,Tabla3[],3,FALSE))</f>
        <v>0</v>
      </c>
      <c r="K1550" s="84">
        <f>F1550*I1550</f>
        <v>0</v>
      </c>
      <c r="L1550" s="116">
        <f>E1550*I1550</f>
        <v>0</v>
      </c>
    </row>
    <row r="1551" spans="2:16" x14ac:dyDescent="0.3">
      <c r="B1551" s="74"/>
      <c r="C1551" s="431"/>
      <c r="D1551" s="432"/>
      <c r="E1551" s="119"/>
      <c r="F1551" s="72"/>
      <c r="G1551" s="74"/>
      <c r="I1551" s="115">
        <f>IF(C1551=0,0,VLOOKUP(C1551,Tabla3[],3,FALSE))</f>
        <v>0</v>
      </c>
      <c r="K1551" s="84">
        <f>+F1551*I1551</f>
        <v>0</v>
      </c>
      <c r="L1551" s="116">
        <f>E1551*I1551</f>
        <v>0</v>
      </c>
    </row>
    <row r="1552" spans="2:16" x14ac:dyDescent="0.3">
      <c r="B1552" s="74"/>
      <c r="C1552" s="431"/>
      <c r="D1552" s="432"/>
      <c r="E1552" s="119"/>
      <c r="F1552" s="72"/>
      <c r="G1552" s="74"/>
      <c r="I1552" s="115">
        <f>IF(C1552=0,0,VLOOKUP(C1552,Tabla3[],3,FALSE))</f>
        <v>0</v>
      </c>
      <c r="K1552" s="84">
        <f>+F1552*I1552</f>
        <v>0</v>
      </c>
      <c r="L1552" s="116">
        <f>E1552*I1552</f>
        <v>0</v>
      </c>
    </row>
    <row r="1553" spans="2:12" x14ac:dyDescent="0.3">
      <c r="B1553" s="74"/>
      <c r="C1553" s="411"/>
      <c r="D1553" s="412"/>
      <c r="E1553" s="119"/>
      <c r="F1553" s="72"/>
      <c r="G1553" s="74"/>
      <c r="I1553" s="115">
        <f>IF(C1553=0,0,VLOOKUP(C1553,Tabla3[],3,FALSE))</f>
        <v>0</v>
      </c>
      <c r="K1553" s="84">
        <f>+F1553*I1553</f>
        <v>0</v>
      </c>
      <c r="L1553" s="116">
        <f>E1553*I1553</f>
        <v>0</v>
      </c>
    </row>
    <row r="1554" spans="2:12" ht="17.25" thickBot="1" x14ac:dyDescent="0.35"/>
    <row r="1555" spans="2:12" ht="17.25" thickBot="1" x14ac:dyDescent="0.35">
      <c r="F1555" s="402" t="s">
        <v>12</v>
      </c>
      <c r="G1555" s="403"/>
      <c r="H1555" s="403"/>
      <c r="I1555" s="404"/>
      <c r="K1555" s="224">
        <f>+SUM(K1550:K1553)</f>
        <v>0</v>
      </c>
      <c r="L1555" s="117">
        <f>+SUM(L1550:L1553)</f>
        <v>0</v>
      </c>
    </row>
    <row r="1556" spans="2:12" ht="17.25" thickBot="1" x14ac:dyDescent="0.35"/>
    <row r="1557" spans="2:12" ht="17.25" thickBot="1" x14ac:dyDescent="0.35">
      <c r="B1557" s="108" t="s">
        <v>13</v>
      </c>
      <c r="C1557" s="413" t="s">
        <v>14</v>
      </c>
      <c r="D1557" s="413"/>
      <c r="E1557" s="413"/>
      <c r="F1557" s="413"/>
      <c r="G1557" s="414"/>
    </row>
    <row r="1558" spans="2:12" x14ac:dyDescent="0.3">
      <c r="B1558" s="112" t="s">
        <v>6</v>
      </c>
      <c r="C1558" s="415" t="s">
        <v>1</v>
      </c>
      <c r="D1558" s="416"/>
      <c r="E1558" s="110" t="s">
        <v>192</v>
      </c>
      <c r="F1558" s="118" t="s">
        <v>2</v>
      </c>
      <c r="G1558" s="112" t="s">
        <v>3</v>
      </c>
      <c r="H1558" s="104"/>
      <c r="I1558" s="105" t="s">
        <v>7</v>
      </c>
      <c r="J1558" s="134"/>
      <c r="K1558" s="105" t="s">
        <v>8</v>
      </c>
      <c r="L1558" s="113" t="s">
        <v>193</v>
      </c>
    </row>
    <row r="1559" spans="2:12" x14ac:dyDescent="0.3">
      <c r="B1559" s="120">
        <v>1</v>
      </c>
      <c r="C1559" s="409" t="s">
        <v>186</v>
      </c>
      <c r="D1559" s="409"/>
      <c r="E1559" s="114">
        <f>I1531</f>
        <v>117.1</v>
      </c>
      <c r="F1559" s="83">
        <f>ROUND(E1559/I1531,2)</f>
        <v>1</v>
      </c>
      <c r="G1559" s="74" t="str">
        <f>IF(C1559=0,0,VLOOKUP(C1559,Tabla2[],2,FALSE))</f>
        <v>m²</v>
      </c>
      <c r="I1559" s="115">
        <f>IF(C1559=0,0,VLOOKUP(C1559,Tabla2[],3,FALSE))</f>
        <v>10</v>
      </c>
      <c r="K1559" s="84">
        <f>+F1559*I1559</f>
        <v>10</v>
      </c>
      <c r="L1559" s="116">
        <f>E1559*I1559</f>
        <v>1171</v>
      </c>
    </row>
    <row r="1560" spans="2:12" x14ac:dyDescent="0.3">
      <c r="B1560" s="120"/>
      <c r="C1560" s="409"/>
      <c r="D1560" s="409"/>
      <c r="E1560" s="114"/>
      <c r="F1560" s="83"/>
      <c r="G1560" s="74"/>
      <c r="I1560" s="115">
        <f>IF(C1560=0,0,VLOOKUP(C1560,Tabla2[],3,FALSE))</f>
        <v>0</v>
      </c>
      <c r="K1560" s="84">
        <f>+F1560*I1560</f>
        <v>0</v>
      </c>
      <c r="L1560" s="116">
        <f>E1560*I1560</f>
        <v>0</v>
      </c>
    </row>
    <row r="1561" spans="2:12" ht="17.25" thickBot="1" x14ac:dyDescent="0.35">
      <c r="B1561" s="121"/>
      <c r="C1561" s="417"/>
      <c r="D1561" s="418"/>
      <c r="E1561" s="122"/>
      <c r="F1561" s="123"/>
      <c r="G1561" s="74"/>
      <c r="I1561" s="115">
        <f>IF(C1561=0,0,VLOOKUP(C1561,Tabla2[],3,FALSE))</f>
        <v>0</v>
      </c>
      <c r="K1561" s="84">
        <f>+F1561*I1561</f>
        <v>0</v>
      </c>
      <c r="L1561" s="116">
        <f>E1561*I1561</f>
        <v>0</v>
      </c>
    </row>
    <row r="1562" spans="2:12" ht="17.25" thickBot="1" x14ac:dyDescent="0.35">
      <c r="B1562" s="419" t="s">
        <v>15</v>
      </c>
      <c r="C1562" s="420"/>
      <c r="D1562" s="420"/>
      <c r="E1562" s="420"/>
      <c r="F1562" s="420"/>
      <c r="G1562" s="421"/>
      <c r="I1562" s="84">
        <v>0</v>
      </c>
      <c r="K1562" s="84">
        <v>0</v>
      </c>
      <c r="L1562" s="116">
        <f>E1562*I1562</f>
        <v>0</v>
      </c>
    </row>
    <row r="1563" spans="2:12" ht="17.25" thickBot="1" x14ac:dyDescent="0.35"/>
    <row r="1564" spans="2:12" ht="17.25" thickBot="1" x14ac:dyDescent="0.35">
      <c r="F1564" s="402" t="s">
        <v>16</v>
      </c>
      <c r="G1564" s="403"/>
      <c r="H1564" s="403"/>
      <c r="I1564" s="404"/>
      <c r="K1564" s="224">
        <f>+SUM(K1559:K1562)</f>
        <v>10</v>
      </c>
      <c r="L1564" s="117">
        <f>+SUM(L1559:L1562)</f>
        <v>1171</v>
      </c>
    </row>
    <row r="1565" spans="2:12" ht="17.25" thickBot="1" x14ac:dyDescent="0.35"/>
    <row r="1566" spans="2:12" ht="17.25" thickBot="1" x14ac:dyDescent="0.35">
      <c r="B1566" s="108" t="s">
        <v>17</v>
      </c>
      <c r="C1566" s="413" t="s">
        <v>18</v>
      </c>
      <c r="D1566" s="413"/>
      <c r="E1566" s="413"/>
      <c r="F1566" s="413"/>
      <c r="G1566" s="414"/>
    </row>
    <row r="1567" spans="2:12" x14ac:dyDescent="0.3">
      <c r="B1567" s="112" t="s">
        <v>6</v>
      </c>
      <c r="C1567" s="415" t="s">
        <v>1</v>
      </c>
      <c r="D1567" s="416"/>
      <c r="E1567" s="124"/>
      <c r="F1567" s="118" t="s">
        <v>2</v>
      </c>
      <c r="G1567" s="112" t="s">
        <v>3</v>
      </c>
      <c r="H1567" s="104"/>
      <c r="I1567" s="105" t="s">
        <v>7</v>
      </c>
      <c r="J1567" s="134"/>
      <c r="K1567" s="105" t="s">
        <v>8</v>
      </c>
      <c r="L1567" s="113" t="s">
        <v>193</v>
      </c>
    </row>
    <row r="1568" spans="2:12" x14ac:dyDescent="0.3">
      <c r="B1568" s="74"/>
      <c r="C1568" s="411"/>
      <c r="D1568" s="412"/>
      <c r="E1568" s="125"/>
      <c r="F1568" s="72"/>
      <c r="G1568" s="74"/>
      <c r="I1568" s="84">
        <v>0</v>
      </c>
      <c r="K1568" s="84">
        <f>+F1568*I1568</f>
        <v>0</v>
      </c>
      <c r="L1568" s="116">
        <f>E1568*I1568</f>
        <v>0</v>
      </c>
    </row>
    <row r="1569" spans="2:16" x14ac:dyDescent="0.3">
      <c r="B1569" s="74"/>
      <c r="C1569" s="411"/>
      <c r="D1569" s="412"/>
      <c r="E1569" s="125"/>
      <c r="F1569" s="72"/>
      <c r="G1569" s="74"/>
      <c r="I1569" s="84">
        <v>0</v>
      </c>
      <c r="K1569" s="84">
        <f>+F1569*I1569</f>
        <v>0</v>
      </c>
      <c r="L1569" s="116">
        <f>E1569*I1569</f>
        <v>0</v>
      </c>
    </row>
    <row r="1570" spans="2:16" x14ac:dyDescent="0.3">
      <c r="B1570" s="74"/>
      <c r="C1570" s="411"/>
      <c r="D1570" s="412"/>
      <c r="E1570" s="125"/>
      <c r="F1570" s="72"/>
      <c r="G1570" s="74"/>
      <c r="I1570" s="84">
        <v>0</v>
      </c>
      <c r="K1570" s="84">
        <f>+F1570*I1570</f>
        <v>0</v>
      </c>
      <c r="L1570" s="116">
        <f>E1570*I1570</f>
        <v>0</v>
      </c>
    </row>
    <row r="1571" spans="2:16" ht="17.25" thickBot="1" x14ac:dyDescent="0.35">
      <c r="L1571" s="116"/>
    </row>
    <row r="1572" spans="2:16" ht="17.25" thickBot="1" x14ac:dyDescent="0.35">
      <c r="F1572" s="402" t="s">
        <v>19</v>
      </c>
      <c r="G1572" s="403"/>
      <c r="H1572" s="403"/>
      <c r="I1572" s="404"/>
      <c r="K1572" s="224">
        <f>+SUM(K1568:K1570)</f>
        <v>0</v>
      </c>
      <c r="L1572" s="117">
        <f>+SUM(L1567:L1570)</f>
        <v>0</v>
      </c>
    </row>
    <row r="1573" spans="2:16" ht="15" customHeight="1" x14ac:dyDescent="0.3">
      <c r="F1573" s="126"/>
      <c r="G1573" s="280"/>
      <c r="H1573" s="128"/>
      <c r="I1573" s="106"/>
      <c r="K1573" s="225"/>
    </row>
    <row r="1574" spans="2:16" ht="15" customHeight="1" thickBot="1" x14ac:dyDescent="0.35"/>
    <row r="1575" spans="2:16" ht="17.25" thickBot="1" x14ac:dyDescent="0.35">
      <c r="F1575" s="402" t="s">
        <v>20</v>
      </c>
      <c r="G1575" s="403"/>
      <c r="H1575" s="403"/>
      <c r="I1575" s="404"/>
      <c r="K1575" s="224">
        <f>(+K1546+K1555+K1564+K1572)</f>
        <v>35</v>
      </c>
      <c r="L1575" s="117">
        <f>(+L1546+L1555+L1564+L1572)</f>
        <v>4098.5</v>
      </c>
      <c r="N1575" s="129"/>
      <c r="O1575" s="39"/>
      <c r="P1575" s="40"/>
    </row>
    <row r="1576" spans="2:16" ht="7.5" customHeight="1" thickBot="1" x14ac:dyDescent="0.35">
      <c r="N1576" s="129"/>
      <c r="O1576" s="41"/>
      <c r="P1576" s="40"/>
    </row>
    <row r="1577" spans="2:16" ht="17.25" thickBot="1" x14ac:dyDescent="0.35">
      <c r="F1577" s="402" t="s">
        <v>21</v>
      </c>
      <c r="G1577" s="403"/>
      <c r="H1577" s="403"/>
      <c r="I1577" s="404"/>
      <c r="K1577" s="224">
        <f>K1575*$N$2</f>
        <v>14</v>
      </c>
      <c r="L1577" s="117">
        <f>L1575*$N$2</f>
        <v>1639.4</v>
      </c>
    </row>
    <row r="1578" spans="2:16" ht="7.5" customHeight="1" thickBot="1" x14ac:dyDescent="0.35"/>
    <row r="1579" spans="2:16" ht="17.25" thickBot="1" x14ac:dyDescent="0.35">
      <c r="F1579" s="402" t="s">
        <v>22</v>
      </c>
      <c r="G1579" s="403"/>
      <c r="H1579" s="403"/>
      <c r="I1579" s="404"/>
      <c r="K1579" s="224">
        <f>+K1575+K1577</f>
        <v>49</v>
      </c>
      <c r="L1579" s="117">
        <f>+L1575+L1577</f>
        <v>5737.9</v>
      </c>
    </row>
    <row r="1580" spans="2:16" ht="17.25" thickBot="1" x14ac:dyDescent="0.35">
      <c r="F1580" s="126"/>
      <c r="G1580" s="280"/>
      <c r="H1580" s="128"/>
      <c r="I1580" s="106"/>
      <c r="K1580" s="226"/>
      <c r="L1580" s="130">
        <f>L1579/I1531</f>
        <v>49</v>
      </c>
      <c r="M1580" s="131">
        <f>(K1579-L1580)*I1531</f>
        <v>0</v>
      </c>
    </row>
    <row r="1581" spans="2:16" x14ac:dyDescent="0.3">
      <c r="F1581" s="126"/>
      <c r="G1581" s="280"/>
      <c r="H1581" s="128"/>
      <c r="I1581" s="106"/>
      <c r="K1581" s="227"/>
      <c r="L1581" s="129"/>
      <c r="M1581" s="132"/>
      <c r="N1581" s="133"/>
    </row>
    <row r="1582" spans="2:16" ht="17.25" thickBot="1" x14ac:dyDescent="0.35">
      <c r="B1582" s="405"/>
      <c r="C1582" s="405"/>
      <c r="D1582" s="405"/>
    </row>
    <row r="1583" spans="2:16" x14ac:dyDescent="0.3">
      <c r="B1583" s="406" t="s">
        <v>23</v>
      </c>
      <c r="C1583" s="406"/>
      <c r="D1583" s="406"/>
    </row>
    <row r="1584" spans="2:16" x14ac:dyDescent="0.3">
      <c r="B1584" s="281"/>
      <c r="C1584" s="281"/>
      <c r="D1584" s="281"/>
    </row>
    <row r="1585" spans="1:16" x14ac:dyDescent="0.3">
      <c r="B1585" s="281"/>
      <c r="C1585" s="281"/>
      <c r="D1585" s="281"/>
    </row>
    <row r="1586" spans="1:16" x14ac:dyDescent="0.3">
      <c r="B1586" s="103" t="s">
        <v>43</v>
      </c>
      <c r="C1586" s="104"/>
      <c r="D1586" s="422" t="s">
        <v>1</v>
      </c>
      <c r="E1586" s="422"/>
      <c r="F1586" s="422"/>
      <c r="G1586" s="422"/>
      <c r="H1586" s="104"/>
      <c r="I1586" s="105" t="s">
        <v>2</v>
      </c>
      <c r="J1586" s="134"/>
      <c r="K1586" s="105" t="s">
        <v>3</v>
      </c>
    </row>
    <row r="1587" spans="1:16" s="4" customFormat="1" ht="30.75" customHeight="1" x14ac:dyDescent="0.25">
      <c r="A1587" s="31"/>
      <c r="B1587" s="287">
        <f>CATALOGO!B62</f>
        <v>611.03</v>
      </c>
      <c r="C1587" s="71"/>
      <c r="D1587" s="436" t="str">
        <f>CATALOGO!C62</f>
        <v>PINTURA DE CIELO</v>
      </c>
      <c r="E1587" s="436"/>
      <c r="F1587" s="436"/>
      <c r="G1587" s="436"/>
      <c r="H1587" s="71"/>
      <c r="I1587" s="287">
        <f>CATALOGO!D62</f>
        <v>41.71</v>
      </c>
      <c r="J1587" s="107"/>
      <c r="K1587" s="222" t="str">
        <f>CATALOGO!G62</f>
        <v>m²</v>
      </c>
      <c r="L1587" s="71"/>
      <c r="M1587" s="71"/>
      <c r="N1587" s="71"/>
      <c r="O1587" s="37"/>
      <c r="P1587" s="37"/>
    </row>
    <row r="1588" spans="1:16" ht="17.25" thickBot="1" x14ac:dyDescent="0.35"/>
    <row r="1589" spans="1:16" ht="17.25" thickBot="1" x14ac:dyDescent="0.35">
      <c r="B1589" s="108" t="s">
        <v>4</v>
      </c>
      <c r="C1589" s="413" t="s">
        <v>5</v>
      </c>
      <c r="D1589" s="413"/>
      <c r="E1589" s="413"/>
      <c r="F1589" s="413"/>
      <c r="G1589" s="414"/>
    </row>
    <row r="1590" spans="1:16" x14ac:dyDescent="0.25">
      <c r="B1590" s="109" t="s">
        <v>6</v>
      </c>
      <c r="C1590" s="424" t="s">
        <v>1</v>
      </c>
      <c r="D1590" s="425"/>
      <c r="E1590" s="110" t="s">
        <v>192</v>
      </c>
      <c r="F1590" s="111" t="s">
        <v>2</v>
      </c>
      <c r="G1590" s="112" t="s">
        <v>3</v>
      </c>
      <c r="H1590" s="104"/>
      <c r="I1590" s="105" t="s">
        <v>7</v>
      </c>
      <c r="J1590" s="134"/>
      <c r="K1590" s="223" t="s">
        <v>8</v>
      </c>
      <c r="L1590" s="113" t="s">
        <v>193</v>
      </c>
      <c r="O1590" s="438"/>
      <c r="P1590" s="438"/>
    </row>
    <row r="1591" spans="1:16" ht="17.25" customHeight="1" x14ac:dyDescent="0.25">
      <c r="B1591" s="120">
        <v>1</v>
      </c>
      <c r="C1591" s="428" t="s">
        <v>77</v>
      </c>
      <c r="D1591" s="429"/>
      <c r="E1591" s="114">
        <f>I1587*0.08</f>
        <v>3.3368000000000002</v>
      </c>
      <c r="F1591" s="83">
        <f>ROUND(E1591/I1587,2)</f>
        <v>0.08</v>
      </c>
      <c r="G1591" s="74" t="str">
        <f>IF(C1591=0,0,VLOOKUP(C1591,Tabla1[],2,FALSE))</f>
        <v>Unidad</v>
      </c>
      <c r="I1591" s="115">
        <f>IF(C1591=0,0,VLOOKUP(C1591,Tabla1[],3,FALSE))</f>
        <v>25</v>
      </c>
      <c r="K1591" s="84">
        <f>F1591*I1591</f>
        <v>2</v>
      </c>
      <c r="L1591" s="116">
        <f t="shared" ref="L1591:L1600" si="50">E1591*I1591</f>
        <v>83.42</v>
      </c>
      <c r="O1591" s="44"/>
      <c r="P1591" s="45"/>
    </row>
    <row r="1592" spans="1:16" x14ac:dyDescent="0.3">
      <c r="B1592" s="120">
        <v>2</v>
      </c>
      <c r="C1592" s="428" t="s">
        <v>78</v>
      </c>
      <c r="D1592" s="429"/>
      <c r="E1592" s="114">
        <f>I1587*0.04</f>
        <v>1.6684000000000001</v>
      </c>
      <c r="F1592" s="83">
        <f>ROUND(E1592/I1587,2)</f>
        <v>0.04</v>
      </c>
      <c r="G1592" s="74" t="str">
        <f>IF(C1592=0,0,VLOOKUP(C1592,Tabla1[],2,FALSE))</f>
        <v>Unidad</v>
      </c>
      <c r="I1592" s="115">
        <f>IF(C1592=0,0,VLOOKUP(C1592,Tabla1[],3,FALSE))</f>
        <v>50</v>
      </c>
      <c r="K1592" s="84">
        <f t="shared" ref="K1592:K1600" si="51">+F1592*I1592</f>
        <v>2</v>
      </c>
      <c r="L1592" s="116">
        <f t="shared" si="50"/>
        <v>83.42</v>
      </c>
      <c r="P1592" s="45"/>
    </row>
    <row r="1593" spans="1:16" x14ac:dyDescent="0.3">
      <c r="B1593" s="120">
        <v>3</v>
      </c>
      <c r="C1593" s="428" t="s">
        <v>219</v>
      </c>
      <c r="D1593" s="429"/>
      <c r="E1593" s="114">
        <f>I1587*0.01</f>
        <v>0.41710000000000003</v>
      </c>
      <c r="F1593" s="83">
        <f>ROUND(E1593/I1587,2)</f>
        <v>0.01</v>
      </c>
      <c r="G1593" s="74" t="str">
        <f>IF(C1593=0,0,VLOOKUP(C1593,Tabla1[],2,FALSE))</f>
        <v>Cubeta</v>
      </c>
      <c r="I1593" s="115">
        <f>IF(C1593=0,0,VLOOKUP(C1593,Tabla1[],3,FALSE))</f>
        <v>1500</v>
      </c>
      <c r="K1593" s="84">
        <f t="shared" si="51"/>
        <v>15</v>
      </c>
      <c r="L1593" s="116">
        <f t="shared" si="50"/>
        <v>625.65000000000009</v>
      </c>
      <c r="O1593" s="48"/>
      <c r="P1593" s="49"/>
    </row>
    <row r="1594" spans="1:16" x14ac:dyDescent="0.3">
      <c r="B1594" s="120">
        <v>4</v>
      </c>
      <c r="C1594" s="428" t="s">
        <v>220</v>
      </c>
      <c r="D1594" s="429"/>
      <c r="E1594" s="114">
        <f>I1587*0.04</f>
        <v>1.6684000000000001</v>
      </c>
      <c r="F1594" s="83">
        <f>ROUND(E1594/I1587,2)</f>
        <v>0.04</v>
      </c>
      <c r="G1594" s="74" t="str">
        <f>IF(C1594=0,0,VLOOKUP(C1594,Tabla1[],2,FALSE))</f>
        <v>Unidad</v>
      </c>
      <c r="I1594" s="115">
        <f>IF(C1594=0,0,VLOOKUP(C1594,Tabla1[],3,FALSE))</f>
        <v>50</v>
      </c>
      <c r="K1594" s="84">
        <f t="shared" si="51"/>
        <v>2</v>
      </c>
      <c r="L1594" s="116">
        <f t="shared" si="50"/>
        <v>83.42</v>
      </c>
      <c r="O1594" s="48"/>
      <c r="P1594" s="49"/>
    </row>
    <row r="1595" spans="1:16" x14ac:dyDescent="0.3">
      <c r="B1595" s="120">
        <v>5</v>
      </c>
      <c r="C1595" s="428" t="s">
        <v>183</v>
      </c>
      <c r="D1595" s="429"/>
      <c r="E1595" s="114">
        <f>I1587*0.12</f>
        <v>5.0052000000000003</v>
      </c>
      <c r="F1595" s="83">
        <f>ROUND(E1595/I1587,2)</f>
        <v>0.12</v>
      </c>
      <c r="G1595" s="74" t="str">
        <f>IF(C1595=0,0,VLOOKUP(C1595,Tabla1[],2,FALSE))</f>
        <v>Libra</v>
      </c>
      <c r="I1595" s="115">
        <f>IF(C1595=0,0,VLOOKUP(C1595,Tabla1[],3,FALSE))</f>
        <v>25</v>
      </c>
      <c r="K1595" s="84">
        <f t="shared" si="51"/>
        <v>3</v>
      </c>
      <c r="L1595" s="116">
        <f t="shared" si="50"/>
        <v>125.13000000000001</v>
      </c>
      <c r="O1595" s="48"/>
      <c r="P1595" s="49"/>
    </row>
    <row r="1596" spans="1:16" x14ac:dyDescent="0.3">
      <c r="B1596" s="120">
        <v>6</v>
      </c>
      <c r="C1596" s="429" t="s">
        <v>79</v>
      </c>
      <c r="D1596" s="409"/>
      <c r="E1596" s="114">
        <f>I1587*0.04</f>
        <v>1.6684000000000001</v>
      </c>
      <c r="F1596" s="83">
        <f>ROUND(E1596/I1587,2)</f>
        <v>0.04</v>
      </c>
      <c r="G1596" s="74" t="str">
        <f>IF(C1596=0,0,VLOOKUP(C1596,Tabla1[],2,FALSE))</f>
        <v>Unidad</v>
      </c>
      <c r="I1596" s="115">
        <f>IF(C1596=0,0,VLOOKUP(C1596,Tabla1[],3,FALSE))</f>
        <v>100</v>
      </c>
      <c r="K1596" s="84">
        <f t="shared" si="51"/>
        <v>4</v>
      </c>
      <c r="L1596" s="116">
        <f t="shared" si="50"/>
        <v>166.84</v>
      </c>
      <c r="O1596" s="48"/>
      <c r="P1596" s="49"/>
    </row>
    <row r="1597" spans="1:16" x14ac:dyDescent="0.3">
      <c r="B1597" s="120">
        <v>7</v>
      </c>
      <c r="C1597" s="429" t="s">
        <v>222</v>
      </c>
      <c r="D1597" s="409"/>
      <c r="E1597" s="114">
        <f>I1587*0.04</f>
        <v>1.6684000000000001</v>
      </c>
      <c r="F1597" s="83">
        <f>ROUND(E1597/I1587,2)</f>
        <v>0.04</v>
      </c>
      <c r="G1597" s="74" t="str">
        <f>IF(C1597=0,0,VLOOKUP(C1597,Tabla1[],2,FALSE))</f>
        <v>Unidad</v>
      </c>
      <c r="I1597" s="115">
        <f>IF(C1597=0,0,VLOOKUP(C1597,Tabla1[],3,FALSE))</f>
        <v>50</v>
      </c>
      <c r="K1597" s="84">
        <f t="shared" si="51"/>
        <v>2</v>
      </c>
      <c r="L1597" s="116">
        <f t="shared" si="50"/>
        <v>83.42</v>
      </c>
      <c r="O1597" s="48"/>
      <c r="P1597" s="49"/>
    </row>
    <row r="1598" spans="1:16" x14ac:dyDescent="0.3">
      <c r="B1598" s="120"/>
      <c r="C1598" s="428"/>
      <c r="D1598" s="429"/>
      <c r="E1598" s="114"/>
      <c r="F1598" s="83"/>
      <c r="G1598" s="74"/>
      <c r="I1598" s="115">
        <f>IF(C1598=0,0,VLOOKUP(C1598,Tabla1[],3,FALSE))</f>
        <v>0</v>
      </c>
      <c r="K1598" s="84">
        <f t="shared" si="51"/>
        <v>0</v>
      </c>
      <c r="L1598" s="116">
        <f t="shared" si="50"/>
        <v>0</v>
      </c>
      <c r="O1598" s="48"/>
      <c r="P1598" s="49"/>
    </row>
    <row r="1599" spans="1:16" x14ac:dyDescent="0.3">
      <c r="B1599" s="120"/>
      <c r="C1599" s="428"/>
      <c r="D1599" s="429"/>
      <c r="E1599" s="114"/>
      <c r="F1599" s="83"/>
      <c r="G1599" s="74"/>
      <c r="I1599" s="115">
        <f>IF(C1599=0,0,VLOOKUP(C1599,Tabla1[],3,FALSE))</f>
        <v>0</v>
      </c>
      <c r="K1599" s="84">
        <f t="shared" si="51"/>
        <v>0</v>
      </c>
      <c r="L1599" s="116">
        <f t="shared" si="50"/>
        <v>0</v>
      </c>
      <c r="O1599" s="48"/>
      <c r="P1599" s="49"/>
    </row>
    <row r="1600" spans="1:16" x14ac:dyDescent="0.3">
      <c r="B1600" s="120"/>
      <c r="C1600" s="430"/>
      <c r="D1600" s="429"/>
      <c r="E1600" s="114"/>
      <c r="F1600" s="83"/>
      <c r="G1600" s="74"/>
      <c r="I1600" s="115">
        <f>IF(C1600=0,0,VLOOKUP(C1600,Tabla1[],3,FALSE))</f>
        <v>0</v>
      </c>
      <c r="K1600" s="84">
        <f t="shared" si="51"/>
        <v>0</v>
      </c>
      <c r="L1600" s="116">
        <f t="shared" si="50"/>
        <v>0</v>
      </c>
      <c r="O1600" s="48"/>
      <c r="P1600" s="43"/>
    </row>
    <row r="1601" spans="2:16" ht="17.25" thickBot="1" x14ac:dyDescent="0.35"/>
    <row r="1602" spans="2:16" ht="17.25" thickBot="1" x14ac:dyDescent="0.3">
      <c r="F1602" s="402" t="s">
        <v>9</v>
      </c>
      <c r="G1602" s="403"/>
      <c r="H1602" s="403"/>
      <c r="I1602" s="404"/>
      <c r="K1602" s="224">
        <f>+SUM(K1591:K1600)</f>
        <v>30</v>
      </c>
      <c r="L1602" s="117">
        <f>+SUM(L1591:L1600)</f>
        <v>1251.3000000000002</v>
      </c>
      <c r="O1602" s="38"/>
      <c r="P1602" s="38"/>
    </row>
    <row r="1603" spans="2:16" ht="17.25" thickBot="1" x14ac:dyDescent="0.35">
      <c r="O1603" s="42"/>
      <c r="P1603" s="43"/>
    </row>
    <row r="1604" spans="2:16" ht="17.25" thickBot="1" x14ac:dyDescent="0.35">
      <c r="B1604" s="108" t="s">
        <v>10</v>
      </c>
      <c r="C1604" s="413" t="s">
        <v>11</v>
      </c>
      <c r="D1604" s="413"/>
      <c r="E1604" s="413"/>
      <c r="F1604" s="413"/>
      <c r="G1604" s="414"/>
    </row>
    <row r="1605" spans="2:16" x14ac:dyDescent="0.3">
      <c r="B1605" s="112" t="s">
        <v>6</v>
      </c>
      <c r="C1605" s="415" t="s">
        <v>1</v>
      </c>
      <c r="D1605" s="416"/>
      <c r="E1605" s="110" t="s">
        <v>192</v>
      </c>
      <c r="F1605" s="118" t="s">
        <v>2</v>
      </c>
      <c r="G1605" s="112" t="s">
        <v>3</v>
      </c>
      <c r="H1605" s="104"/>
      <c r="I1605" s="105" t="s">
        <v>7</v>
      </c>
      <c r="J1605" s="134"/>
      <c r="K1605" s="105" t="s">
        <v>8</v>
      </c>
      <c r="L1605" s="113" t="s">
        <v>193</v>
      </c>
    </row>
    <row r="1606" spans="2:16" x14ac:dyDescent="0.3">
      <c r="B1606" s="120"/>
      <c r="C1606" s="409"/>
      <c r="D1606" s="409"/>
      <c r="E1606" s="114"/>
      <c r="F1606" s="83"/>
      <c r="G1606" s="74"/>
      <c r="I1606" s="115">
        <f>IF(C1606=0,0,VLOOKUP(C1606,Tabla3[],3,FALSE))</f>
        <v>0</v>
      </c>
      <c r="K1606" s="84">
        <f>F1606*I1606</f>
        <v>0</v>
      </c>
      <c r="L1606" s="116">
        <f>E1606*I1606</f>
        <v>0</v>
      </c>
    </row>
    <row r="1607" spans="2:16" x14ac:dyDescent="0.3">
      <c r="B1607" s="74"/>
      <c r="C1607" s="431"/>
      <c r="D1607" s="432"/>
      <c r="E1607" s="119"/>
      <c r="F1607" s="72"/>
      <c r="G1607" s="74"/>
      <c r="I1607" s="115">
        <f>IF(C1607=0,0,VLOOKUP(C1607,Tabla3[],3,FALSE))</f>
        <v>0</v>
      </c>
      <c r="K1607" s="84">
        <f>+F1607*I1607</f>
        <v>0</v>
      </c>
      <c r="L1607" s="116">
        <f>E1607*I1607</f>
        <v>0</v>
      </c>
    </row>
    <row r="1608" spans="2:16" x14ac:dyDescent="0.3">
      <c r="B1608" s="74"/>
      <c r="C1608" s="431"/>
      <c r="D1608" s="432"/>
      <c r="E1608" s="119"/>
      <c r="F1608" s="72"/>
      <c r="G1608" s="74"/>
      <c r="I1608" s="115">
        <f>IF(C1608=0,0,VLOOKUP(C1608,Tabla3[],3,FALSE))</f>
        <v>0</v>
      </c>
      <c r="K1608" s="84">
        <f>+F1608*I1608</f>
        <v>0</v>
      </c>
      <c r="L1608" s="116">
        <f>E1608*I1608</f>
        <v>0</v>
      </c>
    </row>
    <row r="1609" spans="2:16" x14ac:dyDescent="0.3">
      <c r="B1609" s="74"/>
      <c r="C1609" s="411"/>
      <c r="D1609" s="412"/>
      <c r="E1609" s="119"/>
      <c r="F1609" s="72"/>
      <c r="G1609" s="74"/>
      <c r="I1609" s="115">
        <f>IF(C1609=0,0,VLOOKUP(C1609,Tabla3[],3,FALSE))</f>
        <v>0</v>
      </c>
      <c r="K1609" s="84">
        <f>+F1609*I1609</f>
        <v>0</v>
      </c>
      <c r="L1609" s="116">
        <f>E1609*I1609</f>
        <v>0</v>
      </c>
    </row>
    <row r="1610" spans="2:16" ht="17.25" thickBot="1" x14ac:dyDescent="0.35"/>
    <row r="1611" spans="2:16" ht="17.25" thickBot="1" x14ac:dyDescent="0.35">
      <c r="F1611" s="402" t="s">
        <v>12</v>
      </c>
      <c r="G1611" s="403"/>
      <c r="H1611" s="403"/>
      <c r="I1611" s="404"/>
      <c r="K1611" s="224">
        <f>+SUM(K1606:K1609)</f>
        <v>0</v>
      </c>
      <c r="L1611" s="117">
        <f>+SUM(L1606:L1609)</f>
        <v>0</v>
      </c>
    </row>
    <row r="1612" spans="2:16" ht="17.25" thickBot="1" x14ac:dyDescent="0.35"/>
    <row r="1613" spans="2:16" ht="17.25" thickBot="1" x14ac:dyDescent="0.35">
      <c r="B1613" s="108" t="s">
        <v>13</v>
      </c>
      <c r="C1613" s="413" t="s">
        <v>14</v>
      </c>
      <c r="D1613" s="413"/>
      <c r="E1613" s="413"/>
      <c r="F1613" s="413"/>
      <c r="G1613" s="414"/>
    </row>
    <row r="1614" spans="2:16" x14ac:dyDescent="0.3">
      <c r="B1614" s="112" t="s">
        <v>6</v>
      </c>
      <c r="C1614" s="415" t="s">
        <v>1</v>
      </c>
      <c r="D1614" s="416"/>
      <c r="E1614" s="110" t="s">
        <v>192</v>
      </c>
      <c r="F1614" s="118" t="s">
        <v>2</v>
      </c>
      <c r="G1614" s="112" t="s">
        <v>3</v>
      </c>
      <c r="H1614" s="104"/>
      <c r="I1614" s="105" t="s">
        <v>7</v>
      </c>
      <c r="J1614" s="134"/>
      <c r="K1614" s="105" t="s">
        <v>8</v>
      </c>
      <c r="L1614" s="113" t="s">
        <v>193</v>
      </c>
    </row>
    <row r="1615" spans="2:16" x14ac:dyDescent="0.3">
      <c r="B1615" s="120">
        <v>1</v>
      </c>
      <c r="C1615" s="409" t="s">
        <v>186</v>
      </c>
      <c r="D1615" s="409"/>
      <c r="E1615" s="114">
        <f>I1587</f>
        <v>41.71</v>
      </c>
      <c r="F1615" s="83">
        <f>ROUND(E1615/I1587,2)</f>
        <v>1</v>
      </c>
      <c r="G1615" s="74" t="str">
        <f>IF(C1615=0,0,VLOOKUP(C1615,Tabla2[],2,FALSE))</f>
        <v>m²</v>
      </c>
      <c r="I1615" s="115">
        <f>IF(C1615=0,0,VLOOKUP(C1615,Tabla2[],3,FALSE))</f>
        <v>10</v>
      </c>
      <c r="K1615" s="84">
        <f>+F1615*I1615</f>
        <v>10</v>
      </c>
      <c r="L1615" s="116">
        <f>E1615*I1615</f>
        <v>417.1</v>
      </c>
    </row>
    <row r="1616" spans="2:16" x14ac:dyDescent="0.3">
      <c r="B1616" s="120"/>
      <c r="C1616" s="409"/>
      <c r="D1616" s="409"/>
      <c r="E1616" s="114"/>
      <c r="F1616" s="83"/>
      <c r="G1616" s="74"/>
      <c r="I1616" s="115">
        <f>IF(C1616=0,0,VLOOKUP(C1616,Tabla2[],3,FALSE))</f>
        <v>0</v>
      </c>
      <c r="K1616" s="84">
        <f>+F1616*I1616</f>
        <v>0</v>
      </c>
      <c r="L1616" s="116">
        <f>E1616*I1616</f>
        <v>0</v>
      </c>
    </row>
    <row r="1617" spans="2:16" ht="17.25" thickBot="1" x14ac:dyDescent="0.35">
      <c r="B1617" s="121"/>
      <c r="C1617" s="417"/>
      <c r="D1617" s="418"/>
      <c r="E1617" s="122"/>
      <c r="F1617" s="123"/>
      <c r="G1617" s="74"/>
      <c r="I1617" s="115">
        <f>IF(C1617=0,0,VLOOKUP(C1617,Tabla2[],3,FALSE))</f>
        <v>0</v>
      </c>
      <c r="K1617" s="84">
        <f>+F1617*I1617</f>
        <v>0</v>
      </c>
      <c r="L1617" s="116">
        <f>E1617*I1617</f>
        <v>0</v>
      </c>
    </row>
    <row r="1618" spans="2:16" ht="17.25" thickBot="1" x14ac:dyDescent="0.35">
      <c r="B1618" s="419" t="s">
        <v>15</v>
      </c>
      <c r="C1618" s="420"/>
      <c r="D1618" s="420"/>
      <c r="E1618" s="420"/>
      <c r="F1618" s="420"/>
      <c r="G1618" s="421"/>
      <c r="I1618" s="84">
        <v>0</v>
      </c>
      <c r="K1618" s="84">
        <v>0</v>
      </c>
      <c r="L1618" s="116">
        <f>E1618*I1618</f>
        <v>0</v>
      </c>
    </row>
    <row r="1619" spans="2:16" ht="17.25" thickBot="1" x14ac:dyDescent="0.35"/>
    <row r="1620" spans="2:16" ht="17.25" thickBot="1" x14ac:dyDescent="0.35">
      <c r="F1620" s="402" t="s">
        <v>16</v>
      </c>
      <c r="G1620" s="403"/>
      <c r="H1620" s="403"/>
      <c r="I1620" s="404"/>
      <c r="K1620" s="224">
        <f>+SUM(K1615:K1618)</f>
        <v>10</v>
      </c>
      <c r="L1620" s="117">
        <f>+SUM(L1615:L1618)</f>
        <v>417.1</v>
      </c>
    </row>
    <row r="1621" spans="2:16" ht="17.25" thickBot="1" x14ac:dyDescent="0.35"/>
    <row r="1622" spans="2:16" ht="17.25" thickBot="1" x14ac:dyDescent="0.35">
      <c r="B1622" s="108" t="s">
        <v>17</v>
      </c>
      <c r="C1622" s="413" t="s">
        <v>18</v>
      </c>
      <c r="D1622" s="413"/>
      <c r="E1622" s="413"/>
      <c r="F1622" s="413"/>
      <c r="G1622" s="414"/>
    </row>
    <row r="1623" spans="2:16" x14ac:dyDescent="0.3">
      <c r="B1623" s="112" t="s">
        <v>6</v>
      </c>
      <c r="C1623" s="415" t="s">
        <v>1</v>
      </c>
      <c r="D1623" s="416"/>
      <c r="E1623" s="124"/>
      <c r="F1623" s="118" t="s">
        <v>2</v>
      </c>
      <c r="G1623" s="112" t="s">
        <v>3</v>
      </c>
      <c r="H1623" s="104"/>
      <c r="I1623" s="105" t="s">
        <v>7</v>
      </c>
      <c r="J1623" s="134"/>
      <c r="K1623" s="105" t="s">
        <v>8</v>
      </c>
      <c r="L1623" s="113" t="s">
        <v>193</v>
      </c>
    </row>
    <row r="1624" spans="2:16" x14ac:dyDescent="0.3">
      <c r="B1624" s="74"/>
      <c r="C1624" s="411"/>
      <c r="D1624" s="412"/>
      <c r="E1624" s="125"/>
      <c r="F1624" s="72"/>
      <c r="G1624" s="74"/>
      <c r="I1624" s="84">
        <v>0</v>
      </c>
      <c r="K1624" s="84">
        <f>+F1624*I1624</f>
        <v>0</v>
      </c>
      <c r="L1624" s="116">
        <f>E1624*I1624</f>
        <v>0</v>
      </c>
    </row>
    <row r="1625" spans="2:16" x14ac:dyDescent="0.3">
      <c r="B1625" s="74"/>
      <c r="C1625" s="411"/>
      <c r="D1625" s="412"/>
      <c r="E1625" s="125"/>
      <c r="F1625" s="72"/>
      <c r="G1625" s="74"/>
      <c r="I1625" s="84">
        <v>0</v>
      </c>
      <c r="K1625" s="84">
        <f>+F1625*I1625</f>
        <v>0</v>
      </c>
      <c r="L1625" s="116">
        <f>E1625*I1625</f>
        <v>0</v>
      </c>
    </row>
    <row r="1626" spans="2:16" x14ac:dyDescent="0.3">
      <c r="B1626" s="74"/>
      <c r="C1626" s="411"/>
      <c r="D1626" s="412"/>
      <c r="E1626" s="125"/>
      <c r="F1626" s="72"/>
      <c r="G1626" s="74"/>
      <c r="I1626" s="84">
        <v>0</v>
      </c>
      <c r="K1626" s="84">
        <f>+F1626*I1626</f>
        <v>0</v>
      </c>
      <c r="L1626" s="116">
        <f>E1626*I1626</f>
        <v>0</v>
      </c>
    </row>
    <row r="1627" spans="2:16" ht="17.25" thickBot="1" x14ac:dyDescent="0.35">
      <c r="L1627" s="116"/>
    </row>
    <row r="1628" spans="2:16" ht="17.25" thickBot="1" x14ac:dyDescent="0.35">
      <c r="F1628" s="402" t="s">
        <v>19</v>
      </c>
      <c r="G1628" s="403"/>
      <c r="H1628" s="403"/>
      <c r="I1628" s="404"/>
      <c r="K1628" s="224">
        <f>+SUM(K1624:K1626)</f>
        <v>0</v>
      </c>
      <c r="L1628" s="117">
        <f>+SUM(L1623:L1626)</f>
        <v>0</v>
      </c>
    </row>
    <row r="1629" spans="2:16" ht="15" customHeight="1" x14ac:dyDescent="0.3">
      <c r="F1629" s="126"/>
      <c r="G1629" s="280"/>
      <c r="H1629" s="128"/>
      <c r="I1629" s="106"/>
      <c r="K1629" s="225"/>
    </row>
    <row r="1630" spans="2:16" ht="15" customHeight="1" thickBot="1" x14ac:dyDescent="0.35"/>
    <row r="1631" spans="2:16" ht="17.25" thickBot="1" x14ac:dyDescent="0.35">
      <c r="F1631" s="402" t="s">
        <v>20</v>
      </c>
      <c r="G1631" s="403"/>
      <c r="H1631" s="403"/>
      <c r="I1631" s="404"/>
      <c r="K1631" s="224">
        <f>(+K1602+K1611+K1620+K1628)</f>
        <v>40</v>
      </c>
      <c r="L1631" s="117">
        <f>(+L1602+L1611+L1620+L1628)</f>
        <v>1668.4</v>
      </c>
      <c r="N1631" s="129"/>
      <c r="O1631" s="39"/>
      <c r="P1631" s="40"/>
    </row>
    <row r="1632" spans="2:16" ht="7.5" customHeight="1" thickBot="1" x14ac:dyDescent="0.35">
      <c r="N1632" s="129"/>
      <c r="O1632" s="41"/>
      <c r="P1632" s="40"/>
    </row>
    <row r="1633" spans="1:16" ht="17.25" thickBot="1" x14ac:dyDescent="0.35">
      <c r="F1633" s="402" t="s">
        <v>21</v>
      </c>
      <c r="G1633" s="403"/>
      <c r="H1633" s="403"/>
      <c r="I1633" s="404"/>
      <c r="K1633" s="224">
        <f>K1631*$N$2</f>
        <v>16</v>
      </c>
      <c r="L1633" s="117">
        <f>L1631*$N$2</f>
        <v>667.36000000000013</v>
      </c>
    </row>
    <row r="1634" spans="1:16" ht="7.5" customHeight="1" thickBot="1" x14ac:dyDescent="0.35"/>
    <row r="1635" spans="1:16" ht="17.25" thickBot="1" x14ac:dyDescent="0.35">
      <c r="F1635" s="402" t="s">
        <v>22</v>
      </c>
      <c r="G1635" s="403"/>
      <c r="H1635" s="403"/>
      <c r="I1635" s="404"/>
      <c r="K1635" s="224">
        <f>+K1631+K1633</f>
        <v>56</v>
      </c>
      <c r="L1635" s="117">
        <f>+L1631+L1633</f>
        <v>2335.7600000000002</v>
      </c>
    </row>
    <row r="1636" spans="1:16" ht="17.25" thickBot="1" x14ac:dyDescent="0.35">
      <c r="F1636" s="126"/>
      <c r="G1636" s="280"/>
      <c r="H1636" s="128"/>
      <c r="I1636" s="106"/>
      <c r="K1636" s="226"/>
      <c r="L1636" s="130">
        <f>L1635/I1587</f>
        <v>56.000000000000007</v>
      </c>
      <c r="M1636" s="131">
        <f>(K1635-L1636)*I1587</f>
        <v>-2.9636737508553779E-13</v>
      </c>
    </row>
    <row r="1637" spans="1:16" x14ac:dyDescent="0.3">
      <c r="F1637" s="126"/>
      <c r="G1637" s="280"/>
      <c r="H1637" s="128"/>
      <c r="I1637" s="106"/>
      <c r="K1637" s="227"/>
      <c r="L1637" s="129"/>
      <c r="M1637" s="132"/>
      <c r="N1637" s="133"/>
    </row>
    <row r="1638" spans="1:16" ht="17.25" thickBot="1" x14ac:dyDescent="0.35">
      <c r="B1638" s="405"/>
      <c r="C1638" s="405"/>
      <c r="D1638" s="405"/>
    </row>
    <row r="1639" spans="1:16" x14ac:dyDescent="0.3">
      <c r="B1639" s="406" t="s">
        <v>23</v>
      </c>
      <c r="C1639" s="406"/>
      <c r="D1639" s="406"/>
    </row>
    <row r="1640" spans="1:16" x14ac:dyDescent="0.3">
      <c r="B1640" s="281"/>
      <c r="C1640" s="281"/>
      <c r="D1640" s="281"/>
    </row>
    <row r="1641" spans="1:16" x14ac:dyDescent="0.3">
      <c r="B1641" s="281"/>
      <c r="C1641" s="281"/>
      <c r="D1641" s="281"/>
    </row>
    <row r="1642" spans="1:16" x14ac:dyDescent="0.3">
      <c r="B1642" s="103" t="s">
        <v>43</v>
      </c>
      <c r="C1642" s="104"/>
      <c r="D1642" s="422" t="s">
        <v>1</v>
      </c>
      <c r="E1642" s="422"/>
      <c r="F1642" s="422"/>
      <c r="G1642" s="422"/>
      <c r="H1642" s="104"/>
      <c r="I1642" s="105" t="s">
        <v>2</v>
      </c>
      <c r="J1642" s="134"/>
      <c r="K1642" s="105" t="s">
        <v>3</v>
      </c>
    </row>
    <row r="1643" spans="1:16" s="4" customFormat="1" ht="30.75" customHeight="1" x14ac:dyDescent="0.25">
      <c r="A1643" s="31"/>
      <c r="B1643" s="287">
        <f>CATALOGO!B64</f>
        <v>702.01</v>
      </c>
      <c r="C1643" s="71"/>
      <c r="D1643" s="437" t="str">
        <f>CATALOGO!C64</f>
        <v>PUERTA DE METAL CON PIVOTE + SOBRELUZ + CHAPA</v>
      </c>
      <c r="E1643" s="437"/>
      <c r="F1643" s="437"/>
      <c r="G1643" s="437"/>
      <c r="H1643" s="71"/>
      <c r="I1643" s="287">
        <f>CATALOGO!E64</f>
        <v>1</v>
      </c>
      <c r="J1643" s="107"/>
      <c r="K1643" s="222" t="str">
        <f>CATALOGO!G64</f>
        <v>Unidad</v>
      </c>
      <c r="L1643" s="71"/>
      <c r="M1643" s="71"/>
      <c r="N1643" s="102"/>
      <c r="O1643" s="37"/>
      <c r="P1643" s="37"/>
    </row>
    <row r="1644" spans="1:16" ht="17.25" thickBot="1" x14ac:dyDescent="0.35"/>
    <row r="1645" spans="1:16" ht="17.25" thickBot="1" x14ac:dyDescent="0.35">
      <c r="B1645" s="108" t="s">
        <v>4</v>
      </c>
      <c r="C1645" s="413" t="s">
        <v>5</v>
      </c>
      <c r="D1645" s="413"/>
      <c r="E1645" s="413"/>
      <c r="F1645" s="413"/>
      <c r="G1645" s="414"/>
    </row>
    <row r="1646" spans="1:16" x14ac:dyDescent="0.25">
      <c r="B1646" s="109" t="s">
        <v>6</v>
      </c>
      <c r="C1646" s="424" t="s">
        <v>1</v>
      </c>
      <c r="D1646" s="425"/>
      <c r="E1646" s="110" t="s">
        <v>192</v>
      </c>
      <c r="F1646" s="111" t="s">
        <v>2</v>
      </c>
      <c r="G1646" s="112" t="s">
        <v>3</v>
      </c>
      <c r="H1646" s="104"/>
      <c r="I1646" s="105" t="s">
        <v>7</v>
      </c>
      <c r="J1646" s="134"/>
      <c r="K1646" s="223" t="s">
        <v>8</v>
      </c>
      <c r="L1646" s="113" t="s">
        <v>193</v>
      </c>
      <c r="O1646" s="438"/>
      <c r="P1646" s="438"/>
    </row>
    <row r="1647" spans="1:16" ht="17.25" customHeight="1" x14ac:dyDescent="0.25">
      <c r="B1647" s="120"/>
      <c r="C1647" s="428"/>
      <c r="D1647" s="429"/>
      <c r="E1647" s="114"/>
      <c r="F1647" s="83"/>
      <c r="G1647" s="74"/>
      <c r="I1647" s="115">
        <f>IF(C1647=0,0,VLOOKUP(C1647,Tabla1[],3,FALSE))</f>
        <v>0</v>
      </c>
      <c r="K1647" s="84">
        <f>F1647*I1647</f>
        <v>0</v>
      </c>
      <c r="L1647" s="116">
        <f t="shared" ref="L1647:L1653" si="52">E1647*I1647</f>
        <v>0</v>
      </c>
      <c r="O1647" s="44"/>
      <c r="P1647" s="45"/>
    </row>
    <row r="1648" spans="1:16" x14ac:dyDescent="0.3">
      <c r="B1648" s="120"/>
      <c r="C1648" s="428"/>
      <c r="D1648" s="429"/>
      <c r="E1648" s="114"/>
      <c r="F1648" s="83"/>
      <c r="G1648" s="74"/>
      <c r="I1648" s="115">
        <f>IF(C1648=0,0,VLOOKUP(C1648,Tabla1[],3,FALSE))</f>
        <v>0</v>
      </c>
      <c r="K1648" s="84">
        <f t="shared" ref="K1648:K1653" si="53">+F1648*I1648</f>
        <v>0</v>
      </c>
      <c r="L1648" s="116">
        <f t="shared" si="52"/>
        <v>0</v>
      </c>
      <c r="P1648" s="45"/>
    </row>
    <row r="1649" spans="2:16" x14ac:dyDescent="0.3">
      <c r="B1649" s="120"/>
      <c r="C1649" s="428"/>
      <c r="D1649" s="429"/>
      <c r="E1649" s="114"/>
      <c r="F1649" s="83"/>
      <c r="G1649" s="74"/>
      <c r="I1649" s="115">
        <f>IF(C1649=0,0,VLOOKUP(C1649,Tabla1[],3,FALSE))</f>
        <v>0</v>
      </c>
      <c r="K1649" s="84">
        <f t="shared" si="53"/>
        <v>0</v>
      </c>
      <c r="L1649" s="116">
        <f t="shared" si="52"/>
        <v>0</v>
      </c>
      <c r="O1649" s="48"/>
      <c r="P1649" s="49"/>
    </row>
    <row r="1650" spans="2:16" x14ac:dyDescent="0.3">
      <c r="B1650" s="120"/>
      <c r="C1650" s="428"/>
      <c r="D1650" s="429"/>
      <c r="E1650" s="114"/>
      <c r="F1650" s="83"/>
      <c r="G1650" s="74"/>
      <c r="I1650" s="115">
        <f>IF(C1650=0,0,VLOOKUP(C1650,Tabla1[],3,FALSE))</f>
        <v>0</v>
      </c>
      <c r="K1650" s="84">
        <f t="shared" si="53"/>
        <v>0</v>
      </c>
      <c r="L1650" s="116">
        <f t="shared" si="52"/>
        <v>0</v>
      </c>
      <c r="O1650" s="48"/>
      <c r="P1650" s="49"/>
    </row>
    <row r="1651" spans="2:16" x14ac:dyDescent="0.3">
      <c r="B1651" s="120"/>
      <c r="C1651" s="428"/>
      <c r="D1651" s="429"/>
      <c r="E1651" s="114"/>
      <c r="F1651" s="83"/>
      <c r="G1651" s="74"/>
      <c r="I1651" s="115">
        <f>IF(C1651=0,0,VLOOKUP(C1651,Tabla1[],3,FALSE))</f>
        <v>0</v>
      </c>
      <c r="K1651" s="84">
        <f t="shared" si="53"/>
        <v>0</v>
      </c>
      <c r="L1651" s="116">
        <f t="shared" si="52"/>
        <v>0</v>
      </c>
      <c r="O1651" s="48"/>
      <c r="P1651" s="49"/>
    </row>
    <row r="1652" spans="2:16" x14ac:dyDescent="0.3">
      <c r="B1652" s="120"/>
      <c r="C1652" s="431"/>
      <c r="D1652" s="432"/>
      <c r="E1652" s="114"/>
      <c r="F1652" s="83"/>
      <c r="G1652" s="74"/>
      <c r="I1652" s="115">
        <f>IF(C1652=0,0,VLOOKUP(C1652,Tabla1[],3,FALSE))</f>
        <v>0</v>
      </c>
      <c r="K1652" s="84">
        <f t="shared" si="53"/>
        <v>0</v>
      </c>
      <c r="L1652" s="116">
        <f t="shared" si="52"/>
        <v>0</v>
      </c>
      <c r="O1652" s="48"/>
      <c r="P1652" s="49"/>
    </row>
    <row r="1653" spans="2:16" x14ac:dyDescent="0.3">
      <c r="B1653" s="120"/>
      <c r="C1653" s="430"/>
      <c r="D1653" s="429"/>
      <c r="E1653" s="114"/>
      <c r="F1653" s="83"/>
      <c r="G1653" s="74"/>
      <c r="I1653" s="115">
        <f>IF(C1653=0,0,VLOOKUP(C1653,Tabla1[],3,FALSE))</f>
        <v>0</v>
      </c>
      <c r="K1653" s="84">
        <f t="shared" si="53"/>
        <v>0</v>
      </c>
      <c r="L1653" s="116">
        <f t="shared" si="52"/>
        <v>0</v>
      </c>
      <c r="O1653" s="48"/>
      <c r="P1653" s="49"/>
    </row>
    <row r="1654" spans="2:16" ht="17.25" thickBot="1" x14ac:dyDescent="0.35"/>
    <row r="1655" spans="2:16" ht="17.25" thickBot="1" x14ac:dyDescent="0.3">
      <c r="F1655" s="402" t="s">
        <v>9</v>
      </c>
      <c r="G1655" s="403"/>
      <c r="H1655" s="403"/>
      <c r="I1655" s="404"/>
      <c r="K1655" s="224">
        <f>+SUM(K1647:K1653)</f>
        <v>0</v>
      </c>
      <c r="L1655" s="117">
        <f>+SUM(L1647:L1653)</f>
        <v>0</v>
      </c>
      <c r="O1655" s="38"/>
      <c r="P1655" s="38"/>
    </row>
    <row r="1656" spans="2:16" ht="17.25" thickBot="1" x14ac:dyDescent="0.35">
      <c r="O1656" s="42"/>
      <c r="P1656" s="43"/>
    </row>
    <row r="1657" spans="2:16" ht="17.25" thickBot="1" x14ac:dyDescent="0.35">
      <c r="B1657" s="108" t="s">
        <v>10</v>
      </c>
      <c r="C1657" s="413" t="s">
        <v>11</v>
      </c>
      <c r="D1657" s="413"/>
      <c r="E1657" s="413"/>
      <c r="F1657" s="413"/>
      <c r="G1657" s="414"/>
    </row>
    <row r="1658" spans="2:16" x14ac:dyDescent="0.3">
      <c r="B1658" s="112" t="s">
        <v>6</v>
      </c>
      <c r="C1658" s="415" t="s">
        <v>1</v>
      </c>
      <c r="D1658" s="416"/>
      <c r="E1658" s="110" t="s">
        <v>192</v>
      </c>
      <c r="F1658" s="118" t="s">
        <v>2</v>
      </c>
      <c r="G1658" s="112" t="s">
        <v>3</v>
      </c>
      <c r="H1658" s="104"/>
      <c r="I1658" s="105" t="s">
        <v>7</v>
      </c>
      <c r="J1658" s="134"/>
      <c r="K1658" s="105" t="s">
        <v>8</v>
      </c>
      <c r="L1658" s="113" t="s">
        <v>193</v>
      </c>
    </row>
    <row r="1659" spans="2:16" x14ac:dyDescent="0.3">
      <c r="B1659" s="120"/>
      <c r="C1659" s="409"/>
      <c r="D1659" s="409"/>
      <c r="E1659" s="114"/>
      <c r="F1659" s="83"/>
      <c r="G1659" s="74"/>
      <c r="I1659" s="115">
        <f>IF(C1659=0,0,VLOOKUP(C1659,Tabla3[],3,FALSE))</f>
        <v>0</v>
      </c>
      <c r="K1659" s="84">
        <f>F1659*I1659</f>
        <v>0</v>
      </c>
      <c r="L1659" s="116">
        <f>E1659*I1659</f>
        <v>0</v>
      </c>
    </row>
    <row r="1660" spans="2:16" x14ac:dyDescent="0.3">
      <c r="B1660" s="74"/>
      <c r="C1660" s="431"/>
      <c r="D1660" s="432"/>
      <c r="E1660" s="119"/>
      <c r="F1660" s="72"/>
      <c r="G1660" s="74"/>
      <c r="I1660" s="115">
        <f>IF(C1660=0,0,VLOOKUP(C1660,Tabla3[],3,FALSE))</f>
        <v>0</v>
      </c>
      <c r="K1660" s="84">
        <f>+F1660*I1660</f>
        <v>0</v>
      </c>
      <c r="L1660" s="116">
        <f>E1660*I1660</f>
        <v>0</v>
      </c>
    </row>
    <row r="1661" spans="2:16" x14ac:dyDescent="0.3">
      <c r="B1661" s="74"/>
      <c r="C1661" s="431"/>
      <c r="D1661" s="432"/>
      <c r="E1661" s="119"/>
      <c r="F1661" s="72"/>
      <c r="G1661" s="74"/>
      <c r="I1661" s="115">
        <f>IF(C1661=0,0,VLOOKUP(C1661,Tabla3[],3,FALSE))</f>
        <v>0</v>
      </c>
      <c r="K1661" s="84">
        <f>+F1661*I1661</f>
        <v>0</v>
      </c>
      <c r="L1661" s="116">
        <f>E1661*I1661</f>
        <v>0</v>
      </c>
    </row>
    <row r="1662" spans="2:16" x14ac:dyDescent="0.3">
      <c r="B1662" s="74"/>
      <c r="C1662" s="411"/>
      <c r="D1662" s="412"/>
      <c r="E1662" s="119"/>
      <c r="F1662" s="72"/>
      <c r="G1662" s="74"/>
      <c r="I1662" s="115">
        <f>IF(C1662=0,0,VLOOKUP(C1662,Tabla3[],3,FALSE))</f>
        <v>0</v>
      </c>
      <c r="K1662" s="84">
        <f>+F1662*I1662</f>
        <v>0</v>
      </c>
      <c r="L1662" s="116">
        <f>E1662*I1662</f>
        <v>0</v>
      </c>
    </row>
    <row r="1663" spans="2:16" ht="17.25" thickBot="1" x14ac:dyDescent="0.35"/>
    <row r="1664" spans="2:16" ht="17.25" thickBot="1" x14ac:dyDescent="0.35">
      <c r="F1664" s="402" t="s">
        <v>12</v>
      </c>
      <c r="G1664" s="403"/>
      <c r="H1664" s="403"/>
      <c r="I1664" s="404"/>
      <c r="K1664" s="224">
        <f>+SUM(K1659:K1662)</f>
        <v>0</v>
      </c>
      <c r="L1664" s="117">
        <f>+SUM(L1659:L1662)</f>
        <v>0</v>
      </c>
    </row>
    <row r="1665" spans="2:12" ht="17.25" thickBot="1" x14ac:dyDescent="0.35"/>
    <row r="1666" spans="2:12" ht="17.25" thickBot="1" x14ac:dyDescent="0.35">
      <c r="B1666" s="108" t="s">
        <v>13</v>
      </c>
      <c r="C1666" s="413" t="s">
        <v>14</v>
      </c>
      <c r="D1666" s="413"/>
      <c r="E1666" s="413"/>
      <c r="F1666" s="413"/>
      <c r="G1666" s="414"/>
    </row>
    <row r="1667" spans="2:12" x14ac:dyDescent="0.3">
      <c r="B1667" s="112" t="s">
        <v>6</v>
      </c>
      <c r="C1667" s="415" t="s">
        <v>1</v>
      </c>
      <c r="D1667" s="416"/>
      <c r="E1667" s="110" t="s">
        <v>192</v>
      </c>
      <c r="F1667" s="118" t="s">
        <v>2</v>
      </c>
      <c r="G1667" s="112" t="s">
        <v>3</v>
      </c>
      <c r="H1667" s="104"/>
      <c r="I1667" s="105" t="s">
        <v>7</v>
      </c>
      <c r="J1667" s="134"/>
      <c r="K1667" s="105" t="s">
        <v>8</v>
      </c>
      <c r="L1667" s="113" t="s">
        <v>193</v>
      </c>
    </row>
    <row r="1668" spans="2:12" ht="31.5" customHeight="1" x14ac:dyDescent="0.3">
      <c r="B1668" s="120">
        <v>1</v>
      </c>
      <c r="C1668" s="434" t="s">
        <v>585</v>
      </c>
      <c r="D1668" s="434"/>
      <c r="E1668" s="114">
        <f>I1643</f>
        <v>1</v>
      </c>
      <c r="F1668" s="83">
        <f>ROUND(E1668/I1643,2)</f>
        <v>1</v>
      </c>
      <c r="G1668" s="74" t="str">
        <f>IF(C1668=0,0,VLOOKUP(C1668,Tabla2[],2,FALSE))</f>
        <v>Unidad</v>
      </c>
      <c r="I1668" s="115">
        <f>IF(C1668=0,0,VLOOKUP(C1668,Tabla2[],3,FALSE))</f>
        <v>1940</v>
      </c>
      <c r="K1668" s="84">
        <f>+F1668*I1668</f>
        <v>1940</v>
      </c>
      <c r="L1668" s="116">
        <f>E1668*I1668</f>
        <v>1940</v>
      </c>
    </row>
    <row r="1669" spans="2:12" x14ac:dyDescent="0.3">
      <c r="B1669" s="120"/>
      <c r="C1669" s="409"/>
      <c r="D1669" s="409"/>
      <c r="E1669" s="114"/>
      <c r="F1669" s="83"/>
      <c r="G1669" s="74"/>
      <c r="I1669" s="115">
        <f>IF(C1669=0,0,VLOOKUP(C1669,Tabla2[],3,FALSE))</f>
        <v>0</v>
      </c>
      <c r="K1669" s="84">
        <f>+F1669*I1669</f>
        <v>0</v>
      </c>
      <c r="L1669" s="116">
        <f>E1669*I1669</f>
        <v>0</v>
      </c>
    </row>
    <row r="1670" spans="2:12" ht="17.25" thickBot="1" x14ac:dyDescent="0.35">
      <c r="B1670" s="121"/>
      <c r="C1670" s="417"/>
      <c r="D1670" s="418"/>
      <c r="E1670" s="122"/>
      <c r="F1670" s="123"/>
      <c r="G1670" s="74"/>
      <c r="I1670" s="115">
        <f>IF(C1670=0,0,VLOOKUP(C1670,Tabla2[],3,FALSE))</f>
        <v>0</v>
      </c>
      <c r="K1670" s="84">
        <f>+F1670*I1670</f>
        <v>0</v>
      </c>
      <c r="L1670" s="116">
        <f>E1670*I1670</f>
        <v>0</v>
      </c>
    </row>
    <row r="1671" spans="2:12" ht="17.25" thickBot="1" x14ac:dyDescent="0.35">
      <c r="B1671" s="419" t="s">
        <v>15</v>
      </c>
      <c r="C1671" s="420"/>
      <c r="D1671" s="420"/>
      <c r="E1671" s="420"/>
      <c r="F1671" s="420"/>
      <c r="G1671" s="421"/>
      <c r="I1671" s="84">
        <v>0</v>
      </c>
      <c r="K1671" s="84">
        <v>0</v>
      </c>
      <c r="L1671" s="116">
        <f>E1671*I1671</f>
        <v>0</v>
      </c>
    </row>
    <row r="1672" spans="2:12" ht="17.25" thickBot="1" x14ac:dyDescent="0.35"/>
    <row r="1673" spans="2:12" ht="17.25" thickBot="1" x14ac:dyDescent="0.35">
      <c r="F1673" s="402" t="s">
        <v>16</v>
      </c>
      <c r="G1673" s="403"/>
      <c r="H1673" s="403"/>
      <c r="I1673" s="404"/>
      <c r="K1673" s="224">
        <f>+SUM(K1668:K1671)</f>
        <v>1940</v>
      </c>
      <c r="L1673" s="117">
        <f>+SUM(L1668:L1671)</f>
        <v>1940</v>
      </c>
    </row>
    <row r="1674" spans="2:12" ht="17.25" thickBot="1" x14ac:dyDescent="0.35"/>
    <row r="1675" spans="2:12" ht="17.25" thickBot="1" x14ac:dyDescent="0.35">
      <c r="B1675" s="108" t="s">
        <v>17</v>
      </c>
      <c r="C1675" s="413" t="s">
        <v>18</v>
      </c>
      <c r="D1675" s="413"/>
      <c r="E1675" s="413"/>
      <c r="F1675" s="413"/>
      <c r="G1675" s="414"/>
    </row>
    <row r="1676" spans="2:12" x14ac:dyDescent="0.3">
      <c r="B1676" s="112" t="s">
        <v>6</v>
      </c>
      <c r="C1676" s="415" t="s">
        <v>1</v>
      </c>
      <c r="D1676" s="416"/>
      <c r="E1676" s="124"/>
      <c r="F1676" s="118" t="s">
        <v>2</v>
      </c>
      <c r="G1676" s="112" t="s">
        <v>3</v>
      </c>
      <c r="H1676" s="104"/>
      <c r="I1676" s="105" t="s">
        <v>7</v>
      </c>
      <c r="J1676" s="134"/>
      <c r="K1676" s="105" t="s">
        <v>8</v>
      </c>
      <c r="L1676" s="113" t="s">
        <v>193</v>
      </c>
    </row>
    <row r="1677" spans="2:12" x14ac:dyDescent="0.3">
      <c r="B1677" s="74"/>
      <c r="C1677" s="411"/>
      <c r="D1677" s="412"/>
      <c r="E1677" s="125"/>
      <c r="F1677" s="72"/>
      <c r="G1677" s="74"/>
      <c r="I1677" s="84">
        <v>0</v>
      </c>
      <c r="K1677" s="84">
        <f>+F1677*I1677</f>
        <v>0</v>
      </c>
      <c r="L1677" s="116">
        <f>E1677*I1677</f>
        <v>0</v>
      </c>
    </row>
    <row r="1678" spans="2:12" x14ac:dyDescent="0.3">
      <c r="B1678" s="74"/>
      <c r="C1678" s="411"/>
      <c r="D1678" s="412"/>
      <c r="E1678" s="125"/>
      <c r="F1678" s="72"/>
      <c r="G1678" s="74"/>
      <c r="I1678" s="84">
        <v>0</v>
      </c>
      <c r="K1678" s="84">
        <f>+F1678*I1678</f>
        <v>0</v>
      </c>
      <c r="L1678" s="116">
        <f>E1678*I1678</f>
        <v>0</v>
      </c>
    </row>
    <row r="1679" spans="2:12" x14ac:dyDescent="0.3">
      <c r="B1679" s="74"/>
      <c r="C1679" s="411"/>
      <c r="D1679" s="412"/>
      <c r="E1679" s="125"/>
      <c r="F1679" s="72"/>
      <c r="G1679" s="74"/>
      <c r="I1679" s="84">
        <v>0</v>
      </c>
      <c r="K1679" s="84">
        <f>+F1679*I1679</f>
        <v>0</v>
      </c>
      <c r="L1679" s="116">
        <f>E1679*I1679</f>
        <v>0</v>
      </c>
    </row>
    <row r="1680" spans="2:12" ht="17.25" thickBot="1" x14ac:dyDescent="0.35">
      <c r="L1680" s="116"/>
    </row>
    <row r="1681" spans="1:16" ht="17.25" thickBot="1" x14ac:dyDescent="0.35">
      <c r="F1681" s="402" t="s">
        <v>19</v>
      </c>
      <c r="G1681" s="403"/>
      <c r="H1681" s="403"/>
      <c r="I1681" s="404"/>
      <c r="K1681" s="224">
        <f>+SUM(K1677:K1679)</f>
        <v>0</v>
      </c>
      <c r="L1681" s="117">
        <f>+SUM(L1676:L1679)</f>
        <v>0</v>
      </c>
    </row>
    <row r="1682" spans="1:16" ht="15" customHeight="1" x14ac:dyDescent="0.3">
      <c r="F1682" s="126"/>
      <c r="G1682" s="280"/>
      <c r="H1682" s="128"/>
      <c r="I1682" s="106"/>
      <c r="K1682" s="225"/>
    </row>
    <row r="1683" spans="1:16" ht="15" customHeight="1" thickBot="1" x14ac:dyDescent="0.35"/>
    <row r="1684" spans="1:16" ht="17.25" thickBot="1" x14ac:dyDescent="0.35">
      <c r="F1684" s="402" t="s">
        <v>20</v>
      </c>
      <c r="G1684" s="403"/>
      <c r="H1684" s="403"/>
      <c r="I1684" s="404"/>
      <c r="K1684" s="224">
        <f>(+K1655+K1664+K1673+K1681)</f>
        <v>1940</v>
      </c>
      <c r="L1684" s="117">
        <f>(+L1655+L1664+L1673+L1681)</f>
        <v>1940</v>
      </c>
      <c r="N1684" s="129"/>
      <c r="O1684" s="39"/>
      <c r="P1684" s="40"/>
    </row>
    <row r="1685" spans="1:16" ht="7.5" customHeight="1" thickBot="1" x14ac:dyDescent="0.35">
      <c r="N1685" s="129"/>
      <c r="O1685" s="41"/>
      <c r="P1685" s="40"/>
    </row>
    <row r="1686" spans="1:16" ht="17.25" thickBot="1" x14ac:dyDescent="0.35">
      <c r="F1686" s="402" t="s">
        <v>21</v>
      </c>
      <c r="G1686" s="403"/>
      <c r="H1686" s="403"/>
      <c r="I1686" s="404"/>
      <c r="K1686" s="224">
        <f>K1684*$N$2</f>
        <v>776</v>
      </c>
      <c r="L1686" s="117">
        <f>L1684*$N$2</f>
        <v>776</v>
      </c>
    </row>
    <row r="1687" spans="1:16" ht="7.5" customHeight="1" thickBot="1" x14ac:dyDescent="0.35"/>
    <row r="1688" spans="1:16" ht="17.25" thickBot="1" x14ac:dyDescent="0.35">
      <c r="F1688" s="402" t="s">
        <v>22</v>
      </c>
      <c r="G1688" s="403"/>
      <c r="H1688" s="403"/>
      <c r="I1688" s="404"/>
      <c r="K1688" s="224">
        <f>+K1684+K1686</f>
        <v>2716</v>
      </c>
      <c r="L1688" s="117">
        <f>+L1684+L1686</f>
        <v>2716</v>
      </c>
    </row>
    <row r="1689" spans="1:16" ht="17.25" thickBot="1" x14ac:dyDescent="0.35">
      <c r="F1689" s="126"/>
      <c r="G1689" s="280"/>
      <c r="H1689" s="128"/>
      <c r="I1689" s="106"/>
      <c r="K1689" s="226"/>
      <c r="L1689" s="130">
        <f>L1688/I1643</f>
        <v>2716</v>
      </c>
      <c r="M1689" s="131">
        <f>(K1688-L1689)*I1643</f>
        <v>0</v>
      </c>
    </row>
    <row r="1690" spans="1:16" x14ac:dyDescent="0.3">
      <c r="F1690" s="126"/>
      <c r="G1690" s="280"/>
      <c r="H1690" s="128"/>
      <c r="I1690" s="106"/>
      <c r="K1690" s="227"/>
      <c r="L1690" s="129"/>
      <c r="M1690" s="132"/>
      <c r="N1690" s="133"/>
    </row>
    <row r="1691" spans="1:16" ht="17.25" thickBot="1" x14ac:dyDescent="0.35">
      <c r="B1691" s="405"/>
      <c r="C1691" s="405"/>
      <c r="D1691" s="405"/>
    </row>
    <row r="1692" spans="1:16" x14ac:dyDescent="0.3">
      <c r="B1692" s="406" t="s">
        <v>23</v>
      </c>
      <c r="C1692" s="406"/>
      <c r="D1692" s="406"/>
    </row>
    <row r="1693" spans="1:16" x14ac:dyDescent="0.3">
      <c r="B1693" s="281"/>
      <c r="C1693" s="281"/>
      <c r="D1693" s="281"/>
    </row>
    <row r="1694" spans="1:16" x14ac:dyDescent="0.3">
      <c r="B1694" s="281"/>
      <c r="C1694" s="281"/>
      <c r="D1694" s="281"/>
    </row>
    <row r="1695" spans="1:16" x14ac:dyDescent="0.3">
      <c r="B1695" s="103" t="s">
        <v>43</v>
      </c>
      <c r="C1695" s="104"/>
      <c r="D1695" s="422" t="s">
        <v>1</v>
      </c>
      <c r="E1695" s="422"/>
      <c r="F1695" s="422"/>
      <c r="G1695" s="422"/>
      <c r="H1695" s="104"/>
      <c r="I1695" s="105" t="s">
        <v>2</v>
      </c>
      <c r="J1695" s="134"/>
      <c r="K1695" s="105" t="s">
        <v>3</v>
      </c>
    </row>
    <row r="1696" spans="1:16" s="4" customFormat="1" ht="30.75" customHeight="1" x14ac:dyDescent="0.25">
      <c r="A1696" s="31"/>
      <c r="B1696" s="287">
        <f>CATALOGO!B66</f>
        <v>803.05</v>
      </c>
      <c r="C1696" s="71"/>
      <c r="D1696" s="437" t="str">
        <f>CATALOGO!C66</f>
        <v>VENTANA CORREDIZA DE PVC + VIDRIO CLARO DE 5mm + BALCÓN</v>
      </c>
      <c r="E1696" s="437"/>
      <c r="F1696" s="437"/>
      <c r="G1696" s="437"/>
      <c r="H1696" s="71"/>
      <c r="I1696" s="287">
        <f>CATALOGO!E66</f>
        <v>3.6</v>
      </c>
      <c r="J1696" s="107"/>
      <c r="K1696" s="222" t="str">
        <f>CATALOGO!G66</f>
        <v>m²</v>
      </c>
      <c r="L1696" s="71"/>
      <c r="M1696" s="71"/>
      <c r="N1696" s="102"/>
      <c r="O1696" s="37"/>
      <c r="P1696" s="37"/>
    </row>
    <row r="1697" spans="2:16" ht="17.25" thickBot="1" x14ac:dyDescent="0.35"/>
    <row r="1698" spans="2:16" ht="17.25" thickBot="1" x14ac:dyDescent="0.35">
      <c r="B1698" s="108" t="s">
        <v>4</v>
      </c>
      <c r="C1698" s="413" t="s">
        <v>5</v>
      </c>
      <c r="D1698" s="413"/>
      <c r="E1698" s="413"/>
      <c r="F1698" s="413"/>
      <c r="G1698" s="414"/>
    </row>
    <row r="1699" spans="2:16" x14ac:dyDescent="0.25">
      <c r="B1699" s="109" t="s">
        <v>6</v>
      </c>
      <c r="C1699" s="424" t="s">
        <v>1</v>
      </c>
      <c r="D1699" s="425"/>
      <c r="E1699" s="110" t="s">
        <v>192</v>
      </c>
      <c r="F1699" s="111" t="s">
        <v>2</v>
      </c>
      <c r="G1699" s="112" t="s">
        <v>3</v>
      </c>
      <c r="H1699" s="104"/>
      <c r="I1699" s="105" t="s">
        <v>7</v>
      </c>
      <c r="J1699" s="134"/>
      <c r="K1699" s="223" t="s">
        <v>8</v>
      </c>
      <c r="L1699" s="113" t="s">
        <v>193</v>
      </c>
      <c r="O1699" s="438"/>
      <c r="P1699" s="438"/>
    </row>
    <row r="1700" spans="2:16" ht="17.25" customHeight="1" x14ac:dyDescent="0.25">
      <c r="B1700" s="120"/>
      <c r="C1700" s="428"/>
      <c r="D1700" s="429"/>
      <c r="E1700" s="114"/>
      <c r="F1700" s="83"/>
      <c r="G1700" s="74"/>
      <c r="I1700" s="115">
        <f>IF(C1700=0,0,VLOOKUP(C1700,Tabla1[],3,FALSE))</f>
        <v>0</v>
      </c>
      <c r="K1700" s="84">
        <f>F1700*I1700</f>
        <v>0</v>
      </c>
      <c r="L1700" s="116">
        <f t="shared" ref="L1700:L1709" si="54">E1700*I1700</f>
        <v>0</v>
      </c>
      <c r="O1700" s="44"/>
      <c r="P1700" s="45"/>
    </row>
    <row r="1701" spans="2:16" x14ac:dyDescent="0.3">
      <c r="B1701" s="120"/>
      <c r="C1701" s="428"/>
      <c r="D1701" s="429"/>
      <c r="E1701" s="114"/>
      <c r="F1701" s="83"/>
      <c r="G1701" s="74"/>
      <c r="I1701" s="115">
        <f>IF(C1701=0,0,VLOOKUP(C1701,Tabla1[],3,FALSE))</f>
        <v>0</v>
      </c>
      <c r="K1701" s="84">
        <f t="shared" ref="K1701:K1709" si="55">+F1701*I1701</f>
        <v>0</v>
      </c>
      <c r="L1701" s="116">
        <f t="shared" si="54"/>
        <v>0</v>
      </c>
      <c r="P1701" s="45"/>
    </row>
    <row r="1702" spans="2:16" x14ac:dyDescent="0.3">
      <c r="B1702" s="120"/>
      <c r="C1702" s="428"/>
      <c r="D1702" s="429"/>
      <c r="E1702" s="114"/>
      <c r="F1702" s="83"/>
      <c r="G1702" s="74"/>
      <c r="I1702" s="115">
        <f>IF(C1702=0,0,VLOOKUP(C1702,Tabla1[],3,FALSE))</f>
        <v>0</v>
      </c>
      <c r="K1702" s="84">
        <f t="shared" si="55"/>
        <v>0</v>
      </c>
      <c r="L1702" s="116">
        <f t="shared" si="54"/>
        <v>0</v>
      </c>
      <c r="O1702" s="48"/>
      <c r="P1702" s="49"/>
    </row>
    <row r="1703" spans="2:16" x14ac:dyDescent="0.3">
      <c r="B1703" s="120"/>
      <c r="C1703" s="428"/>
      <c r="D1703" s="429"/>
      <c r="E1703" s="114"/>
      <c r="F1703" s="83"/>
      <c r="G1703" s="74"/>
      <c r="I1703" s="115">
        <f>IF(C1703=0,0,VLOOKUP(C1703,Tabla1[],3,FALSE))</f>
        <v>0</v>
      </c>
      <c r="K1703" s="84">
        <f t="shared" si="55"/>
        <v>0</v>
      </c>
      <c r="L1703" s="116">
        <f t="shared" si="54"/>
        <v>0</v>
      </c>
      <c r="O1703" s="48"/>
      <c r="P1703" s="49"/>
    </row>
    <row r="1704" spans="2:16" x14ac:dyDescent="0.3">
      <c r="B1704" s="120"/>
      <c r="C1704" s="284"/>
      <c r="D1704" s="285"/>
      <c r="E1704" s="114"/>
      <c r="F1704" s="83"/>
      <c r="G1704" s="74"/>
      <c r="I1704" s="115"/>
      <c r="K1704" s="84"/>
      <c r="L1704" s="116"/>
      <c r="O1704" s="48"/>
      <c r="P1704" s="49"/>
    </row>
    <row r="1705" spans="2:16" x14ac:dyDescent="0.3">
      <c r="B1705" s="120"/>
      <c r="C1705" s="284"/>
      <c r="D1705" s="285"/>
      <c r="E1705" s="114"/>
      <c r="F1705" s="83"/>
      <c r="G1705" s="74"/>
      <c r="I1705" s="115"/>
      <c r="K1705" s="84"/>
      <c r="L1705" s="116"/>
      <c r="O1705" s="48"/>
      <c r="P1705" s="49"/>
    </row>
    <row r="1706" spans="2:16" x14ac:dyDescent="0.3">
      <c r="B1706" s="120"/>
      <c r="C1706" s="284"/>
      <c r="D1706" s="285"/>
      <c r="E1706" s="114"/>
      <c r="F1706" s="83"/>
      <c r="G1706" s="74"/>
      <c r="I1706" s="115"/>
      <c r="K1706" s="84"/>
      <c r="L1706" s="116"/>
      <c r="O1706" s="48"/>
      <c r="P1706" s="49"/>
    </row>
    <row r="1707" spans="2:16" x14ac:dyDescent="0.3">
      <c r="B1707" s="120"/>
      <c r="C1707" s="428"/>
      <c r="D1707" s="429"/>
      <c r="E1707" s="114"/>
      <c r="F1707" s="83"/>
      <c r="G1707" s="74"/>
      <c r="I1707" s="115">
        <f>IF(C1707=0,0,VLOOKUP(C1707,Tabla1[],3,FALSE))</f>
        <v>0</v>
      </c>
      <c r="K1707" s="84">
        <f t="shared" si="55"/>
        <v>0</v>
      </c>
      <c r="L1707" s="116">
        <f t="shared" si="54"/>
        <v>0</v>
      </c>
      <c r="O1707" s="48"/>
      <c r="P1707" s="49"/>
    </row>
    <row r="1708" spans="2:16" x14ac:dyDescent="0.3">
      <c r="B1708" s="120"/>
      <c r="C1708" s="431"/>
      <c r="D1708" s="432"/>
      <c r="E1708" s="114"/>
      <c r="F1708" s="83"/>
      <c r="G1708" s="74"/>
      <c r="I1708" s="115">
        <f>IF(C1708=0,0,VLOOKUP(C1708,Tabla1[],3,FALSE))</f>
        <v>0</v>
      </c>
      <c r="K1708" s="84">
        <f t="shared" si="55"/>
        <v>0</v>
      </c>
      <c r="L1708" s="116">
        <f t="shared" si="54"/>
        <v>0</v>
      </c>
      <c r="O1708" s="48"/>
      <c r="P1708" s="49"/>
    </row>
    <row r="1709" spans="2:16" x14ac:dyDescent="0.3">
      <c r="B1709" s="120"/>
      <c r="C1709" s="430"/>
      <c r="D1709" s="429"/>
      <c r="E1709" s="114"/>
      <c r="F1709" s="83"/>
      <c r="G1709" s="74"/>
      <c r="I1709" s="115">
        <f>IF(C1709=0,0,VLOOKUP(C1709,Tabla1[],3,FALSE))</f>
        <v>0</v>
      </c>
      <c r="K1709" s="84">
        <f t="shared" si="55"/>
        <v>0</v>
      </c>
      <c r="L1709" s="116">
        <f t="shared" si="54"/>
        <v>0</v>
      </c>
      <c r="O1709" s="48"/>
      <c r="P1709" s="49"/>
    </row>
    <row r="1710" spans="2:16" ht="17.25" thickBot="1" x14ac:dyDescent="0.35"/>
    <row r="1711" spans="2:16" ht="17.25" thickBot="1" x14ac:dyDescent="0.3">
      <c r="F1711" s="402" t="s">
        <v>9</v>
      </c>
      <c r="G1711" s="403"/>
      <c r="H1711" s="403"/>
      <c r="I1711" s="404"/>
      <c r="K1711" s="224">
        <f>+SUM(K1700:K1709)</f>
        <v>0</v>
      </c>
      <c r="L1711" s="117">
        <f>+SUM(L1700:L1709)</f>
        <v>0</v>
      </c>
      <c r="O1711" s="38"/>
      <c r="P1711" s="38"/>
    </row>
    <row r="1712" spans="2:16" ht="17.25" thickBot="1" x14ac:dyDescent="0.35">
      <c r="O1712" s="42"/>
      <c r="P1712" s="43"/>
    </row>
    <row r="1713" spans="2:12" ht="17.25" thickBot="1" x14ac:dyDescent="0.35">
      <c r="B1713" s="108" t="s">
        <v>10</v>
      </c>
      <c r="C1713" s="413" t="s">
        <v>11</v>
      </c>
      <c r="D1713" s="413"/>
      <c r="E1713" s="413"/>
      <c r="F1713" s="413"/>
      <c r="G1713" s="414"/>
    </row>
    <row r="1714" spans="2:12" x14ac:dyDescent="0.3">
      <c r="B1714" s="112" t="s">
        <v>6</v>
      </c>
      <c r="C1714" s="415" t="s">
        <v>1</v>
      </c>
      <c r="D1714" s="416"/>
      <c r="E1714" s="110" t="s">
        <v>192</v>
      </c>
      <c r="F1714" s="118" t="s">
        <v>2</v>
      </c>
      <c r="G1714" s="112" t="s">
        <v>3</v>
      </c>
      <c r="H1714" s="104"/>
      <c r="I1714" s="105" t="s">
        <v>7</v>
      </c>
      <c r="J1714" s="134"/>
      <c r="K1714" s="105" t="s">
        <v>8</v>
      </c>
      <c r="L1714" s="113" t="s">
        <v>193</v>
      </c>
    </row>
    <row r="1715" spans="2:12" x14ac:dyDescent="0.3">
      <c r="B1715" s="120"/>
      <c r="C1715" s="409"/>
      <c r="D1715" s="409"/>
      <c r="E1715" s="114"/>
      <c r="F1715" s="83"/>
      <c r="G1715" s="74"/>
      <c r="I1715" s="115">
        <f>IF(C1715=0,0,VLOOKUP(C1715,Tabla3[],3,FALSE))</f>
        <v>0</v>
      </c>
      <c r="K1715" s="84">
        <f>F1715*I1715</f>
        <v>0</v>
      </c>
      <c r="L1715" s="116">
        <f>E1715*I1715</f>
        <v>0</v>
      </c>
    </row>
    <row r="1716" spans="2:12" x14ac:dyDescent="0.3">
      <c r="B1716" s="74"/>
      <c r="C1716" s="431"/>
      <c r="D1716" s="432"/>
      <c r="E1716" s="119"/>
      <c r="F1716" s="72"/>
      <c r="G1716" s="74"/>
      <c r="I1716" s="115">
        <f>IF(C1716=0,0,VLOOKUP(C1716,Tabla3[],3,FALSE))</f>
        <v>0</v>
      </c>
      <c r="K1716" s="84">
        <f>+F1716*I1716</f>
        <v>0</v>
      </c>
      <c r="L1716" s="116">
        <f>E1716*I1716</f>
        <v>0</v>
      </c>
    </row>
    <row r="1717" spans="2:12" x14ac:dyDescent="0.3">
      <c r="B1717" s="74"/>
      <c r="C1717" s="431"/>
      <c r="D1717" s="432"/>
      <c r="E1717" s="119"/>
      <c r="F1717" s="72"/>
      <c r="G1717" s="74"/>
      <c r="I1717" s="115">
        <f>IF(C1717=0,0,VLOOKUP(C1717,Tabla3[],3,FALSE))</f>
        <v>0</v>
      </c>
      <c r="K1717" s="84">
        <f>+F1717*I1717</f>
        <v>0</v>
      </c>
      <c r="L1717" s="116">
        <f>E1717*I1717</f>
        <v>0</v>
      </c>
    </row>
    <row r="1718" spans="2:12" x14ac:dyDescent="0.3">
      <c r="B1718" s="74"/>
      <c r="C1718" s="411"/>
      <c r="D1718" s="412"/>
      <c r="E1718" s="119"/>
      <c r="F1718" s="72"/>
      <c r="G1718" s="74"/>
      <c r="I1718" s="115">
        <f>IF(C1718=0,0,VLOOKUP(C1718,Tabla3[],3,FALSE))</f>
        <v>0</v>
      </c>
      <c r="K1718" s="84">
        <f>+F1718*I1718</f>
        <v>0</v>
      </c>
      <c r="L1718" s="116">
        <f>E1718*I1718</f>
        <v>0</v>
      </c>
    </row>
    <row r="1719" spans="2:12" ht="17.25" thickBot="1" x14ac:dyDescent="0.35"/>
    <row r="1720" spans="2:12" ht="17.25" thickBot="1" x14ac:dyDescent="0.35">
      <c r="F1720" s="402" t="s">
        <v>12</v>
      </c>
      <c r="G1720" s="403"/>
      <c r="H1720" s="403"/>
      <c r="I1720" s="404"/>
      <c r="K1720" s="224">
        <f>+SUM(K1715:K1718)</f>
        <v>0</v>
      </c>
      <c r="L1720" s="117">
        <f>+SUM(L1715:L1718)</f>
        <v>0</v>
      </c>
    </row>
    <row r="1721" spans="2:12" ht="17.25" thickBot="1" x14ac:dyDescent="0.35"/>
    <row r="1722" spans="2:12" ht="17.25" thickBot="1" x14ac:dyDescent="0.35">
      <c r="B1722" s="108" t="s">
        <v>13</v>
      </c>
      <c r="C1722" s="413" t="s">
        <v>14</v>
      </c>
      <c r="D1722" s="413"/>
      <c r="E1722" s="413"/>
      <c r="F1722" s="413"/>
      <c r="G1722" s="414"/>
    </row>
    <row r="1723" spans="2:12" x14ac:dyDescent="0.3">
      <c r="B1723" s="112" t="s">
        <v>6</v>
      </c>
      <c r="C1723" s="415" t="s">
        <v>1</v>
      </c>
      <c r="D1723" s="416"/>
      <c r="E1723" s="110" t="s">
        <v>192</v>
      </c>
      <c r="F1723" s="118" t="s">
        <v>2</v>
      </c>
      <c r="G1723" s="112" t="s">
        <v>3</v>
      </c>
      <c r="H1723" s="104"/>
      <c r="I1723" s="105" t="s">
        <v>7</v>
      </c>
      <c r="J1723" s="134"/>
      <c r="K1723" s="105" t="s">
        <v>8</v>
      </c>
      <c r="L1723" s="113" t="s">
        <v>193</v>
      </c>
    </row>
    <row r="1724" spans="2:12" x14ac:dyDescent="0.3">
      <c r="B1724" s="120">
        <v>1</v>
      </c>
      <c r="C1724" s="434" t="s">
        <v>225</v>
      </c>
      <c r="D1724" s="434"/>
      <c r="E1724" s="114">
        <f>I1696</f>
        <v>3.6</v>
      </c>
      <c r="F1724" s="83">
        <f>ROUND(E1724/I1696,2)</f>
        <v>1</v>
      </c>
      <c r="G1724" s="74" t="str">
        <f>IF(C1724=0,0,VLOOKUP(C1724,Tabla2[],2,FALSE))</f>
        <v>m²</v>
      </c>
      <c r="I1724" s="115">
        <f>IF(C1724=0,0,VLOOKUP(C1724,Tabla2[],3,FALSE))</f>
        <v>1000</v>
      </c>
      <c r="K1724" s="84">
        <f>+F1724*I1724</f>
        <v>1000</v>
      </c>
      <c r="L1724" s="116">
        <f>E1724*I1724</f>
        <v>3600</v>
      </c>
    </row>
    <row r="1725" spans="2:12" x14ac:dyDescent="0.3">
      <c r="B1725" s="120"/>
      <c r="C1725" s="409"/>
      <c r="D1725" s="409"/>
      <c r="E1725" s="114"/>
      <c r="F1725" s="83"/>
      <c r="G1725" s="74"/>
      <c r="I1725" s="115">
        <f>IF(C1725=0,0,VLOOKUP(C1725,Tabla2[],3,FALSE))</f>
        <v>0</v>
      </c>
      <c r="K1725" s="84">
        <f>+F1725*I1725</f>
        <v>0</v>
      </c>
      <c r="L1725" s="116">
        <f>E1725*I1725</f>
        <v>0</v>
      </c>
    </row>
    <row r="1726" spans="2:12" ht="17.25" thickBot="1" x14ac:dyDescent="0.35">
      <c r="B1726" s="121"/>
      <c r="C1726" s="417"/>
      <c r="D1726" s="418"/>
      <c r="E1726" s="122"/>
      <c r="F1726" s="123"/>
      <c r="G1726" s="74"/>
      <c r="I1726" s="115">
        <f>IF(C1726=0,0,VLOOKUP(C1726,Tabla2[],3,FALSE))</f>
        <v>0</v>
      </c>
      <c r="K1726" s="84">
        <f>+F1726*I1726</f>
        <v>0</v>
      </c>
      <c r="L1726" s="116">
        <f>E1726*I1726</f>
        <v>0</v>
      </c>
    </row>
    <row r="1727" spans="2:12" ht="17.25" thickBot="1" x14ac:dyDescent="0.35">
      <c r="B1727" s="419" t="s">
        <v>15</v>
      </c>
      <c r="C1727" s="420"/>
      <c r="D1727" s="420"/>
      <c r="E1727" s="420"/>
      <c r="F1727" s="420"/>
      <c r="G1727" s="421"/>
      <c r="I1727" s="84">
        <v>0</v>
      </c>
      <c r="K1727" s="84">
        <v>0</v>
      </c>
      <c r="L1727" s="116">
        <f>E1727*I1727</f>
        <v>0</v>
      </c>
    </row>
    <row r="1728" spans="2:12" ht="17.25" thickBot="1" x14ac:dyDescent="0.35"/>
    <row r="1729" spans="2:16" ht="17.25" thickBot="1" x14ac:dyDescent="0.35">
      <c r="F1729" s="402" t="s">
        <v>16</v>
      </c>
      <c r="G1729" s="403"/>
      <c r="H1729" s="403"/>
      <c r="I1729" s="404"/>
      <c r="K1729" s="224">
        <f>+SUM(K1724:K1727)</f>
        <v>1000</v>
      </c>
      <c r="L1729" s="117">
        <f>+SUM(L1724:L1727)</f>
        <v>3600</v>
      </c>
    </row>
    <row r="1730" spans="2:16" ht="17.25" thickBot="1" x14ac:dyDescent="0.35"/>
    <row r="1731" spans="2:16" ht="17.25" thickBot="1" x14ac:dyDescent="0.35">
      <c r="B1731" s="108" t="s">
        <v>17</v>
      </c>
      <c r="C1731" s="413" t="s">
        <v>18</v>
      </c>
      <c r="D1731" s="413"/>
      <c r="E1731" s="413"/>
      <c r="F1731" s="413"/>
      <c r="G1731" s="414"/>
    </row>
    <row r="1732" spans="2:16" x14ac:dyDescent="0.3">
      <c r="B1732" s="112" t="s">
        <v>6</v>
      </c>
      <c r="C1732" s="415" t="s">
        <v>1</v>
      </c>
      <c r="D1732" s="416"/>
      <c r="E1732" s="124"/>
      <c r="F1732" s="118" t="s">
        <v>2</v>
      </c>
      <c r="G1732" s="112" t="s">
        <v>3</v>
      </c>
      <c r="H1732" s="104"/>
      <c r="I1732" s="105" t="s">
        <v>7</v>
      </c>
      <c r="J1732" s="134"/>
      <c r="K1732" s="105" t="s">
        <v>8</v>
      </c>
      <c r="L1732" s="113" t="s">
        <v>193</v>
      </c>
    </row>
    <row r="1733" spans="2:16" x14ac:dyDescent="0.3">
      <c r="B1733" s="74"/>
      <c r="C1733" s="411"/>
      <c r="D1733" s="412"/>
      <c r="E1733" s="125"/>
      <c r="F1733" s="72"/>
      <c r="G1733" s="74"/>
      <c r="I1733" s="84">
        <v>0</v>
      </c>
      <c r="K1733" s="84">
        <f>+F1733*I1733</f>
        <v>0</v>
      </c>
      <c r="L1733" s="116">
        <f>E1733*I1733</f>
        <v>0</v>
      </c>
    </row>
    <row r="1734" spans="2:16" x14ac:dyDescent="0.3">
      <c r="B1734" s="74"/>
      <c r="C1734" s="411"/>
      <c r="D1734" s="412"/>
      <c r="E1734" s="125"/>
      <c r="F1734" s="72"/>
      <c r="G1734" s="74"/>
      <c r="I1734" s="84">
        <v>0</v>
      </c>
      <c r="K1734" s="84">
        <f>+F1734*I1734</f>
        <v>0</v>
      </c>
      <c r="L1734" s="116">
        <f>E1734*I1734</f>
        <v>0</v>
      </c>
    </row>
    <row r="1735" spans="2:16" x14ac:dyDescent="0.3">
      <c r="B1735" s="74"/>
      <c r="C1735" s="411"/>
      <c r="D1735" s="412"/>
      <c r="E1735" s="125"/>
      <c r="F1735" s="72"/>
      <c r="G1735" s="74"/>
      <c r="I1735" s="84">
        <v>0</v>
      </c>
      <c r="K1735" s="84">
        <f>+F1735*I1735</f>
        <v>0</v>
      </c>
      <c r="L1735" s="116">
        <f>E1735*I1735</f>
        <v>0</v>
      </c>
    </row>
    <row r="1736" spans="2:16" ht="17.25" thickBot="1" x14ac:dyDescent="0.35">
      <c r="L1736" s="116"/>
    </row>
    <row r="1737" spans="2:16" ht="17.25" thickBot="1" x14ac:dyDescent="0.35">
      <c r="F1737" s="402" t="s">
        <v>19</v>
      </c>
      <c r="G1737" s="403"/>
      <c r="H1737" s="403"/>
      <c r="I1737" s="404"/>
      <c r="K1737" s="224">
        <f>+SUM(K1733:K1735)</f>
        <v>0</v>
      </c>
      <c r="L1737" s="117">
        <f>+SUM(L1732:L1735)</f>
        <v>0</v>
      </c>
    </row>
    <row r="1738" spans="2:16" ht="15" customHeight="1" x14ac:dyDescent="0.3">
      <c r="F1738" s="126"/>
      <c r="G1738" s="280"/>
      <c r="H1738" s="128"/>
      <c r="I1738" s="106"/>
      <c r="K1738" s="225"/>
    </row>
    <row r="1739" spans="2:16" ht="15" customHeight="1" thickBot="1" x14ac:dyDescent="0.35"/>
    <row r="1740" spans="2:16" ht="17.25" thickBot="1" x14ac:dyDescent="0.35">
      <c r="F1740" s="402" t="s">
        <v>20</v>
      </c>
      <c r="G1740" s="403"/>
      <c r="H1740" s="403"/>
      <c r="I1740" s="404"/>
      <c r="K1740" s="224">
        <f>(+K1711+K1720+K1729+K1737)</f>
        <v>1000</v>
      </c>
      <c r="L1740" s="117">
        <f>(+L1711+L1720+L1729+L1737)</f>
        <v>3600</v>
      </c>
      <c r="N1740" s="129"/>
      <c r="O1740" s="39"/>
      <c r="P1740" s="40"/>
    </row>
    <row r="1741" spans="2:16" ht="7.5" customHeight="1" thickBot="1" x14ac:dyDescent="0.35">
      <c r="N1741" s="129"/>
      <c r="O1741" s="41"/>
      <c r="P1741" s="40"/>
    </row>
    <row r="1742" spans="2:16" ht="17.25" thickBot="1" x14ac:dyDescent="0.35">
      <c r="F1742" s="402" t="s">
        <v>21</v>
      </c>
      <c r="G1742" s="403"/>
      <c r="H1742" s="403"/>
      <c r="I1742" s="404"/>
      <c r="K1742" s="224">
        <f>K1740*$N$2</f>
        <v>400</v>
      </c>
      <c r="L1742" s="117">
        <f>L1740*$N$2</f>
        <v>1440</v>
      </c>
    </row>
    <row r="1743" spans="2:16" ht="7.5" customHeight="1" thickBot="1" x14ac:dyDescent="0.35"/>
    <row r="1744" spans="2:16" ht="17.25" thickBot="1" x14ac:dyDescent="0.35">
      <c r="F1744" s="402" t="s">
        <v>22</v>
      </c>
      <c r="G1744" s="403"/>
      <c r="H1744" s="403"/>
      <c r="I1744" s="404"/>
      <c r="K1744" s="224">
        <f>+K1740+K1742</f>
        <v>1400</v>
      </c>
      <c r="L1744" s="117">
        <f>+L1740+L1742</f>
        <v>5040</v>
      </c>
    </row>
    <row r="1745" spans="1:16" ht="17.25" thickBot="1" x14ac:dyDescent="0.35">
      <c r="F1745" s="126"/>
      <c r="G1745" s="280"/>
      <c r="H1745" s="128"/>
      <c r="I1745" s="106"/>
      <c r="K1745" s="226"/>
      <c r="L1745" s="130">
        <f>L1744/I1696</f>
        <v>1400</v>
      </c>
      <c r="M1745" s="131">
        <f>(K1744-L1745)*I1696</f>
        <v>0</v>
      </c>
    </row>
    <row r="1746" spans="1:16" x14ac:dyDescent="0.3">
      <c r="F1746" s="126"/>
      <c r="G1746" s="280"/>
      <c r="H1746" s="128"/>
      <c r="I1746" s="106"/>
      <c r="K1746" s="227"/>
      <c r="L1746" s="129"/>
      <c r="M1746" s="132"/>
      <c r="N1746" s="133"/>
    </row>
    <row r="1747" spans="1:16" ht="17.25" thickBot="1" x14ac:dyDescent="0.35">
      <c r="B1747" s="405"/>
      <c r="C1747" s="405"/>
      <c r="D1747" s="405"/>
    </row>
    <row r="1748" spans="1:16" x14ac:dyDescent="0.3">
      <c r="B1748" s="406" t="s">
        <v>23</v>
      </c>
      <c r="C1748" s="406"/>
      <c r="D1748" s="406"/>
    </row>
    <row r="1749" spans="1:16" x14ac:dyDescent="0.3">
      <c r="B1749" s="281"/>
      <c r="C1749" s="281"/>
      <c r="D1749" s="281"/>
    </row>
    <row r="1750" spans="1:16" x14ac:dyDescent="0.3">
      <c r="B1750" s="281"/>
      <c r="C1750" s="281"/>
      <c r="D1750" s="281"/>
    </row>
    <row r="1751" spans="1:16" x14ac:dyDescent="0.3">
      <c r="B1751" s="103" t="s">
        <v>43</v>
      </c>
      <c r="C1751" s="104"/>
      <c r="D1751" s="422" t="s">
        <v>1</v>
      </c>
      <c r="E1751" s="422"/>
      <c r="F1751" s="422"/>
      <c r="G1751" s="422"/>
      <c r="H1751" s="104"/>
      <c r="I1751" s="105" t="s">
        <v>2</v>
      </c>
      <c r="J1751" s="134"/>
      <c r="K1751" s="105" t="s">
        <v>3</v>
      </c>
    </row>
    <row r="1752" spans="1:16" s="4" customFormat="1" ht="30.75" customHeight="1" x14ac:dyDescent="0.25">
      <c r="A1752" s="31"/>
      <c r="B1752" s="287">
        <f>CATALOGO!B68</f>
        <v>902.01</v>
      </c>
      <c r="C1752" s="71"/>
      <c r="D1752" s="437" t="str">
        <f>CATALOGO!C68</f>
        <v>BAJADA DE AGUA PVC Ø3" (INCLUYE ACCESORIOS)</v>
      </c>
      <c r="E1752" s="437"/>
      <c r="F1752" s="437"/>
      <c r="G1752" s="437"/>
      <c r="H1752" s="71"/>
      <c r="I1752" s="287">
        <f>CATALOGO!D68</f>
        <v>3</v>
      </c>
      <c r="J1752" s="107"/>
      <c r="K1752" s="222" t="str">
        <f>CATALOGO!G68</f>
        <v>ml</v>
      </c>
      <c r="L1752" s="71"/>
      <c r="M1752" s="71"/>
      <c r="N1752" s="102"/>
      <c r="O1752" s="37"/>
      <c r="P1752" s="37"/>
    </row>
    <row r="1753" spans="1:16" ht="17.25" thickBot="1" x14ac:dyDescent="0.35"/>
    <row r="1754" spans="1:16" ht="17.25" thickBot="1" x14ac:dyDescent="0.35">
      <c r="B1754" s="108" t="s">
        <v>4</v>
      </c>
      <c r="C1754" s="413" t="s">
        <v>5</v>
      </c>
      <c r="D1754" s="413"/>
      <c r="E1754" s="413"/>
      <c r="F1754" s="413"/>
      <c r="G1754" s="414"/>
    </row>
    <row r="1755" spans="1:16" x14ac:dyDescent="0.25">
      <c r="B1755" s="109" t="s">
        <v>6</v>
      </c>
      <c r="C1755" s="424" t="s">
        <v>1</v>
      </c>
      <c r="D1755" s="425"/>
      <c r="E1755" s="110" t="s">
        <v>192</v>
      </c>
      <c r="F1755" s="111" t="s">
        <v>2</v>
      </c>
      <c r="G1755" s="112" t="s">
        <v>3</v>
      </c>
      <c r="H1755" s="104"/>
      <c r="I1755" s="105" t="s">
        <v>7</v>
      </c>
      <c r="J1755" s="134"/>
      <c r="K1755" s="223" t="s">
        <v>8</v>
      </c>
      <c r="L1755" s="113" t="s">
        <v>193</v>
      </c>
      <c r="O1755" s="438"/>
      <c r="P1755" s="438"/>
    </row>
    <row r="1756" spans="1:16" ht="17.25" customHeight="1" x14ac:dyDescent="0.25">
      <c r="B1756" s="120">
        <v>1</v>
      </c>
      <c r="C1756" s="430" t="s">
        <v>241</v>
      </c>
      <c r="D1756" s="429"/>
      <c r="E1756" s="114">
        <f>I1752*0.2</f>
        <v>0.60000000000000009</v>
      </c>
      <c r="F1756" s="83">
        <f>ROUND(E1756/I1752,2)</f>
        <v>0.2</v>
      </c>
      <c r="G1756" s="74" t="str">
        <f>IF(C1756=0,0,VLOOKUP(C1756,Tabla1[],2,FALSE))</f>
        <v>Unidad</v>
      </c>
      <c r="I1756" s="115">
        <f>IF(C1756=0,0,VLOOKUP(C1756,Tabla1[],3,FALSE))</f>
        <v>75</v>
      </c>
      <c r="K1756" s="84">
        <f>F1756*I1756</f>
        <v>15</v>
      </c>
      <c r="L1756" s="116">
        <f>E1756*I1756</f>
        <v>45.000000000000007</v>
      </c>
      <c r="O1756" s="44"/>
      <c r="P1756" s="45"/>
    </row>
    <row r="1757" spans="1:16" x14ac:dyDescent="0.3">
      <c r="B1757" s="120">
        <v>2</v>
      </c>
      <c r="C1757" s="430" t="s">
        <v>586</v>
      </c>
      <c r="D1757" s="429"/>
      <c r="E1757" s="114">
        <f>I1752*0.25</f>
        <v>0.75</v>
      </c>
      <c r="F1757" s="83">
        <f>ROUND(E1757/I1752,2)</f>
        <v>0.25</v>
      </c>
      <c r="G1757" s="74" t="str">
        <f>IF(C1757=0,0,VLOOKUP(C1757,Tabla1[],2,FALSE))</f>
        <v>Unidad</v>
      </c>
      <c r="I1757" s="115">
        <f>IF(C1757=0,0,VLOOKUP(C1757,Tabla1[],3,FALSE))</f>
        <v>60</v>
      </c>
      <c r="K1757" s="84">
        <f>+F1757*I1757</f>
        <v>15</v>
      </c>
      <c r="L1757" s="116">
        <f>E1757*I1757</f>
        <v>45</v>
      </c>
      <c r="P1757" s="45"/>
    </row>
    <row r="1758" spans="1:16" x14ac:dyDescent="0.3">
      <c r="B1758" s="120">
        <v>3</v>
      </c>
      <c r="C1758" s="430" t="s">
        <v>587</v>
      </c>
      <c r="D1758" s="429"/>
      <c r="E1758" s="114">
        <f>I1752*0.2</f>
        <v>0.60000000000000009</v>
      </c>
      <c r="F1758" s="83">
        <f>ROUND(E1758/I1752,2)</f>
        <v>0.2</v>
      </c>
      <c r="G1758" s="74" t="str">
        <f>IF(C1758=0,0,VLOOKUP(C1758,Tabla1[],2,FALSE))</f>
        <v>Unidad</v>
      </c>
      <c r="I1758" s="115">
        <f>IF(C1758=0,0,VLOOKUP(C1758,Tabla1[],3,FALSE))</f>
        <v>380</v>
      </c>
      <c r="K1758" s="84">
        <f>+F1758*I1758</f>
        <v>76</v>
      </c>
      <c r="L1758" s="116">
        <f>E1758*I1758</f>
        <v>228.00000000000003</v>
      </c>
      <c r="O1758" s="48"/>
      <c r="P1758" s="49"/>
    </row>
    <row r="1759" spans="1:16" x14ac:dyDescent="0.3">
      <c r="B1759" s="120">
        <v>4</v>
      </c>
      <c r="C1759" s="430" t="s">
        <v>129</v>
      </c>
      <c r="D1759" s="429"/>
      <c r="E1759" s="114">
        <f>I1752*0.01</f>
        <v>0.03</v>
      </c>
      <c r="F1759" s="83">
        <f>ROUND(E1759/I1752,2)</f>
        <v>0.01</v>
      </c>
      <c r="G1759" s="74" t="str">
        <f>IF(C1759=0,0,VLOOKUP(C1759,Tabla1[],2,FALSE))</f>
        <v>Galón</v>
      </c>
      <c r="I1759" s="115">
        <f>IF(C1759=0,0,VLOOKUP(C1759,Tabla1[],3,FALSE))</f>
        <v>400</v>
      </c>
      <c r="K1759" s="84">
        <f>+F1759*I1759</f>
        <v>4</v>
      </c>
      <c r="L1759" s="116">
        <f>E1759*I1759</f>
        <v>12</v>
      </c>
      <c r="O1759" s="48"/>
      <c r="P1759" s="49"/>
    </row>
    <row r="1760" spans="1:16" x14ac:dyDescent="0.3">
      <c r="B1760" s="120"/>
      <c r="C1760" s="284"/>
      <c r="D1760" s="285"/>
      <c r="E1760" s="114"/>
      <c r="F1760" s="83"/>
      <c r="G1760" s="74"/>
      <c r="I1760" s="115"/>
      <c r="K1760" s="84"/>
      <c r="L1760" s="116"/>
      <c r="O1760" s="48"/>
      <c r="P1760" s="49"/>
    </row>
    <row r="1761" spans="2:16" x14ac:dyDescent="0.3">
      <c r="B1761" s="120"/>
      <c r="C1761" s="284"/>
      <c r="D1761" s="285"/>
      <c r="E1761" s="114"/>
      <c r="F1761" s="83"/>
      <c r="G1761" s="74"/>
      <c r="I1761" s="115"/>
      <c r="K1761" s="84"/>
      <c r="L1761" s="116"/>
      <c r="O1761" s="48"/>
      <c r="P1761" s="49"/>
    </row>
    <row r="1762" spans="2:16" x14ac:dyDescent="0.3">
      <c r="B1762" s="120"/>
      <c r="C1762" s="284"/>
      <c r="D1762" s="285"/>
      <c r="E1762" s="114"/>
      <c r="F1762" s="83"/>
      <c r="G1762" s="74"/>
      <c r="I1762" s="115"/>
      <c r="K1762" s="84"/>
      <c r="L1762" s="116"/>
      <c r="O1762" s="48"/>
      <c r="P1762" s="49"/>
    </row>
    <row r="1763" spans="2:16" ht="17.25" thickBot="1" x14ac:dyDescent="0.35"/>
    <row r="1764" spans="2:16" ht="17.25" thickBot="1" x14ac:dyDescent="0.3">
      <c r="F1764" s="402" t="s">
        <v>9</v>
      </c>
      <c r="G1764" s="403"/>
      <c r="H1764" s="403"/>
      <c r="I1764" s="404"/>
      <c r="K1764" s="224">
        <f>+SUM(K1756:K1762)</f>
        <v>110</v>
      </c>
      <c r="L1764" s="117">
        <f>+SUM(L1756:L1762)</f>
        <v>330</v>
      </c>
      <c r="O1764" s="38"/>
      <c r="P1764" s="38"/>
    </row>
    <row r="1765" spans="2:16" ht="17.25" thickBot="1" x14ac:dyDescent="0.35">
      <c r="O1765" s="42"/>
      <c r="P1765" s="43"/>
    </row>
    <row r="1766" spans="2:16" ht="17.25" thickBot="1" x14ac:dyDescent="0.35">
      <c r="B1766" s="108" t="s">
        <v>10</v>
      </c>
      <c r="C1766" s="413" t="s">
        <v>11</v>
      </c>
      <c r="D1766" s="413"/>
      <c r="E1766" s="413"/>
      <c r="F1766" s="413"/>
      <c r="G1766" s="414"/>
    </row>
    <row r="1767" spans="2:16" x14ac:dyDescent="0.3">
      <c r="B1767" s="112" t="s">
        <v>6</v>
      </c>
      <c r="C1767" s="415" t="s">
        <v>1</v>
      </c>
      <c r="D1767" s="416"/>
      <c r="E1767" s="110" t="s">
        <v>192</v>
      </c>
      <c r="F1767" s="118" t="s">
        <v>2</v>
      </c>
      <c r="G1767" s="112" t="s">
        <v>3</v>
      </c>
      <c r="H1767" s="104"/>
      <c r="I1767" s="105" t="s">
        <v>7</v>
      </c>
      <c r="J1767" s="134"/>
      <c r="K1767" s="105" t="s">
        <v>8</v>
      </c>
      <c r="L1767" s="113" t="s">
        <v>193</v>
      </c>
    </row>
    <row r="1768" spans="2:16" x14ac:dyDescent="0.3">
      <c r="B1768" s="120"/>
      <c r="C1768" s="409"/>
      <c r="D1768" s="409"/>
      <c r="E1768" s="114"/>
      <c r="F1768" s="83"/>
      <c r="G1768" s="74"/>
      <c r="I1768" s="115">
        <f>IF(C1768=0,0,VLOOKUP(C1768,Tabla3[],3,FALSE))</f>
        <v>0</v>
      </c>
      <c r="K1768" s="84">
        <f>F1768*I1768</f>
        <v>0</v>
      </c>
      <c r="L1768" s="116">
        <f>E1768*I1768</f>
        <v>0</v>
      </c>
    </row>
    <row r="1769" spans="2:16" x14ac:dyDescent="0.3">
      <c r="B1769" s="74"/>
      <c r="C1769" s="431"/>
      <c r="D1769" s="432"/>
      <c r="E1769" s="119"/>
      <c r="F1769" s="72"/>
      <c r="G1769" s="74"/>
      <c r="I1769" s="115">
        <f>IF(C1769=0,0,VLOOKUP(C1769,Tabla3[],3,FALSE))</f>
        <v>0</v>
      </c>
      <c r="K1769" s="84">
        <f>+F1769*I1769</f>
        <v>0</v>
      </c>
      <c r="L1769" s="116">
        <f>E1769*I1769</f>
        <v>0</v>
      </c>
    </row>
    <row r="1770" spans="2:16" x14ac:dyDescent="0.3">
      <c r="B1770" s="74"/>
      <c r="C1770" s="431"/>
      <c r="D1770" s="432"/>
      <c r="E1770" s="119"/>
      <c r="F1770" s="72"/>
      <c r="G1770" s="74"/>
      <c r="I1770" s="115">
        <f>IF(C1770=0,0,VLOOKUP(C1770,Tabla3[],3,FALSE))</f>
        <v>0</v>
      </c>
      <c r="K1770" s="84">
        <f>+F1770*I1770</f>
        <v>0</v>
      </c>
      <c r="L1770" s="116">
        <f>E1770*I1770</f>
        <v>0</v>
      </c>
    </row>
    <row r="1771" spans="2:16" x14ac:dyDescent="0.3">
      <c r="B1771" s="74"/>
      <c r="C1771" s="411"/>
      <c r="D1771" s="412"/>
      <c r="E1771" s="119"/>
      <c r="F1771" s="72"/>
      <c r="G1771" s="74"/>
      <c r="I1771" s="115">
        <f>IF(C1771=0,0,VLOOKUP(C1771,Tabla3[],3,FALSE))</f>
        <v>0</v>
      </c>
      <c r="K1771" s="84">
        <f>+F1771*I1771</f>
        <v>0</v>
      </c>
      <c r="L1771" s="116">
        <f>E1771*I1771</f>
        <v>0</v>
      </c>
    </row>
    <row r="1772" spans="2:16" ht="17.25" thickBot="1" x14ac:dyDescent="0.35"/>
    <row r="1773" spans="2:16" ht="17.25" thickBot="1" x14ac:dyDescent="0.35">
      <c r="F1773" s="402" t="s">
        <v>12</v>
      </c>
      <c r="G1773" s="403"/>
      <c r="H1773" s="403"/>
      <c r="I1773" s="404"/>
      <c r="K1773" s="224">
        <f>+SUM(K1768:K1771)</f>
        <v>0</v>
      </c>
      <c r="L1773" s="117">
        <f>+SUM(L1768:L1771)</f>
        <v>0</v>
      </c>
    </row>
    <row r="1774" spans="2:16" ht="17.25" thickBot="1" x14ac:dyDescent="0.35"/>
    <row r="1775" spans="2:16" ht="17.25" thickBot="1" x14ac:dyDescent="0.35">
      <c r="B1775" s="108" t="s">
        <v>13</v>
      </c>
      <c r="C1775" s="413" t="s">
        <v>14</v>
      </c>
      <c r="D1775" s="413"/>
      <c r="E1775" s="413"/>
      <c r="F1775" s="413"/>
      <c r="G1775" s="414"/>
    </row>
    <row r="1776" spans="2:16" x14ac:dyDescent="0.3">
      <c r="B1776" s="112" t="s">
        <v>6</v>
      </c>
      <c r="C1776" s="415" t="s">
        <v>1</v>
      </c>
      <c r="D1776" s="416"/>
      <c r="E1776" s="110" t="s">
        <v>192</v>
      </c>
      <c r="F1776" s="118" t="s">
        <v>2</v>
      </c>
      <c r="G1776" s="112" t="s">
        <v>3</v>
      </c>
      <c r="H1776" s="104"/>
      <c r="I1776" s="105" t="s">
        <v>7</v>
      </c>
      <c r="J1776" s="134"/>
      <c r="K1776" s="105" t="s">
        <v>8</v>
      </c>
      <c r="L1776" s="113" t="s">
        <v>193</v>
      </c>
    </row>
    <row r="1777" spans="2:12" x14ac:dyDescent="0.3">
      <c r="B1777" s="120">
        <v>1</v>
      </c>
      <c r="C1777" s="409" t="s">
        <v>588</v>
      </c>
      <c r="D1777" s="409"/>
      <c r="E1777" s="114">
        <f>I1752</f>
        <v>3</v>
      </c>
      <c r="F1777" s="83">
        <f>ROUND(E1777/I1752,2)</f>
        <v>1</v>
      </c>
      <c r="G1777" s="74" t="str">
        <f>IF(C1777=0,0,VLOOKUP(C1777,Tabla2[],2,FALSE))</f>
        <v>ml</v>
      </c>
      <c r="I1777" s="115">
        <f>IF(C1777=0,0,VLOOKUP(C1777,Tabla2[],3,FALSE))</f>
        <v>15</v>
      </c>
      <c r="K1777" s="84">
        <f>+F1777*I1777</f>
        <v>15</v>
      </c>
      <c r="L1777" s="116">
        <f>E1777*I1777</f>
        <v>45</v>
      </c>
    </row>
    <row r="1778" spans="2:12" x14ac:dyDescent="0.3">
      <c r="B1778" s="120"/>
      <c r="C1778" s="409"/>
      <c r="D1778" s="409"/>
      <c r="E1778" s="114"/>
      <c r="F1778" s="83"/>
      <c r="G1778" s="74"/>
      <c r="I1778" s="115">
        <f>IF(C1778=0,0,VLOOKUP(C1778,Tabla2[],3,FALSE))</f>
        <v>0</v>
      </c>
      <c r="K1778" s="84">
        <f>+F1778*I1778</f>
        <v>0</v>
      </c>
      <c r="L1778" s="116">
        <f>E1778*I1778</f>
        <v>0</v>
      </c>
    </row>
    <row r="1779" spans="2:12" ht="17.25" thickBot="1" x14ac:dyDescent="0.35">
      <c r="B1779" s="121"/>
      <c r="C1779" s="417"/>
      <c r="D1779" s="418"/>
      <c r="E1779" s="122"/>
      <c r="F1779" s="123"/>
      <c r="G1779" s="74"/>
      <c r="I1779" s="115">
        <f>IF(C1779=0,0,VLOOKUP(C1779,Tabla2[],3,FALSE))</f>
        <v>0</v>
      </c>
      <c r="K1779" s="84">
        <f>+F1779*I1779</f>
        <v>0</v>
      </c>
      <c r="L1779" s="116">
        <f>E1779*I1779</f>
        <v>0</v>
      </c>
    </row>
    <row r="1780" spans="2:12" ht="17.25" thickBot="1" x14ac:dyDescent="0.35">
      <c r="B1780" s="419" t="s">
        <v>15</v>
      </c>
      <c r="C1780" s="420"/>
      <c r="D1780" s="420"/>
      <c r="E1780" s="420"/>
      <c r="F1780" s="420"/>
      <c r="G1780" s="421"/>
      <c r="I1780" s="84">
        <v>0</v>
      </c>
      <c r="K1780" s="84">
        <v>0</v>
      </c>
      <c r="L1780" s="116">
        <f>E1780*I1780</f>
        <v>0</v>
      </c>
    </row>
    <row r="1781" spans="2:12" ht="17.25" thickBot="1" x14ac:dyDescent="0.35"/>
    <row r="1782" spans="2:12" ht="17.25" thickBot="1" x14ac:dyDescent="0.35">
      <c r="F1782" s="402" t="s">
        <v>16</v>
      </c>
      <c r="G1782" s="403"/>
      <c r="H1782" s="403"/>
      <c r="I1782" s="404"/>
      <c r="K1782" s="224">
        <f>+SUM(K1777:K1780)</f>
        <v>15</v>
      </c>
      <c r="L1782" s="117">
        <f>+SUM(L1777:L1780)</f>
        <v>45</v>
      </c>
    </row>
    <row r="1783" spans="2:12" ht="17.25" thickBot="1" x14ac:dyDescent="0.35"/>
    <row r="1784" spans="2:12" ht="17.25" thickBot="1" x14ac:dyDescent="0.35">
      <c r="B1784" s="108" t="s">
        <v>17</v>
      </c>
      <c r="C1784" s="413" t="s">
        <v>18</v>
      </c>
      <c r="D1784" s="413"/>
      <c r="E1784" s="413"/>
      <c r="F1784" s="413"/>
      <c r="G1784" s="414"/>
    </row>
    <row r="1785" spans="2:12" x14ac:dyDescent="0.3">
      <c r="B1785" s="112" t="s">
        <v>6</v>
      </c>
      <c r="C1785" s="415" t="s">
        <v>1</v>
      </c>
      <c r="D1785" s="416"/>
      <c r="E1785" s="124"/>
      <c r="F1785" s="118" t="s">
        <v>2</v>
      </c>
      <c r="G1785" s="112" t="s">
        <v>3</v>
      </c>
      <c r="H1785" s="104"/>
      <c r="I1785" s="105" t="s">
        <v>7</v>
      </c>
      <c r="J1785" s="134"/>
      <c r="K1785" s="105" t="s">
        <v>8</v>
      </c>
      <c r="L1785" s="113" t="s">
        <v>193</v>
      </c>
    </row>
    <row r="1786" spans="2:12" x14ac:dyDescent="0.3">
      <c r="B1786" s="74"/>
      <c r="C1786" s="411"/>
      <c r="D1786" s="412"/>
      <c r="E1786" s="125"/>
      <c r="F1786" s="72"/>
      <c r="G1786" s="74"/>
      <c r="I1786" s="84">
        <v>0</v>
      </c>
      <c r="K1786" s="84">
        <f>+F1786*I1786</f>
        <v>0</v>
      </c>
      <c r="L1786" s="116">
        <f>E1786*I1786</f>
        <v>0</v>
      </c>
    </row>
    <row r="1787" spans="2:12" x14ac:dyDescent="0.3">
      <c r="B1787" s="74"/>
      <c r="C1787" s="411"/>
      <c r="D1787" s="412"/>
      <c r="E1787" s="125"/>
      <c r="F1787" s="72"/>
      <c r="G1787" s="74"/>
      <c r="I1787" s="84">
        <v>0</v>
      </c>
      <c r="K1787" s="84">
        <f>+F1787*I1787</f>
        <v>0</v>
      </c>
      <c r="L1787" s="116">
        <f>E1787*I1787</f>
        <v>0</v>
      </c>
    </row>
    <row r="1788" spans="2:12" x14ac:dyDescent="0.3">
      <c r="B1788" s="74"/>
      <c r="C1788" s="411"/>
      <c r="D1788" s="412"/>
      <c r="E1788" s="125"/>
      <c r="F1788" s="72"/>
      <c r="G1788" s="74"/>
      <c r="I1788" s="84">
        <v>0</v>
      </c>
      <c r="K1788" s="84">
        <f>+F1788*I1788</f>
        <v>0</v>
      </c>
      <c r="L1788" s="116">
        <f>E1788*I1788</f>
        <v>0</v>
      </c>
    </row>
    <row r="1789" spans="2:12" ht="17.25" thickBot="1" x14ac:dyDescent="0.35">
      <c r="L1789" s="116"/>
    </row>
    <row r="1790" spans="2:12" ht="17.25" thickBot="1" x14ac:dyDescent="0.35">
      <c r="F1790" s="402" t="s">
        <v>19</v>
      </c>
      <c r="G1790" s="403"/>
      <c r="H1790" s="403"/>
      <c r="I1790" s="404"/>
      <c r="K1790" s="224">
        <f>+SUM(K1786:K1788)</f>
        <v>0</v>
      </c>
      <c r="L1790" s="117">
        <f>+SUM(L1785:L1788)</f>
        <v>0</v>
      </c>
    </row>
    <row r="1791" spans="2:12" ht="15" customHeight="1" x14ac:dyDescent="0.3">
      <c r="F1791" s="126"/>
      <c r="G1791" s="280"/>
      <c r="H1791" s="128"/>
      <c r="I1791" s="106"/>
      <c r="K1791" s="225"/>
    </row>
    <row r="1792" spans="2:12" ht="15" customHeight="1" thickBot="1" x14ac:dyDescent="0.35"/>
    <row r="1793" spans="1:16" ht="17.25" thickBot="1" x14ac:dyDescent="0.35">
      <c r="F1793" s="402" t="s">
        <v>20</v>
      </c>
      <c r="G1793" s="403"/>
      <c r="H1793" s="403"/>
      <c r="I1793" s="404"/>
      <c r="K1793" s="224">
        <f>(+K1764+K1773+K1782+K1790)</f>
        <v>125</v>
      </c>
      <c r="L1793" s="117">
        <f>(+L1764+L1773+L1782+L1790)</f>
        <v>375</v>
      </c>
      <c r="N1793" s="129"/>
      <c r="O1793" s="39"/>
      <c r="P1793" s="40"/>
    </row>
    <row r="1794" spans="1:16" ht="7.5" customHeight="1" thickBot="1" x14ac:dyDescent="0.35">
      <c r="N1794" s="129"/>
      <c r="O1794" s="41"/>
      <c r="P1794" s="40"/>
    </row>
    <row r="1795" spans="1:16" ht="17.25" thickBot="1" x14ac:dyDescent="0.35">
      <c r="F1795" s="402" t="s">
        <v>21</v>
      </c>
      <c r="G1795" s="403"/>
      <c r="H1795" s="403"/>
      <c r="I1795" s="404"/>
      <c r="K1795" s="224">
        <f>K1793*$N$2</f>
        <v>50</v>
      </c>
      <c r="L1795" s="117">
        <f>L1793*$N$2</f>
        <v>150</v>
      </c>
    </row>
    <row r="1796" spans="1:16" ht="7.5" customHeight="1" thickBot="1" x14ac:dyDescent="0.35"/>
    <row r="1797" spans="1:16" ht="17.25" thickBot="1" x14ac:dyDescent="0.35">
      <c r="F1797" s="402" t="s">
        <v>22</v>
      </c>
      <c r="G1797" s="403"/>
      <c r="H1797" s="403"/>
      <c r="I1797" s="404"/>
      <c r="K1797" s="224">
        <f>+K1793+K1795</f>
        <v>175</v>
      </c>
      <c r="L1797" s="117">
        <f>+L1793+L1795</f>
        <v>525</v>
      </c>
    </row>
    <row r="1798" spans="1:16" ht="17.25" thickBot="1" x14ac:dyDescent="0.35">
      <c r="F1798" s="126"/>
      <c r="G1798" s="280"/>
      <c r="H1798" s="128"/>
      <c r="I1798" s="106"/>
      <c r="K1798" s="226"/>
      <c r="L1798" s="130">
        <f>L1797/I1752</f>
        <v>175</v>
      </c>
      <c r="M1798" s="131">
        <f>(K1797-L1798)*I1752</f>
        <v>0</v>
      </c>
    </row>
    <row r="1799" spans="1:16" x14ac:dyDescent="0.3">
      <c r="F1799" s="126"/>
      <c r="G1799" s="280"/>
      <c r="H1799" s="128"/>
      <c r="I1799" s="106"/>
      <c r="K1799" s="227"/>
      <c r="L1799" s="129"/>
      <c r="M1799" s="132"/>
      <c r="N1799" s="133"/>
    </row>
    <row r="1800" spans="1:16" ht="17.25" thickBot="1" x14ac:dyDescent="0.35">
      <c r="B1800" s="405"/>
      <c r="C1800" s="405"/>
      <c r="D1800" s="405"/>
    </row>
    <row r="1801" spans="1:16" x14ac:dyDescent="0.3">
      <c r="B1801" s="406" t="s">
        <v>23</v>
      </c>
      <c r="C1801" s="406"/>
      <c r="D1801" s="406"/>
    </row>
    <row r="1802" spans="1:16" x14ac:dyDescent="0.3">
      <c r="B1802" s="281"/>
      <c r="C1802" s="281"/>
      <c r="D1802" s="281"/>
    </row>
    <row r="1803" spans="1:16" x14ac:dyDescent="0.3">
      <c r="B1803" s="281"/>
      <c r="C1803" s="281"/>
      <c r="D1803" s="281"/>
    </row>
    <row r="1804" spans="1:16" x14ac:dyDescent="0.3">
      <c r="B1804" s="103" t="s">
        <v>43</v>
      </c>
      <c r="C1804" s="104"/>
      <c r="D1804" s="422" t="s">
        <v>1</v>
      </c>
      <c r="E1804" s="422"/>
      <c r="F1804" s="422"/>
      <c r="G1804" s="422"/>
      <c r="H1804" s="104"/>
      <c r="I1804" s="105" t="s">
        <v>2</v>
      </c>
      <c r="J1804" s="134"/>
      <c r="K1804" s="105" t="s">
        <v>3</v>
      </c>
    </row>
    <row r="1805" spans="1:16" s="4" customFormat="1" ht="30.75" customHeight="1" x14ac:dyDescent="0.25">
      <c r="A1805" s="31"/>
      <c r="B1805" s="287">
        <f>CATALOGO!B69</f>
        <v>903.01</v>
      </c>
      <c r="C1805" s="71"/>
      <c r="D1805" s="437" t="str">
        <f>CATALOGO!C69</f>
        <v>TUBERÍA AGUA POTABLE PVC Ø 1/2", 315 PSI (INCLUYE ACCESORIOS)</v>
      </c>
      <c r="E1805" s="437"/>
      <c r="F1805" s="437"/>
      <c r="G1805" s="437"/>
      <c r="H1805" s="71"/>
      <c r="I1805" s="287">
        <f>CATALOGO!D104</f>
        <v>37</v>
      </c>
      <c r="J1805" s="107"/>
      <c r="K1805" s="222" t="str">
        <f>CATALOGO!G104</f>
        <v>m²</v>
      </c>
      <c r="L1805" s="71"/>
      <c r="M1805" s="71"/>
      <c r="N1805" s="102"/>
      <c r="O1805" s="37"/>
      <c r="P1805" s="37"/>
    </row>
    <row r="1806" spans="1:16" ht="17.25" thickBot="1" x14ac:dyDescent="0.35"/>
    <row r="1807" spans="1:16" ht="17.25" thickBot="1" x14ac:dyDescent="0.35">
      <c r="B1807" s="108" t="s">
        <v>4</v>
      </c>
      <c r="C1807" s="413" t="s">
        <v>5</v>
      </c>
      <c r="D1807" s="413"/>
      <c r="E1807" s="413"/>
      <c r="F1807" s="413"/>
      <c r="G1807" s="414"/>
    </row>
    <row r="1808" spans="1:16" x14ac:dyDescent="0.25">
      <c r="B1808" s="109" t="s">
        <v>6</v>
      </c>
      <c r="C1808" s="424" t="s">
        <v>1</v>
      </c>
      <c r="D1808" s="425"/>
      <c r="E1808" s="110" t="s">
        <v>192</v>
      </c>
      <c r="F1808" s="111" t="s">
        <v>2</v>
      </c>
      <c r="G1808" s="112" t="s">
        <v>3</v>
      </c>
      <c r="H1808" s="104"/>
      <c r="I1808" s="105" t="s">
        <v>7</v>
      </c>
      <c r="J1808" s="134"/>
      <c r="K1808" s="223" t="s">
        <v>8</v>
      </c>
      <c r="L1808" s="113" t="s">
        <v>193</v>
      </c>
      <c r="O1808" s="438"/>
      <c r="P1808" s="438"/>
    </row>
    <row r="1809" spans="2:16" ht="17.25" customHeight="1" x14ac:dyDescent="0.25">
      <c r="B1809" s="120">
        <v>1</v>
      </c>
      <c r="C1809" s="428" t="s">
        <v>110</v>
      </c>
      <c r="D1809" s="429"/>
      <c r="E1809" s="114">
        <f>I1805*0.15</f>
        <v>5.55</v>
      </c>
      <c r="F1809" s="83">
        <f>ROUND(E1809/I1805,2)</f>
        <v>0.15</v>
      </c>
      <c r="G1809" s="74" t="str">
        <f>IF(C1809=0,0,VLOOKUP(C1809,Tabla1[],2,FALSE))</f>
        <v>Unidad</v>
      </c>
      <c r="I1809" s="115">
        <f>IF(C1809=0,0,VLOOKUP(C1809,Tabla1[],3,FALSE))</f>
        <v>40</v>
      </c>
      <c r="K1809" s="84">
        <f>F1809*I1809</f>
        <v>6</v>
      </c>
      <c r="L1809" s="116">
        <f>E1809*I1809</f>
        <v>222</v>
      </c>
      <c r="O1809" s="44"/>
      <c r="P1809" s="45"/>
    </row>
    <row r="1810" spans="2:16" x14ac:dyDescent="0.3">
      <c r="B1810" s="120">
        <v>2</v>
      </c>
      <c r="C1810" s="428" t="s">
        <v>289</v>
      </c>
      <c r="D1810" s="429"/>
      <c r="E1810" s="114">
        <f>I1805</f>
        <v>37</v>
      </c>
      <c r="F1810" s="83">
        <f>ROUND(E1810/I1805,2)</f>
        <v>1</v>
      </c>
      <c r="G1810" s="74" t="str">
        <f>IF(C1810=0,0,VLOOKUP(C1810,Tabla1[],2,FALSE))</f>
        <v>Unidad</v>
      </c>
      <c r="I1810" s="115">
        <f>IF(C1810=0,0,VLOOKUP(C1810,Tabla1[],3,FALSE))</f>
        <v>5</v>
      </c>
      <c r="K1810" s="84">
        <f>+F1810*I1810</f>
        <v>5</v>
      </c>
      <c r="L1810" s="116">
        <f>E1810*I1810</f>
        <v>185</v>
      </c>
      <c r="P1810" s="45"/>
    </row>
    <row r="1811" spans="2:16" x14ac:dyDescent="0.3">
      <c r="B1811" s="120">
        <v>3</v>
      </c>
      <c r="C1811" s="428" t="s">
        <v>129</v>
      </c>
      <c r="D1811" s="429"/>
      <c r="E1811" s="114">
        <f>I1805*0.01</f>
        <v>0.37</v>
      </c>
      <c r="F1811" s="83">
        <f>ROUND(E1811/I1805,2)</f>
        <v>0.01</v>
      </c>
      <c r="G1811" s="74" t="str">
        <f>IF(C1811=0,0,VLOOKUP(C1811,Tabla1[],2,FALSE))</f>
        <v>Galón</v>
      </c>
      <c r="I1811" s="115">
        <f>IF(C1811=0,0,VLOOKUP(C1811,Tabla1[],3,FALSE))</f>
        <v>400</v>
      </c>
      <c r="K1811" s="84">
        <f>+F1811*I1811</f>
        <v>4</v>
      </c>
      <c r="L1811" s="116">
        <f>E1811*I1811</f>
        <v>148</v>
      </c>
      <c r="O1811" s="48"/>
      <c r="P1811" s="49"/>
    </row>
    <row r="1812" spans="2:16" x14ac:dyDescent="0.3">
      <c r="B1812" s="120">
        <v>4</v>
      </c>
      <c r="C1812" s="428" t="s">
        <v>298</v>
      </c>
      <c r="D1812" s="429"/>
      <c r="E1812" s="114">
        <f>I1805</f>
        <v>37</v>
      </c>
      <c r="F1812" s="83">
        <f>ROUND(E1812/I1805,2)</f>
        <v>1</v>
      </c>
      <c r="G1812" s="74" t="str">
        <f>IF(C1812=0,0,VLOOKUP(C1812,Tabla1[],2,FALSE))</f>
        <v>Unidad</v>
      </c>
      <c r="I1812" s="115">
        <f>IF(C1812=0,0,VLOOKUP(C1812,Tabla1[],3,FALSE))</f>
        <v>5</v>
      </c>
      <c r="K1812" s="84">
        <f>+F1812*I1812</f>
        <v>5</v>
      </c>
      <c r="L1812" s="116">
        <f>E1812*I1812</f>
        <v>185</v>
      </c>
      <c r="O1812" s="48"/>
      <c r="P1812" s="49"/>
    </row>
    <row r="1813" spans="2:16" x14ac:dyDescent="0.3">
      <c r="B1813" s="120"/>
      <c r="C1813" s="284"/>
      <c r="D1813" s="285"/>
      <c r="E1813" s="114"/>
      <c r="F1813" s="83"/>
      <c r="G1813" s="74"/>
      <c r="I1813" s="115"/>
      <c r="K1813" s="84"/>
      <c r="L1813" s="116"/>
      <c r="O1813" s="48"/>
      <c r="P1813" s="49"/>
    </row>
    <row r="1814" spans="2:16" x14ac:dyDescent="0.3">
      <c r="B1814" s="120"/>
      <c r="C1814" s="284"/>
      <c r="D1814" s="285"/>
      <c r="E1814" s="114"/>
      <c r="F1814" s="83"/>
      <c r="G1814" s="74"/>
      <c r="I1814" s="115"/>
      <c r="K1814" s="84"/>
      <c r="L1814" s="116"/>
      <c r="O1814" s="48"/>
      <c r="P1814" s="49"/>
    </row>
    <row r="1815" spans="2:16" x14ac:dyDescent="0.3">
      <c r="B1815" s="120"/>
      <c r="C1815" s="284"/>
      <c r="D1815" s="285"/>
      <c r="E1815" s="114"/>
      <c r="F1815" s="83"/>
      <c r="G1815" s="74"/>
      <c r="I1815" s="115"/>
      <c r="K1815" s="84"/>
      <c r="L1815" s="116"/>
      <c r="O1815" s="48"/>
      <c r="P1815" s="49"/>
    </row>
    <row r="1816" spans="2:16" ht="17.25" thickBot="1" x14ac:dyDescent="0.35"/>
    <row r="1817" spans="2:16" ht="17.25" thickBot="1" x14ac:dyDescent="0.3">
      <c r="F1817" s="402" t="s">
        <v>9</v>
      </c>
      <c r="G1817" s="403"/>
      <c r="H1817" s="403"/>
      <c r="I1817" s="404"/>
      <c r="K1817" s="224">
        <f>+SUM(K1809:K1815)</f>
        <v>20</v>
      </c>
      <c r="L1817" s="117">
        <f>+SUM(L1809:L1815)</f>
        <v>740</v>
      </c>
      <c r="O1817" s="38"/>
      <c r="P1817" s="38"/>
    </row>
    <row r="1818" spans="2:16" ht="17.25" thickBot="1" x14ac:dyDescent="0.35">
      <c r="O1818" s="42"/>
      <c r="P1818" s="43"/>
    </row>
    <row r="1819" spans="2:16" ht="17.25" thickBot="1" x14ac:dyDescent="0.35">
      <c r="B1819" s="108" t="s">
        <v>10</v>
      </c>
      <c r="C1819" s="413" t="s">
        <v>11</v>
      </c>
      <c r="D1819" s="413"/>
      <c r="E1819" s="413"/>
      <c r="F1819" s="413"/>
      <c r="G1819" s="414"/>
    </row>
    <row r="1820" spans="2:16" x14ac:dyDescent="0.3">
      <c r="B1820" s="112" t="s">
        <v>6</v>
      </c>
      <c r="C1820" s="415" t="s">
        <v>1</v>
      </c>
      <c r="D1820" s="416"/>
      <c r="E1820" s="110" t="s">
        <v>192</v>
      </c>
      <c r="F1820" s="118" t="s">
        <v>2</v>
      </c>
      <c r="G1820" s="112" t="s">
        <v>3</v>
      </c>
      <c r="H1820" s="104"/>
      <c r="I1820" s="105" t="s">
        <v>7</v>
      </c>
      <c r="J1820" s="134"/>
      <c r="K1820" s="105" t="s">
        <v>8</v>
      </c>
      <c r="L1820" s="113" t="s">
        <v>193</v>
      </c>
    </row>
    <row r="1821" spans="2:16" x14ac:dyDescent="0.3">
      <c r="B1821" s="120"/>
      <c r="C1821" s="409"/>
      <c r="D1821" s="409"/>
      <c r="E1821" s="114"/>
      <c r="F1821" s="83"/>
      <c r="G1821" s="74"/>
      <c r="I1821" s="115">
        <f>IF(C1821=0,0,VLOOKUP(C1821,Tabla3[],3,FALSE))</f>
        <v>0</v>
      </c>
      <c r="K1821" s="84">
        <f>F1821*I1821</f>
        <v>0</v>
      </c>
      <c r="L1821" s="116">
        <f>E1821*I1821</f>
        <v>0</v>
      </c>
    </row>
    <row r="1822" spans="2:16" x14ac:dyDescent="0.3">
      <c r="B1822" s="74"/>
      <c r="C1822" s="431"/>
      <c r="D1822" s="432"/>
      <c r="E1822" s="119"/>
      <c r="F1822" s="72"/>
      <c r="G1822" s="74"/>
      <c r="I1822" s="115">
        <f>IF(C1822=0,0,VLOOKUP(C1822,Tabla3[],3,FALSE))</f>
        <v>0</v>
      </c>
      <c r="K1822" s="84">
        <f>+F1822*I1822</f>
        <v>0</v>
      </c>
      <c r="L1822" s="116">
        <f>E1822*I1822</f>
        <v>0</v>
      </c>
    </row>
    <row r="1823" spans="2:16" x14ac:dyDescent="0.3">
      <c r="B1823" s="74"/>
      <c r="C1823" s="431"/>
      <c r="D1823" s="432"/>
      <c r="E1823" s="119"/>
      <c r="F1823" s="72"/>
      <c r="G1823" s="74"/>
      <c r="I1823" s="115">
        <f>IF(C1823=0,0,VLOOKUP(C1823,Tabla3[],3,FALSE))</f>
        <v>0</v>
      </c>
      <c r="K1823" s="84">
        <f>+F1823*I1823</f>
        <v>0</v>
      </c>
      <c r="L1823" s="116">
        <f>E1823*I1823</f>
        <v>0</v>
      </c>
    </row>
    <row r="1824" spans="2:16" x14ac:dyDescent="0.3">
      <c r="B1824" s="74"/>
      <c r="C1824" s="411"/>
      <c r="D1824" s="412"/>
      <c r="E1824" s="119"/>
      <c r="F1824" s="72"/>
      <c r="G1824" s="74"/>
      <c r="I1824" s="115">
        <f>IF(C1824=0,0,VLOOKUP(C1824,Tabla3[],3,FALSE))</f>
        <v>0</v>
      </c>
      <c r="K1824" s="84">
        <f>+F1824*I1824</f>
        <v>0</v>
      </c>
      <c r="L1824" s="116">
        <f>E1824*I1824</f>
        <v>0</v>
      </c>
    </row>
    <row r="1825" spans="2:12" ht="17.25" thickBot="1" x14ac:dyDescent="0.35"/>
    <row r="1826" spans="2:12" ht="17.25" thickBot="1" x14ac:dyDescent="0.35">
      <c r="F1826" s="402" t="s">
        <v>12</v>
      </c>
      <c r="G1826" s="403"/>
      <c r="H1826" s="403"/>
      <c r="I1826" s="404"/>
      <c r="K1826" s="224">
        <f>+SUM(K1821:K1824)</f>
        <v>0</v>
      </c>
      <c r="L1826" s="117">
        <f>+SUM(L1821:L1824)</f>
        <v>0</v>
      </c>
    </row>
    <row r="1827" spans="2:12" ht="17.25" thickBot="1" x14ac:dyDescent="0.35"/>
    <row r="1828" spans="2:12" ht="17.25" thickBot="1" x14ac:dyDescent="0.35">
      <c r="B1828" s="108" t="s">
        <v>13</v>
      </c>
      <c r="C1828" s="413" t="s">
        <v>14</v>
      </c>
      <c r="D1828" s="413"/>
      <c r="E1828" s="413"/>
      <c r="F1828" s="413"/>
      <c r="G1828" s="414"/>
    </row>
    <row r="1829" spans="2:12" x14ac:dyDescent="0.3">
      <c r="B1829" s="112" t="s">
        <v>6</v>
      </c>
      <c r="C1829" s="415" t="s">
        <v>1</v>
      </c>
      <c r="D1829" s="416"/>
      <c r="E1829" s="110" t="s">
        <v>192</v>
      </c>
      <c r="F1829" s="118" t="s">
        <v>2</v>
      </c>
      <c r="G1829" s="112" t="s">
        <v>3</v>
      </c>
      <c r="H1829" s="104"/>
      <c r="I1829" s="105" t="s">
        <v>7</v>
      </c>
      <c r="J1829" s="134"/>
      <c r="K1829" s="105" t="s">
        <v>8</v>
      </c>
      <c r="L1829" s="113" t="s">
        <v>193</v>
      </c>
    </row>
    <row r="1830" spans="2:12" x14ac:dyDescent="0.3">
      <c r="B1830" s="120">
        <v>1</v>
      </c>
      <c r="C1830" s="409" t="s">
        <v>287</v>
      </c>
      <c r="D1830" s="409"/>
      <c r="E1830" s="114">
        <f>I1805</f>
        <v>37</v>
      </c>
      <c r="F1830" s="83">
        <f>ROUND(E1830/I1805,2)</f>
        <v>1</v>
      </c>
      <c r="G1830" s="74" t="str">
        <f>IF(C1830=0,0,VLOOKUP(C1830,Tabla2[],2,FALSE))</f>
        <v>ml</v>
      </c>
      <c r="I1830" s="115">
        <f>IF(C1830=0,0,VLOOKUP(C1830,Tabla2[],3,FALSE))</f>
        <v>35</v>
      </c>
      <c r="K1830" s="84">
        <f>+F1830*I1830</f>
        <v>35</v>
      </c>
      <c r="L1830" s="116">
        <f>E1830*I1830</f>
        <v>1295</v>
      </c>
    </row>
    <row r="1831" spans="2:12" x14ac:dyDescent="0.3">
      <c r="B1831" s="120"/>
      <c r="C1831" s="409"/>
      <c r="D1831" s="409"/>
      <c r="E1831" s="114"/>
      <c r="F1831" s="83"/>
      <c r="G1831" s="74"/>
      <c r="I1831" s="115">
        <f>IF(C1831=0,0,VLOOKUP(C1831,Tabla2[],3,FALSE))</f>
        <v>0</v>
      </c>
      <c r="K1831" s="84">
        <f>+F1831*I1831</f>
        <v>0</v>
      </c>
      <c r="L1831" s="116">
        <f>E1831*I1831</f>
        <v>0</v>
      </c>
    </row>
    <row r="1832" spans="2:12" ht="17.25" thickBot="1" x14ac:dyDescent="0.35">
      <c r="B1832" s="121"/>
      <c r="C1832" s="417"/>
      <c r="D1832" s="418"/>
      <c r="E1832" s="122"/>
      <c r="F1832" s="123"/>
      <c r="G1832" s="74"/>
      <c r="I1832" s="115">
        <f>IF(C1832=0,0,VLOOKUP(C1832,Tabla2[],3,FALSE))</f>
        <v>0</v>
      </c>
      <c r="K1832" s="84">
        <f>+F1832*I1832</f>
        <v>0</v>
      </c>
      <c r="L1832" s="116">
        <f>E1832*I1832</f>
        <v>0</v>
      </c>
    </row>
    <row r="1833" spans="2:12" ht="17.25" thickBot="1" x14ac:dyDescent="0.35">
      <c r="B1833" s="419" t="s">
        <v>15</v>
      </c>
      <c r="C1833" s="420"/>
      <c r="D1833" s="420"/>
      <c r="E1833" s="420"/>
      <c r="F1833" s="420"/>
      <c r="G1833" s="421"/>
      <c r="I1833" s="84">
        <v>0</v>
      </c>
      <c r="K1833" s="84">
        <v>0</v>
      </c>
      <c r="L1833" s="116">
        <f>E1833*I1833</f>
        <v>0</v>
      </c>
    </row>
    <row r="1834" spans="2:12" ht="17.25" thickBot="1" x14ac:dyDescent="0.35"/>
    <row r="1835" spans="2:12" ht="17.25" thickBot="1" x14ac:dyDescent="0.35">
      <c r="F1835" s="402" t="s">
        <v>16</v>
      </c>
      <c r="G1835" s="403"/>
      <c r="H1835" s="403"/>
      <c r="I1835" s="404"/>
      <c r="K1835" s="224">
        <f>+SUM(K1830:K1833)</f>
        <v>35</v>
      </c>
      <c r="L1835" s="117">
        <f>+SUM(L1830:L1833)</f>
        <v>1295</v>
      </c>
    </row>
    <row r="1836" spans="2:12" ht="17.25" thickBot="1" x14ac:dyDescent="0.35"/>
    <row r="1837" spans="2:12" ht="17.25" thickBot="1" x14ac:dyDescent="0.35">
      <c r="B1837" s="108" t="s">
        <v>17</v>
      </c>
      <c r="C1837" s="413" t="s">
        <v>18</v>
      </c>
      <c r="D1837" s="413"/>
      <c r="E1837" s="413"/>
      <c r="F1837" s="413"/>
      <c r="G1837" s="414"/>
    </row>
    <row r="1838" spans="2:12" x14ac:dyDescent="0.3">
      <c r="B1838" s="112" t="s">
        <v>6</v>
      </c>
      <c r="C1838" s="415" t="s">
        <v>1</v>
      </c>
      <c r="D1838" s="416"/>
      <c r="E1838" s="124"/>
      <c r="F1838" s="118" t="s">
        <v>2</v>
      </c>
      <c r="G1838" s="112" t="s">
        <v>3</v>
      </c>
      <c r="H1838" s="104"/>
      <c r="I1838" s="105" t="s">
        <v>7</v>
      </c>
      <c r="J1838" s="134"/>
      <c r="K1838" s="105" t="s">
        <v>8</v>
      </c>
      <c r="L1838" s="113" t="s">
        <v>193</v>
      </c>
    </row>
    <row r="1839" spans="2:12" x14ac:dyDescent="0.3">
      <c r="B1839" s="74"/>
      <c r="C1839" s="411"/>
      <c r="D1839" s="412"/>
      <c r="E1839" s="125"/>
      <c r="F1839" s="72"/>
      <c r="G1839" s="74"/>
      <c r="I1839" s="84">
        <v>0</v>
      </c>
      <c r="K1839" s="84">
        <f>+F1839*I1839</f>
        <v>0</v>
      </c>
      <c r="L1839" s="116">
        <f>E1839*I1839</f>
        <v>0</v>
      </c>
    </row>
    <row r="1840" spans="2:12" x14ac:dyDescent="0.3">
      <c r="B1840" s="74"/>
      <c r="C1840" s="411"/>
      <c r="D1840" s="412"/>
      <c r="E1840" s="125"/>
      <c r="F1840" s="72"/>
      <c r="G1840" s="74"/>
      <c r="I1840" s="84">
        <v>0</v>
      </c>
      <c r="K1840" s="84">
        <f>+F1840*I1840</f>
        <v>0</v>
      </c>
      <c r="L1840" s="116">
        <f>E1840*I1840</f>
        <v>0</v>
      </c>
    </row>
    <row r="1841" spans="2:16" x14ac:dyDescent="0.3">
      <c r="B1841" s="74"/>
      <c r="C1841" s="411"/>
      <c r="D1841" s="412"/>
      <c r="E1841" s="125"/>
      <c r="F1841" s="72"/>
      <c r="G1841" s="74"/>
      <c r="I1841" s="84">
        <v>0</v>
      </c>
      <c r="K1841" s="84">
        <f>+F1841*I1841</f>
        <v>0</v>
      </c>
      <c r="L1841" s="116">
        <f>E1841*I1841</f>
        <v>0</v>
      </c>
    </row>
    <row r="1842" spans="2:16" ht="17.25" thickBot="1" x14ac:dyDescent="0.35">
      <c r="L1842" s="116"/>
    </row>
    <row r="1843" spans="2:16" ht="17.25" thickBot="1" x14ac:dyDescent="0.35">
      <c r="F1843" s="402" t="s">
        <v>19</v>
      </c>
      <c r="G1843" s="403"/>
      <c r="H1843" s="403"/>
      <c r="I1843" s="404"/>
      <c r="K1843" s="224">
        <f>+SUM(K1839:K1841)</f>
        <v>0</v>
      </c>
      <c r="L1843" s="117">
        <f>+SUM(L1838:L1841)</f>
        <v>0</v>
      </c>
    </row>
    <row r="1844" spans="2:16" ht="15" customHeight="1" x14ac:dyDescent="0.3">
      <c r="F1844" s="126"/>
      <c r="G1844" s="280"/>
      <c r="H1844" s="128"/>
      <c r="I1844" s="106"/>
      <c r="K1844" s="225"/>
    </row>
    <row r="1845" spans="2:16" ht="15" customHeight="1" thickBot="1" x14ac:dyDescent="0.35"/>
    <row r="1846" spans="2:16" ht="17.25" thickBot="1" x14ac:dyDescent="0.35">
      <c r="F1846" s="402" t="s">
        <v>20</v>
      </c>
      <c r="G1846" s="403"/>
      <c r="H1846" s="403"/>
      <c r="I1846" s="404"/>
      <c r="K1846" s="224">
        <f>(+K1817+K1826+K1835+K1843)</f>
        <v>55</v>
      </c>
      <c r="L1846" s="117">
        <f>(+L1817+L1826+L1835+L1843)</f>
        <v>2035</v>
      </c>
      <c r="N1846" s="129"/>
      <c r="O1846" s="39"/>
      <c r="P1846" s="40"/>
    </row>
    <row r="1847" spans="2:16" ht="7.5" customHeight="1" thickBot="1" x14ac:dyDescent="0.35">
      <c r="N1847" s="129"/>
      <c r="O1847" s="41"/>
      <c r="P1847" s="40"/>
    </row>
    <row r="1848" spans="2:16" ht="17.25" thickBot="1" x14ac:dyDescent="0.35">
      <c r="F1848" s="402" t="s">
        <v>21</v>
      </c>
      <c r="G1848" s="403"/>
      <c r="H1848" s="403"/>
      <c r="I1848" s="404"/>
      <c r="K1848" s="224">
        <f>K1846*$N$2</f>
        <v>22</v>
      </c>
      <c r="L1848" s="117">
        <f>L1846*$N$2</f>
        <v>814</v>
      </c>
    </row>
    <row r="1849" spans="2:16" ht="7.5" customHeight="1" thickBot="1" x14ac:dyDescent="0.35"/>
    <row r="1850" spans="2:16" ht="17.25" thickBot="1" x14ac:dyDescent="0.35">
      <c r="F1850" s="402" t="s">
        <v>22</v>
      </c>
      <c r="G1850" s="403"/>
      <c r="H1850" s="403"/>
      <c r="I1850" s="404"/>
      <c r="K1850" s="224">
        <f>+K1846+K1848</f>
        <v>77</v>
      </c>
      <c r="L1850" s="117">
        <f>+L1846+L1848</f>
        <v>2849</v>
      </c>
    </row>
    <row r="1851" spans="2:16" ht="17.25" thickBot="1" x14ac:dyDescent="0.35">
      <c r="F1851" s="126"/>
      <c r="G1851" s="280"/>
      <c r="H1851" s="128"/>
      <c r="I1851" s="106"/>
      <c r="K1851" s="226"/>
      <c r="L1851" s="130">
        <f>L1850/I1805</f>
        <v>77</v>
      </c>
      <c r="M1851" s="131">
        <f>(K1850-L1851)*I1805</f>
        <v>0</v>
      </c>
    </row>
    <row r="1852" spans="2:16" x14ac:dyDescent="0.3">
      <c r="F1852" s="126"/>
      <c r="G1852" s="280"/>
      <c r="H1852" s="128"/>
      <c r="I1852" s="106"/>
      <c r="K1852" s="227"/>
      <c r="L1852" s="129"/>
      <c r="M1852" s="132"/>
      <c r="N1852" s="133"/>
    </row>
    <row r="1853" spans="2:16" ht="17.25" thickBot="1" x14ac:dyDescent="0.35">
      <c r="B1853" s="405"/>
      <c r="C1853" s="405"/>
      <c r="D1853" s="405"/>
    </row>
    <row r="1854" spans="2:16" x14ac:dyDescent="0.3">
      <c r="B1854" s="406" t="s">
        <v>23</v>
      </c>
      <c r="C1854" s="406"/>
      <c r="D1854" s="406"/>
    </row>
    <row r="1855" spans="2:16" x14ac:dyDescent="0.3">
      <c r="B1855" s="281"/>
      <c r="C1855" s="281"/>
      <c r="D1855" s="281"/>
    </row>
    <row r="1856" spans="2:16" x14ac:dyDescent="0.3">
      <c r="B1856" s="281"/>
      <c r="C1856" s="281"/>
      <c r="D1856" s="281"/>
    </row>
    <row r="1857" spans="1:16" x14ac:dyDescent="0.3">
      <c r="B1857" s="103" t="s">
        <v>43</v>
      </c>
      <c r="C1857" s="104"/>
      <c r="D1857" s="422" t="s">
        <v>1</v>
      </c>
      <c r="E1857" s="422"/>
      <c r="F1857" s="422"/>
      <c r="G1857" s="422"/>
      <c r="H1857" s="104"/>
      <c r="I1857" s="105" t="s">
        <v>2</v>
      </c>
      <c r="J1857" s="134"/>
      <c r="K1857" s="105" t="s">
        <v>3</v>
      </c>
    </row>
    <row r="1858" spans="1:16" s="4" customFormat="1" ht="30.75" customHeight="1" x14ac:dyDescent="0.25">
      <c r="A1858" s="31"/>
      <c r="B1858" s="287">
        <f>CATALOGO!B70</f>
        <v>903.02</v>
      </c>
      <c r="C1858" s="71"/>
      <c r="D1858" s="437" t="str">
        <f>CATALOGO!C70</f>
        <v>TUBERÍA AGUA POTABLE PVC Ø 3/4", 250 PSI (INCLUYE ACCESORIOS)</v>
      </c>
      <c r="E1858" s="437"/>
      <c r="F1858" s="437"/>
      <c r="G1858" s="437"/>
      <c r="H1858" s="71"/>
      <c r="I1858" s="287">
        <f>CATALOGO!D70</f>
        <v>11</v>
      </c>
      <c r="J1858" s="107"/>
      <c r="K1858" s="222" t="str">
        <f>CATALOGO!G70</f>
        <v>ml</v>
      </c>
      <c r="L1858" s="71"/>
      <c r="M1858" s="71"/>
      <c r="N1858" s="102"/>
      <c r="O1858" s="37"/>
      <c r="P1858" s="37"/>
    </row>
    <row r="1859" spans="1:16" ht="17.25" thickBot="1" x14ac:dyDescent="0.35"/>
    <row r="1860" spans="1:16" ht="17.25" thickBot="1" x14ac:dyDescent="0.35">
      <c r="B1860" s="108" t="s">
        <v>4</v>
      </c>
      <c r="C1860" s="413" t="s">
        <v>5</v>
      </c>
      <c r="D1860" s="413"/>
      <c r="E1860" s="413"/>
      <c r="F1860" s="413"/>
      <c r="G1860" s="414"/>
    </row>
    <row r="1861" spans="1:16" x14ac:dyDescent="0.25">
      <c r="B1861" s="109" t="s">
        <v>6</v>
      </c>
      <c r="C1861" s="424" t="s">
        <v>1</v>
      </c>
      <c r="D1861" s="425"/>
      <c r="E1861" s="110" t="s">
        <v>192</v>
      </c>
      <c r="F1861" s="111" t="s">
        <v>2</v>
      </c>
      <c r="G1861" s="112" t="s">
        <v>3</v>
      </c>
      <c r="H1861" s="104"/>
      <c r="I1861" s="105" t="s">
        <v>7</v>
      </c>
      <c r="J1861" s="134"/>
      <c r="K1861" s="223" t="s">
        <v>8</v>
      </c>
      <c r="L1861" s="113" t="s">
        <v>193</v>
      </c>
      <c r="O1861" s="438"/>
      <c r="P1861" s="438"/>
    </row>
    <row r="1862" spans="1:16" ht="17.25" customHeight="1" x14ac:dyDescent="0.25">
      <c r="B1862" s="120">
        <v>1</v>
      </c>
      <c r="C1862" s="428" t="s">
        <v>108</v>
      </c>
      <c r="D1862" s="429"/>
      <c r="E1862" s="114">
        <f>I1858*0.2</f>
        <v>2.2000000000000002</v>
      </c>
      <c r="F1862" s="83">
        <f>ROUND(E1862/I1858,2)</f>
        <v>0.2</v>
      </c>
      <c r="G1862" s="74" t="str">
        <f>IF(C1862=0,0,VLOOKUP(C1862,Tabla1[],2,FALSE))</f>
        <v>Unidad</v>
      </c>
      <c r="I1862" s="115">
        <f>IF(C1862=0,0,VLOOKUP(C1862,Tabla1[],3,FALSE))</f>
        <v>50</v>
      </c>
      <c r="K1862" s="84">
        <f>F1862*I1862</f>
        <v>10</v>
      </c>
      <c r="L1862" s="116">
        <f t="shared" ref="L1862:L1871" si="56">E1862*I1862</f>
        <v>110.00000000000001</v>
      </c>
      <c r="O1862" s="44"/>
      <c r="P1862" s="45"/>
    </row>
    <row r="1863" spans="1:16" x14ac:dyDescent="0.3">
      <c r="B1863" s="120">
        <v>2</v>
      </c>
      <c r="C1863" s="428" t="s">
        <v>291</v>
      </c>
      <c r="D1863" s="429"/>
      <c r="E1863" s="114">
        <f>I1858*2.2</f>
        <v>24.200000000000003</v>
      </c>
      <c r="F1863" s="83">
        <f>ROUND(E1863/I1858,2)</f>
        <v>2.2000000000000002</v>
      </c>
      <c r="G1863" s="74" t="str">
        <f>IF(C1863=0,0,VLOOKUP(C1863,Tabla1[],2,FALSE))</f>
        <v>Unidad</v>
      </c>
      <c r="I1863" s="115">
        <f>IF(C1863=0,0,VLOOKUP(C1863,Tabla1[],3,FALSE))</f>
        <v>5</v>
      </c>
      <c r="K1863" s="84">
        <f t="shared" ref="K1863:K1871" si="57">+F1863*I1863</f>
        <v>11</v>
      </c>
      <c r="L1863" s="116">
        <f t="shared" si="56"/>
        <v>121.00000000000001</v>
      </c>
      <c r="P1863" s="45"/>
    </row>
    <row r="1864" spans="1:16" x14ac:dyDescent="0.3">
      <c r="B1864" s="120">
        <v>3</v>
      </c>
      <c r="C1864" s="428" t="s">
        <v>129</v>
      </c>
      <c r="D1864" s="429"/>
      <c r="E1864" s="114">
        <f>I1858*0.01</f>
        <v>0.11</v>
      </c>
      <c r="F1864" s="83">
        <f>ROUND(E1864/I1858,2)</f>
        <v>0.01</v>
      </c>
      <c r="G1864" s="74" t="str">
        <f>IF(C1864=0,0,VLOOKUP(C1864,Tabla1[],2,FALSE))</f>
        <v>Galón</v>
      </c>
      <c r="I1864" s="115">
        <f>IF(C1864=0,0,VLOOKUP(C1864,Tabla1[],3,FALSE))</f>
        <v>400</v>
      </c>
      <c r="K1864" s="84">
        <f t="shared" si="57"/>
        <v>4</v>
      </c>
      <c r="L1864" s="116">
        <f t="shared" si="56"/>
        <v>44</v>
      </c>
      <c r="O1864" s="48"/>
      <c r="P1864" s="49"/>
    </row>
    <row r="1865" spans="1:16" x14ac:dyDescent="0.3">
      <c r="B1865" s="120"/>
      <c r="C1865" s="284"/>
      <c r="D1865" s="285"/>
      <c r="E1865" s="114"/>
      <c r="F1865" s="83"/>
      <c r="G1865" s="74"/>
      <c r="I1865" s="115">
        <f>IF(C1865=0,0,VLOOKUP(C1865,Tabla1[],3,FALSE))</f>
        <v>0</v>
      </c>
      <c r="K1865" s="84">
        <f t="shared" si="57"/>
        <v>0</v>
      </c>
      <c r="L1865" s="116">
        <f t="shared" si="56"/>
        <v>0</v>
      </c>
      <c r="O1865" s="48"/>
      <c r="P1865" s="49"/>
    </row>
    <row r="1866" spans="1:16" x14ac:dyDescent="0.3">
      <c r="B1866" s="120"/>
      <c r="C1866" s="284"/>
      <c r="D1866" s="285"/>
      <c r="E1866" s="114"/>
      <c r="F1866" s="83"/>
      <c r="G1866" s="74"/>
      <c r="I1866" s="115">
        <f>IF(C1866=0,0,VLOOKUP(C1866,Tabla1[],3,FALSE))</f>
        <v>0</v>
      </c>
      <c r="K1866" s="84">
        <f t="shared" si="57"/>
        <v>0</v>
      </c>
      <c r="L1866" s="116">
        <f t="shared" si="56"/>
        <v>0</v>
      </c>
      <c r="O1866" s="48"/>
      <c r="P1866" s="49"/>
    </row>
    <row r="1867" spans="1:16" x14ac:dyDescent="0.3">
      <c r="B1867" s="120"/>
      <c r="C1867" s="284"/>
      <c r="D1867" s="285"/>
      <c r="E1867" s="114"/>
      <c r="F1867" s="83"/>
      <c r="G1867" s="74"/>
      <c r="I1867" s="115">
        <f>IF(C1867=0,0,VLOOKUP(C1867,Tabla1[],3,FALSE))</f>
        <v>0</v>
      </c>
      <c r="K1867" s="84">
        <f t="shared" si="57"/>
        <v>0</v>
      </c>
      <c r="L1867" s="116">
        <f t="shared" si="56"/>
        <v>0</v>
      </c>
      <c r="O1867" s="48"/>
      <c r="P1867" s="49"/>
    </row>
    <row r="1868" spans="1:16" x14ac:dyDescent="0.3">
      <c r="B1868" s="120"/>
      <c r="C1868" s="428"/>
      <c r="D1868" s="429"/>
      <c r="E1868" s="114"/>
      <c r="F1868" s="83"/>
      <c r="G1868" s="74"/>
      <c r="I1868" s="115">
        <f>IF(C1868=0,0,VLOOKUP(C1868,Tabla1[],3,FALSE))</f>
        <v>0</v>
      </c>
      <c r="K1868" s="84">
        <f t="shared" si="57"/>
        <v>0</v>
      </c>
      <c r="L1868" s="116">
        <f t="shared" si="56"/>
        <v>0</v>
      </c>
      <c r="O1868" s="48"/>
      <c r="P1868" s="49"/>
    </row>
    <row r="1869" spans="1:16" x14ac:dyDescent="0.3">
      <c r="B1869" s="120"/>
      <c r="C1869" s="428"/>
      <c r="D1869" s="429"/>
      <c r="E1869" s="114"/>
      <c r="F1869" s="83"/>
      <c r="G1869" s="74"/>
      <c r="I1869" s="115">
        <f>IF(C1869=0,0,VLOOKUP(C1869,Tabla1[],3,FALSE))</f>
        <v>0</v>
      </c>
      <c r="K1869" s="84">
        <f t="shared" si="57"/>
        <v>0</v>
      </c>
      <c r="L1869" s="116">
        <f t="shared" si="56"/>
        <v>0</v>
      </c>
      <c r="O1869" s="48"/>
      <c r="P1869" s="49"/>
    </row>
    <row r="1870" spans="1:16" x14ac:dyDescent="0.3">
      <c r="B1870" s="120"/>
      <c r="C1870" s="431"/>
      <c r="D1870" s="432"/>
      <c r="E1870" s="114"/>
      <c r="F1870" s="83"/>
      <c r="G1870" s="74"/>
      <c r="I1870" s="115">
        <f>IF(C1870=0,0,VLOOKUP(C1870,Tabla1[],3,FALSE))</f>
        <v>0</v>
      </c>
      <c r="K1870" s="84">
        <f t="shared" si="57"/>
        <v>0</v>
      </c>
      <c r="L1870" s="116">
        <f t="shared" si="56"/>
        <v>0</v>
      </c>
      <c r="O1870" s="48"/>
      <c r="P1870" s="49"/>
    </row>
    <row r="1871" spans="1:16" x14ac:dyDescent="0.3">
      <c r="B1871" s="120"/>
      <c r="C1871" s="430"/>
      <c r="D1871" s="429"/>
      <c r="E1871" s="114"/>
      <c r="F1871" s="83"/>
      <c r="G1871" s="74"/>
      <c r="I1871" s="115">
        <f>IF(C1871=0,0,VLOOKUP(C1871,Tabla1[],3,FALSE))</f>
        <v>0</v>
      </c>
      <c r="K1871" s="84">
        <f t="shared" si="57"/>
        <v>0</v>
      </c>
      <c r="L1871" s="116">
        <f t="shared" si="56"/>
        <v>0</v>
      </c>
      <c r="O1871" s="48"/>
      <c r="P1871" s="49"/>
    </row>
    <row r="1872" spans="1:16" ht="17.25" thickBot="1" x14ac:dyDescent="0.35"/>
    <row r="1873" spans="2:16" ht="17.25" thickBot="1" x14ac:dyDescent="0.3">
      <c r="F1873" s="402" t="s">
        <v>9</v>
      </c>
      <c r="G1873" s="403"/>
      <c r="H1873" s="403"/>
      <c r="I1873" s="404"/>
      <c r="K1873" s="224">
        <f>+SUM(K1862:K1871)</f>
        <v>25</v>
      </c>
      <c r="L1873" s="117">
        <f>+SUM(L1862:L1871)</f>
        <v>275</v>
      </c>
      <c r="O1873" s="38"/>
      <c r="P1873" s="38"/>
    </row>
    <row r="1874" spans="2:16" ht="17.25" thickBot="1" x14ac:dyDescent="0.35">
      <c r="O1874" s="42"/>
      <c r="P1874" s="43"/>
    </row>
    <row r="1875" spans="2:16" ht="17.25" thickBot="1" x14ac:dyDescent="0.35">
      <c r="B1875" s="108" t="s">
        <v>10</v>
      </c>
      <c r="C1875" s="413" t="s">
        <v>11</v>
      </c>
      <c r="D1875" s="413"/>
      <c r="E1875" s="413"/>
      <c r="F1875" s="413"/>
      <c r="G1875" s="414"/>
    </row>
    <row r="1876" spans="2:16" x14ac:dyDescent="0.3">
      <c r="B1876" s="112" t="s">
        <v>6</v>
      </c>
      <c r="C1876" s="415" t="s">
        <v>1</v>
      </c>
      <c r="D1876" s="416"/>
      <c r="E1876" s="110" t="s">
        <v>192</v>
      </c>
      <c r="F1876" s="118" t="s">
        <v>2</v>
      </c>
      <c r="G1876" s="112" t="s">
        <v>3</v>
      </c>
      <c r="H1876" s="104"/>
      <c r="I1876" s="105" t="s">
        <v>7</v>
      </c>
      <c r="J1876" s="134"/>
      <c r="K1876" s="105" t="s">
        <v>8</v>
      </c>
      <c r="L1876" s="113" t="s">
        <v>193</v>
      </c>
    </row>
    <row r="1877" spans="2:16" x14ac:dyDescent="0.3">
      <c r="B1877" s="120"/>
      <c r="C1877" s="409"/>
      <c r="D1877" s="409"/>
      <c r="E1877" s="114"/>
      <c r="F1877" s="83"/>
      <c r="G1877" s="74"/>
      <c r="I1877" s="115">
        <f>IF(C1877=0,0,VLOOKUP(C1877,Tabla3[],3,FALSE))</f>
        <v>0</v>
      </c>
      <c r="K1877" s="84">
        <f>F1877*I1877</f>
        <v>0</v>
      </c>
      <c r="L1877" s="116">
        <f>E1877*I1877</f>
        <v>0</v>
      </c>
    </row>
    <row r="1878" spans="2:16" x14ac:dyDescent="0.3">
      <c r="B1878" s="74"/>
      <c r="C1878" s="431"/>
      <c r="D1878" s="432"/>
      <c r="E1878" s="119"/>
      <c r="F1878" s="72"/>
      <c r="G1878" s="74"/>
      <c r="I1878" s="115">
        <f>IF(C1878=0,0,VLOOKUP(C1878,Tabla3[],3,FALSE))</f>
        <v>0</v>
      </c>
      <c r="K1878" s="84">
        <f>+F1878*I1878</f>
        <v>0</v>
      </c>
      <c r="L1878" s="116">
        <f>E1878*I1878</f>
        <v>0</v>
      </c>
    </row>
    <row r="1879" spans="2:16" x14ac:dyDescent="0.3">
      <c r="B1879" s="74"/>
      <c r="C1879" s="431"/>
      <c r="D1879" s="432"/>
      <c r="E1879" s="119"/>
      <c r="F1879" s="72"/>
      <c r="G1879" s="74"/>
      <c r="I1879" s="115">
        <f>IF(C1879=0,0,VLOOKUP(C1879,Tabla3[],3,FALSE))</f>
        <v>0</v>
      </c>
      <c r="K1879" s="84">
        <f>+F1879*I1879</f>
        <v>0</v>
      </c>
      <c r="L1879" s="116">
        <f>E1879*I1879</f>
        <v>0</v>
      </c>
    </row>
    <row r="1880" spans="2:16" x14ac:dyDescent="0.3">
      <c r="B1880" s="74"/>
      <c r="C1880" s="411"/>
      <c r="D1880" s="412"/>
      <c r="E1880" s="119"/>
      <c r="F1880" s="72"/>
      <c r="G1880" s="74"/>
      <c r="I1880" s="115">
        <f>IF(C1880=0,0,VLOOKUP(C1880,Tabla3[],3,FALSE))</f>
        <v>0</v>
      </c>
      <c r="K1880" s="84">
        <f>+F1880*I1880</f>
        <v>0</v>
      </c>
      <c r="L1880" s="116">
        <f>E1880*I1880</f>
        <v>0</v>
      </c>
    </row>
    <row r="1881" spans="2:16" ht="17.25" thickBot="1" x14ac:dyDescent="0.35"/>
    <row r="1882" spans="2:16" ht="17.25" thickBot="1" x14ac:dyDescent="0.35">
      <c r="F1882" s="402" t="s">
        <v>12</v>
      </c>
      <c r="G1882" s="403"/>
      <c r="H1882" s="403"/>
      <c r="I1882" s="404"/>
      <c r="K1882" s="224">
        <f>+SUM(K1877:K1880)</f>
        <v>0</v>
      </c>
      <c r="L1882" s="117">
        <f>+SUM(L1877:L1880)</f>
        <v>0</v>
      </c>
    </row>
    <row r="1883" spans="2:16" ht="17.25" thickBot="1" x14ac:dyDescent="0.35"/>
    <row r="1884" spans="2:16" ht="17.25" thickBot="1" x14ac:dyDescent="0.35">
      <c r="B1884" s="108" t="s">
        <v>13</v>
      </c>
      <c r="C1884" s="413" t="s">
        <v>14</v>
      </c>
      <c r="D1884" s="413"/>
      <c r="E1884" s="413"/>
      <c r="F1884" s="413"/>
      <c r="G1884" s="414"/>
    </row>
    <row r="1885" spans="2:16" x14ac:dyDescent="0.3">
      <c r="B1885" s="112" t="s">
        <v>6</v>
      </c>
      <c r="C1885" s="415" t="s">
        <v>1</v>
      </c>
      <c r="D1885" s="416"/>
      <c r="E1885" s="110" t="s">
        <v>192</v>
      </c>
      <c r="F1885" s="118" t="s">
        <v>2</v>
      </c>
      <c r="G1885" s="112" t="s">
        <v>3</v>
      </c>
      <c r="H1885" s="104"/>
      <c r="I1885" s="105" t="s">
        <v>7</v>
      </c>
      <c r="J1885" s="134"/>
      <c r="K1885" s="105" t="s">
        <v>8</v>
      </c>
      <c r="L1885" s="113" t="s">
        <v>193</v>
      </c>
    </row>
    <row r="1886" spans="2:16" x14ac:dyDescent="0.3">
      <c r="B1886" s="120">
        <v>1</v>
      </c>
      <c r="C1886" s="409" t="s">
        <v>287</v>
      </c>
      <c r="D1886" s="409"/>
      <c r="E1886" s="114">
        <f>I1858</f>
        <v>11</v>
      </c>
      <c r="F1886" s="83">
        <f>ROUND(E1886/I1858,2)</f>
        <v>1</v>
      </c>
      <c r="G1886" s="74" t="str">
        <f>IF(C1886=0,0,VLOOKUP(C1886,Tabla2[],2,FALSE))</f>
        <v>ml</v>
      </c>
      <c r="I1886" s="115">
        <f>IF(C1886=0,0,VLOOKUP(C1886,Tabla2[],3,FALSE))</f>
        <v>35</v>
      </c>
      <c r="K1886" s="84">
        <f>+F1886*I1886</f>
        <v>35</v>
      </c>
      <c r="L1886" s="116">
        <f>E1886*I1886</f>
        <v>385</v>
      </c>
    </row>
    <row r="1887" spans="2:16" x14ac:dyDescent="0.3">
      <c r="B1887" s="120"/>
      <c r="C1887" s="409"/>
      <c r="D1887" s="409"/>
      <c r="E1887" s="114"/>
      <c r="F1887" s="83"/>
      <c r="G1887" s="74"/>
      <c r="I1887" s="115">
        <f>IF(C1887=0,0,VLOOKUP(C1887,Tabla2[],3,FALSE))</f>
        <v>0</v>
      </c>
      <c r="K1887" s="84">
        <f>+F1887*I1887</f>
        <v>0</v>
      </c>
      <c r="L1887" s="116">
        <f>E1887*I1887</f>
        <v>0</v>
      </c>
    </row>
    <row r="1888" spans="2:16" ht="17.25" thickBot="1" x14ac:dyDescent="0.35">
      <c r="B1888" s="121"/>
      <c r="C1888" s="417"/>
      <c r="D1888" s="418"/>
      <c r="E1888" s="122"/>
      <c r="F1888" s="123"/>
      <c r="G1888" s="74"/>
      <c r="I1888" s="115">
        <f>IF(C1888=0,0,VLOOKUP(C1888,Tabla2[],3,FALSE))</f>
        <v>0</v>
      </c>
      <c r="K1888" s="84">
        <f>+F1888*I1888</f>
        <v>0</v>
      </c>
      <c r="L1888" s="116">
        <f>E1888*I1888</f>
        <v>0</v>
      </c>
    </row>
    <row r="1889" spans="2:16" ht="17.25" thickBot="1" x14ac:dyDescent="0.35">
      <c r="B1889" s="419" t="s">
        <v>15</v>
      </c>
      <c r="C1889" s="420"/>
      <c r="D1889" s="420"/>
      <c r="E1889" s="420"/>
      <c r="F1889" s="420"/>
      <c r="G1889" s="421"/>
      <c r="I1889" s="84">
        <v>0</v>
      </c>
      <c r="K1889" s="84">
        <v>0</v>
      </c>
      <c r="L1889" s="116">
        <f>E1889*I1889</f>
        <v>0</v>
      </c>
    </row>
    <row r="1890" spans="2:16" ht="17.25" thickBot="1" x14ac:dyDescent="0.35"/>
    <row r="1891" spans="2:16" ht="17.25" thickBot="1" x14ac:dyDescent="0.35">
      <c r="F1891" s="402" t="s">
        <v>16</v>
      </c>
      <c r="G1891" s="403"/>
      <c r="H1891" s="403"/>
      <c r="I1891" s="404"/>
      <c r="K1891" s="224">
        <f>+SUM(K1886:K1889)</f>
        <v>35</v>
      </c>
      <c r="L1891" s="117">
        <f>+SUM(L1886:L1889)</f>
        <v>385</v>
      </c>
    </row>
    <row r="1892" spans="2:16" ht="17.25" thickBot="1" x14ac:dyDescent="0.35"/>
    <row r="1893" spans="2:16" ht="17.25" thickBot="1" x14ac:dyDescent="0.35">
      <c r="B1893" s="108" t="s">
        <v>17</v>
      </c>
      <c r="C1893" s="413" t="s">
        <v>18</v>
      </c>
      <c r="D1893" s="413"/>
      <c r="E1893" s="413"/>
      <c r="F1893" s="413"/>
      <c r="G1893" s="414"/>
    </row>
    <row r="1894" spans="2:16" x14ac:dyDescent="0.3">
      <c r="B1894" s="112" t="s">
        <v>6</v>
      </c>
      <c r="C1894" s="415" t="s">
        <v>1</v>
      </c>
      <c r="D1894" s="416"/>
      <c r="E1894" s="124"/>
      <c r="F1894" s="118" t="s">
        <v>2</v>
      </c>
      <c r="G1894" s="112" t="s">
        <v>3</v>
      </c>
      <c r="H1894" s="104"/>
      <c r="I1894" s="105" t="s">
        <v>7</v>
      </c>
      <c r="J1894" s="134"/>
      <c r="K1894" s="105" t="s">
        <v>8</v>
      </c>
      <c r="L1894" s="113" t="s">
        <v>193</v>
      </c>
    </row>
    <row r="1895" spans="2:16" x14ac:dyDescent="0.3">
      <c r="B1895" s="74"/>
      <c r="C1895" s="411"/>
      <c r="D1895" s="412"/>
      <c r="E1895" s="125"/>
      <c r="F1895" s="72"/>
      <c r="G1895" s="74"/>
      <c r="I1895" s="84">
        <v>0</v>
      </c>
      <c r="K1895" s="84">
        <f>+F1895*I1895</f>
        <v>0</v>
      </c>
      <c r="L1895" s="116">
        <f>E1895*I1895</f>
        <v>0</v>
      </c>
    </row>
    <row r="1896" spans="2:16" x14ac:dyDescent="0.3">
      <c r="B1896" s="74"/>
      <c r="C1896" s="411"/>
      <c r="D1896" s="412"/>
      <c r="E1896" s="125"/>
      <c r="F1896" s="72"/>
      <c r="G1896" s="74"/>
      <c r="I1896" s="84">
        <v>0</v>
      </c>
      <c r="K1896" s="84">
        <f>+F1896*I1896</f>
        <v>0</v>
      </c>
      <c r="L1896" s="116">
        <f>E1896*I1896</f>
        <v>0</v>
      </c>
    </row>
    <row r="1897" spans="2:16" x14ac:dyDescent="0.3">
      <c r="B1897" s="74"/>
      <c r="C1897" s="411"/>
      <c r="D1897" s="412"/>
      <c r="E1897" s="125"/>
      <c r="F1897" s="72"/>
      <c r="G1897" s="74"/>
      <c r="I1897" s="84">
        <v>0</v>
      </c>
      <c r="K1897" s="84">
        <f>+F1897*I1897</f>
        <v>0</v>
      </c>
      <c r="L1897" s="116">
        <f>E1897*I1897</f>
        <v>0</v>
      </c>
    </row>
    <row r="1898" spans="2:16" ht="17.25" thickBot="1" x14ac:dyDescent="0.35">
      <c r="L1898" s="116"/>
    </row>
    <row r="1899" spans="2:16" ht="17.25" thickBot="1" x14ac:dyDescent="0.35">
      <c r="F1899" s="402" t="s">
        <v>19</v>
      </c>
      <c r="G1899" s="403"/>
      <c r="H1899" s="403"/>
      <c r="I1899" s="404"/>
      <c r="K1899" s="224">
        <f>+SUM(K1895:K1897)</f>
        <v>0</v>
      </c>
      <c r="L1899" s="117">
        <f>+SUM(L1894:L1897)</f>
        <v>0</v>
      </c>
    </row>
    <row r="1900" spans="2:16" ht="15" customHeight="1" x14ac:dyDescent="0.3">
      <c r="F1900" s="126"/>
      <c r="G1900" s="280"/>
      <c r="H1900" s="128"/>
      <c r="I1900" s="106"/>
      <c r="K1900" s="225"/>
    </row>
    <row r="1901" spans="2:16" ht="15" customHeight="1" thickBot="1" x14ac:dyDescent="0.35"/>
    <row r="1902" spans="2:16" ht="17.25" thickBot="1" x14ac:dyDescent="0.35">
      <c r="F1902" s="402" t="s">
        <v>20</v>
      </c>
      <c r="G1902" s="403"/>
      <c r="H1902" s="403"/>
      <c r="I1902" s="404"/>
      <c r="K1902" s="224">
        <f>(+K1873+K1882+K1891+K1899)</f>
        <v>60</v>
      </c>
      <c r="L1902" s="117">
        <f>(+L1873+L1882+L1891+L1899)</f>
        <v>660</v>
      </c>
      <c r="N1902" s="129"/>
      <c r="O1902" s="39"/>
      <c r="P1902" s="40"/>
    </row>
    <row r="1903" spans="2:16" ht="7.5" customHeight="1" thickBot="1" x14ac:dyDescent="0.35">
      <c r="N1903" s="129"/>
      <c r="O1903" s="41"/>
      <c r="P1903" s="40"/>
    </row>
    <row r="1904" spans="2:16" ht="17.25" thickBot="1" x14ac:dyDescent="0.35">
      <c r="F1904" s="402" t="s">
        <v>21</v>
      </c>
      <c r="G1904" s="403"/>
      <c r="H1904" s="403"/>
      <c r="I1904" s="404"/>
      <c r="K1904" s="224">
        <f>K1902*$N$2</f>
        <v>24</v>
      </c>
      <c r="L1904" s="117">
        <f>L1902*$N$2</f>
        <v>264</v>
      </c>
    </row>
    <row r="1905" spans="1:16" ht="7.5" customHeight="1" thickBot="1" x14ac:dyDescent="0.35"/>
    <row r="1906" spans="1:16" ht="17.25" thickBot="1" x14ac:dyDescent="0.35">
      <c r="F1906" s="402" t="s">
        <v>22</v>
      </c>
      <c r="G1906" s="403"/>
      <c r="H1906" s="403"/>
      <c r="I1906" s="404"/>
      <c r="K1906" s="224">
        <f>+K1902+K1904</f>
        <v>84</v>
      </c>
      <c r="L1906" s="117">
        <f>+L1902+L1904</f>
        <v>924</v>
      </c>
    </row>
    <row r="1907" spans="1:16" ht="17.25" thickBot="1" x14ac:dyDescent="0.35">
      <c r="F1907" s="126"/>
      <c r="G1907" s="280"/>
      <c r="H1907" s="128"/>
      <c r="I1907" s="106"/>
      <c r="K1907" s="226"/>
      <c r="L1907" s="130">
        <f>L1906/I1858</f>
        <v>84</v>
      </c>
      <c r="M1907" s="131">
        <f>(K1906-L1907)*I1858</f>
        <v>0</v>
      </c>
    </row>
    <row r="1908" spans="1:16" x14ac:dyDescent="0.3">
      <c r="F1908" s="126"/>
      <c r="G1908" s="280"/>
      <c r="H1908" s="128"/>
      <c r="I1908" s="106"/>
      <c r="K1908" s="227"/>
      <c r="L1908" s="129"/>
      <c r="M1908" s="132"/>
      <c r="N1908" s="133"/>
    </row>
    <row r="1909" spans="1:16" ht="17.25" thickBot="1" x14ac:dyDescent="0.35">
      <c r="B1909" s="405"/>
      <c r="C1909" s="405"/>
      <c r="D1909" s="405"/>
    </row>
    <row r="1910" spans="1:16" x14ac:dyDescent="0.3">
      <c r="B1910" s="406" t="s">
        <v>23</v>
      </c>
      <c r="C1910" s="406"/>
      <c r="D1910" s="406"/>
    </row>
    <row r="1911" spans="1:16" x14ac:dyDescent="0.3">
      <c r="B1911" s="281"/>
      <c r="C1911" s="281"/>
      <c r="D1911" s="281"/>
    </row>
    <row r="1912" spans="1:16" x14ac:dyDescent="0.3">
      <c r="B1912" s="281"/>
      <c r="C1912" s="281"/>
      <c r="D1912" s="281"/>
    </row>
    <row r="1913" spans="1:16" x14ac:dyDescent="0.3">
      <c r="B1913" s="103" t="s">
        <v>43</v>
      </c>
      <c r="C1913" s="104"/>
      <c r="D1913" s="422" t="s">
        <v>1</v>
      </c>
      <c r="E1913" s="422"/>
      <c r="F1913" s="422"/>
      <c r="G1913" s="422"/>
      <c r="H1913" s="104"/>
      <c r="I1913" s="105" t="s">
        <v>2</v>
      </c>
      <c r="J1913" s="134"/>
      <c r="K1913" s="105" t="s">
        <v>3</v>
      </c>
    </row>
    <row r="1914" spans="1:16" s="4" customFormat="1" ht="30.75" customHeight="1" x14ac:dyDescent="0.25">
      <c r="A1914" s="31"/>
      <c r="B1914" s="287">
        <f>CATALOGO!B71</f>
        <v>904.01</v>
      </c>
      <c r="C1914" s="71"/>
      <c r="D1914" s="437" t="str">
        <f>CATALOGO!C71</f>
        <v>TUBERÍA PVC Ø 2", 160 PSI (INLCUYE ACCESORIOS)</v>
      </c>
      <c r="E1914" s="437"/>
      <c r="F1914" s="437"/>
      <c r="G1914" s="437"/>
      <c r="H1914" s="71"/>
      <c r="I1914" s="287">
        <f>CATALOGO!D71</f>
        <v>1.5</v>
      </c>
      <c r="J1914" s="107"/>
      <c r="K1914" s="222" t="str">
        <f>CATALOGO!G71</f>
        <v>ml</v>
      </c>
      <c r="L1914" s="71"/>
      <c r="M1914" s="71"/>
      <c r="N1914" s="102"/>
      <c r="O1914" s="37"/>
      <c r="P1914" s="37"/>
    </row>
    <row r="1915" spans="1:16" ht="17.25" thickBot="1" x14ac:dyDescent="0.35"/>
    <row r="1916" spans="1:16" ht="17.25" thickBot="1" x14ac:dyDescent="0.35">
      <c r="B1916" s="108" t="s">
        <v>4</v>
      </c>
      <c r="C1916" s="413" t="s">
        <v>5</v>
      </c>
      <c r="D1916" s="413"/>
      <c r="E1916" s="413"/>
      <c r="F1916" s="413"/>
      <c r="G1916" s="414"/>
    </row>
    <row r="1917" spans="1:16" x14ac:dyDescent="0.25">
      <c r="B1917" s="109" t="s">
        <v>6</v>
      </c>
      <c r="C1917" s="424" t="s">
        <v>1</v>
      </c>
      <c r="D1917" s="425"/>
      <c r="E1917" s="110" t="s">
        <v>192</v>
      </c>
      <c r="F1917" s="111" t="s">
        <v>2</v>
      </c>
      <c r="G1917" s="112" t="s">
        <v>3</v>
      </c>
      <c r="H1917" s="104"/>
      <c r="I1917" s="105" t="s">
        <v>7</v>
      </c>
      <c r="J1917" s="134"/>
      <c r="K1917" s="223" t="s">
        <v>8</v>
      </c>
      <c r="L1917" s="113" t="s">
        <v>193</v>
      </c>
      <c r="O1917" s="438"/>
      <c r="P1917" s="438"/>
    </row>
    <row r="1918" spans="1:16" ht="17.25" customHeight="1" x14ac:dyDescent="0.25">
      <c r="B1918" s="120">
        <v>1</v>
      </c>
      <c r="C1918" s="428" t="s">
        <v>147</v>
      </c>
      <c r="D1918" s="429"/>
      <c r="E1918" s="114">
        <f>I1914*0.28</f>
        <v>0.42000000000000004</v>
      </c>
      <c r="F1918" s="83">
        <f>ROUND(E1918/I1914,2)</f>
        <v>0.28000000000000003</v>
      </c>
      <c r="G1918" s="74" t="str">
        <f>IF(C1918=0,0,VLOOKUP(C1918,Tabla1[],2,FALSE))</f>
        <v>Unidad</v>
      </c>
      <c r="I1918" s="115">
        <f>IF(C1918=0,0,VLOOKUP(C1918,Tabla1[],3,FALSE))</f>
        <v>175</v>
      </c>
      <c r="K1918" s="84">
        <f>F1918*I1918</f>
        <v>49.000000000000007</v>
      </c>
      <c r="L1918" s="116">
        <f t="shared" ref="L1918:L1927" si="58">E1918*I1918</f>
        <v>73.5</v>
      </c>
      <c r="O1918" s="44"/>
      <c r="P1918" s="45"/>
    </row>
    <row r="1919" spans="1:16" x14ac:dyDescent="0.3">
      <c r="B1919" s="120">
        <v>2</v>
      </c>
      <c r="C1919" s="428" t="s">
        <v>303</v>
      </c>
      <c r="D1919" s="429"/>
      <c r="E1919" s="114">
        <f>I1914*0.2</f>
        <v>0.30000000000000004</v>
      </c>
      <c r="F1919" s="83">
        <f>ROUND(E1919/I1914,2)</f>
        <v>0.2</v>
      </c>
      <c r="G1919" s="74" t="str">
        <f>IF(C1919=0,0,VLOOKUP(C1919,Tabla1[],2,FALSE))</f>
        <v>Unidad</v>
      </c>
      <c r="I1919" s="115">
        <f>IF(C1919=0,0,VLOOKUP(C1919,Tabla1[],3,FALSE))</f>
        <v>15</v>
      </c>
      <c r="K1919" s="84">
        <f t="shared" ref="K1919:K1927" si="59">+F1919*I1919</f>
        <v>3</v>
      </c>
      <c r="L1919" s="116">
        <f t="shared" si="58"/>
        <v>4.5000000000000009</v>
      </c>
      <c r="P1919" s="45"/>
    </row>
    <row r="1920" spans="1:16" x14ac:dyDescent="0.3">
      <c r="B1920" s="120">
        <v>3</v>
      </c>
      <c r="C1920" s="428" t="s">
        <v>129</v>
      </c>
      <c r="D1920" s="429"/>
      <c r="E1920" s="114">
        <f>I1914*0.02</f>
        <v>0.03</v>
      </c>
      <c r="F1920" s="83">
        <f>ROUND(E1920/I1914,2)</f>
        <v>0.02</v>
      </c>
      <c r="G1920" s="74" t="str">
        <f>IF(C1920=0,0,VLOOKUP(C1920,Tabla1[],2,FALSE))</f>
        <v>Galón</v>
      </c>
      <c r="I1920" s="115">
        <f>IF(C1920=0,0,VLOOKUP(C1920,Tabla1[],3,FALSE))</f>
        <v>400</v>
      </c>
      <c r="K1920" s="84">
        <f t="shared" si="59"/>
        <v>8</v>
      </c>
      <c r="L1920" s="116">
        <f t="shared" si="58"/>
        <v>12</v>
      </c>
      <c r="O1920" s="48"/>
      <c r="P1920" s="49"/>
    </row>
    <row r="1921" spans="2:16" x14ac:dyDescent="0.3">
      <c r="B1921" s="120"/>
      <c r="C1921" s="284"/>
      <c r="D1921" s="285"/>
      <c r="E1921" s="114"/>
      <c r="F1921" s="83"/>
      <c r="G1921" s="74"/>
      <c r="I1921" s="115">
        <f>IF(C1921=0,0,VLOOKUP(C1921,Tabla1[],3,FALSE))</f>
        <v>0</v>
      </c>
      <c r="K1921" s="84">
        <f t="shared" si="59"/>
        <v>0</v>
      </c>
      <c r="L1921" s="116">
        <f t="shared" si="58"/>
        <v>0</v>
      </c>
      <c r="O1921" s="48"/>
      <c r="P1921" s="49"/>
    </row>
    <row r="1922" spans="2:16" x14ac:dyDescent="0.3">
      <c r="B1922" s="120"/>
      <c r="C1922" s="284"/>
      <c r="D1922" s="285"/>
      <c r="E1922" s="114"/>
      <c r="F1922" s="83"/>
      <c r="G1922" s="74"/>
      <c r="I1922" s="115">
        <f>IF(C1922=0,0,VLOOKUP(C1922,Tabla1[],3,FALSE))</f>
        <v>0</v>
      </c>
      <c r="K1922" s="84">
        <f t="shared" si="59"/>
        <v>0</v>
      </c>
      <c r="L1922" s="116">
        <f t="shared" si="58"/>
        <v>0</v>
      </c>
      <c r="O1922" s="48"/>
      <c r="P1922" s="49"/>
    </row>
    <row r="1923" spans="2:16" x14ac:dyDescent="0.3">
      <c r="B1923" s="120"/>
      <c r="C1923" s="284"/>
      <c r="D1923" s="285"/>
      <c r="E1923" s="114"/>
      <c r="F1923" s="83"/>
      <c r="G1923" s="74"/>
      <c r="I1923" s="115">
        <f>IF(C1923=0,0,VLOOKUP(C1923,Tabla1[],3,FALSE))</f>
        <v>0</v>
      </c>
      <c r="K1923" s="84">
        <f t="shared" si="59"/>
        <v>0</v>
      </c>
      <c r="L1923" s="116">
        <f t="shared" si="58"/>
        <v>0</v>
      </c>
      <c r="O1923" s="48"/>
      <c r="P1923" s="49"/>
    </row>
    <row r="1924" spans="2:16" x14ac:dyDescent="0.3">
      <c r="B1924" s="120"/>
      <c r="C1924" s="428"/>
      <c r="D1924" s="429"/>
      <c r="E1924" s="114"/>
      <c r="F1924" s="83"/>
      <c r="G1924" s="74"/>
      <c r="I1924" s="115">
        <f>IF(C1924=0,0,VLOOKUP(C1924,Tabla1[],3,FALSE))</f>
        <v>0</v>
      </c>
      <c r="K1924" s="84">
        <f t="shared" si="59"/>
        <v>0</v>
      </c>
      <c r="L1924" s="116">
        <f t="shared" si="58"/>
        <v>0</v>
      </c>
      <c r="O1924" s="48"/>
      <c r="P1924" s="49"/>
    </row>
    <row r="1925" spans="2:16" x14ac:dyDescent="0.3">
      <c r="B1925" s="120"/>
      <c r="C1925" s="428"/>
      <c r="D1925" s="429"/>
      <c r="E1925" s="114"/>
      <c r="F1925" s="83"/>
      <c r="G1925" s="74"/>
      <c r="I1925" s="115">
        <f>IF(C1925=0,0,VLOOKUP(C1925,Tabla1[],3,FALSE))</f>
        <v>0</v>
      </c>
      <c r="K1925" s="84">
        <f t="shared" si="59"/>
        <v>0</v>
      </c>
      <c r="L1925" s="116">
        <f t="shared" si="58"/>
        <v>0</v>
      </c>
      <c r="O1925" s="48"/>
      <c r="P1925" s="49"/>
    </row>
    <row r="1926" spans="2:16" x14ac:dyDescent="0.3">
      <c r="B1926" s="120"/>
      <c r="C1926" s="431"/>
      <c r="D1926" s="432"/>
      <c r="E1926" s="114"/>
      <c r="F1926" s="83"/>
      <c r="G1926" s="74"/>
      <c r="I1926" s="115">
        <f>IF(C1926=0,0,VLOOKUP(C1926,Tabla1[],3,FALSE))</f>
        <v>0</v>
      </c>
      <c r="K1926" s="84">
        <f t="shared" si="59"/>
        <v>0</v>
      </c>
      <c r="L1926" s="116">
        <f t="shared" si="58"/>
        <v>0</v>
      </c>
      <c r="O1926" s="48"/>
      <c r="P1926" s="49"/>
    </row>
    <row r="1927" spans="2:16" x14ac:dyDescent="0.3">
      <c r="B1927" s="120"/>
      <c r="C1927" s="430"/>
      <c r="D1927" s="429"/>
      <c r="E1927" s="114"/>
      <c r="F1927" s="83"/>
      <c r="G1927" s="74"/>
      <c r="I1927" s="115">
        <f>IF(C1927=0,0,VLOOKUP(C1927,Tabla1[],3,FALSE))</f>
        <v>0</v>
      </c>
      <c r="K1927" s="84">
        <f t="shared" si="59"/>
        <v>0</v>
      </c>
      <c r="L1927" s="116">
        <f t="shared" si="58"/>
        <v>0</v>
      </c>
      <c r="O1927" s="48"/>
      <c r="P1927" s="49"/>
    </row>
    <row r="1928" spans="2:16" ht="17.25" thickBot="1" x14ac:dyDescent="0.35"/>
    <row r="1929" spans="2:16" ht="17.25" thickBot="1" x14ac:dyDescent="0.3">
      <c r="F1929" s="402" t="s">
        <v>9</v>
      </c>
      <c r="G1929" s="403"/>
      <c r="H1929" s="403"/>
      <c r="I1929" s="404"/>
      <c r="K1929" s="224">
        <f>+SUM(K1918:K1927)</f>
        <v>60.000000000000007</v>
      </c>
      <c r="L1929" s="117">
        <f>+SUM(L1918:L1927)</f>
        <v>90</v>
      </c>
      <c r="O1929" s="38"/>
      <c r="P1929" s="38"/>
    </row>
    <row r="1930" spans="2:16" ht="17.25" thickBot="1" x14ac:dyDescent="0.35">
      <c r="O1930" s="42"/>
      <c r="P1930" s="43"/>
    </row>
    <row r="1931" spans="2:16" ht="17.25" thickBot="1" x14ac:dyDescent="0.35">
      <c r="B1931" s="108" t="s">
        <v>10</v>
      </c>
      <c r="C1931" s="413" t="s">
        <v>11</v>
      </c>
      <c r="D1931" s="413"/>
      <c r="E1931" s="413"/>
      <c r="F1931" s="413"/>
      <c r="G1931" s="414"/>
    </row>
    <row r="1932" spans="2:16" x14ac:dyDescent="0.3">
      <c r="B1932" s="112" t="s">
        <v>6</v>
      </c>
      <c r="C1932" s="415" t="s">
        <v>1</v>
      </c>
      <c r="D1932" s="416"/>
      <c r="E1932" s="110" t="s">
        <v>192</v>
      </c>
      <c r="F1932" s="118" t="s">
        <v>2</v>
      </c>
      <c r="G1932" s="112" t="s">
        <v>3</v>
      </c>
      <c r="H1932" s="104"/>
      <c r="I1932" s="105" t="s">
        <v>7</v>
      </c>
      <c r="J1932" s="134"/>
      <c r="K1932" s="105" t="s">
        <v>8</v>
      </c>
      <c r="L1932" s="113" t="s">
        <v>193</v>
      </c>
    </row>
    <row r="1933" spans="2:16" x14ac:dyDescent="0.3">
      <c r="B1933" s="120"/>
      <c r="C1933" s="409"/>
      <c r="D1933" s="409"/>
      <c r="E1933" s="114"/>
      <c r="F1933" s="83"/>
      <c r="G1933" s="74"/>
      <c r="I1933" s="115">
        <f>IF(C1933=0,0,VLOOKUP(C1933,Tabla3[],3,FALSE))</f>
        <v>0</v>
      </c>
      <c r="K1933" s="84">
        <f>F1933*I1933</f>
        <v>0</v>
      </c>
      <c r="L1933" s="116">
        <f>E1933*I1933</f>
        <v>0</v>
      </c>
    </row>
    <row r="1934" spans="2:16" x14ac:dyDescent="0.3">
      <c r="B1934" s="74"/>
      <c r="C1934" s="431"/>
      <c r="D1934" s="432"/>
      <c r="E1934" s="119"/>
      <c r="F1934" s="72"/>
      <c r="G1934" s="74"/>
      <c r="I1934" s="115">
        <f>IF(C1934=0,0,VLOOKUP(C1934,Tabla3[],3,FALSE))</f>
        <v>0</v>
      </c>
      <c r="K1934" s="84">
        <f>+F1934*I1934</f>
        <v>0</v>
      </c>
      <c r="L1934" s="116">
        <f>E1934*I1934</f>
        <v>0</v>
      </c>
    </row>
    <row r="1935" spans="2:16" x14ac:dyDescent="0.3">
      <c r="B1935" s="74"/>
      <c r="C1935" s="431"/>
      <c r="D1935" s="432"/>
      <c r="E1935" s="119"/>
      <c r="F1935" s="72"/>
      <c r="G1935" s="74"/>
      <c r="I1935" s="115">
        <f>IF(C1935=0,0,VLOOKUP(C1935,Tabla3[],3,FALSE))</f>
        <v>0</v>
      </c>
      <c r="K1935" s="84">
        <f>+F1935*I1935</f>
        <v>0</v>
      </c>
      <c r="L1935" s="116">
        <f>E1935*I1935</f>
        <v>0</v>
      </c>
    </row>
    <row r="1936" spans="2:16" x14ac:dyDescent="0.3">
      <c r="B1936" s="74"/>
      <c r="C1936" s="411"/>
      <c r="D1936" s="412"/>
      <c r="E1936" s="119"/>
      <c r="F1936" s="72"/>
      <c r="G1936" s="74"/>
      <c r="I1936" s="115">
        <f>IF(C1936=0,0,VLOOKUP(C1936,Tabla3[],3,FALSE))</f>
        <v>0</v>
      </c>
      <c r="K1936" s="84">
        <f>+F1936*I1936</f>
        <v>0</v>
      </c>
      <c r="L1936" s="116">
        <f>E1936*I1936</f>
        <v>0</v>
      </c>
    </row>
    <row r="1937" spans="2:12" ht="17.25" thickBot="1" x14ac:dyDescent="0.35"/>
    <row r="1938" spans="2:12" ht="17.25" thickBot="1" x14ac:dyDescent="0.35">
      <c r="F1938" s="402" t="s">
        <v>12</v>
      </c>
      <c r="G1938" s="403"/>
      <c r="H1938" s="403"/>
      <c r="I1938" s="404"/>
      <c r="K1938" s="224">
        <f>+SUM(K1933:K1936)</f>
        <v>0</v>
      </c>
      <c r="L1938" s="117">
        <f>+SUM(L1933:L1936)</f>
        <v>0</v>
      </c>
    </row>
    <row r="1939" spans="2:12" ht="17.25" thickBot="1" x14ac:dyDescent="0.35"/>
    <row r="1940" spans="2:12" ht="17.25" thickBot="1" x14ac:dyDescent="0.35">
      <c r="B1940" s="108" t="s">
        <v>13</v>
      </c>
      <c r="C1940" s="413" t="s">
        <v>14</v>
      </c>
      <c r="D1940" s="413"/>
      <c r="E1940" s="413"/>
      <c r="F1940" s="413"/>
      <c r="G1940" s="414"/>
    </row>
    <row r="1941" spans="2:12" x14ac:dyDescent="0.3">
      <c r="B1941" s="112" t="s">
        <v>6</v>
      </c>
      <c r="C1941" s="415" t="s">
        <v>1</v>
      </c>
      <c r="D1941" s="416"/>
      <c r="E1941" s="110" t="s">
        <v>192</v>
      </c>
      <c r="F1941" s="118" t="s">
        <v>2</v>
      </c>
      <c r="G1941" s="112" t="s">
        <v>3</v>
      </c>
      <c r="H1941" s="104"/>
      <c r="I1941" s="105" t="s">
        <v>7</v>
      </c>
      <c r="J1941" s="134"/>
      <c r="K1941" s="105" t="s">
        <v>8</v>
      </c>
      <c r="L1941" s="113" t="s">
        <v>193</v>
      </c>
    </row>
    <row r="1942" spans="2:12" x14ac:dyDescent="0.3">
      <c r="B1942" s="120">
        <v>1</v>
      </c>
      <c r="C1942" s="409" t="s">
        <v>299</v>
      </c>
      <c r="D1942" s="409"/>
      <c r="E1942" s="114">
        <f>I1914</f>
        <v>1.5</v>
      </c>
      <c r="F1942" s="83">
        <f>ROUND(E1942/I1914,2)</f>
        <v>1</v>
      </c>
      <c r="G1942" s="74" t="str">
        <f>IF(C1942=0,0,VLOOKUP(C1942,Tabla2[],2,FALSE))</f>
        <v>ml</v>
      </c>
      <c r="I1942" s="115">
        <f>IF(C1942=0,0,VLOOKUP(C1942,Tabla2[],3,FALSE))</f>
        <v>70</v>
      </c>
      <c r="K1942" s="84">
        <f>+F1942*I1942</f>
        <v>70</v>
      </c>
      <c r="L1942" s="116">
        <f>E1942*I1942</f>
        <v>105</v>
      </c>
    </row>
    <row r="1943" spans="2:12" x14ac:dyDescent="0.3">
      <c r="B1943" s="120"/>
      <c r="C1943" s="409"/>
      <c r="D1943" s="409"/>
      <c r="E1943" s="114"/>
      <c r="F1943" s="83"/>
      <c r="G1943" s="74"/>
      <c r="I1943" s="115">
        <f>IF(C1943=0,0,VLOOKUP(C1943,Tabla2[],3,FALSE))</f>
        <v>0</v>
      </c>
      <c r="K1943" s="84">
        <f>+F1943*I1943</f>
        <v>0</v>
      </c>
      <c r="L1943" s="116">
        <f>E1943*I1943</f>
        <v>0</v>
      </c>
    </row>
    <row r="1944" spans="2:12" ht="17.25" thickBot="1" x14ac:dyDescent="0.35">
      <c r="B1944" s="121"/>
      <c r="C1944" s="417"/>
      <c r="D1944" s="418"/>
      <c r="E1944" s="122"/>
      <c r="F1944" s="123"/>
      <c r="G1944" s="74"/>
      <c r="I1944" s="115">
        <f>IF(C1944=0,0,VLOOKUP(C1944,Tabla2[],3,FALSE))</f>
        <v>0</v>
      </c>
      <c r="K1944" s="84">
        <f>+F1944*I1944</f>
        <v>0</v>
      </c>
      <c r="L1944" s="116">
        <f>E1944*I1944</f>
        <v>0</v>
      </c>
    </row>
    <row r="1945" spans="2:12" ht="17.25" thickBot="1" x14ac:dyDescent="0.35">
      <c r="B1945" s="419" t="s">
        <v>15</v>
      </c>
      <c r="C1945" s="420"/>
      <c r="D1945" s="420"/>
      <c r="E1945" s="420"/>
      <c r="F1945" s="420"/>
      <c r="G1945" s="421"/>
      <c r="I1945" s="84">
        <v>0</v>
      </c>
      <c r="K1945" s="84">
        <v>0</v>
      </c>
      <c r="L1945" s="116">
        <f>E1945*I1945</f>
        <v>0</v>
      </c>
    </row>
    <row r="1946" spans="2:12" ht="17.25" thickBot="1" x14ac:dyDescent="0.35"/>
    <row r="1947" spans="2:12" ht="17.25" thickBot="1" x14ac:dyDescent="0.35">
      <c r="F1947" s="402" t="s">
        <v>16</v>
      </c>
      <c r="G1947" s="403"/>
      <c r="H1947" s="403"/>
      <c r="I1947" s="404"/>
      <c r="K1947" s="224">
        <f>+SUM(K1942:K1945)</f>
        <v>70</v>
      </c>
      <c r="L1947" s="117">
        <f>+SUM(L1942:L1945)</f>
        <v>105</v>
      </c>
    </row>
    <row r="1948" spans="2:12" ht="17.25" thickBot="1" x14ac:dyDescent="0.35"/>
    <row r="1949" spans="2:12" ht="17.25" thickBot="1" x14ac:dyDescent="0.35">
      <c r="B1949" s="108" t="s">
        <v>17</v>
      </c>
      <c r="C1949" s="413" t="s">
        <v>18</v>
      </c>
      <c r="D1949" s="413"/>
      <c r="E1949" s="413"/>
      <c r="F1949" s="413"/>
      <c r="G1949" s="414"/>
    </row>
    <row r="1950" spans="2:12" x14ac:dyDescent="0.3">
      <c r="B1950" s="112" t="s">
        <v>6</v>
      </c>
      <c r="C1950" s="415" t="s">
        <v>1</v>
      </c>
      <c r="D1950" s="416"/>
      <c r="E1950" s="124"/>
      <c r="F1950" s="118" t="s">
        <v>2</v>
      </c>
      <c r="G1950" s="112" t="s">
        <v>3</v>
      </c>
      <c r="H1950" s="104"/>
      <c r="I1950" s="105" t="s">
        <v>7</v>
      </c>
      <c r="J1950" s="134"/>
      <c r="K1950" s="105" t="s">
        <v>8</v>
      </c>
      <c r="L1950" s="113" t="s">
        <v>193</v>
      </c>
    </row>
    <row r="1951" spans="2:12" x14ac:dyDescent="0.3">
      <c r="B1951" s="74"/>
      <c r="C1951" s="411"/>
      <c r="D1951" s="412"/>
      <c r="E1951" s="125"/>
      <c r="F1951" s="72"/>
      <c r="G1951" s="74"/>
      <c r="I1951" s="84">
        <v>0</v>
      </c>
      <c r="K1951" s="84">
        <f>+F1951*I1951</f>
        <v>0</v>
      </c>
      <c r="L1951" s="116">
        <f>E1951*I1951</f>
        <v>0</v>
      </c>
    </row>
    <row r="1952" spans="2:12" x14ac:dyDescent="0.3">
      <c r="B1952" s="74"/>
      <c r="C1952" s="411"/>
      <c r="D1952" s="412"/>
      <c r="E1952" s="125"/>
      <c r="F1952" s="72"/>
      <c r="G1952" s="74"/>
      <c r="I1952" s="84">
        <v>0</v>
      </c>
      <c r="K1952" s="84">
        <f>+F1952*I1952</f>
        <v>0</v>
      </c>
      <c r="L1952" s="116">
        <f>E1952*I1952</f>
        <v>0</v>
      </c>
    </row>
    <row r="1953" spans="2:16" x14ac:dyDescent="0.3">
      <c r="B1953" s="74"/>
      <c r="C1953" s="411"/>
      <c r="D1953" s="412"/>
      <c r="E1953" s="125"/>
      <c r="F1953" s="72"/>
      <c r="G1953" s="74"/>
      <c r="I1953" s="84">
        <v>0</v>
      </c>
      <c r="K1953" s="84">
        <f>+F1953*I1953</f>
        <v>0</v>
      </c>
      <c r="L1953" s="116">
        <f>E1953*I1953</f>
        <v>0</v>
      </c>
    </row>
    <row r="1954" spans="2:16" ht="17.25" thickBot="1" x14ac:dyDescent="0.35">
      <c r="L1954" s="116"/>
    </row>
    <row r="1955" spans="2:16" ht="17.25" thickBot="1" x14ac:dyDescent="0.35">
      <c r="F1955" s="402" t="s">
        <v>19</v>
      </c>
      <c r="G1955" s="403"/>
      <c r="H1955" s="403"/>
      <c r="I1955" s="404"/>
      <c r="K1955" s="224">
        <f>+SUM(K1951:K1953)</f>
        <v>0</v>
      </c>
      <c r="L1955" s="117">
        <f>+SUM(L1950:L1953)</f>
        <v>0</v>
      </c>
    </row>
    <row r="1956" spans="2:16" ht="15" customHeight="1" x14ac:dyDescent="0.3">
      <c r="F1956" s="126"/>
      <c r="G1956" s="280"/>
      <c r="H1956" s="128"/>
      <c r="I1956" s="106"/>
      <c r="K1956" s="225"/>
    </row>
    <row r="1957" spans="2:16" ht="15" customHeight="1" thickBot="1" x14ac:dyDescent="0.35"/>
    <row r="1958" spans="2:16" ht="17.25" thickBot="1" x14ac:dyDescent="0.35">
      <c r="F1958" s="402" t="s">
        <v>20</v>
      </c>
      <c r="G1958" s="403"/>
      <c r="H1958" s="403"/>
      <c r="I1958" s="404"/>
      <c r="K1958" s="224">
        <f>(+K1929+K1938+K1947+K1955)</f>
        <v>130</v>
      </c>
      <c r="L1958" s="117">
        <f>(+L1929+L1938+L1947+L1955)</f>
        <v>195</v>
      </c>
      <c r="N1958" s="129"/>
      <c r="O1958" s="39"/>
      <c r="P1958" s="40"/>
    </row>
    <row r="1959" spans="2:16" ht="7.5" customHeight="1" thickBot="1" x14ac:dyDescent="0.35">
      <c r="N1959" s="129"/>
      <c r="O1959" s="41"/>
      <c r="P1959" s="40"/>
    </row>
    <row r="1960" spans="2:16" ht="17.25" thickBot="1" x14ac:dyDescent="0.35">
      <c r="F1960" s="402" t="s">
        <v>21</v>
      </c>
      <c r="G1960" s="403"/>
      <c r="H1960" s="403"/>
      <c r="I1960" s="404"/>
      <c r="K1960" s="224">
        <f>K1958*$N$2</f>
        <v>52</v>
      </c>
      <c r="L1960" s="117">
        <f>L1958*$N$2</f>
        <v>78</v>
      </c>
    </row>
    <row r="1961" spans="2:16" ht="7.5" customHeight="1" thickBot="1" x14ac:dyDescent="0.35"/>
    <row r="1962" spans="2:16" ht="17.25" thickBot="1" x14ac:dyDescent="0.35">
      <c r="F1962" s="402" t="s">
        <v>22</v>
      </c>
      <c r="G1962" s="403"/>
      <c r="H1962" s="403"/>
      <c r="I1962" s="404"/>
      <c r="K1962" s="224">
        <f>+K1958+K1960</f>
        <v>182</v>
      </c>
      <c r="L1962" s="117">
        <f>+L1958+L1960</f>
        <v>273</v>
      </c>
    </row>
    <row r="1963" spans="2:16" ht="17.25" thickBot="1" x14ac:dyDescent="0.35">
      <c r="F1963" s="126"/>
      <c r="G1963" s="280"/>
      <c r="H1963" s="128"/>
      <c r="I1963" s="106"/>
      <c r="K1963" s="226"/>
      <c r="L1963" s="130">
        <f>L1962/I1914</f>
        <v>182</v>
      </c>
      <c r="M1963" s="131">
        <f>(K1962-L1963)*I1914</f>
        <v>0</v>
      </c>
    </row>
    <row r="1964" spans="2:16" x14ac:dyDescent="0.3">
      <c r="F1964" s="126"/>
      <c r="G1964" s="280"/>
      <c r="H1964" s="128"/>
      <c r="I1964" s="106"/>
      <c r="K1964" s="227"/>
      <c r="L1964" s="129"/>
      <c r="M1964" s="132"/>
      <c r="N1964" s="133"/>
    </row>
    <row r="1965" spans="2:16" ht="17.25" thickBot="1" x14ac:dyDescent="0.35">
      <c r="B1965" s="405"/>
      <c r="C1965" s="405"/>
      <c r="D1965" s="405"/>
    </row>
    <row r="1966" spans="2:16" x14ac:dyDescent="0.3">
      <c r="B1966" s="406" t="s">
        <v>23</v>
      </c>
      <c r="C1966" s="406"/>
      <c r="D1966" s="406"/>
    </row>
    <row r="1967" spans="2:16" x14ac:dyDescent="0.3">
      <c r="B1967" s="281"/>
      <c r="C1967" s="281"/>
      <c r="D1967" s="281"/>
    </row>
    <row r="1968" spans="2:16" x14ac:dyDescent="0.3">
      <c r="B1968" s="281"/>
      <c r="C1968" s="281"/>
      <c r="D1968" s="281"/>
    </row>
    <row r="1969" spans="1:16" x14ac:dyDescent="0.3">
      <c r="B1969" s="103" t="s">
        <v>43</v>
      </c>
      <c r="C1969" s="104"/>
      <c r="D1969" s="422" t="s">
        <v>1</v>
      </c>
      <c r="E1969" s="422"/>
      <c r="F1969" s="422"/>
      <c r="G1969" s="422"/>
      <c r="H1969" s="104"/>
      <c r="I1969" s="105" t="s">
        <v>2</v>
      </c>
      <c r="J1969" s="134"/>
      <c r="K1969" s="105" t="s">
        <v>3</v>
      </c>
    </row>
    <row r="1970" spans="1:16" s="4" customFormat="1" ht="30.75" customHeight="1" x14ac:dyDescent="0.25">
      <c r="A1970" s="31"/>
      <c r="B1970" s="287">
        <f>CATALOGO!B72</f>
        <v>904.02</v>
      </c>
      <c r="C1970" s="71"/>
      <c r="D1970" s="437" t="str">
        <f>CATALOGO!C72</f>
        <v>TUBERÍA PVC Ø 3", 160 PSI (INLCUYE ACCESORIOS)</v>
      </c>
      <c r="E1970" s="437"/>
      <c r="F1970" s="437"/>
      <c r="G1970" s="437"/>
      <c r="H1970" s="71"/>
      <c r="I1970" s="287">
        <f>CATALOGO!D72</f>
        <v>4.6100000000000003</v>
      </c>
      <c r="J1970" s="107"/>
      <c r="K1970" s="222" t="str">
        <f>CATALOGO!G72</f>
        <v>ml</v>
      </c>
      <c r="L1970" s="71"/>
      <c r="M1970" s="71"/>
      <c r="N1970" s="102"/>
      <c r="O1970" s="37"/>
      <c r="P1970" s="37"/>
    </row>
    <row r="1971" spans="1:16" ht="17.25" thickBot="1" x14ac:dyDescent="0.35"/>
    <row r="1972" spans="1:16" ht="17.25" thickBot="1" x14ac:dyDescent="0.35">
      <c r="B1972" s="108" t="s">
        <v>4</v>
      </c>
      <c r="C1972" s="413" t="s">
        <v>5</v>
      </c>
      <c r="D1972" s="413"/>
      <c r="E1972" s="413"/>
      <c r="F1972" s="413"/>
      <c r="G1972" s="414"/>
    </row>
    <row r="1973" spans="1:16" x14ac:dyDescent="0.25">
      <c r="B1973" s="109" t="s">
        <v>6</v>
      </c>
      <c r="C1973" s="424" t="s">
        <v>1</v>
      </c>
      <c r="D1973" s="425"/>
      <c r="E1973" s="110" t="s">
        <v>192</v>
      </c>
      <c r="F1973" s="111" t="s">
        <v>2</v>
      </c>
      <c r="G1973" s="112" t="s">
        <v>3</v>
      </c>
      <c r="H1973" s="104"/>
      <c r="I1973" s="105" t="s">
        <v>7</v>
      </c>
      <c r="J1973" s="134"/>
      <c r="K1973" s="223" t="s">
        <v>8</v>
      </c>
      <c r="L1973" s="113" t="s">
        <v>193</v>
      </c>
      <c r="O1973" s="438"/>
      <c r="P1973" s="438"/>
    </row>
    <row r="1974" spans="1:16" ht="17.25" customHeight="1" x14ac:dyDescent="0.25">
      <c r="B1974" s="120">
        <v>1</v>
      </c>
      <c r="C1974" s="428" t="s">
        <v>587</v>
      </c>
      <c r="D1974" s="429"/>
      <c r="E1974" s="114">
        <f>I1970*0.2</f>
        <v>0.92200000000000015</v>
      </c>
      <c r="F1974" s="83">
        <f>ROUND(E1974/I1970,2)</f>
        <v>0.2</v>
      </c>
      <c r="G1974" s="74" t="str">
        <f>IF(C1974=0,0,VLOOKUP(C1974,Tabla1[],2,FALSE))</f>
        <v>Unidad</v>
      </c>
      <c r="I1974" s="115">
        <f>IF(C1974=0,0,VLOOKUP(C1974,Tabla1[],3,FALSE))</f>
        <v>380</v>
      </c>
      <c r="K1974" s="84">
        <f>F1974*I1974</f>
        <v>76</v>
      </c>
      <c r="L1974" s="116">
        <f>E1974*I1974</f>
        <v>350.36000000000007</v>
      </c>
      <c r="O1974" s="44"/>
      <c r="P1974" s="45"/>
    </row>
    <row r="1975" spans="1:16" x14ac:dyDescent="0.3">
      <c r="B1975" s="120">
        <v>2</v>
      </c>
      <c r="C1975" s="428" t="s">
        <v>586</v>
      </c>
      <c r="D1975" s="429"/>
      <c r="E1975" s="114">
        <f>I1970*0.2</f>
        <v>0.92200000000000015</v>
      </c>
      <c r="F1975" s="83">
        <f>ROUND(E1975/I1970,2)</f>
        <v>0.2</v>
      </c>
      <c r="G1975" s="74" t="str">
        <f>IF(C1975=0,0,VLOOKUP(C1975,Tabla1[],2,FALSE))</f>
        <v>Unidad</v>
      </c>
      <c r="I1975" s="115">
        <f>IF(C1975=0,0,VLOOKUP(C1975,Tabla1[],3,FALSE))</f>
        <v>60</v>
      </c>
      <c r="K1975" s="84">
        <f>+F1975*I1975</f>
        <v>12</v>
      </c>
      <c r="L1975" s="116">
        <f>E1975*I1975</f>
        <v>55.320000000000007</v>
      </c>
      <c r="P1975" s="45"/>
    </row>
    <row r="1976" spans="1:16" x14ac:dyDescent="0.3">
      <c r="B1976" s="120">
        <v>3</v>
      </c>
      <c r="C1976" s="428" t="s">
        <v>129</v>
      </c>
      <c r="D1976" s="429"/>
      <c r="E1976" s="114">
        <f>I1970*0.03</f>
        <v>0.13830000000000001</v>
      </c>
      <c r="F1976" s="83">
        <f>ROUND(E1976/I1970,2)</f>
        <v>0.03</v>
      </c>
      <c r="G1976" s="74" t="str">
        <f>IF(C1976=0,0,VLOOKUP(C1976,Tabla1[],2,FALSE))</f>
        <v>Galón</v>
      </c>
      <c r="I1976" s="115">
        <f>IF(C1976=0,0,VLOOKUP(C1976,Tabla1[],3,FALSE))</f>
        <v>400</v>
      </c>
      <c r="K1976" s="84">
        <f>+F1976*I1976</f>
        <v>12</v>
      </c>
      <c r="L1976" s="116">
        <f>E1976*I1976</f>
        <v>55.32</v>
      </c>
      <c r="O1976" s="48"/>
      <c r="P1976" s="49"/>
    </row>
    <row r="1977" spans="1:16" x14ac:dyDescent="0.3">
      <c r="B1977" s="120"/>
      <c r="C1977" s="284"/>
      <c r="D1977" s="285"/>
      <c r="E1977" s="114"/>
      <c r="F1977" s="83"/>
      <c r="G1977" s="74"/>
      <c r="I1977" s="115">
        <f>IF(C1977=0,0,VLOOKUP(C1977,Tabla1[],3,FALSE))</f>
        <v>0</v>
      </c>
      <c r="K1977" s="84">
        <f>+F1977*I1977</f>
        <v>0</v>
      </c>
      <c r="L1977" s="116">
        <f>E1977*I1977</f>
        <v>0</v>
      </c>
      <c r="O1977" s="48"/>
      <c r="P1977" s="49"/>
    </row>
    <row r="1978" spans="1:16" x14ac:dyDescent="0.3">
      <c r="B1978" s="120"/>
      <c r="C1978" s="284"/>
      <c r="D1978" s="285"/>
      <c r="E1978" s="114"/>
      <c r="F1978" s="83"/>
      <c r="G1978" s="74"/>
      <c r="I1978" s="115">
        <f>IF(C1978=0,0,VLOOKUP(C1978,Tabla1[],3,FALSE))</f>
        <v>0</v>
      </c>
      <c r="K1978" s="84">
        <f>+F1978*I1978</f>
        <v>0</v>
      </c>
      <c r="L1978" s="116">
        <f>E1978*I1978</f>
        <v>0</v>
      </c>
      <c r="O1978" s="48"/>
      <c r="P1978" s="49"/>
    </row>
    <row r="1979" spans="1:16" ht="17.25" thickBot="1" x14ac:dyDescent="0.35"/>
    <row r="1980" spans="1:16" ht="17.25" thickBot="1" x14ac:dyDescent="0.3">
      <c r="F1980" s="402" t="s">
        <v>9</v>
      </c>
      <c r="G1980" s="403"/>
      <c r="H1980" s="403"/>
      <c r="I1980" s="404"/>
      <c r="K1980" s="224">
        <f>+SUM(K1974:K1978)</f>
        <v>100</v>
      </c>
      <c r="L1980" s="117">
        <f>+SUM(L1974:L1978)</f>
        <v>461.00000000000006</v>
      </c>
      <c r="O1980" s="38"/>
      <c r="P1980" s="38"/>
    </row>
    <row r="1981" spans="1:16" ht="17.25" thickBot="1" x14ac:dyDescent="0.35">
      <c r="O1981" s="42"/>
      <c r="P1981" s="43"/>
    </row>
    <row r="1982" spans="1:16" ht="17.25" thickBot="1" x14ac:dyDescent="0.35">
      <c r="B1982" s="108" t="s">
        <v>10</v>
      </c>
      <c r="C1982" s="413" t="s">
        <v>11</v>
      </c>
      <c r="D1982" s="413"/>
      <c r="E1982" s="413"/>
      <c r="F1982" s="413"/>
      <c r="G1982" s="414"/>
    </row>
    <row r="1983" spans="1:16" x14ac:dyDescent="0.3">
      <c r="B1983" s="112" t="s">
        <v>6</v>
      </c>
      <c r="C1983" s="415" t="s">
        <v>1</v>
      </c>
      <c r="D1983" s="416"/>
      <c r="E1983" s="110" t="s">
        <v>192</v>
      </c>
      <c r="F1983" s="118" t="s">
        <v>2</v>
      </c>
      <c r="G1983" s="112" t="s">
        <v>3</v>
      </c>
      <c r="H1983" s="104"/>
      <c r="I1983" s="105" t="s">
        <v>7</v>
      </c>
      <c r="J1983" s="134"/>
      <c r="K1983" s="105" t="s">
        <v>8</v>
      </c>
      <c r="L1983" s="113" t="s">
        <v>193</v>
      </c>
    </row>
    <row r="1984" spans="1:16" x14ac:dyDescent="0.3">
      <c r="B1984" s="120"/>
      <c r="C1984" s="409"/>
      <c r="D1984" s="409"/>
      <c r="E1984" s="114"/>
      <c r="F1984" s="83"/>
      <c r="G1984" s="74"/>
      <c r="I1984" s="115">
        <f>IF(C1984=0,0,VLOOKUP(C1984,Tabla3[],3,FALSE))</f>
        <v>0</v>
      </c>
      <c r="K1984" s="84">
        <f>F1984*I1984</f>
        <v>0</v>
      </c>
      <c r="L1984" s="116">
        <f>E1984*I1984</f>
        <v>0</v>
      </c>
    </row>
    <row r="1985" spans="2:12" x14ac:dyDescent="0.3">
      <c r="B1985" s="74"/>
      <c r="C1985" s="431"/>
      <c r="D1985" s="432"/>
      <c r="E1985" s="119"/>
      <c r="F1985" s="72"/>
      <c r="G1985" s="74"/>
      <c r="I1985" s="115">
        <f>IF(C1985=0,0,VLOOKUP(C1985,Tabla3[],3,FALSE))</f>
        <v>0</v>
      </c>
      <c r="K1985" s="84">
        <f>+F1985*I1985</f>
        <v>0</v>
      </c>
      <c r="L1985" s="116">
        <f>E1985*I1985</f>
        <v>0</v>
      </c>
    </row>
    <row r="1986" spans="2:12" x14ac:dyDescent="0.3">
      <c r="B1986" s="74"/>
      <c r="C1986" s="431"/>
      <c r="D1986" s="432"/>
      <c r="E1986" s="119"/>
      <c r="F1986" s="72"/>
      <c r="G1986" s="74"/>
      <c r="I1986" s="115">
        <f>IF(C1986=0,0,VLOOKUP(C1986,Tabla3[],3,FALSE))</f>
        <v>0</v>
      </c>
      <c r="K1986" s="84">
        <f>+F1986*I1986</f>
        <v>0</v>
      </c>
      <c r="L1986" s="116">
        <f>E1986*I1986</f>
        <v>0</v>
      </c>
    </row>
    <row r="1987" spans="2:12" x14ac:dyDescent="0.3">
      <c r="B1987" s="74"/>
      <c r="C1987" s="411"/>
      <c r="D1987" s="412"/>
      <c r="E1987" s="119"/>
      <c r="F1987" s="72"/>
      <c r="G1987" s="74"/>
      <c r="I1987" s="115">
        <f>IF(C1987=0,0,VLOOKUP(C1987,Tabla3[],3,FALSE))</f>
        <v>0</v>
      </c>
      <c r="K1987" s="84">
        <f>+F1987*I1987</f>
        <v>0</v>
      </c>
      <c r="L1987" s="116">
        <f>E1987*I1987</f>
        <v>0</v>
      </c>
    </row>
    <row r="1988" spans="2:12" ht="17.25" thickBot="1" x14ac:dyDescent="0.35"/>
    <row r="1989" spans="2:12" ht="17.25" thickBot="1" x14ac:dyDescent="0.35">
      <c r="F1989" s="402" t="s">
        <v>12</v>
      </c>
      <c r="G1989" s="403"/>
      <c r="H1989" s="403"/>
      <c r="I1989" s="404"/>
      <c r="K1989" s="224">
        <f>+SUM(K1984:K1987)</f>
        <v>0</v>
      </c>
      <c r="L1989" s="117">
        <f>+SUM(L1984:L1987)</f>
        <v>0</v>
      </c>
    </row>
    <row r="1990" spans="2:12" ht="17.25" thickBot="1" x14ac:dyDescent="0.35"/>
    <row r="1991" spans="2:12" ht="17.25" thickBot="1" x14ac:dyDescent="0.35">
      <c r="B1991" s="108" t="s">
        <v>13</v>
      </c>
      <c r="C1991" s="413" t="s">
        <v>14</v>
      </c>
      <c r="D1991" s="413"/>
      <c r="E1991" s="413"/>
      <c r="F1991" s="413"/>
      <c r="G1991" s="414"/>
    </row>
    <row r="1992" spans="2:12" x14ac:dyDescent="0.3">
      <c r="B1992" s="112" t="s">
        <v>6</v>
      </c>
      <c r="C1992" s="415" t="s">
        <v>1</v>
      </c>
      <c r="D1992" s="416"/>
      <c r="E1992" s="110" t="s">
        <v>192</v>
      </c>
      <c r="F1992" s="118" t="s">
        <v>2</v>
      </c>
      <c r="G1992" s="112" t="s">
        <v>3</v>
      </c>
      <c r="H1992" s="104"/>
      <c r="I1992" s="105" t="s">
        <v>7</v>
      </c>
      <c r="J1992" s="134"/>
      <c r="K1992" s="105" t="s">
        <v>8</v>
      </c>
      <c r="L1992" s="113" t="s">
        <v>193</v>
      </c>
    </row>
    <row r="1993" spans="2:12" x14ac:dyDescent="0.3">
      <c r="B1993" s="120">
        <v>1</v>
      </c>
      <c r="C1993" s="409" t="s">
        <v>304</v>
      </c>
      <c r="D1993" s="409"/>
      <c r="E1993" s="114">
        <f>I1970</f>
        <v>4.6100000000000003</v>
      </c>
      <c r="F1993" s="83">
        <f>ROUND(E1993/I1970,2)</f>
        <v>1</v>
      </c>
      <c r="G1993" s="74" t="str">
        <f>IF(C1993=0,0,VLOOKUP(C1993,Tabla2[],2,FALSE))</f>
        <v>ml</v>
      </c>
      <c r="I1993" s="115">
        <f>IF(C1993=0,0,VLOOKUP(C1993,Tabla2[],3,FALSE))</f>
        <v>100</v>
      </c>
      <c r="K1993" s="84">
        <f>+F1993*I1993</f>
        <v>100</v>
      </c>
      <c r="L1993" s="116">
        <f>E1993*I1993</f>
        <v>461.00000000000006</v>
      </c>
    </row>
    <row r="1994" spans="2:12" x14ac:dyDescent="0.3">
      <c r="B1994" s="120"/>
      <c r="C1994" s="409"/>
      <c r="D1994" s="409"/>
      <c r="E1994" s="114"/>
      <c r="F1994" s="83"/>
      <c r="G1994" s="74"/>
      <c r="I1994" s="115">
        <f>IF(C1994=0,0,VLOOKUP(C1994,Tabla2[],3,FALSE))</f>
        <v>0</v>
      </c>
      <c r="K1994" s="84">
        <f>+F1994*I1994</f>
        <v>0</v>
      </c>
      <c r="L1994" s="116">
        <f>E1994*I1994</f>
        <v>0</v>
      </c>
    </row>
    <row r="1995" spans="2:12" ht="17.25" thickBot="1" x14ac:dyDescent="0.35">
      <c r="B1995" s="121"/>
      <c r="C1995" s="417"/>
      <c r="D1995" s="418"/>
      <c r="E1995" s="122"/>
      <c r="F1995" s="123"/>
      <c r="G1995" s="74"/>
      <c r="I1995" s="115">
        <f>IF(C1995=0,0,VLOOKUP(C1995,Tabla2[],3,FALSE))</f>
        <v>0</v>
      </c>
      <c r="K1995" s="84">
        <f>+F1995*I1995</f>
        <v>0</v>
      </c>
      <c r="L1995" s="116">
        <f>E1995*I1995</f>
        <v>0</v>
      </c>
    </row>
    <row r="1996" spans="2:12" ht="17.25" thickBot="1" x14ac:dyDescent="0.35">
      <c r="B1996" s="419" t="s">
        <v>15</v>
      </c>
      <c r="C1996" s="420"/>
      <c r="D1996" s="420"/>
      <c r="E1996" s="420"/>
      <c r="F1996" s="420"/>
      <c r="G1996" s="421"/>
      <c r="I1996" s="84">
        <v>0</v>
      </c>
      <c r="K1996" s="84">
        <v>0</v>
      </c>
      <c r="L1996" s="116">
        <f>E1996*I1996</f>
        <v>0</v>
      </c>
    </row>
    <row r="1997" spans="2:12" ht="17.25" thickBot="1" x14ac:dyDescent="0.35"/>
    <row r="1998" spans="2:12" ht="17.25" thickBot="1" x14ac:dyDescent="0.35">
      <c r="F1998" s="402" t="s">
        <v>16</v>
      </c>
      <c r="G1998" s="403"/>
      <c r="H1998" s="403"/>
      <c r="I1998" s="404"/>
      <c r="K1998" s="224">
        <f>+SUM(K1993:K1996)</f>
        <v>100</v>
      </c>
      <c r="L1998" s="117">
        <f>+SUM(L1993:L1996)</f>
        <v>461.00000000000006</v>
      </c>
    </row>
    <row r="1999" spans="2:12" ht="17.25" thickBot="1" x14ac:dyDescent="0.35"/>
    <row r="2000" spans="2:12" ht="17.25" thickBot="1" x14ac:dyDescent="0.35">
      <c r="B2000" s="108" t="s">
        <v>17</v>
      </c>
      <c r="C2000" s="413" t="s">
        <v>18</v>
      </c>
      <c r="D2000" s="413"/>
      <c r="E2000" s="413"/>
      <c r="F2000" s="413"/>
      <c r="G2000" s="414"/>
    </row>
    <row r="2001" spans="2:16" x14ac:dyDescent="0.3">
      <c r="B2001" s="112" t="s">
        <v>6</v>
      </c>
      <c r="C2001" s="415" t="s">
        <v>1</v>
      </c>
      <c r="D2001" s="416"/>
      <c r="E2001" s="124"/>
      <c r="F2001" s="118" t="s">
        <v>2</v>
      </c>
      <c r="G2001" s="112" t="s">
        <v>3</v>
      </c>
      <c r="H2001" s="104"/>
      <c r="I2001" s="105" t="s">
        <v>7</v>
      </c>
      <c r="J2001" s="134"/>
      <c r="K2001" s="105" t="s">
        <v>8</v>
      </c>
      <c r="L2001" s="113" t="s">
        <v>193</v>
      </c>
    </row>
    <row r="2002" spans="2:16" x14ac:dyDescent="0.3">
      <c r="B2002" s="74"/>
      <c r="C2002" s="411"/>
      <c r="D2002" s="412"/>
      <c r="E2002" s="125"/>
      <c r="F2002" s="72"/>
      <c r="G2002" s="74"/>
      <c r="I2002" s="84">
        <v>0</v>
      </c>
      <c r="K2002" s="84">
        <f>+F2002*I2002</f>
        <v>0</v>
      </c>
      <c r="L2002" s="116">
        <f>E2002*I2002</f>
        <v>0</v>
      </c>
    </row>
    <row r="2003" spans="2:16" x14ac:dyDescent="0.3">
      <c r="B2003" s="74"/>
      <c r="C2003" s="411"/>
      <c r="D2003" s="412"/>
      <c r="E2003" s="125"/>
      <c r="F2003" s="72"/>
      <c r="G2003" s="74"/>
      <c r="I2003" s="84">
        <v>0</v>
      </c>
      <c r="K2003" s="84">
        <f>+F2003*I2003</f>
        <v>0</v>
      </c>
      <c r="L2003" s="116">
        <f>E2003*I2003</f>
        <v>0</v>
      </c>
    </row>
    <row r="2004" spans="2:16" x14ac:dyDescent="0.3">
      <c r="B2004" s="74"/>
      <c r="C2004" s="411"/>
      <c r="D2004" s="412"/>
      <c r="E2004" s="125"/>
      <c r="F2004" s="72"/>
      <c r="G2004" s="74"/>
      <c r="I2004" s="84">
        <v>0</v>
      </c>
      <c r="K2004" s="84">
        <f>+F2004*I2004</f>
        <v>0</v>
      </c>
      <c r="L2004" s="116">
        <f>E2004*I2004</f>
        <v>0</v>
      </c>
    </row>
    <row r="2005" spans="2:16" ht="17.25" thickBot="1" x14ac:dyDescent="0.35">
      <c r="L2005" s="116"/>
    </row>
    <row r="2006" spans="2:16" ht="17.25" thickBot="1" x14ac:dyDescent="0.35">
      <c r="F2006" s="402" t="s">
        <v>19</v>
      </c>
      <c r="G2006" s="403"/>
      <c r="H2006" s="403"/>
      <c r="I2006" s="404"/>
      <c r="K2006" s="224">
        <f>+SUM(K2002:K2004)</f>
        <v>0</v>
      </c>
      <c r="L2006" s="117">
        <f>+SUM(L2001:L2004)</f>
        <v>0</v>
      </c>
    </row>
    <row r="2007" spans="2:16" ht="15" customHeight="1" x14ac:dyDescent="0.3">
      <c r="F2007" s="126"/>
      <c r="G2007" s="280"/>
      <c r="H2007" s="128"/>
      <c r="I2007" s="106"/>
      <c r="K2007" s="225"/>
    </row>
    <row r="2008" spans="2:16" ht="15" customHeight="1" thickBot="1" x14ac:dyDescent="0.35"/>
    <row r="2009" spans="2:16" ht="17.25" thickBot="1" x14ac:dyDescent="0.35">
      <c r="F2009" s="402" t="s">
        <v>20</v>
      </c>
      <c r="G2009" s="403"/>
      <c r="H2009" s="403"/>
      <c r="I2009" s="404"/>
      <c r="K2009" s="224">
        <f>(+K1980+K1989+K1998+K2006)</f>
        <v>200</v>
      </c>
      <c r="L2009" s="117">
        <f>(+L1980+L1989+L1998+L2006)</f>
        <v>922.00000000000011</v>
      </c>
      <c r="N2009" s="129"/>
      <c r="O2009" s="39"/>
      <c r="P2009" s="40"/>
    </row>
    <row r="2010" spans="2:16" ht="7.5" customHeight="1" thickBot="1" x14ac:dyDescent="0.35">
      <c r="N2010" s="129"/>
      <c r="O2010" s="41"/>
      <c r="P2010" s="40"/>
    </row>
    <row r="2011" spans="2:16" ht="17.25" thickBot="1" x14ac:dyDescent="0.35">
      <c r="F2011" s="402" t="s">
        <v>21</v>
      </c>
      <c r="G2011" s="403"/>
      <c r="H2011" s="403"/>
      <c r="I2011" s="404"/>
      <c r="K2011" s="224">
        <f>K2009*$N$2</f>
        <v>80</v>
      </c>
      <c r="L2011" s="117">
        <f>L2009*$N$2</f>
        <v>368.80000000000007</v>
      </c>
    </row>
    <row r="2012" spans="2:16" ht="7.5" customHeight="1" thickBot="1" x14ac:dyDescent="0.35"/>
    <row r="2013" spans="2:16" ht="17.25" thickBot="1" x14ac:dyDescent="0.35">
      <c r="F2013" s="402" t="s">
        <v>22</v>
      </c>
      <c r="G2013" s="403"/>
      <c r="H2013" s="403"/>
      <c r="I2013" s="404"/>
      <c r="K2013" s="224">
        <f>+K2009+K2011</f>
        <v>280</v>
      </c>
      <c r="L2013" s="117">
        <f>+L2009+L2011</f>
        <v>1290.8000000000002</v>
      </c>
    </row>
    <row r="2014" spans="2:16" ht="17.25" thickBot="1" x14ac:dyDescent="0.35">
      <c r="F2014" s="126"/>
      <c r="G2014" s="280"/>
      <c r="H2014" s="128"/>
      <c r="I2014" s="106"/>
      <c r="K2014" s="226"/>
      <c r="L2014" s="130">
        <f>L2013/I1970</f>
        <v>280</v>
      </c>
      <c r="M2014" s="131">
        <f>(K2013-L2014)*I1970</f>
        <v>0</v>
      </c>
    </row>
    <row r="2015" spans="2:16" x14ac:dyDescent="0.3">
      <c r="F2015" s="126"/>
      <c r="G2015" s="280"/>
      <c r="H2015" s="128"/>
      <c r="I2015" s="106"/>
      <c r="K2015" s="227"/>
      <c r="L2015" s="129"/>
      <c r="M2015" s="132"/>
      <c r="N2015" s="133"/>
    </row>
    <row r="2016" spans="2:16" ht="17.25" thickBot="1" x14ac:dyDescent="0.35">
      <c r="B2016" s="405"/>
      <c r="C2016" s="405"/>
      <c r="D2016" s="405"/>
    </row>
    <row r="2017" spans="1:16" x14ac:dyDescent="0.3">
      <c r="B2017" s="406" t="s">
        <v>23</v>
      </c>
      <c r="C2017" s="406"/>
      <c r="D2017" s="406"/>
    </row>
    <row r="2018" spans="1:16" x14ac:dyDescent="0.3">
      <c r="B2018" s="281"/>
      <c r="C2018" s="281"/>
      <c r="D2018" s="281"/>
    </row>
    <row r="2019" spans="1:16" x14ac:dyDescent="0.3">
      <c r="B2019" s="281"/>
      <c r="C2019" s="281"/>
      <c r="D2019" s="281"/>
    </row>
    <row r="2020" spans="1:16" x14ac:dyDescent="0.3">
      <c r="B2020" s="103" t="s">
        <v>43</v>
      </c>
      <c r="C2020" s="104"/>
      <c r="D2020" s="422" t="s">
        <v>1</v>
      </c>
      <c r="E2020" s="422"/>
      <c r="F2020" s="422"/>
      <c r="G2020" s="422"/>
      <c r="H2020" s="104"/>
      <c r="I2020" s="105" t="s">
        <v>2</v>
      </c>
      <c r="J2020" s="134"/>
      <c r="K2020" s="105" t="s">
        <v>3</v>
      </c>
    </row>
    <row r="2021" spans="1:16" s="4" customFormat="1" ht="30.75" customHeight="1" x14ac:dyDescent="0.25">
      <c r="A2021" s="31"/>
      <c r="B2021" s="287">
        <f>CATALOGO!B73</f>
        <v>904.03</v>
      </c>
      <c r="C2021" s="71"/>
      <c r="D2021" s="437" t="str">
        <f>CATALOGO!C73</f>
        <v>TUBERÍA PVC Ø 4", 160 PSI (INLCUYE ACCESORIOS)</v>
      </c>
      <c r="E2021" s="437"/>
      <c r="F2021" s="437"/>
      <c r="G2021" s="437"/>
      <c r="H2021" s="71"/>
      <c r="I2021" s="287">
        <f>CATALOGO!D73</f>
        <v>6</v>
      </c>
      <c r="J2021" s="107"/>
      <c r="K2021" s="222" t="str">
        <f>CATALOGO!G73</f>
        <v>ml</v>
      </c>
      <c r="L2021" s="71"/>
      <c r="M2021" s="71"/>
      <c r="N2021" s="102"/>
      <c r="O2021" s="37"/>
      <c r="P2021" s="37"/>
    </row>
    <row r="2022" spans="1:16" ht="17.25" thickBot="1" x14ac:dyDescent="0.35"/>
    <row r="2023" spans="1:16" ht="17.25" thickBot="1" x14ac:dyDescent="0.35">
      <c r="B2023" s="108" t="s">
        <v>4</v>
      </c>
      <c r="C2023" s="413" t="s">
        <v>5</v>
      </c>
      <c r="D2023" s="413"/>
      <c r="E2023" s="413"/>
      <c r="F2023" s="413"/>
      <c r="G2023" s="414"/>
    </row>
    <row r="2024" spans="1:16" x14ac:dyDescent="0.25">
      <c r="B2024" s="109" t="s">
        <v>6</v>
      </c>
      <c r="C2024" s="424" t="s">
        <v>1</v>
      </c>
      <c r="D2024" s="425"/>
      <c r="E2024" s="110" t="s">
        <v>192</v>
      </c>
      <c r="F2024" s="111" t="s">
        <v>2</v>
      </c>
      <c r="G2024" s="112" t="s">
        <v>3</v>
      </c>
      <c r="H2024" s="104"/>
      <c r="I2024" s="105" t="s">
        <v>7</v>
      </c>
      <c r="J2024" s="134"/>
      <c r="K2024" s="223" t="s">
        <v>8</v>
      </c>
      <c r="L2024" s="113" t="s">
        <v>193</v>
      </c>
      <c r="O2024" s="438"/>
      <c r="P2024" s="438"/>
    </row>
    <row r="2025" spans="1:16" ht="17.25" customHeight="1" x14ac:dyDescent="0.25">
      <c r="B2025" s="120">
        <v>1</v>
      </c>
      <c r="C2025" s="428" t="s">
        <v>148</v>
      </c>
      <c r="D2025" s="429"/>
      <c r="E2025" s="114">
        <f>I2021*0.2</f>
        <v>1.2000000000000002</v>
      </c>
      <c r="F2025" s="83">
        <f>ROUND(E2025/I2021,2)</f>
        <v>0.2</v>
      </c>
      <c r="G2025" s="74" t="str">
        <f>IF(C2025=0,0,VLOOKUP(C2025,Tabla1[],2,FALSE))</f>
        <v>Unidad</v>
      </c>
      <c r="I2025" s="115">
        <f>IF(C2025=0,0,VLOOKUP(C2025,Tabla1[],3,FALSE))</f>
        <v>625</v>
      </c>
      <c r="K2025" s="84">
        <f>F2025*I2025</f>
        <v>125</v>
      </c>
      <c r="L2025" s="116">
        <f>E2025*I2025</f>
        <v>750.00000000000011</v>
      </c>
      <c r="O2025" s="44"/>
      <c r="P2025" s="45"/>
    </row>
    <row r="2026" spans="1:16" x14ac:dyDescent="0.3">
      <c r="B2026" s="120">
        <v>2</v>
      </c>
      <c r="C2026" s="428" t="s">
        <v>305</v>
      </c>
      <c r="D2026" s="429"/>
      <c r="E2026" s="114">
        <f>I2021*0.1</f>
        <v>0.60000000000000009</v>
      </c>
      <c r="F2026" s="83">
        <f>ROUND(E2026/I2021,2)</f>
        <v>0.1</v>
      </c>
      <c r="G2026" s="74" t="str">
        <f>IF(C2026=0,0,VLOOKUP(C2026,Tabla1[],2,FALSE))</f>
        <v>Unidad</v>
      </c>
      <c r="I2026" s="115">
        <f>IF(C2026=0,0,VLOOKUP(C2026,Tabla1[],3,FALSE))</f>
        <v>70</v>
      </c>
      <c r="K2026" s="84">
        <f>+F2026*I2026</f>
        <v>7</v>
      </c>
      <c r="L2026" s="116">
        <f>E2026*I2026</f>
        <v>42.000000000000007</v>
      </c>
      <c r="P2026" s="45"/>
    </row>
    <row r="2027" spans="1:16" x14ac:dyDescent="0.3">
      <c r="B2027" s="120">
        <v>3</v>
      </c>
      <c r="C2027" s="428" t="s">
        <v>129</v>
      </c>
      <c r="D2027" s="429"/>
      <c r="E2027" s="114">
        <f>I2021*0.02</f>
        <v>0.12</v>
      </c>
      <c r="F2027" s="83">
        <f>ROUND(E2027/I2021,2)</f>
        <v>0.02</v>
      </c>
      <c r="G2027" s="74" t="str">
        <f>IF(C2027=0,0,VLOOKUP(C2027,Tabla1[],2,FALSE))</f>
        <v>Galón</v>
      </c>
      <c r="I2027" s="115">
        <f>IF(C2027=0,0,VLOOKUP(C2027,Tabla1[],3,FALSE))</f>
        <v>400</v>
      </c>
      <c r="K2027" s="84">
        <f>+F2027*I2027</f>
        <v>8</v>
      </c>
      <c r="L2027" s="116">
        <f>E2027*I2027</f>
        <v>48</v>
      </c>
      <c r="O2027" s="48"/>
      <c r="P2027" s="49"/>
    </row>
    <row r="2028" spans="1:16" x14ac:dyDescent="0.3">
      <c r="B2028" s="120"/>
      <c r="C2028" s="284"/>
      <c r="D2028" s="285"/>
      <c r="E2028" s="114"/>
      <c r="F2028" s="83"/>
      <c r="G2028" s="74"/>
      <c r="I2028" s="115">
        <f>IF(C2028=0,0,VLOOKUP(C2028,Tabla1[],3,FALSE))</f>
        <v>0</v>
      </c>
      <c r="K2028" s="84">
        <f>+F2028*I2028</f>
        <v>0</v>
      </c>
      <c r="L2028" s="116">
        <f>E2028*I2028</f>
        <v>0</v>
      </c>
      <c r="O2028" s="48"/>
      <c r="P2028" s="49"/>
    </row>
    <row r="2029" spans="1:16" x14ac:dyDescent="0.3">
      <c r="B2029" s="120"/>
      <c r="C2029" s="284"/>
      <c r="D2029" s="285"/>
      <c r="E2029" s="114"/>
      <c r="F2029" s="83"/>
      <c r="G2029" s="74"/>
      <c r="I2029" s="115">
        <f>IF(C2029=0,0,VLOOKUP(C2029,Tabla1[],3,FALSE))</f>
        <v>0</v>
      </c>
      <c r="K2029" s="84">
        <f>+F2029*I2029</f>
        <v>0</v>
      </c>
      <c r="L2029" s="116">
        <f>E2029*I2029</f>
        <v>0</v>
      </c>
      <c r="O2029" s="48"/>
      <c r="P2029" s="49"/>
    </row>
    <row r="2030" spans="1:16" ht="17.25" thickBot="1" x14ac:dyDescent="0.35"/>
    <row r="2031" spans="1:16" ht="17.25" thickBot="1" x14ac:dyDescent="0.3">
      <c r="F2031" s="402" t="s">
        <v>9</v>
      </c>
      <c r="G2031" s="403"/>
      <c r="H2031" s="403"/>
      <c r="I2031" s="404"/>
      <c r="K2031" s="224">
        <f>+SUM(K2025:K2029)</f>
        <v>140</v>
      </c>
      <c r="L2031" s="117">
        <f>+SUM(L2025:L2029)</f>
        <v>840.00000000000011</v>
      </c>
      <c r="O2031" s="38"/>
      <c r="P2031" s="38"/>
    </row>
    <row r="2032" spans="1:16" ht="17.25" thickBot="1" x14ac:dyDescent="0.35">
      <c r="O2032" s="42"/>
      <c r="P2032" s="43"/>
    </row>
    <row r="2033" spans="2:12" ht="17.25" thickBot="1" x14ac:dyDescent="0.35">
      <c r="B2033" s="108" t="s">
        <v>10</v>
      </c>
      <c r="C2033" s="413" t="s">
        <v>11</v>
      </c>
      <c r="D2033" s="413"/>
      <c r="E2033" s="413"/>
      <c r="F2033" s="413"/>
      <c r="G2033" s="414"/>
    </row>
    <row r="2034" spans="2:12" x14ac:dyDescent="0.3">
      <c r="B2034" s="112" t="s">
        <v>6</v>
      </c>
      <c r="C2034" s="415" t="s">
        <v>1</v>
      </c>
      <c r="D2034" s="416"/>
      <c r="E2034" s="110" t="s">
        <v>192</v>
      </c>
      <c r="F2034" s="118" t="s">
        <v>2</v>
      </c>
      <c r="G2034" s="112" t="s">
        <v>3</v>
      </c>
      <c r="H2034" s="104"/>
      <c r="I2034" s="105" t="s">
        <v>7</v>
      </c>
      <c r="J2034" s="134"/>
      <c r="K2034" s="105" t="s">
        <v>8</v>
      </c>
      <c r="L2034" s="113" t="s">
        <v>193</v>
      </c>
    </row>
    <row r="2035" spans="2:12" x14ac:dyDescent="0.3">
      <c r="B2035" s="120"/>
      <c r="C2035" s="409"/>
      <c r="D2035" s="409"/>
      <c r="E2035" s="114"/>
      <c r="F2035" s="83"/>
      <c r="G2035" s="74"/>
      <c r="I2035" s="115">
        <f>IF(C2035=0,0,VLOOKUP(C2035,Tabla3[],3,FALSE))</f>
        <v>0</v>
      </c>
      <c r="K2035" s="84">
        <f>F2035*I2035</f>
        <v>0</v>
      </c>
      <c r="L2035" s="116">
        <f>E2035*I2035</f>
        <v>0</v>
      </c>
    </row>
    <row r="2036" spans="2:12" x14ac:dyDescent="0.3">
      <c r="B2036" s="74"/>
      <c r="C2036" s="431"/>
      <c r="D2036" s="432"/>
      <c r="E2036" s="119"/>
      <c r="F2036" s="72"/>
      <c r="G2036" s="74"/>
      <c r="I2036" s="115">
        <f>IF(C2036=0,0,VLOOKUP(C2036,Tabla3[],3,FALSE))</f>
        <v>0</v>
      </c>
      <c r="K2036" s="84">
        <f>+F2036*I2036</f>
        <v>0</v>
      </c>
      <c r="L2036" s="116">
        <f>E2036*I2036</f>
        <v>0</v>
      </c>
    </row>
    <row r="2037" spans="2:12" x14ac:dyDescent="0.3">
      <c r="B2037" s="74"/>
      <c r="C2037" s="431"/>
      <c r="D2037" s="432"/>
      <c r="E2037" s="119"/>
      <c r="F2037" s="72"/>
      <c r="G2037" s="74"/>
      <c r="I2037" s="115">
        <f>IF(C2037=0,0,VLOOKUP(C2037,Tabla3[],3,FALSE))</f>
        <v>0</v>
      </c>
      <c r="K2037" s="84">
        <f>+F2037*I2037</f>
        <v>0</v>
      </c>
      <c r="L2037" s="116">
        <f>E2037*I2037</f>
        <v>0</v>
      </c>
    </row>
    <row r="2038" spans="2:12" x14ac:dyDescent="0.3">
      <c r="B2038" s="74"/>
      <c r="C2038" s="411"/>
      <c r="D2038" s="412"/>
      <c r="E2038" s="119"/>
      <c r="F2038" s="72"/>
      <c r="G2038" s="74"/>
      <c r="I2038" s="115">
        <f>IF(C2038=0,0,VLOOKUP(C2038,Tabla3[],3,FALSE))</f>
        <v>0</v>
      </c>
      <c r="K2038" s="84">
        <f>+F2038*I2038</f>
        <v>0</v>
      </c>
      <c r="L2038" s="116">
        <f>E2038*I2038</f>
        <v>0</v>
      </c>
    </row>
    <row r="2039" spans="2:12" ht="17.25" thickBot="1" x14ac:dyDescent="0.35"/>
    <row r="2040" spans="2:12" ht="17.25" thickBot="1" x14ac:dyDescent="0.35">
      <c r="F2040" s="402" t="s">
        <v>12</v>
      </c>
      <c r="G2040" s="403"/>
      <c r="H2040" s="403"/>
      <c r="I2040" s="404"/>
      <c r="K2040" s="224">
        <f>+SUM(K2035:K2038)</f>
        <v>0</v>
      </c>
      <c r="L2040" s="117">
        <f>+SUM(L2035:L2038)</f>
        <v>0</v>
      </c>
    </row>
    <row r="2041" spans="2:12" ht="17.25" thickBot="1" x14ac:dyDescent="0.35"/>
    <row r="2042" spans="2:12" ht="17.25" thickBot="1" x14ac:dyDescent="0.35">
      <c r="B2042" s="108" t="s">
        <v>13</v>
      </c>
      <c r="C2042" s="413" t="s">
        <v>14</v>
      </c>
      <c r="D2042" s="413"/>
      <c r="E2042" s="413"/>
      <c r="F2042" s="413"/>
      <c r="G2042" s="414"/>
    </row>
    <row r="2043" spans="2:12" x14ac:dyDescent="0.3">
      <c r="B2043" s="112" t="s">
        <v>6</v>
      </c>
      <c r="C2043" s="415" t="s">
        <v>1</v>
      </c>
      <c r="D2043" s="416"/>
      <c r="E2043" s="110" t="s">
        <v>192</v>
      </c>
      <c r="F2043" s="118" t="s">
        <v>2</v>
      </c>
      <c r="G2043" s="112" t="s">
        <v>3</v>
      </c>
      <c r="H2043" s="104"/>
      <c r="I2043" s="105" t="s">
        <v>7</v>
      </c>
      <c r="J2043" s="134"/>
      <c r="K2043" s="105" t="s">
        <v>8</v>
      </c>
      <c r="L2043" s="113" t="s">
        <v>193</v>
      </c>
    </row>
    <row r="2044" spans="2:12" x14ac:dyDescent="0.3">
      <c r="B2044" s="120">
        <v>1</v>
      </c>
      <c r="C2044" s="409" t="s">
        <v>304</v>
      </c>
      <c r="D2044" s="409"/>
      <c r="E2044" s="114">
        <f>I2021</f>
        <v>6</v>
      </c>
      <c r="F2044" s="83">
        <f>ROUND(E2044/I2021,2)</f>
        <v>1</v>
      </c>
      <c r="G2044" s="74" t="str">
        <f>IF(C2044=0,0,VLOOKUP(C2044,Tabla2[],2,FALSE))</f>
        <v>ml</v>
      </c>
      <c r="I2044" s="115">
        <f>IF(C2044=0,0,VLOOKUP(C2044,Tabla2[],3,FALSE))</f>
        <v>100</v>
      </c>
      <c r="K2044" s="84">
        <f>+F2044*I2044</f>
        <v>100</v>
      </c>
      <c r="L2044" s="116">
        <f>E2044*I2044</f>
        <v>600</v>
      </c>
    </row>
    <row r="2045" spans="2:12" x14ac:dyDescent="0.3">
      <c r="B2045" s="120"/>
      <c r="C2045" s="409"/>
      <c r="D2045" s="409"/>
      <c r="E2045" s="114"/>
      <c r="F2045" s="83"/>
      <c r="G2045" s="74"/>
      <c r="I2045" s="115">
        <f>IF(C2045=0,0,VLOOKUP(C2045,Tabla2[],3,FALSE))</f>
        <v>0</v>
      </c>
      <c r="K2045" s="84">
        <f>+F2045*I2045</f>
        <v>0</v>
      </c>
      <c r="L2045" s="116">
        <f>E2045*I2045</f>
        <v>0</v>
      </c>
    </row>
    <row r="2046" spans="2:12" ht="17.25" thickBot="1" x14ac:dyDescent="0.35">
      <c r="B2046" s="121"/>
      <c r="C2046" s="417"/>
      <c r="D2046" s="418"/>
      <c r="E2046" s="122"/>
      <c r="F2046" s="123"/>
      <c r="G2046" s="74"/>
      <c r="I2046" s="115">
        <f>IF(C2046=0,0,VLOOKUP(C2046,Tabla2[],3,FALSE))</f>
        <v>0</v>
      </c>
      <c r="K2046" s="84">
        <f>+F2046*I2046</f>
        <v>0</v>
      </c>
      <c r="L2046" s="116">
        <f>E2046*I2046</f>
        <v>0</v>
      </c>
    </row>
    <row r="2047" spans="2:12" ht="17.25" thickBot="1" x14ac:dyDescent="0.35">
      <c r="B2047" s="419" t="s">
        <v>15</v>
      </c>
      <c r="C2047" s="420"/>
      <c r="D2047" s="420"/>
      <c r="E2047" s="420"/>
      <c r="F2047" s="420"/>
      <c r="G2047" s="421"/>
      <c r="I2047" s="84">
        <v>0</v>
      </c>
      <c r="K2047" s="84">
        <v>0</v>
      </c>
      <c r="L2047" s="116">
        <f>E2047*I2047</f>
        <v>0</v>
      </c>
    </row>
    <row r="2048" spans="2:12" ht="17.25" thickBot="1" x14ac:dyDescent="0.35"/>
    <row r="2049" spans="2:16" ht="17.25" thickBot="1" x14ac:dyDescent="0.35">
      <c r="F2049" s="402" t="s">
        <v>16</v>
      </c>
      <c r="G2049" s="403"/>
      <c r="H2049" s="403"/>
      <c r="I2049" s="404"/>
      <c r="K2049" s="224">
        <f>+SUM(K2044:K2047)</f>
        <v>100</v>
      </c>
      <c r="L2049" s="117">
        <f>+SUM(L2044:L2047)</f>
        <v>600</v>
      </c>
    </row>
    <row r="2050" spans="2:16" ht="17.25" thickBot="1" x14ac:dyDescent="0.35"/>
    <row r="2051" spans="2:16" ht="17.25" thickBot="1" x14ac:dyDescent="0.35">
      <c r="B2051" s="108" t="s">
        <v>17</v>
      </c>
      <c r="C2051" s="413" t="s">
        <v>18</v>
      </c>
      <c r="D2051" s="413"/>
      <c r="E2051" s="413"/>
      <c r="F2051" s="413"/>
      <c r="G2051" s="414"/>
    </row>
    <row r="2052" spans="2:16" x14ac:dyDescent="0.3">
      <c r="B2052" s="112" t="s">
        <v>6</v>
      </c>
      <c r="C2052" s="415" t="s">
        <v>1</v>
      </c>
      <c r="D2052" s="416"/>
      <c r="E2052" s="124"/>
      <c r="F2052" s="118" t="s">
        <v>2</v>
      </c>
      <c r="G2052" s="112" t="s">
        <v>3</v>
      </c>
      <c r="H2052" s="104"/>
      <c r="I2052" s="105" t="s">
        <v>7</v>
      </c>
      <c r="J2052" s="134"/>
      <c r="K2052" s="105" t="s">
        <v>8</v>
      </c>
      <c r="L2052" s="113" t="s">
        <v>193</v>
      </c>
    </row>
    <row r="2053" spans="2:16" x14ac:dyDescent="0.3">
      <c r="B2053" s="74"/>
      <c r="C2053" s="411"/>
      <c r="D2053" s="412"/>
      <c r="E2053" s="125"/>
      <c r="F2053" s="72"/>
      <c r="G2053" s="74"/>
      <c r="I2053" s="84">
        <v>0</v>
      </c>
      <c r="K2053" s="84">
        <f>+F2053*I2053</f>
        <v>0</v>
      </c>
      <c r="L2053" s="116">
        <f>E2053*I2053</f>
        <v>0</v>
      </c>
    </row>
    <row r="2054" spans="2:16" x14ac:dyDescent="0.3">
      <c r="B2054" s="74"/>
      <c r="C2054" s="411"/>
      <c r="D2054" s="412"/>
      <c r="E2054" s="125"/>
      <c r="F2054" s="72"/>
      <c r="G2054" s="74"/>
      <c r="I2054" s="84">
        <v>0</v>
      </c>
      <c r="K2054" s="84">
        <f>+F2054*I2054</f>
        <v>0</v>
      </c>
      <c r="L2054" s="116">
        <f>E2054*I2054</f>
        <v>0</v>
      </c>
    </row>
    <row r="2055" spans="2:16" x14ac:dyDescent="0.3">
      <c r="B2055" s="74"/>
      <c r="C2055" s="411"/>
      <c r="D2055" s="412"/>
      <c r="E2055" s="125"/>
      <c r="F2055" s="72"/>
      <c r="G2055" s="74"/>
      <c r="I2055" s="84">
        <v>0</v>
      </c>
      <c r="K2055" s="84">
        <f>+F2055*I2055</f>
        <v>0</v>
      </c>
      <c r="L2055" s="116">
        <f>E2055*I2055</f>
        <v>0</v>
      </c>
    </row>
    <row r="2056" spans="2:16" ht="17.25" thickBot="1" x14ac:dyDescent="0.35">
      <c r="L2056" s="116"/>
    </row>
    <row r="2057" spans="2:16" ht="17.25" thickBot="1" x14ac:dyDescent="0.35">
      <c r="F2057" s="402" t="s">
        <v>19</v>
      </c>
      <c r="G2057" s="403"/>
      <c r="H2057" s="403"/>
      <c r="I2057" s="404"/>
      <c r="K2057" s="224">
        <f>+SUM(K2053:K2055)</f>
        <v>0</v>
      </c>
      <c r="L2057" s="117">
        <f>+SUM(L2052:L2055)</f>
        <v>0</v>
      </c>
    </row>
    <row r="2058" spans="2:16" ht="15" customHeight="1" x14ac:dyDescent="0.3">
      <c r="F2058" s="126"/>
      <c r="G2058" s="280"/>
      <c r="H2058" s="128"/>
      <c r="I2058" s="106"/>
      <c r="K2058" s="225"/>
    </row>
    <row r="2059" spans="2:16" ht="15" customHeight="1" thickBot="1" x14ac:dyDescent="0.35"/>
    <row r="2060" spans="2:16" ht="17.25" thickBot="1" x14ac:dyDescent="0.35">
      <c r="F2060" s="402" t="s">
        <v>20</v>
      </c>
      <c r="G2060" s="403"/>
      <c r="H2060" s="403"/>
      <c r="I2060" s="404"/>
      <c r="K2060" s="224">
        <f>(+K2031+K2040+K2049+K2057)</f>
        <v>240</v>
      </c>
      <c r="L2060" s="117">
        <f>(+L2031+L2040+L2049+L2057)</f>
        <v>1440</v>
      </c>
      <c r="N2060" s="129"/>
      <c r="O2060" s="39"/>
      <c r="P2060" s="40"/>
    </row>
    <row r="2061" spans="2:16" ht="7.5" customHeight="1" thickBot="1" x14ac:dyDescent="0.35">
      <c r="N2061" s="129"/>
      <c r="O2061" s="41"/>
      <c r="P2061" s="40"/>
    </row>
    <row r="2062" spans="2:16" ht="17.25" thickBot="1" x14ac:dyDescent="0.35">
      <c r="F2062" s="402" t="s">
        <v>21</v>
      </c>
      <c r="G2062" s="403"/>
      <c r="H2062" s="403"/>
      <c r="I2062" s="404"/>
      <c r="K2062" s="224">
        <f>K2060*$N$2</f>
        <v>96</v>
      </c>
      <c r="L2062" s="117">
        <f>L2060*$N$2</f>
        <v>576</v>
      </c>
    </row>
    <row r="2063" spans="2:16" ht="7.5" customHeight="1" thickBot="1" x14ac:dyDescent="0.35"/>
    <row r="2064" spans="2:16" ht="17.25" thickBot="1" x14ac:dyDescent="0.35">
      <c r="F2064" s="402" t="s">
        <v>22</v>
      </c>
      <c r="G2064" s="403"/>
      <c r="H2064" s="403"/>
      <c r="I2064" s="404"/>
      <c r="K2064" s="224">
        <f>+K2060+K2062</f>
        <v>336</v>
      </c>
      <c r="L2064" s="117">
        <f>+L2060+L2062</f>
        <v>2016</v>
      </c>
    </row>
    <row r="2065" spans="1:16" ht="17.25" thickBot="1" x14ac:dyDescent="0.35">
      <c r="F2065" s="126"/>
      <c r="G2065" s="280"/>
      <c r="H2065" s="128"/>
      <c r="I2065" s="106"/>
      <c r="K2065" s="226"/>
      <c r="L2065" s="130">
        <f>L2064/I2021</f>
        <v>336</v>
      </c>
      <c r="M2065" s="131">
        <f>(K2064-L2065)*I2021</f>
        <v>0</v>
      </c>
    </row>
    <row r="2066" spans="1:16" x14ac:dyDescent="0.3">
      <c r="F2066" s="126"/>
      <c r="G2066" s="280"/>
      <c r="H2066" s="128"/>
      <c r="I2066" s="106"/>
      <c r="K2066" s="227"/>
      <c r="L2066" s="129"/>
      <c r="M2066" s="132"/>
      <c r="N2066" s="133"/>
    </row>
    <row r="2067" spans="1:16" ht="17.25" thickBot="1" x14ac:dyDescent="0.35">
      <c r="B2067" s="405"/>
      <c r="C2067" s="405"/>
      <c r="D2067" s="405"/>
    </row>
    <row r="2068" spans="1:16" x14ac:dyDescent="0.3">
      <c r="B2068" s="406" t="s">
        <v>23</v>
      </c>
      <c r="C2068" s="406"/>
      <c r="D2068" s="406"/>
    </row>
    <row r="2069" spans="1:16" x14ac:dyDescent="0.3">
      <c r="B2069" s="281"/>
      <c r="C2069" s="281"/>
      <c r="D2069" s="281"/>
    </row>
    <row r="2070" spans="1:16" x14ac:dyDescent="0.3">
      <c r="B2070" s="281"/>
      <c r="C2070" s="281"/>
      <c r="D2070" s="281"/>
    </row>
    <row r="2071" spans="1:16" x14ac:dyDescent="0.3">
      <c r="B2071" s="103" t="s">
        <v>43</v>
      </c>
      <c r="C2071" s="104"/>
      <c r="D2071" s="422" t="s">
        <v>1</v>
      </c>
      <c r="E2071" s="422"/>
      <c r="F2071" s="422"/>
      <c r="G2071" s="422"/>
      <c r="H2071" s="104"/>
      <c r="I2071" s="105" t="s">
        <v>2</v>
      </c>
      <c r="J2071" s="134"/>
      <c r="K2071" s="105" t="s">
        <v>3</v>
      </c>
    </row>
    <row r="2072" spans="1:16" s="4" customFormat="1" ht="30.75" customHeight="1" x14ac:dyDescent="0.25">
      <c r="A2072" s="31"/>
      <c r="B2072" s="287">
        <f>CATALOGO!B74</f>
        <v>907.04</v>
      </c>
      <c r="C2072" s="71"/>
      <c r="D2072" s="437" t="str">
        <f>CATALOGO!C74</f>
        <v xml:space="preserve">CAJA DE REGISTRO DE 0.47m X 0.47m </v>
      </c>
      <c r="E2072" s="437"/>
      <c r="F2072" s="437"/>
      <c r="G2072" s="437"/>
      <c r="H2072" s="71"/>
      <c r="I2072" s="287">
        <f>CATALOGO!D74</f>
        <v>1</v>
      </c>
      <c r="J2072" s="107"/>
      <c r="K2072" s="222" t="str">
        <f>CATALOGO!G74</f>
        <v>Unidad</v>
      </c>
      <c r="L2072" s="71"/>
      <c r="M2072" s="71"/>
      <c r="N2072" s="102"/>
      <c r="O2072" s="37"/>
      <c r="P2072" s="37"/>
    </row>
    <row r="2073" spans="1:16" ht="17.25" thickBot="1" x14ac:dyDescent="0.35"/>
    <row r="2074" spans="1:16" ht="17.25" thickBot="1" x14ac:dyDescent="0.35">
      <c r="B2074" s="108" t="s">
        <v>4</v>
      </c>
      <c r="C2074" s="413" t="s">
        <v>5</v>
      </c>
      <c r="D2074" s="413"/>
      <c r="E2074" s="413"/>
      <c r="F2074" s="413"/>
      <c r="G2074" s="414"/>
    </row>
    <row r="2075" spans="1:16" x14ac:dyDescent="0.25">
      <c r="B2075" s="109" t="s">
        <v>6</v>
      </c>
      <c r="C2075" s="424" t="s">
        <v>1</v>
      </c>
      <c r="D2075" s="425"/>
      <c r="E2075" s="110" t="s">
        <v>192</v>
      </c>
      <c r="F2075" s="111" t="s">
        <v>2</v>
      </c>
      <c r="G2075" s="112" t="s">
        <v>3</v>
      </c>
      <c r="H2075" s="104"/>
      <c r="I2075" s="105" t="s">
        <v>7</v>
      </c>
      <c r="J2075" s="134"/>
      <c r="K2075" s="223" t="s">
        <v>8</v>
      </c>
      <c r="L2075" s="113" t="s">
        <v>193</v>
      </c>
      <c r="O2075" s="438"/>
      <c r="P2075" s="438"/>
    </row>
    <row r="2076" spans="1:16" ht="17.25" customHeight="1" x14ac:dyDescent="0.25">
      <c r="B2076" s="120">
        <v>1</v>
      </c>
      <c r="C2076" s="407" t="s">
        <v>312</v>
      </c>
      <c r="D2076" s="408"/>
      <c r="E2076" s="114">
        <f>I2072</f>
        <v>1</v>
      </c>
      <c r="F2076" s="83">
        <f>ROUND(E2076/I2072,2)</f>
        <v>1</v>
      </c>
      <c r="G2076" s="74" t="str">
        <f>IF(C2076=0,0,VLOOKUP(C2076,Tabla1[],2,FALSE))</f>
        <v>Varilla</v>
      </c>
      <c r="I2076" s="115">
        <f>IF(C2076=0,0,VLOOKUP(C2076,Tabla1[],3,FALSE))</f>
        <v>20</v>
      </c>
      <c r="K2076" s="84">
        <f>F2076*I2076</f>
        <v>20</v>
      </c>
      <c r="L2076" s="116">
        <f t="shared" ref="L2076:L2082" si="60">E2076*I2076</f>
        <v>20</v>
      </c>
      <c r="O2076" s="44"/>
      <c r="P2076" s="45"/>
    </row>
    <row r="2077" spans="1:16" x14ac:dyDescent="0.3">
      <c r="B2077" s="120">
        <v>2</v>
      </c>
      <c r="C2077" s="428" t="s">
        <v>213</v>
      </c>
      <c r="D2077" s="429"/>
      <c r="E2077" s="114">
        <f>I2072*0.25</f>
        <v>0.25</v>
      </c>
      <c r="F2077" s="83">
        <f>ROUND(E2077/I2072,2)</f>
        <v>0.25</v>
      </c>
      <c r="G2077" s="74" t="str">
        <f>IF(C2077=0,0,VLOOKUP(C2077,Tabla1[],2,FALSE))</f>
        <v>Saco</v>
      </c>
      <c r="I2077" s="115">
        <f>IF(C2077=0,0,VLOOKUP(C2077,Tabla1[],3,FALSE))</f>
        <v>80</v>
      </c>
      <c r="K2077" s="84">
        <f t="shared" ref="K2077:K2082" si="61">+F2077*I2077</f>
        <v>20</v>
      </c>
      <c r="L2077" s="116">
        <f t="shared" si="60"/>
        <v>20</v>
      </c>
      <c r="P2077" s="45"/>
    </row>
    <row r="2078" spans="1:16" x14ac:dyDescent="0.3">
      <c r="B2078" s="120">
        <v>3</v>
      </c>
      <c r="C2078" s="430" t="s">
        <v>72</v>
      </c>
      <c r="D2078" s="429"/>
      <c r="E2078" s="114">
        <f>I2072*0.2</f>
        <v>0.2</v>
      </c>
      <c r="F2078" s="83">
        <f>ROUND(E2078/I2072,2)</f>
        <v>0.2</v>
      </c>
      <c r="G2078" s="74" t="str">
        <f>IF(C2078=0,0,VLOOKUP(C2078,Tabla1[],2,FALSE))</f>
        <v>m³</v>
      </c>
      <c r="I2078" s="115">
        <f>IF(C2078=0,0,VLOOKUP(C2078,Tabla1[],3,FALSE))</f>
        <v>250</v>
      </c>
      <c r="K2078" s="84">
        <f t="shared" si="61"/>
        <v>50</v>
      </c>
      <c r="L2078" s="116">
        <f t="shared" si="60"/>
        <v>50</v>
      </c>
      <c r="O2078" s="48"/>
      <c r="P2078" s="49"/>
    </row>
    <row r="2079" spans="1:16" x14ac:dyDescent="0.3">
      <c r="B2079" s="120">
        <v>4</v>
      </c>
      <c r="C2079" s="430" t="s">
        <v>229</v>
      </c>
      <c r="D2079" s="429"/>
      <c r="E2079" s="114">
        <f>I2072*0.2</f>
        <v>0.2</v>
      </c>
      <c r="F2079" s="83">
        <f>ROUND(E2079/I2072,2)</f>
        <v>0.2</v>
      </c>
      <c r="G2079" s="74" t="str">
        <f>IF(C2079=0,0,VLOOKUP(C2079,Tabla1[],2,FALSE))</f>
        <v>m³</v>
      </c>
      <c r="I2079" s="115">
        <f>IF(C2079=0,0,VLOOKUP(C2079,Tabla1[],3,FALSE))</f>
        <v>250</v>
      </c>
      <c r="K2079" s="84">
        <f t="shared" si="61"/>
        <v>50</v>
      </c>
      <c r="L2079" s="116">
        <f t="shared" si="60"/>
        <v>50</v>
      </c>
      <c r="O2079" s="48"/>
      <c r="P2079" s="49"/>
    </row>
    <row r="2080" spans="1:16" x14ac:dyDescent="0.3">
      <c r="B2080" s="120">
        <v>5</v>
      </c>
      <c r="C2080" s="430" t="s">
        <v>234</v>
      </c>
      <c r="D2080" s="429"/>
      <c r="E2080" s="114">
        <f>I2072*30</f>
        <v>30</v>
      </c>
      <c r="F2080" s="83">
        <f>ROUND(E2080/I2072,2)</f>
        <v>30</v>
      </c>
      <c r="G2080" s="74" t="str">
        <f>IF(C2080=0,0,VLOOKUP(C2080,Tabla1[],2,FALSE))</f>
        <v>Unidad</v>
      </c>
      <c r="I2080" s="115">
        <f>IF(C2080=0,0,VLOOKUP(C2080,Tabla1[],3,FALSE))</f>
        <v>7</v>
      </c>
      <c r="K2080" s="84">
        <f t="shared" si="61"/>
        <v>210</v>
      </c>
      <c r="L2080" s="116">
        <f t="shared" si="60"/>
        <v>210</v>
      </c>
      <c r="O2080" s="48"/>
      <c r="P2080" s="49"/>
    </row>
    <row r="2081" spans="2:16" x14ac:dyDescent="0.3">
      <c r="B2081" s="120"/>
      <c r="C2081" s="284"/>
      <c r="D2081" s="285"/>
      <c r="E2081" s="114"/>
      <c r="F2081" s="83"/>
      <c r="G2081" s="74"/>
      <c r="I2081" s="115">
        <f>IF(C2081=0,0,VLOOKUP(C2081,Tabla1[],3,FALSE))</f>
        <v>0</v>
      </c>
      <c r="K2081" s="84">
        <f t="shared" si="61"/>
        <v>0</v>
      </c>
      <c r="L2081" s="116">
        <f t="shared" si="60"/>
        <v>0</v>
      </c>
      <c r="O2081" s="48"/>
      <c r="P2081" s="49"/>
    </row>
    <row r="2082" spans="2:16" x14ac:dyDescent="0.3">
      <c r="B2082" s="120"/>
      <c r="C2082" s="428"/>
      <c r="D2082" s="429"/>
      <c r="E2082" s="114"/>
      <c r="F2082" s="83"/>
      <c r="G2082" s="74"/>
      <c r="I2082" s="115">
        <f>IF(C2082=0,0,VLOOKUP(C2082,Tabla1[],3,FALSE))</f>
        <v>0</v>
      </c>
      <c r="K2082" s="84">
        <f t="shared" si="61"/>
        <v>0</v>
      </c>
      <c r="L2082" s="116">
        <f t="shared" si="60"/>
        <v>0</v>
      </c>
      <c r="O2082" s="48"/>
      <c r="P2082" s="49"/>
    </row>
    <row r="2083" spans="2:16" ht="17.25" thickBot="1" x14ac:dyDescent="0.35"/>
    <row r="2084" spans="2:16" ht="17.25" thickBot="1" x14ac:dyDescent="0.3">
      <c r="F2084" s="402" t="s">
        <v>9</v>
      </c>
      <c r="G2084" s="403"/>
      <c r="H2084" s="403"/>
      <c r="I2084" s="404"/>
      <c r="K2084" s="224">
        <f>+SUM(K2076:K2082)</f>
        <v>350</v>
      </c>
      <c r="L2084" s="117">
        <f>+SUM(L2076:L2082)</f>
        <v>350</v>
      </c>
      <c r="O2084" s="38"/>
      <c r="P2084" s="38"/>
    </row>
    <row r="2085" spans="2:16" ht="17.25" thickBot="1" x14ac:dyDescent="0.35">
      <c r="O2085" s="42"/>
      <c r="P2085" s="43"/>
    </row>
    <row r="2086" spans="2:16" ht="17.25" thickBot="1" x14ac:dyDescent="0.35">
      <c r="B2086" s="108" t="s">
        <v>10</v>
      </c>
      <c r="C2086" s="413" t="s">
        <v>11</v>
      </c>
      <c r="D2086" s="413"/>
      <c r="E2086" s="413"/>
      <c r="F2086" s="413"/>
      <c r="G2086" s="414"/>
    </row>
    <row r="2087" spans="2:16" x14ac:dyDescent="0.3">
      <c r="B2087" s="112" t="s">
        <v>6</v>
      </c>
      <c r="C2087" s="415" t="s">
        <v>1</v>
      </c>
      <c r="D2087" s="416"/>
      <c r="E2087" s="110" t="s">
        <v>192</v>
      </c>
      <c r="F2087" s="118" t="s">
        <v>2</v>
      </c>
      <c r="G2087" s="112" t="s">
        <v>3</v>
      </c>
      <c r="H2087" s="104"/>
      <c r="I2087" s="105" t="s">
        <v>7</v>
      </c>
      <c r="J2087" s="134"/>
      <c r="K2087" s="105" t="s">
        <v>8</v>
      </c>
      <c r="L2087" s="113" t="s">
        <v>193</v>
      </c>
    </row>
    <row r="2088" spans="2:16" x14ac:dyDescent="0.3">
      <c r="B2088" s="120"/>
      <c r="C2088" s="409"/>
      <c r="D2088" s="409"/>
      <c r="E2088" s="114"/>
      <c r="F2088" s="83"/>
      <c r="G2088" s="74"/>
      <c r="I2088" s="115">
        <f>IF(C2088=0,0,VLOOKUP(C2088,Tabla3[],3,FALSE))</f>
        <v>0</v>
      </c>
      <c r="K2088" s="84">
        <f>F2088*I2088</f>
        <v>0</v>
      </c>
      <c r="L2088" s="116">
        <f>E2088*I2088</f>
        <v>0</v>
      </c>
    </row>
    <row r="2089" spans="2:16" x14ac:dyDescent="0.3">
      <c r="B2089" s="74"/>
      <c r="C2089" s="431"/>
      <c r="D2089" s="432"/>
      <c r="E2089" s="119"/>
      <c r="F2089" s="72"/>
      <c r="G2089" s="74"/>
      <c r="I2089" s="115">
        <f>IF(C2089=0,0,VLOOKUP(C2089,Tabla3[],3,FALSE))</f>
        <v>0</v>
      </c>
      <c r="K2089" s="84">
        <f>+F2089*I2089</f>
        <v>0</v>
      </c>
      <c r="L2089" s="116">
        <f>E2089*I2089</f>
        <v>0</v>
      </c>
    </row>
    <row r="2090" spans="2:16" x14ac:dyDescent="0.3">
      <c r="B2090" s="74"/>
      <c r="C2090" s="431"/>
      <c r="D2090" s="432"/>
      <c r="E2090" s="119"/>
      <c r="F2090" s="72"/>
      <c r="G2090" s="74"/>
      <c r="I2090" s="115">
        <f>IF(C2090=0,0,VLOOKUP(C2090,Tabla3[],3,FALSE))</f>
        <v>0</v>
      </c>
      <c r="K2090" s="84">
        <f>+F2090*I2090</f>
        <v>0</v>
      </c>
      <c r="L2090" s="116">
        <f>E2090*I2090</f>
        <v>0</v>
      </c>
    </row>
    <row r="2091" spans="2:16" x14ac:dyDescent="0.3">
      <c r="B2091" s="74"/>
      <c r="C2091" s="411"/>
      <c r="D2091" s="412"/>
      <c r="E2091" s="119"/>
      <c r="F2091" s="72"/>
      <c r="G2091" s="74"/>
      <c r="I2091" s="115">
        <f>IF(C2091=0,0,VLOOKUP(C2091,Tabla3[],3,FALSE))</f>
        <v>0</v>
      </c>
      <c r="K2091" s="84">
        <f>+F2091*I2091</f>
        <v>0</v>
      </c>
      <c r="L2091" s="116">
        <f>E2091*I2091</f>
        <v>0</v>
      </c>
    </row>
    <row r="2092" spans="2:16" ht="17.25" thickBot="1" x14ac:dyDescent="0.35"/>
    <row r="2093" spans="2:16" ht="17.25" thickBot="1" x14ac:dyDescent="0.35">
      <c r="F2093" s="402" t="s">
        <v>12</v>
      </c>
      <c r="G2093" s="403"/>
      <c r="H2093" s="403"/>
      <c r="I2093" s="404"/>
      <c r="K2093" s="224">
        <f>+SUM(K2088:K2091)</f>
        <v>0</v>
      </c>
      <c r="L2093" s="117">
        <f>+SUM(L2088:L2091)</f>
        <v>0</v>
      </c>
    </row>
    <row r="2094" spans="2:16" ht="17.25" thickBot="1" x14ac:dyDescent="0.35"/>
    <row r="2095" spans="2:16" ht="17.25" thickBot="1" x14ac:dyDescent="0.35">
      <c r="B2095" s="108" t="s">
        <v>13</v>
      </c>
      <c r="C2095" s="413" t="s">
        <v>14</v>
      </c>
      <c r="D2095" s="413"/>
      <c r="E2095" s="413"/>
      <c r="F2095" s="413"/>
      <c r="G2095" s="414"/>
    </row>
    <row r="2096" spans="2:16" x14ac:dyDescent="0.3">
      <c r="B2096" s="112" t="s">
        <v>6</v>
      </c>
      <c r="C2096" s="415" t="s">
        <v>1</v>
      </c>
      <c r="D2096" s="416"/>
      <c r="E2096" s="110" t="s">
        <v>192</v>
      </c>
      <c r="F2096" s="118" t="s">
        <v>2</v>
      </c>
      <c r="G2096" s="112" t="s">
        <v>3</v>
      </c>
      <c r="H2096" s="104"/>
      <c r="I2096" s="105" t="s">
        <v>7</v>
      </c>
      <c r="J2096" s="134"/>
      <c r="K2096" s="105" t="s">
        <v>8</v>
      </c>
      <c r="L2096" s="113" t="s">
        <v>193</v>
      </c>
    </row>
    <row r="2097" spans="2:12" x14ac:dyDescent="0.3">
      <c r="B2097" s="120">
        <v>1</v>
      </c>
      <c r="C2097" s="409" t="s">
        <v>313</v>
      </c>
      <c r="D2097" s="409"/>
      <c r="E2097" s="114">
        <f>I2072</f>
        <v>1</v>
      </c>
      <c r="F2097" s="83">
        <f>ROUND(E2097/I2072,2)</f>
        <v>1</v>
      </c>
      <c r="G2097" s="74" t="str">
        <f>IF(C2097=0,0,VLOOKUP(C2097,Tabla2[],2,FALSE))</f>
        <v>Unidad</v>
      </c>
      <c r="I2097" s="115">
        <f>IF(C2097=0,0,VLOOKUP(C2097,Tabla2[],3,FALSE))</f>
        <v>150</v>
      </c>
      <c r="K2097" s="84">
        <f>+F2097*I2097</f>
        <v>150</v>
      </c>
      <c r="L2097" s="116">
        <f>E2097*I2097</f>
        <v>150</v>
      </c>
    </row>
    <row r="2098" spans="2:12" x14ac:dyDescent="0.3">
      <c r="B2098" s="120"/>
      <c r="C2098" s="409"/>
      <c r="D2098" s="409"/>
      <c r="E2098" s="114"/>
      <c r="F2098" s="83"/>
      <c r="G2098" s="74"/>
      <c r="I2098" s="115">
        <f>IF(C2098=0,0,VLOOKUP(C2098,Tabla2[],3,FALSE))</f>
        <v>0</v>
      </c>
      <c r="K2098" s="84">
        <f>+F2098*I2098</f>
        <v>0</v>
      </c>
      <c r="L2098" s="116">
        <f>E2098*I2098</f>
        <v>0</v>
      </c>
    </row>
    <row r="2099" spans="2:12" ht="17.25" thickBot="1" x14ac:dyDescent="0.35">
      <c r="B2099" s="121"/>
      <c r="C2099" s="417"/>
      <c r="D2099" s="418"/>
      <c r="E2099" s="122"/>
      <c r="F2099" s="123"/>
      <c r="G2099" s="74"/>
      <c r="I2099" s="115">
        <f>IF(C2099=0,0,VLOOKUP(C2099,Tabla2[],3,FALSE))</f>
        <v>0</v>
      </c>
      <c r="K2099" s="84">
        <f>+F2099*I2099</f>
        <v>0</v>
      </c>
      <c r="L2099" s="116">
        <f>E2099*I2099</f>
        <v>0</v>
      </c>
    </row>
    <row r="2100" spans="2:12" ht="17.25" thickBot="1" x14ac:dyDescent="0.35">
      <c r="B2100" s="419" t="s">
        <v>15</v>
      </c>
      <c r="C2100" s="420"/>
      <c r="D2100" s="420"/>
      <c r="E2100" s="420"/>
      <c r="F2100" s="420"/>
      <c r="G2100" s="421"/>
      <c r="I2100" s="84">
        <v>0</v>
      </c>
      <c r="K2100" s="84">
        <v>0</v>
      </c>
      <c r="L2100" s="116">
        <f>E2100*I2100</f>
        <v>0</v>
      </c>
    </row>
    <row r="2101" spans="2:12" ht="17.25" thickBot="1" x14ac:dyDescent="0.35"/>
    <row r="2102" spans="2:12" ht="17.25" thickBot="1" x14ac:dyDescent="0.35">
      <c r="F2102" s="402" t="s">
        <v>16</v>
      </c>
      <c r="G2102" s="403"/>
      <c r="H2102" s="403"/>
      <c r="I2102" s="404"/>
      <c r="K2102" s="224">
        <f>+SUM(K2097:K2100)</f>
        <v>150</v>
      </c>
      <c r="L2102" s="117">
        <f>+SUM(L2097:L2100)</f>
        <v>150</v>
      </c>
    </row>
    <row r="2103" spans="2:12" ht="17.25" thickBot="1" x14ac:dyDescent="0.35"/>
    <row r="2104" spans="2:12" ht="17.25" thickBot="1" x14ac:dyDescent="0.35">
      <c r="B2104" s="108" t="s">
        <v>17</v>
      </c>
      <c r="C2104" s="413" t="s">
        <v>18</v>
      </c>
      <c r="D2104" s="413"/>
      <c r="E2104" s="413"/>
      <c r="F2104" s="413"/>
      <c r="G2104" s="414"/>
    </row>
    <row r="2105" spans="2:12" x14ac:dyDescent="0.3">
      <c r="B2105" s="112" t="s">
        <v>6</v>
      </c>
      <c r="C2105" s="415" t="s">
        <v>1</v>
      </c>
      <c r="D2105" s="416"/>
      <c r="E2105" s="124"/>
      <c r="F2105" s="118" t="s">
        <v>2</v>
      </c>
      <c r="G2105" s="112" t="s">
        <v>3</v>
      </c>
      <c r="H2105" s="104"/>
      <c r="I2105" s="105" t="s">
        <v>7</v>
      </c>
      <c r="J2105" s="134"/>
      <c r="K2105" s="105" t="s">
        <v>8</v>
      </c>
      <c r="L2105" s="113" t="s">
        <v>193</v>
      </c>
    </row>
    <row r="2106" spans="2:12" x14ac:dyDescent="0.3">
      <c r="B2106" s="74"/>
      <c r="C2106" s="411"/>
      <c r="D2106" s="412"/>
      <c r="E2106" s="125"/>
      <c r="F2106" s="72"/>
      <c r="G2106" s="74"/>
      <c r="I2106" s="84">
        <v>0</v>
      </c>
      <c r="K2106" s="84">
        <f>+F2106*I2106</f>
        <v>0</v>
      </c>
      <c r="L2106" s="116">
        <f>E2106*I2106</f>
        <v>0</v>
      </c>
    </row>
    <row r="2107" spans="2:12" x14ac:dyDescent="0.3">
      <c r="B2107" s="74"/>
      <c r="C2107" s="411"/>
      <c r="D2107" s="412"/>
      <c r="E2107" s="125"/>
      <c r="F2107" s="72"/>
      <c r="G2107" s="74"/>
      <c r="I2107" s="84">
        <v>0</v>
      </c>
      <c r="K2107" s="84">
        <f>+F2107*I2107</f>
        <v>0</v>
      </c>
      <c r="L2107" s="116">
        <f>E2107*I2107</f>
        <v>0</v>
      </c>
    </row>
    <row r="2108" spans="2:12" x14ac:dyDescent="0.3">
      <c r="B2108" s="74"/>
      <c r="C2108" s="411"/>
      <c r="D2108" s="412"/>
      <c r="E2108" s="125"/>
      <c r="F2108" s="72"/>
      <c r="G2108" s="74"/>
      <c r="I2108" s="84">
        <v>0</v>
      </c>
      <c r="K2108" s="84">
        <f>+F2108*I2108</f>
        <v>0</v>
      </c>
      <c r="L2108" s="116">
        <f>E2108*I2108</f>
        <v>0</v>
      </c>
    </row>
    <row r="2109" spans="2:12" ht="17.25" thickBot="1" x14ac:dyDescent="0.35">
      <c r="L2109" s="116"/>
    </row>
    <row r="2110" spans="2:12" ht="17.25" thickBot="1" x14ac:dyDescent="0.35">
      <c r="F2110" s="402" t="s">
        <v>19</v>
      </c>
      <c r="G2110" s="403"/>
      <c r="H2110" s="403"/>
      <c r="I2110" s="404"/>
      <c r="K2110" s="224">
        <f>+SUM(K2106:K2108)</f>
        <v>0</v>
      </c>
      <c r="L2110" s="117">
        <f>+SUM(L2105:L2108)</f>
        <v>0</v>
      </c>
    </row>
    <row r="2111" spans="2:12" ht="15" customHeight="1" x14ac:dyDescent="0.3">
      <c r="F2111" s="126"/>
      <c r="G2111" s="280"/>
      <c r="H2111" s="128"/>
      <c r="I2111" s="106"/>
      <c r="K2111" s="225"/>
    </row>
    <row r="2112" spans="2:12" ht="15" customHeight="1" thickBot="1" x14ac:dyDescent="0.35"/>
    <row r="2113" spans="1:16" ht="17.25" thickBot="1" x14ac:dyDescent="0.35">
      <c r="F2113" s="402" t="s">
        <v>20</v>
      </c>
      <c r="G2113" s="403"/>
      <c r="H2113" s="403"/>
      <c r="I2113" s="404"/>
      <c r="K2113" s="224">
        <f>(+K2084+K2093+K2102+K2110)</f>
        <v>500</v>
      </c>
      <c r="L2113" s="117">
        <f>(+L2084+L2093+L2102+L2110)</f>
        <v>500</v>
      </c>
      <c r="N2113" s="129"/>
      <c r="O2113" s="39"/>
      <c r="P2113" s="40"/>
    </row>
    <row r="2114" spans="1:16" ht="7.5" customHeight="1" thickBot="1" x14ac:dyDescent="0.35">
      <c r="N2114" s="129"/>
      <c r="O2114" s="41"/>
      <c r="P2114" s="40"/>
    </row>
    <row r="2115" spans="1:16" ht="17.25" thickBot="1" x14ac:dyDescent="0.35">
      <c r="F2115" s="402" t="s">
        <v>21</v>
      </c>
      <c r="G2115" s="403"/>
      <c r="H2115" s="403"/>
      <c r="I2115" s="404"/>
      <c r="K2115" s="224">
        <f>K2113*$N$2</f>
        <v>200</v>
      </c>
      <c r="L2115" s="117">
        <f>L2113*$N$2</f>
        <v>200</v>
      </c>
    </row>
    <row r="2116" spans="1:16" ht="7.5" customHeight="1" thickBot="1" x14ac:dyDescent="0.35"/>
    <row r="2117" spans="1:16" ht="17.25" thickBot="1" x14ac:dyDescent="0.35">
      <c r="F2117" s="402" t="s">
        <v>22</v>
      </c>
      <c r="G2117" s="403"/>
      <c r="H2117" s="403"/>
      <c r="I2117" s="404"/>
      <c r="K2117" s="224">
        <f>+K2113+K2115</f>
        <v>700</v>
      </c>
      <c r="L2117" s="117">
        <f>+L2113+L2115</f>
        <v>700</v>
      </c>
    </row>
    <row r="2118" spans="1:16" ht="17.25" thickBot="1" x14ac:dyDescent="0.35">
      <c r="F2118" s="126"/>
      <c r="G2118" s="280"/>
      <c r="H2118" s="128"/>
      <c r="I2118" s="106"/>
      <c r="K2118" s="226"/>
      <c r="L2118" s="130">
        <f>L2117/I2072</f>
        <v>700</v>
      </c>
      <c r="M2118" s="131">
        <f>(K2117-L2118)*I2072</f>
        <v>0</v>
      </c>
    </row>
    <row r="2119" spans="1:16" x14ac:dyDescent="0.3">
      <c r="F2119" s="126"/>
      <c r="G2119" s="280"/>
      <c r="H2119" s="128"/>
      <c r="I2119" s="106"/>
      <c r="K2119" s="227"/>
      <c r="L2119" s="129"/>
      <c r="M2119" s="132"/>
      <c r="N2119" s="133"/>
    </row>
    <row r="2120" spans="1:16" ht="17.25" thickBot="1" x14ac:dyDescent="0.35">
      <c r="B2120" s="405"/>
      <c r="C2120" s="405"/>
      <c r="D2120" s="405"/>
    </row>
    <row r="2121" spans="1:16" x14ac:dyDescent="0.3">
      <c r="B2121" s="406" t="s">
        <v>23</v>
      </c>
      <c r="C2121" s="406"/>
      <c r="D2121" s="406"/>
    </row>
    <row r="2122" spans="1:16" x14ac:dyDescent="0.3">
      <c r="B2122" s="281"/>
      <c r="C2122" s="281"/>
      <c r="D2122" s="281"/>
    </row>
    <row r="2123" spans="1:16" x14ac:dyDescent="0.3">
      <c r="B2123" s="281"/>
      <c r="C2123" s="281"/>
      <c r="D2123" s="281"/>
    </row>
    <row r="2124" spans="1:16" x14ac:dyDescent="0.3">
      <c r="B2124" s="103" t="s">
        <v>43</v>
      </c>
      <c r="C2124" s="104"/>
      <c r="D2124" s="422" t="s">
        <v>1</v>
      </c>
      <c r="E2124" s="422"/>
      <c r="F2124" s="422"/>
      <c r="G2124" s="422"/>
      <c r="H2124" s="104"/>
      <c r="I2124" s="105" t="s">
        <v>2</v>
      </c>
      <c r="J2124" s="134"/>
      <c r="K2124" s="105" t="s">
        <v>3</v>
      </c>
    </row>
    <row r="2125" spans="1:16" s="4" customFormat="1" ht="30.75" customHeight="1" x14ac:dyDescent="0.25">
      <c r="A2125" s="31"/>
      <c r="B2125" s="287">
        <f>CATALOGO!B75</f>
        <v>907.05</v>
      </c>
      <c r="C2125" s="71"/>
      <c r="D2125" s="437" t="str">
        <f>CATALOGO!C75</f>
        <v>CAJA DE REGISTRO DE 0.59m X 0.59m</v>
      </c>
      <c r="E2125" s="437"/>
      <c r="F2125" s="437"/>
      <c r="G2125" s="437"/>
      <c r="H2125" s="71"/>
      <c r="I2125" s="287">
        <f>CATALOGO!D75</f>
        <v>1</v>
      </c>
      <c r="J2125" s="107"/>
      <c r="K2125" s="222" t="str">
        <f>CATALOGO!G75</f>
        <v>Unidad</v>
      </c>
      <c r="L2125" s="71"/>
      <c r="M2125" s="71"/>
      <c r="N2125" s="102"/>
      <c r="O2125" s="37"/>
      <c r="P2125" s="37"/>
    </row>
    <row r="2126" spans="1:16" ht="17.25" thickBot="1" x14ac:dyDescent="0.35"/>
    <row r="2127" spans="1:16" ht="17.25" thickBot="1" x14ac:dyDescent="0.35">
      <c r="B2127" s="108" t="s">
        <v>4</v>
      </c>
      <c r="C2127" s="413" t="s">
        <v>5</v>
      </c>
      <c r="D2127" s="413"/>
      <c r="E2127" s="413"/>
      <c r="F2127" s="413"/>
      <c r="G2127" s="414"/>
    </row>
    <row r="2128" spans="1:16" x14ac:dyDescent="0.25">
      <c r="B2128" s="109" t="s">
        <v>6</v>
      </c>
      <c r="C2128" s="424" t="s">
        <v>1</v>
      </c>
      <c r="D2128" s="425"/>
      <c r="E2128" s="110" t="s">
        <v>192</v>
      </c>
      <c r="F2128" s="111" t="s">
        <v>2</v>
      </c>
      <c r="G2128" s="112" t="s">
        <v>3</v>
      </c>
      <c r="H2128" s="104"/>
      <c r="I2128" s="105" t="s">
        <v>7</v>
      </c>
      <c r="J2128" s="134"/>
      <c r="K2128" s="223" t="s">
        <v>8</v>
      </c>
      <c r="L2128" s="113" t="s">
        <v>193</v>
      </c>
      <c r="O2128" s="438"/>
      <c r="P2128" s="438"/>
    </row>
    <row r="2129" spans="2:16" ht="17.25" customHeight="1" x14ac:dyDescent="0.25">
      <c r="B2129" s="120">
        <v>1</v>
      </c>
      <c r="C2129" s="407" t="s">
        <v>312</v>
      </c>
      <c r="D2129" s="408"/>
      <c r="E2129" s="114">
        <f>I2125*1.5</f>
        <v>1.5</v>
      </c>
      <c r="F2129" s="83">
        <f>ROUND(E2129/I2125,2)</f>
        <v>1.5</v>
      </c>
      <c r="G2129" s="74" t="str">
        <f>IF(C2129=0,0,VLOOKUP(C2129,Tabla1[],2,FALSE))</f>
        <v>Varilla</v>
      </c>
      <c r="I2129" s="115">
        <f>IF(C2129=0,0,VLOOKUP(C2129,Tabla1[],3,FALSE))</f>
        <v>20</v>
      </c>
      <c r="K2129" s="84">
        <f>F2129*I2129</f>
        <v>30</v>
      </c>
      <c r="L2129" s="116">
        <f t="shared" ref="L2129:L2138" si="62">E2129*I2129</f>
        <v>30</v>
      </c>
      <c r="O2129" s="44"/>
      <c r="P2129" s="45"/>
    </row>
    <row r="2130" spans="2:16" x14ac:dyDescent="0.3">
      <c r="B2130" s="120">
        <v>2</v>
      </c>
      <c r="C2130" s="428" t="s">
        <v>213</v>
      </c>
      <c r="D2130" s="429"/>
      <c r="E2130" s="114">
        <f>I2125*0.5</f>
        <v>0.5</v>
      </c>
      <c r="F2130" s="83">
        <f>ROUND(E2130/I2125,2)</f>
        <v>0.5</v>
      </c>
      <c r="G2130" s="74" t="str">
        <f>IF(C2130=0,0,VLOOKUP(C2130,Tabla1[],2,FALSE))</f>
        <v>Saco</v>
      </c>
      <c r="I2130" s="115">
        <f>IF(C2130=0,0,VLOOKUP(C2130,Tabla1[],3,FALSE))</f>
        <v>80</v>
      </c>
      <c r="K2130" s="84">
        <f t="shared" ref="K2130:K2138" si="63">+F2130*I2130</f>
        <v>40</v>
      </c>
      <c r="L2130" s="116">
        <f t="shared" si="62"/>
        <v>40</v>
      </c>
      <c r="P2130" s="45"/>
    </row>
    <row r="2131" spans="2:16" x14ac:dyDescent="0.3">
      <c r="B2131" s="120">
        <v>3</v>
      </c>
      <c r="C2131" s="430" t="s">
        <v>72</v>
      </c>
      <c r="D2131" s="429"/>
      <c r="E2131" s="114">
        <f>I2125*0.4</f>
        <v>0.4</v>
      </c>
      <c r="F2131" s="83">
        <f>ROUND(E2131/I2125,2)</f>
        <v>0.4</v>
      </c>
      <c r="G2131" s="74" t="str">
        <f>IF(C2131=0,0,VLOOKUP(C2131,Tabla1[],2,FALSE))</f>
        <v>m³</v>
      </c>
      <c r="I2131" s="115">
        <f>IF(C2131=0,0,VLOOKUP(C2131,Tabla1[],3,FALSE))</f>
        <v>250</v>
      </c>
      <c r="K2131" s="84">
        <f t="shared" si="63"/>
        <v>100</v>
      </c>
      <c r="L2131" s="116">
        <f t="shared" si="62"/>
        <v>100</v>
      </c>
      <c r="O2131" s="48"/>
      <c r="P2131" s="49"/>
    </row>
    <row r="2132" spans="2:16" x14ac:dyDescent="0.3">
      <c r="B2132" s="120">
        <v>4</v>
      </c>
      <c r="C2132" s="430" t="s">
        <v>229</v>
      </c>
      <c r="D2132" s="429"/>
      <c r="E2132" s="114">
        <f>I2125*0.4</f>
        <v>0.4</v>
      </c>
      <c r="F2132" s="83">
        <f>ROUND(E2132/I2125,2)</f>
        <v>0.4</v>
      </c>
      <c r="G2132" s="74" t="str">
        <f>IF(C2132=0,0,VLOOKUP(C2132,Tabla1[],2,FALSE))</f>
        <v>m³</v>
      </c>
      <c r="I2132" s="115">
        <f>IF(C2132=0,0,VLOOKUP(C2132,Tabla1[],3,FALSE))</f>
        <v>250</v>
      </c>
      <c r="K2132" s="84">
        <f t="shared" si="63"/>
        <v>100</v>
      </c>
      <c r="L2132" s="116">
        <f t="shared" si="62"/>
        <v>100</v>
      </c>
      <c r="O2132" s="48"/>
      <c r="P2132" s="49"/>
    </row>
    <row r="2133" spans="2:16" x14ac:dyDescent="0.3">
      <c r="B2133" s="120">
        <v>5</v>
      </c>
      <c r="C2133" s="430" t="s">
        <v>234</v>
      </c>
      <c r="D2133" s="429"/>
      <c r="E2133" s="114">
        <f>I2125*60</f>
        <v>60</v>
      </c>
      <c r="F2133" s="83">
        <f>ROUND(E2133/I2125,2)</f>
        <v>60</v>
      </c>
      <c r="G2133" s="74" t="str">
        <f>IF(C2133=0,0,VLOOKUP(C2133,Tabla1[],2,FALSE))</f>
        <v>Unidad</v>
      </c>
      <c r="I2133" s="115">
        <f>IF(C2133=0,0,VLOOKUP(C2133,Tabla1[],3,FALSE))</f>
        <v>7</v>
      </c>
      <c r="K2133" s="84">
        <f t="shared" si="63"/>
        <v>420</v>
      </c>
      <c r="L2133" s="116">
        <f t="shared" si="62"/>
        <v>420</v>
      </c>
      <c r="O2133" s="48"/>
      <c r="P2133" s="49"/>
    </row>
    <row r="2134" spans="2:16" x14ac:dyDescent="0.3">
      <c r="B2134" s="120"/>
      <c r="C2134" s="284"/>
      <c r="D2134" s="285"/>
      <c r="E2134" s="114"/>
      <c r="F2134" s="83"/>
      <c r="G2134" s="74"/>
      <c r="I2134" s="115">
        <f>IF(C2134=0,0,VLOOKUP(C2134,Tabla1[],3,FALSE))</f>
        <v>0</v>
      </c>
      <c r="K2134" s="84">
        <f t="shared" si="63"/>
        <v>0</v>
      </c>
      <c r="L2134" s="116">
        <f t="shared" si="62"/>
        <v>0</v>
      </c>
      <c r="O2134" s="48"/>
      <c r="P2134" s="49"/>
    </row>
    <row r="2135" spans="2:16" x14ac:dyDescent="0.3">
      <c r="B2135" s="120"/>
      <c r="C2135" s="428"/>
      <c r="D2135" s="429"/>
      <c r="E2135" s="114"/>
      <c r="F2135" s="83"/>
      <c r="G2135" s="74"/>
      <c r="I2135" s="115">
        <f>IF(C2135=0,0,VLOOKUP(C2135,Tabla1[],3,FALSE))</f>
        <v>0</v>
      </c>
      <c r="K2135" s="84">
        <f t="shared" si="63"/>
        <v>0</v>
      </c>
      <c r="L2135" s="116">
        <f t="shared" si="62"/>
        <v>0</v>
      </c>
      <c r="O2135" s="48"/>
      <c r="P2135" s="49"/>
    </row>
    <row r="2136" spans="2:16" x14ac:dyDescent="0.3">
      <c r="B2136" s="120"/>
      <c r="C2136" s="428"/>
      <c r="D2136" s="429"/>
      <c r="E2136" s="114"/>
      <c r="F2136" s="83"/>
      <c r="G2136" s="74"/>
      <c r="I2136" s="115">
        <f>IF(C2136=0,0,VLOOKUP(C2136,Tabla1[],3,FALSE))</f>
        <v>0</v>
      </c>
      <c r="K2136" s="84">
        <f t="shared" si="63"/>
        <v>0</v>
      </c>
      <c r="L2136" s="116">
        <f t="shared" si="62"/>
        <v>0</v>
      </c>
      <c r="O2136" s="48"/>
      <c r="P2136" s="49"/>
    </row>
    <row r="2137" spans="2:16" x14ac:dyDescent="0.3">
      <c r="B2137" s="120"/>
      <c r="C2137" s="431"/>
      <c r="D2137" s="432"/>
      <c r="E2137" s="114"/>
      <c r="F2137" s="83"/>
      <c r="G2137" s="74"/>
      <c r="I2137" s="115">
        <f>IF(C2137=0,0,VLOOKUP(C2137,Tabla1[],3,FALSE))</f>
        <v>0</v>
      </c>
      <c r="K2137" s="84">
        <f t="shared" si="63"/>
        <v>0</v>
      </c>
      <c r="L2137" s="116">
        <f t="shared" si="62"/>
        <v>0</v>
      </c>
      <c r="O2137" s="48"/>
      <c r="P2137" s="49"/>
    </row>
    <row r="2138" spans="2:16" x14ac:dyDescent="0.3">
      <c r="B2138" s="120"/>
      <c r="C2138" s="430"/>
      <c r="D2138" s="429"/>
      <c r="E2138" s="114"/>
      <c r="F2138" s="83"/>
      <c r="G2138" s="74"/>
      <c r="I2138" s="115">
        <f>IF(C2138=0,0,VLOOKUP(C2138,Tabla1[],3,FALSE))</f>
        <v>0</v>
      </c>
      <c r="K2138" s="84">
        <f t="shared" si="63"/>
        <v>0</v>
      </c>
      <c r="L2138" s="116">
        <f t="shared" si="62"/>
        <v>0</v>
      </c>
      <c r="O2138" s="48"/>
      <c r="P2138" s="49"/>
    </row>
    <row r="2139" spans="2:16" ht="17.25" thickBot="1" x14ac:dyDescent="0.35"/>
    <row r="2140" spans="2:16" ht="17.25" thickBot="1" x14ac:dyDescent="0.3">
      <c r="F2140" s="402" t="s">
        <v>9</v>
      </c>
      <c r="G2140" s="403"/>
      <c r="H2140" s="403"/>
      <c r="I2140" s="404"/>
      <c r="K2140" s="224">
        <f>+SUM(K2129:K2138)</f>
        <v>690</v>
      </c>
      <c r="L2140" s="117">
        <f>+SUM(L2129:L2138)</f>
        <v>690</v>
      </c>
      <c r="O2140" s="38"/>
      <c r="P2140" s="38"/>
    </row>
    <row r="2141" spans="2:16" ht="17.25" thickBot="1" x14ac:dyDescent="0.35">
      <c r="O2141" s="42"/>
      <c r="P2141" s="43"/>
    </row>
    <row r="2142" spans="2:16" ht="17.25" thickBot="1" x14ac:dyDescent="0.35">
      <c r="B2142" s="108" t="s">
        <v>10</v>
      </c>
      <c r="C2142" s="413" t="s">
        <v>11</v>
      </c>
      <c r="D2142" s="413"/>
      <c r="E2142" s="413"/>
      <c r="F2142" s="413"/>
      <c r="G2142" s="414"/>
    </row>
    <row r="2143" spans="2:16" x14ac:dyDescent="0.3">
      <c r="B2143" s="112" t="s">
        <v>6</v>
      </c>
      <c r="C2143" s="415" t="s">
        <v>1</v>
      </c>
      <c r="D2143" s="416"/>
      <c r="E2143" s="110" t="s">
        <v>192</v>
      </c>
      <c r="F2143" s="118" t="s">
        <v>2</v>
      </c>
      <c r="G2143" s="112" t="s">
        <v>3</v>
      </c>
      <c r="H2143" s="104"/>
      <c r="I2143" s="105" t="s">
        <v>7</v>
      </c>
      <c r="J2143" s="134"/>
      <c r="K2143" s="105" t="s">
        <v>8</v>
      </c>
      <c r="L2143" s="113" t="s">
        <v>193</v>
      </c>
    </row>
    <row r="2144" spans="2:16" x14ac:dyDescent="0.3">
      <c r="B2144" s="120"/>
      <c r="C2144" s="409"/>
      <c r="D2144" s="409"/>
      <c r="E2144" s="114"/>
      <c r="F2144" s="83"/>
      <c r="G2144" s="74"/>
      <c r="I2144" s="115">
        <f>IF(C2144=0,0,VLOOKUP(C2144,Tabla3[],3,FALSE))</f>
        <v>0</v>
      </c>
      <c r="K2144" s="84">
        <f>F2144*I2144</f>
        <v>0</v>
      </c>
      <c r="L2144" s="116">
        <f>E2144*I2144</f>
        <v>0</v>
      </c>
    </row>
    <row r="2145" spans="2:12" x14ac:dyDescent="0.3">
      <c r="B2145" s="74"/>
      <c r="C2145" s="431"/>
      <c r="D2145" s="432"/>
      <c r="E2145" s="119"/>
      <c r="F2145" s="72"/>
      <c r="G2145" s="74"/>
      <c r="I2145" s="115">
        <f>IF(C2145=0,0,VLOOKUP(C2145,Tabla3[],3,FALSE))</f>
        <v>0</v>
      </c>
      <c r="K2145" s="84">
        <f>+F2145*I2145</f>
        <v>0</v>
      </c>
      <c r="L2145" s="116">
        <f>E2145*I2145</f>
        <v>0</v>
      </c>
    </row>
    <row r="2146" spans="2:12" x14ac:dyDescent="0.3">
      <c r="B2146" s="74"/>
      <c r="C2146" s="431"/>
      <c r="D2146" s="432"/>
      <c r="E2146" s="119"/>
      <c r="F2146" s="72"/>
      <c r="G2146" s="74"/>
      <c r="I2146" s="115">
        <f>IF(C2146=0,0,VLOOKUP(C2146,Tabla3[],3,FALSE))</f>
        <v>0</v>
      </c>
      <c r="K2146" s="84">
        <f>+F2146*I2146</f>
        <v>0</v>
      </c>
      <c r="L2146" s="116">
        <f>E2146*I2146</f>
        <v>0</v>
      </c>
    </row>
    <row r="2147" spans="2:12" x14ac:dyDescent="0.3">
      <c r="B2147" s="74"/>
      <c r="C2147" s="411"/>
      <c r="D2147" s="412"/>
      <c r="E2147" s="119"/>
      <c r="F2147" s="72"/>
      <c r="G2147" s="74"/>
      <c r="I2147" s="115">
        <f>IF(C2147=0,0,VLOOKUP(C2147,Tabla3[],3,FALSE))</f>
        <v>0</v>
      </c>
      <c r="K2147" s="84">
        <f>+F2147*I2147</f>
        <v>0</v>
      </c>
      <c r="L2147" s="116">
        <f>E2147*I2147</f>
        <v>0</v>
      </c>
    </row>
    <row r="2148" spans="2:12" ht="17.25" thickBot="1" x14ac:dyDescent="0.35"/>
    <row r="2149" spans="2:12" ht="17.25" thickBot="1" x14ac:dyDescent="0.35">
      <c r="F2149" s="402" t="s">
        <v>12</v>
      </c>
      <c r="G2149" s="403"/>
      <c r="H2149" s="403"/>
      <c r="I2149" s="404"/>
      <c r="K2149" s="224">
        <f>+SUM(K2144:K2147)</f>
        <v>0</v>
      </c>
      <c r="L2149" s="117">
        <f>+SUM(L2144:L2147)</f>
        <v>0</v>
      </c>
    </row>
    <row r="2150" spans="2:12" ht="17.25" thickBot="1" x14ac:dyDescent="0.35"/>
    <row r="2151" spans="2:12" ht="17.25" thickBot="1" x14ac:dyDescent="0.35">
      <c r="B2151" s="108" t="s">
        <v>13</v>
      </c>
      <c r="C2151" s="413" t="s">
        <v>14</v>
      </c>
      <c r="D2151" s="413"/>
      <c r="E2151" s="413"/>
      <c r="F2151" s="413"/>
      <c r="G2151" s="414"/>
    </row>
    <row r="2152" spans="2:12" x14ac:dyDescent="0.3">
      <c r="B2152" s="112" t="s">
        <v>6</v>
      </c>
      <c r="C2152" s="415" t="s">
        <v>1</v>
      </c>
      <c r="D2152" s="416"/>
      <c r="E2152" s="110" t="s">
        <v>192</v>
      </c>
      <c r="F2152" s="118" t="s">
        <v>2</v>
      </c>
      <c r="G2152" s="112" t="s">
        <v>3</v>
      </c>
      <c r="H2152" s="104"/>
      <c r="I2152" s="105" t="s">
        <v>7</v>
      </c>
      <c r="J2152" s="134"/>
      <c r="K2152" s="105" t="s">
        <v>8</v>
      </c>
      <c r="L2152" s="113" t="s">
        <v>193</v>
      </c>
    </row>
    <row r="2153" spans="2:12" x14ac:dyDescent="0.3">
      <c r="B2153" s="120">
        <v>1</v>
      </c>
      <c r="C2153" s="409" t="s">
        <v>313</v>
      </c>
      <c r="D2153" s="409"/>
      <c r="E2153" s="114">
        <f>I2125</f>
        <v>1</v>
      </c>
      <c r="F2153" s="83">
        <f>ROUND(E2153/I2125,2)</f>
        <v>1</v>
      </c>
      <c r="G2153" s="74" t="str">
        <f>IF(C2153=0,0,VLOOKUP(C2153,Tabla2[],2,FALSE))</f>
        <v>Unidad</v>
      </c>
      <c r="I2153" s="115">
        <f>IF(C2153=0,0,VLOOKUP(C2153,Tabla2[],3,FALSE))</f>
        <v>150</v>
      </c>
      <c r="K2153" s="84">
        <f>+F2153*I2153</f>
        <v>150</v>
      </c>
      <c r="L2153" s="116">
        <f>E2153*I2153</f>
        <v>150</v>
      </c>
    </row>
    <row r="2154" spans="2:12" x14ac:dyDescent="0.3">
      <c r="B2154" s="120"/>
      <c r="C2154" s="409"/>
      <c r="D2154" s="409"/>
      <c r="E2154" s="114"/>
      <c r="F2154" s="83"/>
      <c r="G2154" s="74"/>
      <c r="I2154" s="115">
        <f>IF(C2154=0,0,VLOOKUP(C2154,Tabla2[],3,FALSE))</f>
        <v>0</v>
      </c>
      <c r="K2154" s="84">
        <f>+F2154*I2154</f>
        <v>0</v>
      </c>
      <c r="L2154" s="116">
        <f>E2154*I2154</f>
        <v>0</v>
      </c>
    </row>
    <row r="2155" spans="2:12" ht="17.25" thickBot="1" x14ac:dyDescent="0.35">
      <c r="B2155" s="121"/>
      <c r="C2155" s="417"/>
      <c r="D2155" s="418"/>
      <c r="E2155" s="122"/>
      <c r="F2155" s="123"/>
      <c r="G2155" s="74"/>
      <c r="I2155" s="115">
        <f>IF(C2155=0,0,VLOOKUP(C2155,Tabla2[],3,FALSE))</f>
        <v>0</v>
      </c>
      <c r="K2155" s="84">
        <f>+F2155*I2155</f>
        <v>0</v>
      </c>
      <c r="L2155" s="116">
        <f>E2155*I2155</f>
        <v>0</v>
      </c>
    </row>
    <row r="2156" spans="2:12" ht="17.25" thickBot="1" x14ac:dyDescent="0.35">
      <c r="B2156" s="419" t="s">
        <v>15</v>
      </c>
      <c r="C2156" s="420"/>
      <c r="D2156" s="420"/>
      <c r="E2156" s="420"/>
      <c r="F2156" s="420"/>
      <c r="G2156" s="421"/>
      <c r="I2156" s="84">
        <v>0</v>
      </c>
      <c r="K2156" s="84">
        <v>0</v>
      </c>
      <c r="L2156" s="116">
        <f>E2156*I2156</f>
        <v>0</v>
      </c>
    </row>
    <row r="2157" spans="2:12" ht="17.25" thickBot="1" x14ac:dyDescent="0.35"/>
    <row r="2158" spans="2:12" ht="17.25" thickBot="1" x14ac:dyDescent="0.35">
      <c r="F2158" s="402" t="s">
        <v>16</v>
      </c>
      <c r="G2158" s="403"/>
      <c r="H2158" s="403"/>
      <c r="I2158" s="404"/>
      <c r="K2158" s="224">
        <f>+SUM(K2153:K2156)</f>
        <v>150</v>
      </c>
      <c r="L2158" s="117">
        <f>+SUM(L2153:L2156)</f>
        <v>150</v>
      </c>
    </row>
    <row r="2159" spans="2:12" ht="17.25" thickBot="1" x14ac:dyDescent="0.35"/>
    <row r="2160" spans="2:12" ht="17.25" thickBot="1" x14ac:dyDescent="0.35">
      <c r="B2160" s="108" t="s">
        <v>17</v>
      </c>
      <c r="C2160" s="413" t="s">
        <v>18</v>
      </c>
      <c r="D2160" s="413"/>
      <c r="E2160" s="413"/>
      <c r="F2160" s="413"/>
      <c r="G2160" s="414"/>
    </row>
    <row r="2161" spans="2:16" x14ac:dyDescent="0.3">
      <c r="B2161" s="112" t="s">
        <v>6</v>
      </c>
      <c r="C2161" s="415" t="s">
        <v>1</v>
      </c>
      <c r="D2161" s="416"/>
      <c r="E2161" s="124"/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6" x14ac:dyDescent="0.3">
      <c r="B2162" s="74"/>
      <c r="C2162" s="411"/>
      <c r="D2162" s="412"/>
      <c r="E2162" s="125"/>
      <c r="F2162" s="72"/>
      <c r="G2162" s="74"/>
      <c r="I2162" s="84">
        <v>0</v>
      </c>
      <c r="K2162" s="84">
        <f>+F2162*I2162</f>
        <v>0</v>
      </c>
      <c r="L2162" s="116">
        <f>E2162*I2162</f>
        <v>0</v>
      </c>
    </row>
    <row r="2163" spans="2:16" x14ac:dyDescent="0.3">
      <c r="B2163" s="74"/>
      <c r="C2163" s="411"/>
      <c r="D2163" s="412"/>
      <c r="E2163" s="125"/>
      <c r="F2163" s="72"/>
      <c r="G2163" s="74"/>
      <c r="I2163" s="84">
        <v>0</v>
      </c>
      <c r="K2163" s="84">
        <f>+F2163*I2163</f>
        <v>0</v>
      </c>
      <c r="L2163" s="116">
        <f>E2163*I2163</f>
        <v>0</v>
      </c>
    </row>
    <row r="2164" spans="2:16" x14ac:dyDescent="0.3">
      <c r="B2164" s="74"/>
      <c r="C2164" s="411"/>
      <c r="D2164" s="412"/>
      <c r="E2164" s="125"/>
      <c r="F2164" s="72"/>
      <c r="G2164" s="74"/>
      <c r="I2164" s="84">
        <v>0</v>
      </c>
      <c r="K2164" s="84">
        <f>+F2164*I2164</f>
        <v>0</v>
      </c>
      <c r="L2164" s="116">
        <f>E2164*I2164</f>
        <v>0</v>
      </c>
    </row>
    <row r="2165" spans="2:16" ht="17.25" thickBot="1" x14ac:dyDescent="0.35">
      <c r="L2165" s="116"/>
    </row>
    <row r="2166" spans="2:16" ht="17.25" thickBot="1" x14ac:dyDescent="0.35">
      <c r="F2166" s="402" t="s">
        <v>19</v>
      </c>
      <c r="G2166" s="403"/>
      <c r="H2166" s="403"/>
      <c r="I2166" s="404"/>
      <c r="K2166" s="224">
        <f>+SUM(K2162:K2164)</f>
        <v>0</v>
      </c>
      <c r="L2166" s="117">
        <f>+SUM(L2161:L2164)</f>
        <v>0</v>
      </c>
    </row>
    <row r="2167" spans="2:16" ht="15" customHeight="1" x14ac:dyDescent="0.3">
      <c r="F2167" s="126"/>
      <c r="G2167" s="280"/>
      <c r="H2167" s="128"/>
      <c r="I2167" s="106"/>
      <c r="K2167" s="225"/>
    </row>
    <row r="2168" spans="2:16" ht="15" customHeight="1" thickBot="1" x14ac:dyDescent="0.35"/>
    <row r="2169" spans="2:16" ht="17.25" thickBot="1" x14ac:dyDescent="0.35">
      <c r="F2169" s="402" t="s">
        <v>20</v>
      </c>
      <c r="G2169" s="403"/>
      <c r="H2169" s="403"/>
      <c r="I2169" s="404"/>
      <c r="K2169" s="224">
        <f>(+K2140+K2149+K2158+K2166)</f>
        <v>840</v>
      </c>
      <c r="L2169" s="117">
        <f>(+L2140+L2149+L2158+L2166)</f>
        <v>840</v>
      </c>
      <c r="N2169" s="129"/>
      <c r="O2169" s="39"/>
      <c r="P2169" s="40"/>
    </row>
    <row r="2170" spans="2:16" ht="7.5" customHeight="1" thickBot="1" x14ac:dyDescent="0.35">
      <c r="N2170" s="129"/>
      <c r="O2170" s="41"/>
      <c r="P2170" s="40"/>
    </row>
    <row r="2171" spans="2:16" ht="17.25" thickBot="1" x14ac:dyDescent="0.35">
      <c r="F2171" s="402" t="s">
        <v>21</v>
      </c>
      <c r="G2171" s="403"/>
      <c r="H2171" s="403"/>
      <c r="I2171" s="404"/>
      <c r="K2171" s="224">
        <f>K2169*$N$2</f>
        <v>336</v>
      </c>
      <c r="L2171" s="117">
        <f>L2169*$N$2</f>
        <v>336</v>
      </c>
    </row>
    <row r="2172" spans="2:16" ht="7.5" customHeight="1" thickBot="1" x14ac:dyDescent="0.35"/>
    <row r="2173" spans="2:16" ht="17.25" thickBot="1" x14ac:dyDescent="0.35">
      <c r="F2173" s="402" t="s">
        <v>22</v>
      </c>
      <c r="G2173" s="403"/>
      <c r="H2173" s="403"/>
      <c r="I2173" s="404"/>
      <c r="K2173" s="224">
        <f>+K2169+K2171</f>
        <v>1176</v>
      </c>
      <c r="L2173" s="117">
        <f>+L2169+L2171</f>
        <v>1176</v>
      </c>
    </row>
    <row r="2174" spans="2:16" ht="17.25" thickBot="1" x14ac:dyDescent="0.35">
      <c r="F2174" s="126"/>
      <c r="G2174" s="280"/>
      <c r="H2174" s="128"/>
      <c r="I2174" s="106"/>
      <c r="K2174" s="226"/>
      <c r="L2174" s="130">
        <f>L2173/I2125</f>
        <v>1176</v>
      </c>
      <c r="M2174" s="131">
        <f>(K2173-L2174)*I2125</f>
        <v>0</v>
      </c>
    </row>
    <row r="2175" spans="2:16" x14ac:dyDescent="0.3">
      <c r="F2175" s="126"/>
      <c r="G2175" s="280"/>
      <c r="H2175" s="128"/>
      <c r="I2175" s="106"/>
      <c r="K2175" s="227"/>
      <c r="L2175" s="129"/>
      <c r="M2175" s="132"/>
      <c r="N2175" s="133"/>
    </row>
    <row r="2176" spans="2:16" ht="17.25" thickBot="1" x14ac:dyDescent="0.35">
      <c r="B2176" s="405"/>
      <c r="C2176" s="405"/>
      <c r="D2176" s="405"/>
    </row>
    <row r="2177" spans="1:16" x14ac:dyDescent="0.3">
      <c r="B2177" s="406" t="s">
        <v>23</v>
      </c>
      <c r="C2177" s="406"/>
      <c r="D2177" s="406"/>
    </row>
    <row r="2178" spans="1:16" x14ac:dyDescent="0.3">
      <c r="B2178" s="281"/>
      <c r="C2178" s="281"/>
      <c r="D2178" s="281"/>
    </row>
    <row r="2179" spans="1:16" x14ac:dyDescent="0.3">
      <c r="B2179" s="281"/>
      <c r="C2179" s="281"/>
      <c r="D2179" s="281"/>
    </row>
    <row r="2180" spans="1:16" x14ac:dyDescent="0.3">
      <c r="B2180" s="103" t="s">
        <v>43</v>
      </c>
      <c r="C2180" s="104"/>
      <c r="D2180" s="422" t="s">
        <v>1</v>
      </c>
      <c r="E2180" s="422"/>
      <c r="F2180" s="422"/>
      <c r="G2180" s="422"/>
      <c r="H2180" s="104"/>
      <c r="I2180" s="105" t="s">
        <v>2</v>
      </c>
      <c r="J2180" s="134"/>
      <c r="K2180" s="105" t="s">
        <v>3</v>
      </c>
    </row>
    <row r="2181" spans="1:16" s="4" customFormat="1" ht="30.75" customHeight="1" x14ac:dyDescent="0.25">
      <c r="A2181" s="31"/>
      <c r="B2181" s="287">
        <f>CATALOGO!B76</f>
        <v>907.14</v>
      </c>
      <c r="C2181" s="71"/>
      <c r="D2181" s="437" t="str">
        <f>CATALOGO!C76</f>
        <v>CAJA TRAMPA GRASA DE 1.30m X 0.82m</v>
      </c>
      <c r="E2181" s="437"/>
      <c r="F2181" s="437"/>
      <c r="G2181" s="437"/>
      <c r="H2181" s="71"/>
      <c r="I2181" s="287">
        <f>CATALOGO!D76</f>
        <v>1</v>
      </c>
      <c r="J2181" s="107"/>
      <c r="K2181" s="222" t="str">
        <f>CATALOGO!G76</f>
        <v>Unidad</v>
      </c>
      <c r="L2181" s="71"/>
      <c r="M2181" s="71"/>
      <c r="N2181" s="102"/>
      <c r="O2181" s="37"/>
      <c r="P2181" s="37"/>
    </row>
    <row r="2182" spans="1:16" ht="17.25" thickBot="1" x14ac:dyDescent="0.35"/>
    <row r="2183" spans="1:16" ht="17.25" thickBot="1" x14ac:dyDescent="0.35">
      <c r="B2183" s="108" t="s">
        <v>4</v>
      </c>
      <c r="C2183" s="413" t="s">
        <v>5</v>
      </c>
      <c r="D2183" s="413"/>
      <c r="E2183" s="413"/>
      <c r="F2183" s="413"/>
      <c r="G2183" s="414"/>
    </row>
    <row r="2184" spans="1:16" x14ac:dyDescent="0.25">
      <c r="B2184" s="109" t="s">
        <v>6</v>
      </c>
      <c r="C2184" s="424" t="s">
        <v>1</v>
      </c>
      <c r="D2184" s="425"/>
      <c r="E2184" s="110" t="s">
        <v>192</v>
      </c>
      <c r="F2184" s="111" t="s">
        <v>2</v>
      </c>
      <c r="G2184" s="112" t="s">
        <v>3</v>
      </c>
      <c r="H2184" s="104"/>
      <c r="I2184" s="105" t="s">
        <v>7</v>
      </c>
      <c r="J2184" s="134"/>
      <c r="K2184" s="223" t="s">
        <v>8</v>
      </c>
      <c r="L2184" s="113" t="s">
        <v>193</v>
      </c>
      <c r="O2184" s="438"/>
      <c r="P2184" s="438"/>
    </row>
    <row r="2185" spans="1:16" ht="17.25" customHeight="1" x14ac:dyDescent="0.25">
      <c r="B2185" s="120">
        <v>1</v>
      </c>
      <c r="C2185" s="407" t="s">
        <v>168</v>
      </c>
      <c r="D2185" s="408"/>
      <c r="E2185" s="114">
        <v>2</v>
      </c>
      <c r="F2185" s="83">
        <f>ROUND(E2185/I2181,2)</f>
        <v>2</v>
      </c>
      <c r="G2185" s="74" t="str">
        <f>IF(C2185=0,0,VLOOKUP(C2185,Tabla1[],2,FALSE))</f>
        <v>Varilla</v>
      </c>
      <c r="I2185" s="115">
        <f>IF(C2185=0,0,VLOOKUP(C2185,Tabla1[],3,FALSE))</f>
        <v>40</v>
      </c>
      <c r="K2185" s="84">
        <f>F2185*I2185</f>
        <v>80</v>
      </c>
      <c r="L2185" s="116">
        <f t="shared" ref="L2185:L2194" si="64">E2185*I2185</f>
        <v>80</v>
      </c>
      <c r="O2185" s="44"/>
      <c r="P2185" s="45"/>
    </row>
    <row r="2186" spans="1:16" x14ac:dyDescent="0.3">
      <c r="B2186" s="120">
        <v>2</v>
      </c>
      <c r="C2186" s="407" t="s">
        <v>312</v>
      </c>
      <c r="D2186" s="408"/>
      <c r="E2186" s="114">
        <v>1.5</v>
      </c>
      <c r="F2186" s="83">
        <f>ROUND(E2186/I2181,2)</f>
        <v>1.5</v>
      </c>
      <c r="G2186" s="74" t="str">
        <f>IF(C2186=0,0,VLOOKUP(C2186,Tabla1[],2,FALSE))</f>
        <v>Varilla</v>
      </c>
      <c r="I2186" s="115">
        <f>IF(C2186=0,0,VLOOKUP(C2186,Tabla1[],3,FALSE))</f>
        <v>20</v>
      </c>
      <c r="K2186" s="84">
        <f t="shared" ref="K2186:K2194" si="65">+F2186*I2186</f>
        <v>30</v>
      </c>
      <c r="L2186" s="116">
        <f t="shared" si="64"/>
        <v>30</v>
      </c>
      <c r="P2186" s="45"/>
    </row>
    <row r="2187" spans="1:16" x14ac:dyDescent="0.3">
      <c r="B2187" s="120">
        <v>3</v>
      </c>
      <c r="C2187" s="428" t="s">
        <v>213</v>
      </c>
      <c r="D2187" s="429"/>
      <c r="E2187" s="114">
        <v>3</v>
      </c>
      <c r="F2187" s="83">
        <f>ROUND(E2187/I2181,2)</f>
        <v>3</v>
      </c>
      <c r="G2187" s="74" t="str">
        <f>IF(C2187=0,0,VLOOKUP(C2187,Tabla1[],2,FALSE))</f>
        <v>Saco</v>
      </c>
      <c r="I2187" s="115">
        <f>IF(C2187=0,0,VLOOKUP(C2187,Tabla1[],3,FALSE))</f>
        <v>80</v>
      </c>
      <c r="K2187" s="84">
        <f t="shared" si="65"/>
        <v>240</v>
      </c>
      <c r="L2187" s="116">
        <f t="shared" si="64"/>
        <v>240</v>
      </c>
      <c r="O2187" s="48"/>
      <c r="P2187" s="49"/>
    </row>
    <row r="2188" spans="1:16" x14ac:dyDescent="0.3">
      <c r="B2188" s="120">
        <v>4</v>
      </c>
      <c r="C2188" s="430" t="s">
        <v>72</v>
      </c>
      <c r="D2188" s="429"/>
      <c r="E2188" s="114">
        <v>0.1</v>
      </c>
      <c r="F2188" s="83">
        <f>ROUND(E2188/I2181,2)</f>
        <v>0.1</v>
      </c>
      <c r="G2188" s="74" t="str">
        <f>IF(C2188=0,0,VLOOKUP(C2188,Tabla1[],2,FALSE))</f>
        <v>m³</v>
      </c>
      <c r="I2188" s="115">
        <f>IF(C2188=0,0,VLOOKUP(C2188,Tabla1[],3,FALSE))</f>
        <v>250</v>
      </c>
      <c r="K2188" s="84">
        <f t="shared" si="65"/>
        <v>25</v>
      </c>
      <c r="L2188" s="116">
        <f t="shared" si="64"/>
        <v>25</v>
      </c>
      <c r="O2188" s="48"/>
      <c r="P2188" s="49"/>
    </row>
    <row r="2189" spans="1:16" x14ac:dyDescent="0.3">
      <c r="B2189" s="120">
        <v>5</v>
      </c>
      <c r="C2189" s="430" t="s">
        <v>229</v>
      </c>
      <c r="D2189" s="429"/>
      <c r="E2189" s="114">
        <v>0.1</v>
      </c>
      <c r="F2189" s="83">
        <f>ROUND(E2189/I2181,2)</f>
        <v>0.1</v>
      </c>
      <c r="G2189" s="74" t="str">
        <f>IF(C2189=0,0,VLOOKUP(C2189,Tabla1[],2,FALSE))</f>
        <v>m³</v>
      </c>
      <c r="I2189" s="115">
        <f>IF(C2189=0,0,VLOOKUP(C2189,Tabla1[],3,FALSE))</f>
        <v>250</v>
      </c>
      <c r="K2189" s="84">
        <f t="shared" si="65"/>
        <v>25</v>
      </c>
      <c r="L2189" s="116">
        <f t="shared" si="64"/>
        <v>25</v>
      </c>
      <c r="O2189" s="48"/>
      <c r="P2189" s="49"/>
    </row>
    <row r="2190" spans="1:16" x14ac:dyDescent="0.3">
      <c r="B2190" s="120">
        <v>6</v>
      </c>
      <c r="C2190" s="430" t="s">
        <v>232</v>
      </c>
      <c r="D2190" s="429"/>
      <c r="E2190" s="114">
        <v>0.1</v>
      </c>
      <c r="F2190" s="83">
        <f>ROUND(E2190/I2181,2)</f>
        <v>0.1</v>
      </c>
      <c r="G2190" s="74" t="str">
        <f>IF(C2190=0,0,VLOOKUP(C2190,Tabla1[],2,FALSE))</f>
        <v>Unidad</v>
      </c>
      <c r="I2190" s="115">
        <f>IF(C2190=0,0,VLOOKUP(C2190,Tabla1[],3,FALSE))</f>
        <v>300</v>
      </c>
      <c r="K2190" s="84">
        <f t="shared" si="65"/>
        <v>30</v>
      </c>
      <c r="L2190" s="116">
        <f t="shared" si="64"/>
        <v>30</v>
      </c>
      <c r="O2190" s="48"/>
      <c r="P2190" s="49"/>
    </row>
    <row r="2191" spans="1:16" x14ac:dyDescent="0.3">
      <c r="B2191" s="120">
        <v>7</v>
      </c>
      <c r="C2191" s="430" t="s">
        <v>234</v>
      </c>
      <c r="D2191" s="429"/>
      <c r="E2191" s="114">
        <v>150</v>
      </c>
      <c r="F2191" s="83">
        <f>ROUND(E2191/I2181,2)</f>
        <v>150</v>
      </c>
      <c r="G2191" s="74" t="str">
        <f>IF(C2191=0,0,VLOOKUP(C2191,Tabla1[],2,FALSE))</f>
        <v>Unidad</v>
      </c>
      <c r="I2191" s="115">
        <f>IF(C2191=0,0,VLOOKUP(C2191,Tabla1[],3,FALSE))</f>
        <v>7</v>
      </c>
      <c r="K2191" s="84">
        <f t="shared" si="65"/>
        <v>1050</v>
      </c>
      <c r="L2191" s="116">
        <f t="shared" si="64"/>
        <v>1050</v>
      </c>
      <c r="O2191" s="48"/>
      <c r="P2191" s="49"/>
    </row>
    <row r="2192" spans="1:16" x14ac:dyDescent="0.3">
      <c r="B2192" s="120"/>
      <c r="C2192" s="428"/>
      <c r="D2192" s="429"/>
      <c r="E2192" s="114"/>
      <c r="F2192" s="83"/>
      <c r="G2192" s="74"/>
      <c r="I2192" s="115">
        <f>IF(C2192=0,0,VLOOKUP(C2192,Tabla1[],3,FALSE))</f>
        <v>0</v>
      </c>
      <c r="K2192" s="84">
        <f t="shared" si="65"/>
        <v>0</v>
      </c>
      <c r="L2192" s="116">
        <f t="shared" si="64"/>
        <v>0</v>
      </c>
      <c r="O2192" s="48"/>
      <c r="P2192" s="49"/>
    </row>
    <row r="2193" spans="2:16" x14ac:dyDescent="0.3">
      <c r="B2193" s="120"/>
      <c r="C2193" s="431"/>
      <c r="D2193" s="432"/>
      <c r="E2193" s="114"/>
      <c r="F2193" s="83"/>
      <c r="G2193" s="74"/>
      <c r="I2193" s="115">
        <f>IF(C2193=0,0,VLOOKUP(C2193,Tabla1[],3,FALSE))</f>
        <v>0</v>
      </c>
      <c r="K2193" s="84">
        <f t="shared" si="65"/>
        <v>0</v>
      </c>
      <c r="L2193" s="116">
        <f t="shared" si="64"/>
        <v>0</v>
      </c>
      <c r="O2193" s="48"/>
      <c r="P2193" s="49"/>
    </row>
    <row r="2194" spans="2:16" x14ac:dyDescent="0.3">
      <c r="B2194" s="120"/>
      <c r="C2194" s="430"/>
      <c r="D2194" s="429"/>
      <c r="E2194" s="114"/>
      <c r="F2194" s="83"/>
      <c r="G2194" s="74"/>
      <c r="I2194" s="115">
        <f>IF(C2194=0,0,VLOOKUP(C2194,Tabla1[],3,FALSE))</f>
        <v>0</v>
      </c>
      <c r="K2194" s="84">
        <f t="shared" si="65"/>
        <v>0</v>
      </c>
      <c r="L2194" s="116">
        <f t="shared" si="64"/>
        <v>0</v>
      </c>
      <c r="O2194" s="48"/>
      <c r="P2194" s="49"/>
    </row>
    <row r="2195" spans="2:16" ht="17.25" thickBot="1" x14ac:dyDescent="0.35"/>
    <row r="2196" spans="2:16" ht="17.25" thickBot="1" x14ac:dyDescent="0.3">
      <c r="F2196" s="402" t="s">
        <v>9</v>
      </c>
      <c r="G2196" s="403"/>
      <c r="H2196" s="403"/>
      <c r="I2196" s="404"/>
      <c r="K2196" s="224">
        <f>+SUM(K2185:K2194)</f>
        <v>1480</v>
      </c>
      <c r="L2196" s="117">
        <f>+SUM(L2185:L2194)</f>
        <v>1480</v>
      </c>
      <c r="O2196" s="38"/>
      <c r="P2196" s="38"/>
    </row>
    <row r="2197" spans="2:16" ht="17.25" thickBot="1" x14ac:dyDescent="0.35">
      <c r="O2197" s="42"/>
      <c r="P2197" s="43"/>
    </row>
    <row r="2198" spans="2:16" ht="17.25" thickBot="1" x14ac:dyDescent="0.35">
      <c r="B2198" s="108" t="s">
        <v>10</v>
      </c>
      <c r="C2198" s="413" t="s">
        <v>11</v>
      </c>
      <c r="D2198" s="413"/>
      <c r="E2198" s="413"/>
      <c r="F2198" s="413"/>
      <c r="G2198" s="414"/>
    </row>
    <row r="2199" spans="2:16" x14ac:dyDescent="0.3">
      <c r="B2199" s="112" t="s">
        <v>6</v>
      </c>
      <c r="C2199" s="415" t="s">
        <v>1</v>
      </c>
      <c r="D2199" s="416"/>
      <c r="E2199" s="110" t="s">
        <v>192</v>
      </c>
      <c r="F2199" s="118" t="s">
        <v>2</v>
      </c>
      <c r="G2199" s="112" t="s">
        <v>3</v>
      </c>
      <c r="H2199" s="104"/>
      <c r="I2199" s="105" t="s">
        <v>7</v>
      </c>
      <c r="J2199" s="134"/>
      <c r="K2199" s="105" t="s">
        <v>8</v>
      </c>
      <c r="L2199" s="113" t="s">
        <v>193</v>
      </c>
    </row>
    <row r="2200" spans="2:16" x14ac:dyDescent="0.3">
      <c r="B2200" s="120"/>
      <c r="C2200" s="409"/>
      <c r="D2200" s="409"/>
      <c r="E2200" s="114"/>
      <c r="F2200" s="83"/>
      <c r="G2200" s="74"/>
      <c r="I2200" s="115">
        <f>IF(C2200=0,0,VLOOKUP(C2200,Tabla3[],3,FALSE))</f>
        <v>0</v>
      </c>
      <c r="K2200" s="84">
        <f>F2200*I2200</f>
        <v>0</v>
      </c>
      <c r="L2200" s="116">
        <f>E2200*I2200</f>
        <v>0</v>
      </c>
    </row>
    <row r="2201" spans="2:16" x14ac:dyDescent="0.3">
      <c r="B2201" s="74"/>
      <c r="C2201" s="431"/>
      <c r="D2201" s="432"/>
      <c r="E2201" s="119"/>
      <c r="F2201" s="72"/>
      <c r="G2201" s="74"/>
      <c r="I2201" s="115">
        <f>IF(C2201=0,0,VLOOKUP(C2201,Tabla3[],3,FALSE))</f>
        <v>0</v>
      </c>
      <c r="K2201" s="84">
        <f>+F2201*I2201</f>
        <v>0</v>
      </c>
      <c r="L2201" s="116">
        <f>E2201*I2201</f>
        <v>0</v>
      </c>
    </row>
    <row r="2202" spans="2:16" x14ac:dyDescent="0.3">
      <c r="B2202" s="74"/>
      <c r="C2202" s="431"/>
      <c r="D2202" s="432"/>
      <c r="E2202" s="119"/>
      <c r="F2202" s="72"/>
      <c r="G2202" s="74"/>
      <c r="I2202" s="115">
        <f>IF(C2202=0,0,VLOOKUP(C2202,Tabla3[],3,FALSE))</f>
        <v>0</v>
      </c>
      <c r="K2202" s="84">
        <f>+F2202*I2202</f>
        <v>0</v>
      </c>
      <c r="L2202" s="116">
        <f>E2202*I2202</f>
        <v>0</v>
      </c>
    </row>
    <row r="2203" spans="2:16" x14ac:dyDescent="0.3">
      <c r="B2203" s="74"/>
      <c r="C2203" s="411"/>
      <c r="D2203" s="412"/>
      <c r="E2203" s="119"/>
      <c r="F2203" s="72"/>
      <c r="G2203" s="74"/>
      <c r="I2203" s="115">
        <f>IF(C2203=0,0,VLOOKUP(C2203,Tabla3[],3,FALSE))</f>
        <v>0</v>
      </c>
      <c r="K2203" s="84">
        <f>+F2203*I2203</f>
        <v>0</v>
      </c>
      <c r="L2203" s="116">
        <f>E2203*I2203</f>
        <v>0</v>
      </c>
    </row>
    <row r="2204" spans="2:16" ht="17.25" thickBot="1" x14ac:dyDescent="0.35"/>
    <row r="2205" spans="2:16" ht="17.25" thickBot="1" x14ac:dyDescent="0.35">
      <c r="F2205" s="402" t="s">
        <v>12</v>
      </c>
      <c r="G2205" s="403"/>
      <c r="H2205" s="403"/>
      <c r="I2205" s="404"/>
      <c r="K2205" s="224">
        <f>+SUM(K2200:K2203)</f>
        <v>0</v>
      </c>
      <c r="L2205" s="117">
        <f>+SUM(L2200:L2203)</f>
        <v>0</v>
      </c>
    </row>
    <row r="2206" spans="2:16" ht="17.25" thickBot="1" x14ac:dyDescent="0.35"/>
    <row r="2207" spans="2:16" ht="17.25" thickBot="1" x14ac:dyDescent="0.35">
      <c r="B2207" s="108" t="s">
        <v>13</v>
      </c>
      <c r="C2207" s="413" t="s">
        <v>14</v>
      </c>
      <c r="D2207" s="413"/>
      <c r="E2207" s="413"/>
      <c r="F2207" s="413"/>
      <c r="G2207" s="414"/>
    </row>
    <row r="2208" spans="2:16" x14ac:dyDescent="0.3">
      <c r="B2208" s="112" t="s">
        <v>6</v>
      </c>
      <c r="C2208" s="415" t="s">
        <v>1</v>
      </c>
      <c r="D2208" s="416"/>
      <c r="E2208" s="110" t="s">
        <v>192</v>
      </c>
      <c r="F2208" s="118" t="s">
        <v>2</v>
      </c>
      <c r="G2208" s="112" t="s">
        <v>3</v>
      </c>
      <c r="H2208" s="104"/>
      <c r="I2208" s="105" t="s">
        <v>7</v>
      </c>
      <c r="J2208" s="134"/>
      <c r="K2208" s="105" t="s">
        <v>8</v>
      </c>
      <c r="L2208" s="113" t="s">
        <v>193</v>
      </c>
    </row>
    <row r="2209" spans="2:12" x14ac:dyDescent="0.3">
      <c r="B2209" s="120">
        <v>1</v>
      </c>
      <c r="C2209" s="409" t="s">
        <v>235</v>
      </c>
      <c r="D2209" s="409"/>
      <c r="E2209" s="114">
        <f>I2181</f>
        <v>1</v>
      </c>
      <c r="F2209" s="83">
        <f>ROUND(E2209/I2181,2)</f>
        <v>1</v>
      </c>
      <c r="G2209" s="74" t="str">
        <f>IF(C2209=0,0,VLOOKUP(C2209,Tabla2[],2,FALSE))</f>
        <v>Unidad</v>
      </c>
      <c r="I2209" s="115">
        <f>IF(C2209=0,0,VLOOKUP(C2209,Tabla2[],3,FALSE))</f>
        <v>300</v>
      </c>
      <c r="K2209" s="84">
        <f>+F2209*I2209</f>
        <v>300</v>
      </c>
      <c r="L2209" s="116">
        <f>E2209*I2209</f>
        <v>300</v>
      </c>
    </row>
    <row r="2210" spans="2:12" x14ac:dyDescent="0.3">
      <c r="B2210" s="120"/>
      <c r="C2210" s="409"/>
      <c r="D2210" s="409"/>
      <c r="E2210" s="114"/>
      <c r="F2210" s="83"/>
      <c r="G2210" s="74"/>
      <c r="I2210" s="115">
        <f>IF(C2210=0,0,VLOOKUP(C2210,Tabla2[],3,FALSE))</f>
        <v>0</v>
      </c>
      <c r="K2210" s="84">
        <f>+F2210*I2210</f>
        <v>0</v>
      </c>
      <c r="L2210" s="116">
        <f>E2210*I2210</f>
        <v>0</v>
      </c>
    </row>
    <row r="2211" spans="2:12" ht="17.25" thickBot="1" x14ac:dyDescent="0.35">
      <c r="B2211" s="121"/>
      <c r="C2211" s="417"/>
      <c r="D2211" s="418"/>
      <c r="E2211" s="122"/>
      <c r="F2211" s="123"/>
      <c r="G2211" s="74"/>
      <c r="I2211" s="115">
        <f>IF(C2211=0,0,VLOOKUP(C2211,Tabla2[],3,FALSE))</f>
        <v>0</v>
      </c>
      <c r="K2211" s="84">
        <f>+F2211*I2211</f>
        <v>0</v>
      </c>
      <c r="L2211" s="116">
        <f>E2211*I2211</f>
        <v>0</v>
      </c>
    </row>
    <row r="2212" spans="2:12" ht="17.25" thickBot="1" x14ac:dyDescent="0.35">
      <c r="B2212" s="419" t="s">
        <v>15</v>
      </c>
      <c r="C2212" s="420"/>
      <c r="D2212" s="420"/>
      <c r="E2212" s="420"/>
      <c r="F2212" s="420"/>
      <c r="G2212" s="421"/>
      <c r="I2212" s="84">
        <v>0</v>
      </c>
      <c r="K2212" s="84">
        <v>0</v>
      </c>
      <c r="L2212" s="116">
        <f>E2212*I2212</f>
        <v>0</v>
      </c>
    </row>
    <row r="2213" spans="2:12" ht="17.25" thickBot="1" x14ac:dyDescent="0.35"/>
    <row r="2214" spans="2:12" ht="17.25" thickBot="1" x14ac:dyDescent="0.35">
      <c r="F2214" s="402" t="s">
        <v>16</v>
      </c>
      <c r="G2214" s="403"/>
      <c r="H2214" s="403"/>
      <c r="I2214" s="404"/>
      <c r="K2214" s="224">
        <f>+SUM(K2209:K2212)</f>
        <v>300</v>
      </c>
      <c r="L2214" s="117">
        <f>+SUM(L2209:L2212)</f>
        <v>300</v>
      </c>
    </row>
    <row r="2215" spans="2:12" ht="17.25" thickBot="1" x14ac:dyDescent="0.35"/>
    <row r="2216" spans="2:12" ht="17.25" thickBot="1" x14ac:dyDescent="0.35">
      <c r="B2216" s="108" t="s">
        <v>17</v>
      </c>
      <c r="C2216" s="413" t="s">
        <v>18</v>
      </c>
      <c r="D2216" s="413"/>
      <c r="E2216" s="413"/>
      <c r="F2216" s="413"/>
      <c r="G2216" s="414"/>
    </row>
    <row r="2217" spans="2:12" x14ac:dyDescent="0.3">
      <c r="B2217" s="112" t="s">
        <v>6</v>
      </c>
      <c r="C2217" s="415" t="s">
        <v>1</v>
      </c>
      <c r="D2217" s="416"/>
      <c r="E2217" s="124"/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2" x14ac:dyDescent="0.3">
      <c r="B2218" s="74"/>
      <c r="C2218" s="411"/>
      <c r="D2218" s="412"/>
      <c r="E2218" s="125"/>
      <c r="F2218" s="72"/>
      <c r="G2218" s="74"/>
      <c r="I2218" s="84">
        <v>0</v>
      </c>
      <c r="K2218" s="84">
        <f>+F2218*I2218</f>
        <v>0</v>
      </c>
      <c r="L2218" s="116">
        <f>E2218*I2218</f>
        <v>0</v>
      </c>
    </row>
    <row r="2219" spans="2:12" x14ac:dyDescent="0.3">
      <c r="B2219" s="74"/>
      <c r="C2219" s="411"/>
      <c r="D2219" s="412"/>
      <c r="E2219" s="125"/>
      <c r="F2219" s="72"/>
      <c r="G2219" s="74"/>
      <c r="I2219" s="84">
        <v>0</v>
      </c>
      <c r="K2219" s="84">
        <f>+F2219*I2219</f>
        <v>0</v>
      </c>
      <c r="L2219" s="116">
        <f>E2219*I2219</f>
        <v>0</v>
      </c>
    </row>
    <row r="2220" spans="2:12" x14ac:dyDescent="0.3">
      <c r="B2220" s="74"/>
      <c r="C2220" s="411"/>
      <c r="D2220" s="412"/>
      <c r="E2220" s="125"/>
      <c r="F2220" s="72"/>
      <c r="G2220" s="74"/>
      <c r="I2220" s="84">
        <v>0</v>
      </c>
      <c r="K2220" s="84">
        <f>+F2220*I2220</f>
        <v>0</v>
      </c>
      <c r="L2220" s="116">
        <f>E2220*I2220</f>
        <v>0</v>
      </c>
    </row>
    <row r="2221" spans="2:12" ht="17.25" thickBot="1" x14ac:dyDescent="0.35">
      <c r="L2221" s="116"/>
    </row>
    <row r="2222" spans="2:12" ht="17.25" thickBot="1" x14ac:dyDescent="0.35">
      <c r="F2222" s="402" t="s">
        <v>19</v>
      </c>
      <c r="G2222" s="403"/>
      <c r="H2222" s="403"/>
      <c r="I2222" s="404"/>
      <c r="K2222" s="224">
        <f>+SUM(K2218:K2220)</f>
        <v>0</v>
      </c>
      <c r="L2222" s="117">
        <f>+SUM(L2217:L2220)</f>
        <v>0</v>
      </c>
    </row>
    <row r="2223" spans="2:12" ht="15" customHeight="1" x14ac:dyDescent="0.3">
      <c r="F2223" s="126"/>
      <c r="G2223" s="280"/>
      <c r="H2223" s="128"/>
      <c r="I2223" s="106"/>
      <c r="K2223" s="225"/>
    </row>
    <row r="2224" spans="2:12" ht="15" customHeight="1" thickBot="1" x14ac:dyDescent="0.35"/>
    <row r="2225" spans="1:16" ht="17.25" thickBot="1" x14ac:dyDescent="0.35">
      <c r="F2225" s="402" t="s">
        <v>20</v>
      </c>
      <c r="G2225" s="403"/>
      <c r="H2225" s="403"/>
      <c r="I2225" s="404"/>
      <c r="K2225" s="224">
        <f>(+K2196+K2205+K2214+K2222)</f>
        <v>1780</v>
      </c>
      <c r="L2225" s="117">
        <f>(+L2196+L2205+L2214+L2222)</f>
        <v>1780</v>
      </c>
      <c r="N2225" s="129"/>
      <c r="O2225" s="39"/>
      <c r="P2225" s="40"/>
    </row>
    <row r="2226" spans="1:16" ht="7.5" customHeight="1" thickBot="1" x14ac:dyDescent="0.35">
      <c r="N2226" s="129"/>
      <c r="O2226" s="41"/>
      <c r="P2226" s="40"/>
    </row>
    <row r="2227" spans="1:16" ht="17.25" thickBot="1" x14ac:dyDescent="0.35">
      <c r="F2227" s="402" t="s">
        <v>21</v>
      </c>
      <c r="G2227" s="403"/>
      <c r="H2227" s="403"/>
      <c r="I2227" s="404"/>
      <c r="K2227" s="224">
        <f>K2225*$N$2</f>
        <v>712</v>
      </c>
      <c r="L2227" s="117">
        <f>L2225*$N$2</f>
        <v>712</v>
      </c>
    </row>
    <row r="2228" spans="1:16" ht="7.5" customHeight="1" thickBot="1" x14ac:dyDescent="0.35"/>
    <row r="2229" spans="1:16" ht="17.25" thickBot="1" x14ac:dyDescent="0.35">
      <c r="F2229" s="402" t="s">
        <v>22</v>
      </c>
      <c r="G2229" s="403"/>
      <c r="H2229" s="403"/>
      <c r="I2229" s="404"/>
      <c r="K2229" s="224">
        <f>+K2225+K2227</f>
        <v>2492</v>
      </c>
      <c r="L2229" s="117">
        <f>+L2225+L2227</f>
        <v>2492</v>
      </c>
    </row>
    <row r="2230" spans="1:16" ht="17.25" thickBot="1" x14ac:dyDescent="0.35">
      <c r="F2230" s="126"/>
      <c r="G2230" s="280"/>
      <c r="H2230" s="128"/>
      <c r="I2230" s="106"/>
      <c r="K2230" s="226"/>
      <c r="L2230" s="130">
        <f>L2229/I2181</f>
        <v>2492</v>
      </c>
      <c r="M2230" s="131">
        <f>(K2229-L2230)*I2181</f>
        <v>0</v>
      </c>
    </row>
    <row r="2231" spans="1:16" x14ac:dyDescent="0.3">
      <c r="F2231" s="126"/>
      <c r="G2231" s="280"/>
      <c r="H2231" s="128"/>
      <c r="I2231" s="106"/>
      <c r="K2231" s="227"/>
      <c r="L2231" s="129"/>
      <c r="M2231" s="132"/>
      <c r="N2231" s="133"/>
    </row>
    <row r="2232" spans="1:16" ht="17.25" thickBot="1" x14ac:dyDescent="0.35">
      <c r="B2232" s="405"/>
      <c r="C2232" s="405"/>
      <c r="D2232" s="405"/>
    </row>
    <row r="2233" spans="1:16" x14ac:dyDescent="0.3">
      <c r="B2233" s="406" t="s">
        <v>23</v>
      </c>
      <c r="C2233" s="406"/>
      <c r="D2233" s="406"/>
    </row>
    <row r="2234" spans="1:16" x14ac:dyDescent="0.3">
      <c r="B2234" s="281"/>
      <c r="C2234" s="281"/>
      <c r="D2234" s="281"/>
    </row>
    <row r="2235" spans="1:16" x14ac:dyDescent="0.3">
      <c r="B2235" s="281"/>
      <c r="C2235" s="281"/>
      <c r="D2235" s="281"/>
    </row>
    <row r="2236" spans="1:16" x14ac:dyDescent="0.3">
      <c r="B2236" s="103" t="s">
        <v>43</v>
      </c>
      <c r="C2236" s="104"/>
      <c r="D2236" s="422" t="s">
        <v>1</v>
      </c>
      <c r="E2236" s="422"/>
      <c r="F2236" s="422"/>
      <c r="G2236" s="422"/>
      <c r="H2236" s="104"/>
      <c r="I2236" s="105" t="s">
        <v>2</v>
      </c>
      <c r="J2236" s="134"/>
      <c r="K2236" s="105" t="s">
        <v>3</v>
      </c>
    </row>
    <row r="2237" spans="1:16" s="4" customFormat="1" ht="30.75" customHeight="1" x14ac:dyDescent="0.25">
      <c r="A2237" s="31"/>
      <c r="B2237" s="287">
        <f>CATALOGO!B78</f>
        <v>1001.01</v>
      </c>
      <c r="C2237" s="71"/>
      <c r="D2237" s="437" t="str">
        <f>CATALOGO!C78</f>
        <v>INODORO</v>
      </c>
      <c r="E2237" s="437"/>
      <c r="F2237" s="437"/>
      <c r="G2237" s="437"/>
      <c r="H2237" s="71"/>
      <c r="I2237" s="287">
        <f>CATALOGO!D78</f>
        <v>1</v>
      </c>
      <c r="J2237" s="107"/>
      <c r="K2237" s="222" t="str">
        <f>CATALOGO!G78</f>
        <v>Unidad</v>
      </c>
      <c r="L2237" s="71"/>
      <c r="M2237" s="71"/>
      <c r="N2237" s="102"/>
      <c r="O2237" s="37"/>
      <c r="P2237" s="37"/>
    </row>
    <row r="2238" spans="1:16" ht="17.25" thickBot="1" x14ac:dyDescent="0.35"/>
    <row r="2239" spans="1:16" ht="17.25" thickBot="1" x14ac:dyDescent="0.35">
      <c r="B2239" s="108" t="s">
        <v>4</v>
      </c>
      <c r="C2239" s="413" t="s">
        <v>5</v>
      </c>
      <c r="D2239" s="413"/>
      <c r="E2239" s="413"/>
      <c r="F2239" s="413"/>
      <c r="G2239" s="414"/>
    </row>
    <row r="2240" spans="1:16" x14ac:dyDescent="0.25">
      <c r="B2240" s="109" t="s">
        <v>6</v>
      </c>
      <c r="C2240" s="424" t="s">
        <v>1</v>
      </c>
      <c r="D2240" s="425"/>
      <c r="E2240" s="110" t="s">
        <v>192</v>
      </c>
      <c r="F2240" s="111" t="s">
        <v>2</v>
      </c>
      <c r="G2240" s="112" t="s">
        <v>3</v>
      </c>
      <c r="H2240" s="104"/>
      <c r="I2240" s="105" t="s">
        <v>7</v>
      </c>
      <c r="J2240" s="134"/>
      <c r="K2240" s="223" t="s">
        <v>8</v>
      </c>
      <c r="L2240" s="113" t="s">
        <v>193</v>
      </c>
      <c r="O2240" s="438"/>
      <c r="P2240" s="438"/>
    </row>
    <row r="2241" spans="2:16" ht="17.25" customHeight="1" x14ac:dyDescent="0.25">
      <c r="B2241" s="120">
        <v>1</v>
      </c>
      <c r="C2241" s="407" t="s">
        <v>316</v>
      </c>
      <c r="D2241" s="408"/>
      <c r="E2241" s="114">
        <f>I2237</f>
        <v>1</v>
      </c>
      <c r="F2241" s="83">
        <f>ROUND(E2241/I2237,2)</f>
        <v>1</v>
      </c>
      <c r="G2241" s="74" t="str">
        <f>IF(C2241=0,0,VLOOKUP(C2241,Tabla1[],2,FALSE))</f>
        <v>Unidad</v>
      </c>
      <c r="I2241" s="115">
        <f>IF(C2241=0,0,VLOOKUP(C2241,Tabla1[],3,FALSE))</f>
        <v>1265</v>
      </c>
      <c r="K2241" s="84">
        <f>F2241*I2241</f>
        <v>1265</v>
      </c>
      <c r="L2241" s="116">
        <f t="shared" ref="L2241:L2250" si="66">E2241*I2241</f>
        <v>1265</v>
      </c>
      <c r="O2241" s="44"/>
      <c r="P2241" s="45"/>
    </row>
    <row r="2242" spans="2:16" ht="16.5" customHeight="1" x14ac:dyDescent="0.3">
      <c r="B2242" s="120">
        <v>2</v>
      </c>
      <c r="C2242" s="407" t="s">
        <v>114</v>
      </c>
      <c r="D2242" s="408"/>
      <c r="E2242" s="114">
        <f>I2237</f>
        <v>1</v>
      </c>
      <c r="F2242" s="83">
        <f>ROUND(E2242/I2237,2)</f>
        <v>1</v>
      </c>
      <c r="G2242" s="74" t="str">
        <f>IF(C2242=0,0,VLOOKUP(C2242,Tabla1[],2,FALSE))</f>
        <v>Unidad</v>
      </c>
      <c r="I2242" s="115">
        <f>IF(C2242=0,0,VLOOKUP(C2242,Tabla1[],3,FALSE))</f>
        <v>150</v>
      </c>
      <c r="K2242" s="84">
        <f t="shared" ref="K2242:K2250" si="67">+F2242*I2242</f>
        <v>150</v>
      </c>
      <c r="L2242" s="116">
        <f t="shared" si="66"/>
        <v>150</v>
      </c>
      <c r="P2242" s="45"/>
    </row>
    <row r="2243" spans="2:16" x14ac:dyDescent="0.3">
      <c r="B2243" s="120"/>
      <c r="C2243" s="428"/>
      <c r="D2243" s="429"/>
      <c r="E2243" s="114"/>
      <c r="F2243" s="83"/>
      <c r="G2243" s="74"/>
      <c r="I2243" s="115">
        <f>IF(C2243=0,0,VLOOKUP(C2243,Tabla1[],3,FALSE))</f>
        <v>0</v>
      </c>
      <c r="K2243" s="84">
        <f t="shared" si="67"/>
        <v>0</v>
      </c>
      <c r="L2243" s="116">
        <f t="shared" si="66"/>
        <v>0</v>
      </c>
      <c r="O2243" s="48"/>
      <c r="P2243" s="49"/>
    </row>
    <row r="2244" spans="2:16" x14ac:dyDescent="0.3">
      <c r="B2244" s="120"/>
      <c r="C2244" s="430"/>
      <c r="D2244" s="429"/>
      <c r="E2244" s="114"/>
      <c r="F2244" s="83"/>
      <c r="G2244" s="74"/>
      <c r="I2244" s="115">
        <f>IF(C2244=0,0,VLOOKUP(C2244,Tabla1[],3,FALSE))</f>
        <v>0</v>
      </c>
      <c r="K2244" s="84">
        <f t="shared" si="67"/>
        <v>0</v>
      </c>
      <c r="L2244" s="116">
        <f t="shared" si="66"/>
        <v>0</v>
      </c>
      <c r="O2244" s="48"/>
      <c r="P2244" s="49"/>
    </row>
    <row r="2245" spans="2:16" x14ac:dyDescent="0.3">
      <c r="B2245" s="120"/>
      <c r="C2245" s="430"/>
      <c r="D2245" s="429"/>
      <c r="E2245" s="114"/>
      <c r="F2245" s="83"/>
      <c r="G2245" s="74"/>
      <c r="I2245" s="115">
        <f>IF(C2245=0,0,VLOOKUP(C2245,Tabla1[],3,FALSE))</f>
        <v>0</v>
      </c>
      <c r="K2245" s="84">
        <f t="shared" si="67"/>
        <v>0</v>
      </c>
      <c r="L2245" s="116">
        <f t="shared" si="66"/>
        <v>0</v>
      </c>
      <c r="O2245" s="48"/>
      <c r="P2245" s="49"/>
    </row>
    <row r="2246" spans="2:16" x14ac:dyDescent="0.3">
      <c r="B2246" s="120"/>
      <c r="C2246" s="430"/>
      <c r="D2246" s="429"/>
      <c r="E2246" s="114"/>
      <c r="F2246" s="83"/>
      <c r="G2246" s="74"/>
      <c r="I2246" s="115">
        <f>IF(C2246=0,0,VLOOKUP(C2246,Tabla1[],3,FALSE))</f>
        <v>0</v>
      </c>
      <c r="K2246" s="84">
        <f t="shared" si="67"/>
        <v>0</v>
      </c>
      <c r="L2246" s="116">
        <f t="shared" si="66"/>
        <v>0</v>
      </c>
      <c r="O2246" s="48"/>
      <c r="P2246" s="49"/>
    </row>
    <row r="2247" spans="2:16" x14ac:dyDescent="0.3">
      <c r="B2247" s="120"/>
      <c r="C2247" s="430"/>
      <c r="D2247" s="429"/>
      <c r="E2247" s="114"/>
      <c r="F2247" s="83"/>
      <c r="G2247" s="74"/>
      <c r="I2247" s="115">
        <f>IF(C2247=0,0,VLOOKUP(C2247,Tabla1[],3,FALSE))</f>
        <v>0</v>
      </c>
      <c r="K2247" s="84">
        <f t="shared" si="67"/>
        <v>0</v>
      </c>
      <c r="L2247" s="116">
        <f t="shared" si="66"/>
        <v>0</v>
      </c>
      <c r="O2247" s="48"/>
      <c r="P2247" s="49"/>
    </row>
    <row r="2248" spans="2:16" x14ac:dyDescent="0.3">
      <c r="B2248" s="120"/>
      <c r="C2248" s="428"/>
      <c r="D2248" s="429"/>
      <c r="E2248" s="114"/>
      <c r="F2248" s="83"/>
      <c r="G2248" s="74"/>
      <c r="I2248" s="115">
        <f>IF(C2248=0,0,VLOOKUP(C2248,Tabla1[],3,FALSE))</f>
        <v>0</v>
      </c>
      <c r="K2248" s="84">
        <f t="shared" si="67"/>
        <v>0</v>
      </c>
      <c r="L2248" s="116">
        <f t="shared" si="66"/>
        <v>0</v>
      </c>
      <c r="O2248" s="48"/>
      <c r="P2248" s="49"/>
    </row>
    <row r="2249" spans="2:16" x14ac:dyDescent="0.3">
      <c r="B2249" s="120"/>
      <c r="C2249" s="431"/>
      <c r="D2249" s="432"/>
      <c r="E2249" s="114"/>
      <c r="F2249" s="83"/>
      <c r="G2249" s="74"/>
      <c r="I2249" s="115">
        <f>IF(C2249=0,0,VLOOKUP(C2249,Tabla1[],3,FALSE))</f>
        <v>0</v>
      </c>
      <c r="K2249" s="84">
        <f t="shared" si="67"/>
        <v>0</v>
      </c>
      <c r="L2249" s="116">
        <f t="shared" si="66"/>
        <v>0</v>
      </c>
      <c r="O2249" s="48"/>
      <c r="P2249" s="49"/>
    </row>
    <row r="2250" spans="2:16" x14ac:dyDescent="0.3">
      <c r="B2250" s="120"/>
      <c r="C2250" s="430"/>
      <c r="D2250" s="429"/>
      <c r="E2250" s="114"/>
      <c r="F2250" s="83"/>
      <c r="G2250" s="74"/>
      <c r="I2250" s="115">
        <f>IF(C2250=0,0,VLOOKUP(C2250,Tabla1[],3,FALSE))</f>
        <v>0</v>
      </c>
      <c r="K2250" s="84">
        <f t="shared" si="67"/>
        <v>0</v>
      </c>
      <c r="L2250" s="116">
        <f t="shared" si="66"/>
        <v>0</v>
      </c>
      <c r="O2250" s="48"/>
      <c r="P2250" s="49"/>
    </row>
    <row r="2251" spans="2:16" ht="17.25" thickBot="1" x14ac:dyDescent="0.35"/>
    <row r="2252" spans="2:16" ht="17.25" thickBot="1" x14ac:dyDescent="0.3">
      <c r="F2252" s="402" t="s">
        <v>9</v>
      </c>
      <c r="G2252" s="403"/>
      <c r="H2252" s="403"/>
      <c r="I2252" s="404"/>
      <c r="K2252" s="224">
        <f>+SUM(K2241:K2250)</f>
        <v>1415</v>
      </c>
      <c r="L2252" s="117">
        <f>+SUM(L2241:L2250)</f>
        <v>1415</v>
      </c>
      <c r="O2252" s="38"/>
      <c r="P2252" s="38"/>
    </row>
    <row r="2253" spans="2:16" ht="17.25" thickBot="1" x14ac:dyDescent="0.35">
      <c r="O2253" s="42"/>
      <c r="P2253" s="43"/>
    </row>
    <row r="2254" spans="2:16" ht="17.25" thickBot="1" x14ac:dyDescent="0.35">
      <c r="B2254" s="108" t="s">
        <v>10</v>
      </c>
      <c r="C2254" s="413" t="s">
        <v>11</v>
      </c>
      <c r="D2254" s="413"/>
      <c r="E2254" s="413"/>
      <c r="F2254" s="413"/>
      <c r="G2254" s="414"/>
    </row>
    <row r="2255" spans="2:16" x14ac:dyDescent="0.3">
      <c r="B2255" s="112" t="s">
        <v>6</v>
      </c>
      <c r="C2255" s="415" t="s">
        <v>1</v>
      </c>
      <c r="D2255" s="416"/>
      <c r="E2255" s="110" t="s">
        <v>192</v>
      </c>
      <c r="F2255" s="118" t="s">
        <v>2</v>
      </c>
      <c r="G2255" s="112" t="s">
        <v>3</v>
      </c>
      <c r="H2255" s="104"/>
      <c r="I2255" s="105" t="s">
        <v>7</v>
      </c>
      <c r="J2255" s="134"/>
      <c r="K2255" s="105" t="s">
        <v>8</v>
      </c>
      <c r="L2255" s="113" t="s">
        <v>193</v>
      </c>
    </row>
    <row r="2256" spans="2:16" x14ac:dyDescent="0.3">
      <c r="B2256" s="120"/>
      <c r="C2256" s="409"/>
      <c r="D2256" s="409"/>
      <c r="E2256" s="114"/>
      <c r="F2256" s="83"/>
      <c r="G2256" s="74"/>
      <c r="I2256" s="115">
        <f>IF(C2256=0,0,VLOOKUP(C2256,Tabla3[],3,FALSE))</f>
        <v>0</v>
      </c>
      <c r="K2256" s="84">
        <f>F2256*I2256</f>
        <v>0</v>
      </c>
      <c r="L2256" s="116">
        <f>E2256*I2256</f>
        <v>0</v>
      </c>
    </row>
    <row r="2257" spans="2:12" x14ac:dyDescent="0.3">
      <c r="B2257" s="74"/>
      <c r="C2257" s="431"/>
      <c r="D2257" s="432"/>
      <c r="E2257" s="119"/>
      <c r="F2257" s="72"/>
      <c r="G2257" s="74"/>
      <c r="I2257" s="115">
        <f>IF(C2257=0,0,VLOOKUP(C2257,Tabla3[],3,FALSE))</f>
        <v>0</v>
      </c>
      <c r="K2257" s="84">
        <f>+F2257*I2257</f>
        <v>0</v>
      </c>
      <c r="L2257" s="116">
        <f>E2257*I2257</f>
        <v>0</v>
      </c>
    </row>
    <row r="2258" spans="2:12" x14ac:dyDescent="0.3">
      <c r="B2258" s="74"/>
      <c r="C2258" s="431"/>
      <c r="D2258" s="432"/>
      <c r="E2258" s="119"/>
      <c r="F2258" s="72"/>
      <c r="G2258" s="74"/>
      <c r="I2258" s="115">
        <f>IF(C2258=0,0,VLOOKUP(C2258,Tabla3[],3,FALSE))</f>
        <v>0</v>
      </c>
      <c r="K2258" s="84">
        <f>+F2258*I2258</f>
        <v>0</v>
      </c>
      <c r="L2258" s="116">
        <f>E2258*I2258</f>
        <v>0</v>
      </c>
    </row>
    <row r="2259" spans="2:12" x14ac:dyDescent="0.3">
      <c r="B2259" s="74"/>
      <c r="C2259" s="411"/>
      <c r="D2259" s="412"/>
      <c r="E2259" s="119"/>
      <c r="F2259" s="72"/>
      <c r="G2259" s="74"/>
      <c r="I2259" s="115">
        <f>IF(C2259=0,0,VLOOKUP(C2259,Tabla3[],3,FALSE))</f>
        <v>0</v>
      </c>
      <c r="K2259" s="84">
        <f>+F2259*I2259</f>
        <v>0</v>
      </c>
      <c r="L2259" s="116">
        <f>E2259*I2259</f>
        <v>0</v>
      </c>
    </row>
    <row r="2260" spans="2:12" ht="17.25" thickBot="1" x14ac:dyDescent="0.35"/>
    <row r="2261" spans="2:12" ht="17.25" thickBot="1" x14ac:dyDescent="0.35">
      <c r="F2261" s="402" t="s">
        <v>12</v>
      </c>
      <c r="G2261" s="403"/>
      <c r="H2261" s="403"/>
      <c r="I2261" s="404"/>
      <c r="K2261" s="224">
        <f>+SUM(K2256:K2259)</f>
        <v>0</v>
      </c>
      <c r="L2261" s="117">
        <f>+SUM(L2256:L2259)</f>
        <v>0</v>
      </c>
    </row>
    <row r="2262" spans="2:12" ht="17.25" thickBot="1" x14ac:dyDescent="0.35"/>
    <row r="2263" spans="2:12" ht="17.25" thickBot="1" x14ac:dyDescent="0.35">
      <c r="B2263" s="108" t="s">
        <v>13</v>
      </c>
      <c r="C2263" s="413" t="s">
        <v>14</v>
      </c>
      <c r="D2263" s="413"/>
      <c r="E2263" s="413"/>
      <c r="F2263" s="413"/>
      <c r="G2263" s="414"/>
    </row>
    <row r="2264" spans="2:12" x14ac:dyDescent="0.3">
      <c r="B2264" s="112" t="s">
        <v>6</v>
      </c>
      <c r="C2264" s="415" t="s">
        <v>1</v>
      </c>
      <c r="D2264" s="416"/>
      <c r="E2264" s="110" t="s">
        <v>192</v>
      </c>
      <c r="F2264" s="118" t="s">
        <v>2</v>
      </c>
      <c r="G2264" s="112" t="s">
        <v>3</v>
      </c>
      <c r="H2264" s="104"/>
      <c r="I2264" s="105" t="s">
        <v>7</v>
      </c>
      <c r="J2264" s="134"/>
      <c r="K2264" s="105" t="s">
        <v>8</v>
      </c>
      <c r="L2264" s="113" t="s">
        <v>193</v>
      </c>
    </row>
    <row r="2265" spans="2:12" x14ac:dyDescent="0.3">
      <c r="B2265" s="120">
        <v>1</v>
      </c>
      <c r="C2265" s="409" t="s">
        <v>317</v>
      </c>
      <c r="D2265" s="409"/>
      <c r="E2265" s="114">
        <f>I2237</f>
        <v>1</v>
      </c>
      <c r="F2265" s="83">
        <f>ROUND(E2265/I2237,2)</f>
        <v>1</v>
      </c>
      <c r="G2265" s="74" t="str">
        <f>IF(C2265=0,0,VLOOKUP(C2265,Tabla2[],2,FALSE))</f>
        <v>Unidad</v>
      </c>
      <c r="I2265" s="115">
        <f>IF(C2265=0,0,VLOOKUP(C2265,Tabla2[],3,FALSE))</f>
        <v>50</v>
      </c>
      <c r="K2265" s="84">
        <f>+F2265*I2265</f>
        <v>50</v>
      </c>
      <c r="L2265" s="116">
        <f>E2265*I2265</f>
        <v>50</v>
      </c>
    </row>
    <row r="2266" spans="2:12" x14ac:dyDescent="0.3">
      <c r="B2266" s="120"/>
      <c r="C2266" s="409"/>
      <c r="D2266" s="409"/>
      <c r="E2266" s="114"/>
      <c r="F2266" s="83"/>
      <c r="G2266" s="74"/>
      <c r="I2266" s="115">
        <f>IF(C2266=0,0,VLOOKUP(C2266,Tabla2[],3,FALSE))</f>
        <v>0</v>
      </c>
      <c r="K2266" s="84">
        <f>+F2266*I2266</f>
        <v>0</v>
      </c>
      <c r="L2266" s="116">
        <f>E2266*I2266</f>
        <v>0</v>
      </c>
    </row>
    <row r="2267" spans="2:12" ht="17.25" thickBot="1" x14ac:dyDescent="0.35">
      <c r="B2267" s="121"/>
      <c r="C2267" s="417"/>
      <c r="D2267" s="418"/>
      <c r="E2267" s="122"/>
      <c r="F2267" s="123"/>
      <c r="G2267" s="74"/>
      <c r="I2267" s="115">
        <f>IF(C2267=0,0,VLOOKUP(C2267,Tabla2[],3,FALSE))</f>
        <v>0</v>
      </c>
      <c r="K2267" s="84">
        <f>+F2267*I2267</f>
        <v>0</v>
      </c>
      <c r="L2267" s="116">
        <f>E2267*I2267</f>
        <v>0</v>
      </c>
    </row>
    <row r="2268" spans="2:12" ht="17.25" thickBot="1" x14ac:dyDescent="0.35">
      <c r="B2268" s="419" t="s">
        <v>15</v>
      </c>
      <c r="C2268" s="420"/>
      <c r="D2268" s="420"/>
      <c r="E2268" s="420"/>
      <c r="F2268" s="420"/>
      <c r="G2268" s="421"/>
      <c r="I2268" s="84">
        <v>0</v>
      </c>
      <c r="K2268" s="84">
        <v>0</v>
      </c>
      <c r="L2268" s="116">
        <f>E2268*I2268</f>
        <v>0</v>
      </c>
    </row>
    <row r="2269" spans="2:12" ht="17.25" thickBot="1" x14ac:dyDescent="0.35"/>
    <row r="2270" spans="2:12" ht="17.25" thickBot="1" x14ac:dyDescent="0.35">
      <c r="F2270" s="402" t="s">
        <v>16</v>
      </c>
      <c r="G2270" s="403"/>
      <c r="H2270" s="403"/>
      <c r="I2270" s="404"/>
      <c r="K2270" s="224">
        <f>+SUM(K2265:K2268)</f>
        <v>50</v>
      </c>
      <c r="L2270" s="117">
        <f>+SUM(L2265:L2268)</f>
        <v>50</v>
      </c>
    </row>
    <row r="2271" spans="2:12" ht="17.25" thickBot="1" x14ac:dyDescent="0.35"/>
    <row r="2272" spans="2:12" ht="17.25" thickBot="1" x14ac:dyDescent="0.35">
      <c r="B2272" s="108" t="s">
        <v>17</v>
      </c>
      <c r="C2272" s="413" t="s">
        <v>18</v>
      </c>
      <c r="D2272" s="413"/>
      <c r="E2272" s="413"/>
      <c r="F2272" s="413"/>
      <c r="G2272" s="414"/>
    </row>
    <row r="2273" spans="2:16" x14ac:dyDescent="0.3">
      <c r="B2273" s="112" t="s">
        <v>6</v>
      </c>
      <c r="C2273" s="415" t="s">
        <v>1</v>
      </c>
      <c r="D2273" s="416"/>
      <c r="E2273" s="124"/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6" x14ac:dyDescent="0.3">
      <c r="B2274" s="74"/>
      <c r="C2274" s="411"/>
      <c r="D2274" s="412"/>
      <c r="E2274" s="125"/>
      <c r="F2274" s="72"/>
      <c r="G2274" s="74"/>
      <c r="I2274" s="84">
        <v>0</v>
      </c>
      <c r="K2274" s="84">
        <f>+F2274*I2274</f>
        <v>0</v>
      </c>
      <c r="L2274" s="116">
        <f>E2274*I2274</f>
        <v>0</v>
      </c>
    </row>
    <row r="2275" spans="2:16" x14ac:dyDescent="0.3">
      <c r="B2275" s="74"/>
      <c r="C2275" s="411"/>
      <c r="D2275" s="412"/>
      <c r="E2275" s="125"/>
      <c r="F2275" s="72"/>
      <c r="G2275" s="74"/>
      <c r="I2275" s="84">
        <v>0</v>
      </c>
      <c r="K2275" s="84">
        <f>+F2275*I2275</f>
        <v>0</v>
      </c>
      <c r="L2275" s="116">
        <f>E2275*I2275</f>
        <v>0</v>
      </c>
    </row>
    <row r="2276" spans="2:16" x14ac:dyDescent="0.3">
      <c r="B2276" s="74"/>
      <c r="C2276" s="411"/>
      <c r="D2276" s="412"/>
      <c r="E2276" s="125"/>
      <c r="F2276" s="72"/>
      <c r="G2276" s="74"/>
      <c r="I2276" s="84">
        <v>0</v>
      </c>
      <c r="K2276" s="84">
        <f>+F2276*I2276</f>
        <v>0</v>
      </c>
      <c r="L2276" s="116">
        <f>E2276*I2276</f>
        <v>0</v>
      </c>
    </row>
    <row r="2277" spans="2:16" ht="17.25" thickBot="1" x14ac:dyDescent="0.35">
      <c r="L2277" s="116"/>
    </row>
    <row r="2278" spans="2:16" ht="17.25" thickBot="1" x14ac:dyDescent="0.35">
      <c r="F2278" s="402" t="s">
        <v>19</v>
      </c>
      <c r="G2278" s="403"/>
      <c r="H2278" s="403"/>
      <c r="I2278" s="404"/>
      <c r="K2278" s="224">
        <f>+SUM(K2274:K2276)</f>
        <v>0</v>
      </c>
      <c r="L2278" s="117">
        <f>+SUM(L2273:L2276)</f>
        <v>0</v>
      </c>
    </row>
    <row r="2279" spans="2:16" ht="15" customHeight="1" x14ac:dyDescent="0.3">
      <c r="F2279" s="126"/>
      <c r="G2279" s="280"/>
      <c r="H2279" s="128"/>
      <c r="I2279" s="106"/>
      <c r="K2279" s="225"/>
    </row>
    <row r="2280" spans="2:16" ht="15" customHeight="1" thickBot="1" x14ac:dyDescent="0.35"/>
    <row r="2281" spans="2:16" ht="17.25" thickBot="1" x14ac:dyDescent="0.35">
      <c r="F2281" s="402" t="s">
        <v>20</v>
      </c>
      <c r="G2281" s="403"/>
      <c r="H2281" s="403"/>
      <c r="I2281" s="404"/>
      <c r="K2281" s="224">
        <f>(+K2252+K2261+K2270+K2278)</f>
        <v>1465</v>
      </c>
      <c r="L2281" s="117">
        <f>(+L2252+L2261+L2270+L2278)</f>
        <v>1465</v>
      </c>
      <c r="N2281" s="129"/>
      <c r="O2281" s="39"/>
      <c r="P2281" s="40"/>
    </row>
    <row r="2282" spans="2:16" ht="7.5" customHeight="1" thickBot="1" x14ac:dyDescent="0.35">
      <c r="N2282" s="129"/>
      <c r="O2282" s="41"/>
      <c r="P2282" s="40"/>
    </row>
    <row r="2283" spans="2:16" ht="17.25" thickBot="1" x14ac:dyDescent="0.35">
      <c r="F2283" s="402" t="s">
        <v>21</v>
      </c>
      <c r="G2283" s="403"/>
      <c r="H2283" s="403"/>
      <c r="I2283" s="404"/>
      <c r="K2283" s="224">
        <f>K2281*$N$2</f>
        <v>586</v>
      </c>
      <c r="L2283" s="117">
        <f>L2281*$N$2</f>
        <v>586</v>
      </c>
    </row>
    <row r="2284" spans="2:16" ht="7.5" customHeight="1" thickBot="1" x14ac:dyDescent="0.35"/>
    <row r="2285" spans="2:16" ht="17.25" thickBot="1" x14ac:dyDescent="0.35">
      <c r="F2285" s="402" t="s">
        <v>22</v>
      </c>
      <c r="G2285" s="403"/>
      <c r="H2285" s="403"/>
      <c r="I2285" s="404"/>
      <c r="K2285" s="224">
        <f>+K2281+K2283</f>
        <v>2051</v>
      </c>
      <c r="L2285" s="117">
        <f>+L2281+L2283</f>
        <v>2051</v>
      </c>
    </row>
    <row r="2286" spans="2:16" ht="17.25" thickBot="1" x14ac:dyDescent="0.35">
      <c r="F2286" s="126"/>
      <c r="G2286" s="280"/>
      <c r="H2286" s="128"/>
      <c r="I2286" s="106"/>
      <c r="K2286" s="226"/>
      <c r="L2286" s="130">
        <f>L2285/I2237</f>
        <v>2051</v>
      </c>
      <c r="M2286" s="131">
        <f>(K2285-L2286)*I2237</f>
        <v>0</v>
      </c>
    </row>
    <row r="2287" spans="2:16" x14ac:dyDescent="0.3">
      <c r="F2287" s="126"/>
      <c r="G2287" s="280"/>
      <c r="H2287" s="128"/>
      <c r="I2287" s="106"/>
      <c r="K2287" s="227"/>
      <c r="L2287" s="129"/>
      <c r="M2287" s="132"/>
      <c r="N2287" s="133"/>
    </row>
    <row r="2288" spans="2:16" ht="17.25" thickBot="1" x14ac:dyDescent="0.35">
      <c r="B2288" s="405"/>
      <c r="C2288" s="405"/>
      <c r="D2288" s="405"/>
    </row>
    <row r="2289" spans="1:16" x14ac:dyDescent="0.3">
      <c r="B2289" s="406" t="s">
        <v>23</v>
      </c>
      <c r="C2289" s="406"/>
      <c r="D2289" s="406"/>
    </row>
    <row r="2290" spans="1:16" x14ac:dyDescent="0.3">
      <c r="B2290" s="281"/>
      <c r="C2290" s="281"/>
      <c r="D2290" s="281"/>
    </row>
    <row r="2291" spans="1:16" x14ac:dyDescent="0.3">
      <c r="B2291" s="281"/>
      <c r="C2291" s="281"/>
      <c r="D2291" s="281"/>
    </row>
    <row r="2292" spans="1:16" x14ac:dyDescent="0.3">
      <c r="B2292" s="103" t="s">
        <v>43</v>
      </c>
      <c r="C2292" s="104"/>
      <c r="D2292" s="422" t="s">
        <v>1</v>
      </c>
      <c r="E2292" s="422"/>
      <c r="F2292" s="422"/>
      <c r="G2292" s="422"/>
      <c r="H2292" s="104"/>
      <c r="I2292" s="105" t="s">
        <v>2</v>
      </c>
      <c r="J2292" s="134"/>
      <c r="K2292" s="105" t="s">
        <v>3</v>
      </c>
    </row>
    <row r="2293" spans="1:16" s="4" customFormat="1" ht="30.75" customHeight="1" x14ac:dyDescent="0.25">
      <c r="A2293" s="31"/>
      <c r="B2293" s="287">
        <f>CATALOGO!B79</f>
        <v>1002.01</v>
      </c>
      <c r="C2293" s="71"/>
      <c r="D2293" s="437" t="str">
        <f>CATALOGO!C79</f>
        <v>LAVAMANOS EMPOTRADO</v>
      </c>
      <c r="E2293" s="437"/>
      <c r="F2293" s="437"/>
      <c r="G2293" s="437"/>
      <c r="H2293" s="71"/>
      <c r="I2293" s="287">
        <f>CATALOGO!D79</f>
        <v>2</v>
      </c>
      <c r="J2293" s="107"/>
      <c r="K2293" s="222" t="str">
        <f>CATALOGO!G79</f>
        <v>Unidad</v>
      </c>
      <c r="L2293" s="71"/>
      <c r="M2293" s="71"/>
      <c r="N2293" s="102"/>
      <c r="O2293" s="37"/>
      <c r="P2293" s="37"/>
    </row>
    <row r="2294" spans="1:16" ht="17.25" thickBot="1" x14ac:dyDescent="0.35"/>
    <row r="2295" spans="1:16" ht="17.25" thickBot="1" x14ac:dyDescent="0.35">
      <c r="B2295" s="108" t="s">
        <v>4</v>
      </c>
      <c r="C2295" s="413" t="s">
        <v>5</v>
      </c>
      <c r="D2295" s="413"/>
      <c r="E2295" s="413"/>
      <c r="F2295" s="413"/>
      <c r="G2295" s="414"/>
    </row>
    <row r="2296" spans="1:16" x14ac:dyDescent="0.25">
      <c r="B2296" s="109" t="s">
        <v>6</v>
      </c>
      <c r="C2296" s="424" t="s">
        <v>1</v>
      </c>
      <c r="D2296" s="425"/>
      <c r="E2296" s="110" t="s">
        <v>192</v>
      </c>
      <c r="F2296" s="111" t="s">
        <v>2</v>
      </c>
      <c r="G2296" s="112" t="s">
        <v>3</v>
      </c>
      <c r="H2296" s="104"/>
      <c r="I2296" s="105" t="s">
        <v>7</v>
      </c>
      <c r="J2296" s="134"/>
      <c r="K2296" s="223" t="s">
        <v>8</v>
      </c>
      <c r="L2296" s="113" t="s">
        <v>193</v>
      </c>
      <c r="O2296" s="438"/>
      <c r="P2296" s="438"/>
    </row>
    <row r="2297" spans="1:16" ht="17.25" customHeight="1" x14ac:dyDescent="0.25">
      <c r="B2297" s="120">
        <v>1</v>
      </c>
      <c r="C2297" s="407" t="s">
        <v>391</v>
      </c>
      <c r="D2297" s="408"/>
      <c r="E2297" s="114">
        <f>1*I2293</f>
        <v>2</v>
      </c>
      <c r="F2297" s="83">
        <f>ROUND(E2297/I2293,2)</f>
        <v>1</v>
      </c>
      <c r="G2297" s="74" t="str">
        <f>IF(C2297=0,0,VLOOKUP(C2297,Tabla1[],2,FALSE))</f>
        <v>Unidad</v>
      </c>
      <c r="I2297" s="115">
        <f>IF(C2297=0,0,VLOOKUP(C2297,Tabla1[],3,FALSE))</f>
        <v>700</v>
      </c>
      <c r="K2297" s="84">
        <f>F2297*I2297</f>
        <v>700</v>
      </c>
      <c r="L2297" s="116">
        <f t="shared" ref="L2297:L2306" si="68">E2297*I2297</f>
        <v>1400</v>
      </c>
      <c r="O2297" s="44"/>
      <c r="P2297" s="45"/>
    </row>
    <row r="2298" spans="1:16" ht="16.5" customHeight="1" x14ac:dyDescent="0.3">
      <c r="B2298" s="120">
        <v>2</v>
      </c>
      <c r="C2298" s="430" t="s">
        <v>95</v>
      </c>
      <c r="D2298" s="429"/>
      <c r="E2298" s="114">
        <f>I2293*0.5</f>
        <v>1</v>
      </c>
      <c r="F2298" s="83">
        <f>ROUND(E2298/I2293,2)</f>
        <v>0.5</v>
      </c>
      <c r="G2298" s="74" t="str">
        <f>IF(C2298=0,0,VLOOKUP(C2298,Tabla1[],2,FALSE))</f>
        <v>Libra</v>
      </c>
      <c r="I2298" s="115">
        <f>IF(C2298=0,0,VLOOKUP(C2298,Tabla1[],3,FALSE))</f>
        <v>20</v>
      </c>
      <c r="K2298" s="84">
        <f t="shared" ref="K2298:K2306" si="69">+F2298*I2298</f>
        <v>10</v>
      </c>
      <c r="L2298" s="116">
        <f t="shared" si="68"/>
        <v>20</v>
      </c>
      <c r="P2298" s="45"/>
    </row>
    <row r="2299" spans="1:16" x14ac:dyDescent="0.3">
      <c r="B2299" s="120">
        <v>3</v>
      </c>
      <c r="C2299" s="430" t="s">
        <v>589</v>
      </c>
      <c r="D2299" s="429"/>
      <c r="E2299" s="114">
        <f>I2293</f>
        <v>2</v>
      </c>
      <c r="F2299" s="83">
        <f>ROUND(E2299/I2293,2)</f>
        <v>1</v>
      </c>
      <c r="G2299" s="74" t="str">
        <f>IF(C2299=0,0,VLOOKUP(C2299,Tabla1[],2,FALSE))</f>
        <v>Unidad</v>
      </c>
      <c r="I2299" s="115">
        <f>IF(C2299=0,0,VLOOKUP(C2299,Tabla1[],3,FALSE))</f>
        <v>250</v>
      </c>
      <c r="K2299" s="84">
        <f t="shared" si="69"/>
        <v>250</v>
      </c>
      <c r="L2299" s="116">
        <f t="shared" si="68"/>
        <v>500</v>
      </c>
      <c r="O2299" s="48"/>
      <c r="P2299" s="49"/>
    </row>
    <row r="2300" spans="1:16" x14ac:dyDescent="0.3">
      <c r="B2300" s="120"/>
      <c r="C2300" s="430"/>
      <c r="D2300" s="429"/>
      <c r="E2300" s="114"/>
      <c r="F2300" s="83"/>
      <c r="G2300" s="74"/>
      <c r="I2300" s="115">
        <f>IF(C2300=0,0,VLOOKUP(C2300,Tabla1[],3,FALSE))</f>
        <v>0</v>
      </c>
      <c r="K2300" s="84">
        <f t="shared" si="69"/>
        <v>0</v>
      </c>
      <c r="L2300" s="116">
        <f t="shared" si="68"/>
        <v>0</v>
      </c>
      <c r="O2300" s="48"/>
      <c r="P2300" s="49"/>
    </row>
    <row r="2301" spans="1:16" x14ac:dyDescent="0.3">
      <c r="B2301" s="120"/>
      <c r="C2301" s="430"/>
      <c r="D2301" s="429"/>
      <c r="E2301" s="114"/>
      <c r="F2301" s="83"/>
      <c r="G2301" s="74"/>
      <c r="I2301" s="115">
        <f>IF(C2301=0,0,VLOOKUP(C2301,Tabla1[],3,FALSE))</f>
        <v>0</v>
      </c>
      <c r="K2301" s="84">
        <f t="shared" si="69"/>
        <v>0</v>
      </c>
      <c r="L2301" s="116">
        <f t="shared" si="68"/>
        <v>0</v>
      </c>
      <c r="O2301" s="48"/>
      <c r="P2301" s="49"/>
    </row>
    <row r="2302" spans="1:16" x14ac:dyDescent="0.3">
      <c r="B2302" s="120"/>
      <c r="C2302" s="430"/>
      <c r="D2302" s="429"/>
      <c r="E2302" s="114"/>
      <c r="F2302" s="83"/>
      <c r="G2302" s="74"/>
      <c r="I2302" s="115">
        <f>IF(C2302=0,0,VLOOKUP(C2302,Tabla1[],3,FALSE))</f>
        <v>0</v>
      </c>
      <c r="K2302" s="84">
        <f t="shared" si="69"/>
        <v>0</v>
      </c>
      <c r="L2302" s="116">
        <f t="shared" si="68"/>
        <v>0</v>
      </c>
      <c r="O2302" s="48"/>
      <c r="P2302" s="49"/>
    </row>
    <row r="2303" spans="1:16" x14ac:dyDescent="0.3">
      <c r="B2303" s="120"/>
      <c r="C2303" s="430"/>
      <c r="D2303" s="429"/>
      <c r="E2303" s="114"/>
      <c r="F2303" s="83"/>
      <c r="G2303" s="74"/>
      <c r="I2303" s="115">
        <f>IF(C2303=0,0,VLOOKUP(C2303,Tabla1[],3,FALSE))</f>
        <v>0</v>
      </c>
      <c r="K2303" s="84">
        <f t="shared" si="69"/>
        <v>0</v>
      </c>
      <c r="L2303" s="116">
        <f t="shared" si="68"/>
        <v>0</v>
      </c>
      <c r="O2303" s="48"/>
      <c r="P2303" s="49"/>
    </row>
    <row r="2304" spans="1:16" x14ac:dyDescent="0.3">
      <c r="B2304" s="120"/>
      <c r="C2304" s="428"/>
      <c r="D2304" s="429"/>
      <c r="E2304" s="114"/>
      <c r="F2304" s="83"/>
      <c r="G2304" s="74"/>
      <c r="I2304" s="115">
        <f>IF(C2304=0,0,VLOOKUP(C2304,Tabla1[],3,FALSE))</f>
        <v>0</v>
      </c>
      <c r="K2304" s="84">
        <f t="shared" si="69"/>
        <v>0</v>
      </c>
      <c r="L2304" s="116">
        <f t="shared" si="68"/>
        <v>0</v>
      </c>
      <c r="O2304" s="48"/>
      <c r="P2304" s="49"/>
    </row>
    <row r="2305" spans="2:16" x14ac:dyDescent="0.3">
      <c r="B2305" s="120"/>
      <c r="C2305" s="431"/>
      <c r="D2305" s="432"/>
      <c r="E2305" s="114"/>
      <c r="F2305" s="83"/>
      <c r="G2305" s="74"/>
      <c r="I2305" s="115">
        <f>IF(C2305=0,0,VLOOKUP(C2305,Tabla1[],3,FALSE))</f>
        <v>0</v>
      </c>
      <c r="K2305" s="84">
        <f t="shared" si="69"/>
        <v>0</v>
      </c>
      <c r="L2305" s="116">
        <f t="shared" si="68"/>
        <v>0</v>
      </c>
      <c r="O2305" s="48"/>
      <c r="P2305" s="49"/>
    </row>
    <row r="2306" spans="2:16" x14ac:dyDescent="0.3">
      <c r="B2306" s="120"/>
      <c r="C2306" s="430"/>
      <c r="D2306" s="429"/>
      <c r="E2306" s="114"/>
      <c r="F2306" s="83"/>
      <c r="G2306" s="74"/>
      <c r="I2306" s="115">
        <f>IF(C2306=0,0,VLOOKUP(C2306,Tabla1[],3,FALSE))</f>
        <v>0</v>
      </c>
      <c r="K2306" s="84">
        <f t="shared" si="69"/>
        <v>0</v>
      </c>
      <c r="L2306" s="116">
        <f t="shared" si="68"/>
        <v>0</v>
      </c>
      <c r="O2306" s="48"/>
      <c r="P2306" s="49"/>
    </row>
    <row r="2307" spans="2:16" ht="17.25" thickBot="1" x14ac:dyDescent="0.35"/>
    <row r="2308" spans="2:16" ht="17.25" thickBot="1" x14ac:dyDescent="0.3">
      <c r="F2308" s="402" t="s">
        <v>9</v>
      </c>
      <c r="G2308" s="403"/>
      <c r="H2308" s="403"/>
      <c r="I2308" s="404"/>
      <c r="K2308" s="224">
        <f>+SUM(K2297:K2306)</f>
        <v>960</v>
      </c>
      <c r="L2308" s="117">
        <f>+SUM(L2297:L2306)</f>
        <v>1920</v>
      </c>
      <c r="O2308" s="38"/>
      <c r="P2308" s="38"/>
    </row>
    <row r="2309" spans="2:16" ht="17.25" thickBot="1" x14ac:dyDescent="0.35">
      <c r="O2309" s="42"/>
      <c r="P2309" s="43"/>
    </row>
    <row r="2310" spans="2:16" ht="17.25" thickBot="1" x14ac:dyDescent="0.35">
      <c r="B2310" s="108" t="s">
        <v>10</v>
      </c>
      <c r="C2310" s="413" t="s">
        <v>11</v>
      </c>
      <c r="D2310" s="413"/>
      <c r="E2310" s="413"/>
      <c r="F2310" s="413"/>
      <c r="G2310" s="414"/>
    </row>
    <row r="2311" spans="2:16" x14ac:dyDescent="0.3">
      <c r="B2311" s="112" t="s">
        <v>6</v>
      </c>
      <c r="C2311" s="415" t="s">
        <v>1</v>
      </c>
      <c r="D2311" s="416"/>
      <c r="E2311" s="110" t="s">
        <v>192</v>
      </c>
      <c r="F2311" s="118" t="s">
        <v>2</v>
      </c>
      <c r="G2311" s="112" t="s">
        <v>3</v>
      </c>
      <c r="H2311" s="104"/>
      <c r="I2311" s="105" t="s">
        <v>7</v>
      </c>
      <c r="J2311" s="134"/>
      <c r="K2311" s="105" t="s">
        <v>8</v>
      </c>
      <c r="L2311" s="113" t="s">
        <v>193</v>
      </c>
    </row>
    <row r="2312" spans="2:16" x14ac:dyDescent="0.3">
      <c r="B2312" s="120"/>
      <c r="C2312" s="409"/>
      <c r="D2312" s="409"/>
      <c r="E2312" s="114"/>
      <c r="F2312" s="83"/>
      <c r="G2312" s="74"/>
      <c r="I2312" s="115">
        <f>IF(C2312=0,0,VLOOKUP(C2312,Tabla3[],3,FALSE))</f>
        <v>0</v>
      </c>
      <c r="K2312" s="84">
        <f>F2312*I2312</f>
        <v>0</v>
      </c>
      <c r="L2312" s="116">
        <f>E2312*I2312</f>
        <v>0</v>
      </c>
    </row>
    <row r="2313" spans="2:16" x14ac:dyDescent="0.3">
      <c r="B2313" s="74"/>
      <c r="C2313" s="431"/>
      <c r="D2313" s="432"/>
      <c r="E2313" s="119"/>
      <c r="F2313" s="72"/>
      <c r="G2313" s="74"/>
      <c r="I2313" s="115">
        <f>IF(C2313=0,0,VLOOKUP(C2313,Tabla3[],3,FALSE))</f>
        <v>0</v>
      </c>
      <c r="K2313" s="84">
        <f>+F2313*I2313</f>
        <v>0</v>
      </c>
      <c r="L2313" s="116">
        <f>E2313*I2313</f>
        <v>0</v>
      </c>
    </row>
    <row r="2314" spans="2:16" x14ac:dyDescent="0.3">
      <c r="B2314" s="74"/>
      <c r="C2314" s="431"/>
      <c r="D2314" s="432"/>
      <c r="E2314" s="119"/>
      <c r="F2314" s="72"/>
      <c r="G2314" s="74"/>
      <c r="I2314" s="115">
        <f>IF(C2314=0,0,VLOOKUP(C2314,Tabla3[],3,FALSE))</f>
        <v>0</v>
      </c>
      <c r="K2314" s="84">
        <f>+F2314*I2314</f>
        <v>0</v>
      </c>
      <c r="L2314" s="116">
        <f>E2314*I2314</f>
        <v>0</v>
      </c>
    </row>
    <row r="2315" spans="2:16" x14ac:dyDescent="0.3">
      <c r="B2315" s="74"/>
      <c r="C2315" s="411"/>
      <c r="D2315" s="412"/>
      <c r="E2315" s="119"/>
      <c r="F2315" s="72"/>
      <c r="G2315" s="74"/>
      <c r="I2315" s="115">
        <f>IF(C2315=0,0,VLOOKUP(C2315,Tabla3[],3,FALSE))</f>
        <v>0</v>
      </c>
      <c r="K2315" s="84">
        <f>+F2315*I2315</f>
        <v>0</v>
      </c>
      <c r="L2315" s="116">
        <f>E2315*I2315</f>
        <v>0</v>
      </c>
    </row>
    <row r="2316" spans="2:16" ht="17.25" thickBot="1" x14ac:dyDescent="0.35"/>
    <row r="2317" spans="2:16" ht="17.25" thickBot="1" x14ac:dyDescent="0.35">
      <c r="F2317" s="402" t="s">
        <v>12</v>
      </c>
      <c r="G2317" s="403"/>
      <c r="H2317" s="403"/>
      <c r="I2317" s="404"/>
      <c r="K2317" s="224">
        <f>+SUM(K2312:K2315)</f>
        <v>0</v>
      </c>
      <c r="L2317" s="117">
        <f>+SUM(L2312:L2315)</f>
        <v>0</v>
      </c>
    </row>
    <row r="2318" spans="2:16" ht="17.25" thickBot="1" x14ac:dyDescent="0.35"/>
    <row r="2319" spans="2:16" ht="17.25" thickBot="1" x14ac:dyDescent="0.35">
      <c r="B2319" s="108" t="s">
        <v>13</v>
      </c>
      <c r="C2319" s="413" t="s">
        <v>14</v>
      </c>
      <c r="D2319" s="413"/>
      <c r="E2319" s="413"/>
      <c r="F2319" s="413"/>
      <c r="G2319" s="414"/>
    </row>
    <row r="2320" spans="2:16" x14ac:dyDescent="0.3">
      <c r="B2320" s="112" t="s">
        <v>6</v>
      </c>
      <c r="C2320" s="415" t="s">
        <v>1</v>
      </c>
      <c r="D2320" s="416"/>
      <c r="E2320" s="110" t="s">
        <v>192</v>
      </c>
      <c r="F2320" s="118" t="s">
        <v>2</v>
      </c>
      <c r="G2320" s="112" t="s">
        <v>3</v>
      </c>
      <c r="H2320" s="104"/>
      <c r="I2320" s="105" t="s">
        <v>7</v>
      </c>
      <c r="J2320" s="134"/>
      <c r="K2320" s="105" t="s">
        <v>8</v>
      </c>
      <c r="L2320" s="113" t="s">
        <v>193</v>
      </c>
    </row>
    <row r="2321" spans="2:12" x14ac:dyDescent="0.3">
      <c r="B2321" s="120">
        <v>1</v>
      </c>
      <c r="C2321" s="409" t="s">
        <v>343</v>
      </c>
      <c r="D2321" s="409"/>
      <c r="E2321" s="114">
        <f>I2293</f>
        <v>2</v>
      </c>
      <c r="F2321" s="83">
        <f>ROUND(E2321/I2293,2)</f>
        <v>1</v>
      </c>
      <c r="G2321" s="74" t="str">
        <f>IF(C2321=0,0,VLOOKUP(C2321,Tabla2[],2,FALSE))</f>
        <v>Unidad</v>
      </c>
      <c r="I2321" s="115">
        <f>IF(C2321=0,0,VLOOKUP(C2321,Tabla2[],3,FALSE))</f>
        <v>60</v>
      </c>
      <c r="K2321" s="84">
        <f>+F2321*I2321</f>
        <v>60</v>
      </c>
      <c r="L2321" s="116">
        <f>E2321*I2321</f>
        <v>120</v>
      </c>
    </row>
    <row r="2322" spans="2:12" x14ac:dyDescent="0.3">
      <c r="B2322" s="120"/>
      <c r="C2322" s="409"/>
      <c r="D2322" s="409"/>
      <c r="E2322" s="114"/>
      <c r="F2322" s="83"/>
      <c r="G2322" s="74"/>
      <c r="I2322" s="115">
        <f>IF(C2322=0,0,VLOOKUP(C2322,Tabla2[],3,FALSE))</f>
        <v>0</v>
      </c>
      <c r="K2322" s="84">
        <f>+F2322*I2322</f>
        <v>0</v>
      </c>
      <c r="L2322" s="116">
        <f>E2322*I2322</f>
        <v>0</v>
      </c>
    </row>
    <row r="2323" spans="2:12" ht="17.25" thickBot="1" x14ac:dyDescent="0.35">
      <c r="B2323" s="121"/>
      <c r="C2323" s="417"/>
      <c r="D2323" s="418"/>
      <c r="E2323" s="122"/>
      <c r="F2323" s="123"/>
      <c r="G2323" s="74"/>
      <c r="I2323" s="115">
        <f>IF(C2323=0,0,VLOOKUP(C2323,Tabla2[],3,FALSE))</f>
        <v>0</v>
      </c>
      <c r="K2323" s="84">
        <f>+F2323*I2323</f>
        <v>0</v>
      </c>
      <c r="L2323" s="116">
        <f>E2323*I2323</f>
        <v>0</v>
      </c>
    </row>
    <row r="2324" spans="2:12" ht="17.25" thickBot="1" x14ac:dyDescent="0.35">
      <c r="B2324" s="419" t="s">
        <v>15</v>
      </c>
      <c r="C2324" s="420"/>
      <c r="D2324" s="420"/>
      <c r="E2324" s="420"/>
      <c r="F2324" s="420"/>
      <c r="G2324" s="421"/>
      <c r="I2324" s="84">
        <v>0</v>
      </c>
      <c r="K2324" s="84">
        <v>0</v>
      </c>
      <c r="L2324" s="116">
        <f>E2324*I2324</f>
        <v>0</v>
      </c>
    </row>
    <row r="2325" spans="2:12" ht="17.25" thickBot="1" x14ac:dyDescent="0.35"/>
    <row r="2326" spans="2:12" ht="17.25" thickBot="1" x14ac:dyDescent="0.35">
      <c r="F2326" s="402" t="s">
        <v>16</v>
      </c>
      <c r="G2326" s="403"/>
      <c r="H2326" s="403"/>
      <c r="I2326" s="404"/>
      <c r="K2326" s="224">
        <f>+SUM(K2321:K2324)</f>
        <v>60</v>
      </c>
      <c r="L2326" s="117">
        <f>+SUM(L2321:L2324)</f>
        <v>120</v>
      </c>
    </row>
    <row r="2327" spans="2:12" ht="17.25" thickBot="1" x14ac:dyDescent="0.35"/>
    <row r="2328" spans="2:12" ht="17.25" thickBot="1" x14ac:dyDescent="0.35">
      <c r="B2328" s="108" t="s">
        <v>17</v>
      </c>
      <c r="C2328" s="413" t="s">
        <v>18</v>
      </c>
      <c r="D2328" s="413"/>
      <c r="E2328" s="413"/>
      <c r="F2328" s="413"/>
      <c r="G2328" s="414"/>
    </row>
    <row r="2329" spans="2:12" x14ac:dyDescent="0.3">
      <c r="B2329" s="112" t="s">
        <v>6</v>
      </c>
      <c r="C2329" s="415" t="s">
        <v>1</v>
      </c>
      <c r="D2329" s="416"/>
      <c r="E2329" s="124"/>
      <c r="F2329" s="118" t="s">
        <v>2</v>
      </c>
      <c r="G2329" s="112" t="s">
        <v>3</v>
      </c>
      <c r="H2329" s="104"/>
      <c r="I2329" s="105" t="s">
        <v>7</v>
      </c>
      <c r="J2329" s="134"/>
      <c r="K2329" s="105" t="s">
        <v>8</v>
      </c>
      <c r="L2329" s="113" t="s">
        <v>193</v>
      </c>
    </row>
    <row r="2330" spans="2:12" x14ac:dyDescent="0.3">
      <c r="B2330" s="74"/>
      <c r="C2330" s="411"/>
      <c r="D2330" s="412"/>
      <c r="E2330" s="125"/>
      <c r="F2330" s="72"/>
      <c r="G2330" s="74"/>
      <c r="I2330" s="84">
        <v>0</v>
      </c>
      <c r="K2330" s="84">
        <f>+F2330*I2330</f>
        <v>0</v>
      </c>
      <c r="L2330" s="116">
        <f>E2330*I2330</f>
        <v>0</v>
      </c>
    </row>
    <row r="2331" spans="2:12" x14ac:dyDescent="0.3">
      <c r="B2331" s="74"/>
      <c r="C2331" s="411"/>
      <c r="D2331" s="412"/>
      <c r="E2331" s="125"/>
      <c r="F2331" s="72"/>
      <c r="G2331" s="74"/>
      <c r="I2331" s="84">
        <v>0</v>
      </c>
      <c r="K2331" s="84">
        <f>+F2331*I2331</f>
        <v>0</v>
      </c>
      <c r="L2331" s="116">
        <f>E2331*I2331</f>
        <v>0</v>
      </c>
    </row>
    <row r="2332" spans="2:12" x14ac:dyDescent="0.3">
      <c r="B2332" s="74"/>
      <c r="C2332" s="411"/>
      <c r="D2332" s="412"/>
      <c r="E2332" s="125"/>
      <c r="F2332" s="72"/>
      <c r="G2332" s="74"/>
      <c r="I2332" s="84">
        <v>0</v>
      </c>
      <c r="K2332" s="84">
        <f>+F2332*I2332</f>
        <v>0</v>
      </c>
      <c r="L2332" s="116">
        <f>E2332*I2332</f>
        <v>0</v>
      </c>
    </row>
    <row r="2333" spans="2:12" ht="17.25" thickBot="1" x14ac:dyDescent="0.35">
      <c r="L2333" s="116"/>
    </row>
    <row r="2334" spans="2:12" ht="17.25" thickBot="1" x14ac:dyDescent="0.35">
      <c r="F2334" s="402" t="s">
        <v>19</v>
      </c>
      <c r="G2334" s="403"/>
      <c r="H2334" s="403"/>
      <c r="I2334" s="404"/>
      <c r="K2334" s="224">
        <f>+SUM(K2330:K2332)</f>
        <v>0</v>
      </c>
      <c r="L2334" s="117">
        <f>+SUM(L2329:L2332)</f>
        <v>0</v>
      </c>
    </row>
    <row r="2335" spans="2:12" ht="15" customHeight="1" x14ac:dyDescent="0.3">
      <c r="F2335" s="126"/>
      <c r="G2335" s="280"/>
      <c r="H2335" s="128"/>
      <c r="I2335" s="106"/>
      <c r="K2335" s="225"/>
    </row>
    <row r="2336" spans="2:12" ht="15" customHeight="1" thickBot="1" x14ac:dyDescent="0.35"/>
    <row r="2337" spans="1:16" ht="17.25" thickBot="1" x14ac:dyDescent="0.35">
      <c r="F2337" s="402" t="s">
        <v>20</v>
      </c>
      <c r="G2337" s="403"/>
      <c r="H2337" s="403"/>
      <c r="I2337" s="404"/>
      <c r="K2337" s="224">
        <f>(+K2308+K2317+K2326+K2334)</f>
        <v>1020</v>
      </c>
      <c r="L2337" s="117">
        <f>(+L2308+L2317+L2326+L2334)</f>
        <v>2040</v>
      </c>
      <c r="N2337" s="129"/>
      <c r="O2337" s="39"/>
      <c r="P2337" s="40"/>
    </row>
    <row r="2338" spans="1:16" ht="7.5" customHeight="1" thickBot="1" x14ac:dyDescent="0.35">
      <c r="N2338" s="129"/>
      <c r="O2338" s="41"/>
      <c r="P2338" s="40"/>
    </row>
    <row r="2339" spans="1:16" ht="17.25" thickBot="1" x14ac:dyDescent="0.35">
      <c r="F2339" s="402" t="s">
        <v>21</v>
      </c>
      <c r="G2339" s="403"/>
      <c r="H2339" s="403"/>
      <c r="I2339" s="404"/>
      <c r="K2339" s="224">
        <f>K2337*$N$2</f>
        <v>408</v>
      </c>
      <c r="L2339" s="117">
        <f>L2337*$N$2</f>
        <v>816</v>
      </c>
    </row>
    <row r="2340" spans="1:16" ht="7.5" customHeight="1" thickBot="1" x14ac:dyDescent="0.35"/>
    <row r="2341" spans="1:16" ht="17.25" thickBot="1" x14ac:dyDescent="0.35">
      <c r="F2341" s="402" t="s">
        <v>22</v>
      </c>
      <c r="G2341" s="403"/>
      <c r="H2341" s="403"/>
      <c r="I2341" s="404"/>
      <c r="K2341" s="224">
        <f>+K2337+K2339</f>
        <v>1428</v>
      </c>
      <c r="L2341" s="117">
        <f>+L2337+L2339</f>
        <v>2856</v>
      </c>
    </row>
    <row r="2342" spans="1:16" ht="17.25" thickBot="1" x14ac:dyDescent="0.35">
      <c r="F2342" s="126"/>
      <c r="G2342" s="280"/>
      <c r="H2342" s="128"/>
      <c r="I2342" s="106"/>
      <c r="K2342" s="226"/>
      <c r="L2342" s="130">
        <f>L2341/I2293</f>
        <v>1428</v>
      </c>
      <c r="M2342" s="131">
        <f>(K2341-L2342)*I2293</f>
        <v>0</v>
      </c>
    </row>
    <row r="2343" spans="1:16" x14ac:dyDescent="0.3">
      <c r="F2343" s="126"/>
      <c r="G2343" s="280"/>
      <c r="H2343" s="128"/>
      <c r="I2343" s="106"/>
      <c r="K2343" s="227"/>
      <c r="L2343" s="129"/>
      <c r="M2343" s="132"/>
      <c r="N2343" s="133"/>
    </row>
    <row r="2344" spans="1:16" ht="17.25" thickBot="1" x14ac:dyDescent="0.35">
      <c r="B2344" s="405"/>
      <c r="C2344" s="405"/>
      <c r="D2344" s="405"/>
    </row>
    <row r="2345" spans="1:16" x14ac:dyDescent="0.3">
      <c r="B2345" s="406" t="s">
        <v>23</v>
      </c>
      <c r="C2345" s="406"/>
      <c r="D2345" s="406"/>
    </row>
    <row r="2346" spans="1:16" x14ac:dyDescent="0.3">
      <c r="B2346" s="281"/>
      <c r="C2346" s="281"/>
      <c r="D2346" s="281"/>
    </row>
    <row r="2347" spans="1:16" x14ac:dyDescent="0.3">
      <c r="B2347" s="281"/>
      <c r="C2347" s="281"/>
      <c r="D2347" s="281"/>
    </row>
    <row r="2348" spans="1:16" x14ac:dyDescent="0.3">
      <c r="B2348" s="103" t="s">
        <v>43</v>
      </c>
      <c r="C2348" s="104"/>
      <c r="D2348" s="422" t="s">
        <v>1</v>
      </c>
      <c r="E2348" s="422"/>
      <c r="F2348" s="422"/>
      <c r="G2348" s="422"/>
      <c r="H2348" s="104"/>
      <c r="I2348" s="105" t="s">
        <v>2</v>
      </c>
      <c r="J2348" s="134"/>
      <c r="K2348" s="105" t="s">
        <v>3</v>
      </c>
    </row>
    <row r="2349" spans="1:16" s="4" customFormat="1" ht="30.75" customHeight="1" x14ac:dyDescent="0.25">
      <c r="A2349" s="31"/>
      <c r="B2349" s="287">
        <f>CATALOGO!B80</f>
        <v>1007.01</v>
      </c>
      <c r="C2349" s="71"/>
      <c r="D2349" s="437" t="str">
        <f>CATALOGO!C80</f>
        <v>ESPEJO SIN MARCO</v>
      </c>
      <c r="E2349" s="437"/>
      <c r="F2349" s="437"/>
      <c r="G2349" s="437"/>
      <c r="H2349" s="71"/>
      <c r="I2349" s="287">
        <f>CATALOGO!D80</f>
        <v>2</v>
      </c>
      <c r="J2349" s="107"/>
      <c r="K2349" s="222" t="str">
        <f>CATALOGO!G80</f>
        <v>m²</v>
      </c>
      <c r="L2349" s="71"/>
      <c r="M2349" s="71"/>
      <c r="N2349" s="102"/>
      <c r="O2349" s="37"/>
      <c r="P2349" s="37"/>
    </row>
    <row r="2350" spans="1:16" ht="17.25" thickBot="1" x14ac:dyDescent="0.35"/>
    <row r="2351" spans="1:16" ht="17.25" thickBot="1" x14ac:dyDescent="0.35">
      <c r="B2351" s="108" t="s">
        <v>4</v>
      </c>
      <c r="C2351" s="413" t="s">
        <v>5</v>
      </c>
      <c r="D2351" s="413"/>
      <c r="E2351" s="413"/>
      <c r="F2351" s="413"/>
      <c r="G2351" s="414"/>
    </row>
    <row r="2352" spans="1:16" x14ac:dyDescent="0.25">
      <c r="B2352" s="109" t="s">
        <v>6</v>
      </c>
      <c r="C2352" s="424" t="s">
        <v>1</v>
      </c>
      <c r="D2352" s="425"/>
      <c r="E2352" s="110" t="s">
        <v>192</v>
      </c>
      <c r="F2352" s="111" t="s">
        <v>2</v>
      </c>
      <c r="G2352" s="112" t="s">
        <v>3</v>
      </c>
      <c r="H2352" s="104"/>
      <c r="I2352" s="105" t="s">
        <v>7</v>
      </c>
      <c r="J2352" s="134"/>
      <c r="K2352" s="223" t="s">
        <v>8</v>
      </c>
      <c r="L2352" s="113" t="s">
        <v>193</v>
      </c>
      <c r="O2352" s="438"/>
      <c r="P2352" s="438"/>
    </row>
    <row r="2353" spans="2:16" ht="17.25" customHeight="1" x14ac:dyDescent="0.25">
      <c r="B2353" s="120">
        <v>1</v>
      </c>
      <c r="C2353" s="407" t="s">
        <v>590</v>
      </c>
      <c r="D2353" s="408"/>
      <c r="E2353" s="114">
        <f>1*I2349</f>
        <v>2</v>
      </c>
      <c r="F2353" s="83">
        <f>ROUND(E2353/I2349,2)</f>
        <v>1</v>
      </c>
      <c r="G2353" s="74" t="str">
        <f>IF(C2353=0,0,VLOOKUP(C2353,Tabla1[],2,FALSE))</f>
        <v>m²</v>
      </c>
      <c r="I2353" s="115">
        <f>IF(C2353=0,0,VLOOKUP(C2353,Tabla1[],3,FALSE))</f>
        <v>295</v>
      </c>
      <c r="K2353" s="84">
        <f>F2353*I2353</f>
        <v>295</v>
      </c>
      <c r="L2353" s="116">
        <f t="shared" ref="L2353:L2362" si="70">E2353*I2353</f>
        <v>590</v>
      </c>
      <c r="O2353" s="44"/>
      <c r="P2353" s="45"/>
    </row>
    <row r="2354" spans="2:16" ht="16.5" customHeight="1" x14ac:dyDescent="0.3">
      <c r="B2354" s="120"/>
      <c r="C2354" s="430"/>
      <c r="D2354" s="429"/>
      <c r="E2354" s="114"/>
      <c r="F2354" s="83"/>
      <c r="G2354" s="74"/>
      <c r="I2354" s="115">
        <f>IF(C2354=0,0,VLOOKUP(C2354,Tabla1[],3,FALSE))</f>
        <v>0</v>
      </c>
      <c r="K2354" s="84">
        <f t="shared" ref="K2354:K2362" si="71">+F2354*I2354</f>
        <v>0</v>
      </c>
      <c r="L2354" s="116">
        <f t="shared" si="70"/>
        <v>0</v>
      </c>
      <c r="P2354" s="45"/>
    </row>
    <row r="2355" spans="2:16" x14ac:dyDescent="0.3">
      <c r="B2355" s="120"/>
      <c r="C2355" s="430"/>
      <c r="D2355" s="429"/>
      <c r="E2355" s="114"/>
      <c r="F2355" s="83"/>
      <c r="G2355" s="74"/>
      <c r="I2355" s="115">
        <f>IF(C2355=0,0,VLOOKUP(C2355,Tabla1[],3,FALSE))</f>
        <v>0</v>
      </c>
      <c r="K2355" s="84">
        <f t="shared" si="71"/>
        <v>0</v>
      </c>
      <c r="L2355" s="116">
        <f t="shared" si="70"/>
        <v>0</v>
      </c>
      <c r="O2355" s="48"/>
      <c r="P2355" s="49"/>
    </row>
    <row r="2356" spans="2:16" x14ac:dyDescent="0.3">
      <c r="B2356" s="120"/>
      <c r="C2356" s="430"/>
      <c r="D2356" s="429"/>
      <c r="E2356" s="114"/>
      <c r="F2356" s="83"/>
      <c r="G2356" s="74"/>
      <c r="I2356" s="115">
        <f>IF(C2356=0,0,VLOOKUP(C2356,Tabla1[],3,FALSE))</f>
        <v>0</v>
      </c>
      <c r="K2356" s="84">
        <f t="shared" si="71"/>
        <v>0</v>
      </c>
      <c r="L2356" s="116">
        <f t="shared" si="70"/>
        <v>0</v>
      </c>
      <c r="O2356" s="48"/>
      <c r="P2356" s="49"/>
    </row>
    <row r="2357" spans="2:16" x14ac:dyDescent="0.3">
      <c r="B2357" s="120"/>
      <c r="C2357" s="430"/>
      <c r="D2357" s="429"/>
      <c r="E2357" s="114"/>
      <c r="F2357" s="83"/>
      <c r="G2357" s="74"/>
      <c r="I2357" s="115">
        <f>IF(C2357=0,0,VLOOKUP(C2357,Tabla1[],3,FALSE))</f>
        <v>0</v>
      </c>
      <c r="K2357" s="84">
        <f t="shared" si="71"/>
        <v>0</v>
      </c>
      <c r="L2357" s="116">
        <f t="shared" si="70"/>
        <v>0</v>
      </c>
      <c r="O2357" s="48"/>
      <c r="P2357" s="49"/>
    </row>
    <row r="2358" spans="2:16" x14ac:dyDescent="0.3">
      <c r="B2358" s="120"/>
      <c r="C2358" s="430"/>
      <c r="D2358" s="429"/>
      <c r="E2358" s="114"/>
      <c r="F2358" s="83"/>
      <c r="G2358" s="74"/>
      <c r="I2358" s="115">
        <f>IF(C2358=0,0,VLOOKUP(C2358,Tabla1[],3,FALSE))</f>
        <v>0</v>
      </c>
      <c r="K2358" s="84">
        <f t="shared" si="71"/>
        <v>0</v>
      </c>
      <c r="L2358" s="116">
        <f t="shared" si="70"/>
        <v>0</v>
      </c>
      <c r="O2358" s="48"/>
      <c r="P2358" s="49"/>
    </row>
    <row r="2359" spans="2:16" x14ac:dyDescent="0.3">
      <c r="B2359" s="120"/>
      <c r="C2359" s="430"/>
      <c r="D2359" s="429"/>
      <c r="E2359" s="114"/>
      <c r="F2359" s="83"/>
      <c r="G2359" s="74"/>
      <c r="I2359" s="115">
        <f>IF(C2359=0,0,VLOOKUP(C2359,Tabla1[],3,FALSE))</f>
        <v>0</v>
      </c>
      <c r="K2359" s="84">
        <f t="shared" si="71"/>
        <v>0</v>
      </c>
      <c r="L2359" s="116">
        <f t="shared" si="70"/>
        <v>0</v>
      </c>
      <c r="O2359" s="48"/>
      <c r="P2359" s="49"/>
    </row>
    <row r="2360" spans="2:16" x14ac:dyDescent="0.3">
      <c r="B2360" s="120"/>
      <c r="C2360" s="428"/>
      <c r="D2360" s="429"/>
      <c r="E2360" s="114"/>
      <c r="F2360" s="83"/>
      <c r="G2360" s="74"/>
      <c r="I2360" s="115">
        <f>IF(C2360=0,0,VLOOKUP(C2360,Tabla1[],3,FALSE))</f>
        <v>0</v>
      </c>
      <c r="K2360" s="84">
        <f t="shared" si="71"/>
        <v>0</v>
      </c>
      <c r="L2360" s="116">
        <f t="shared" si="70"/>
        <v>0</v>
      </c>
      <c r="O2360" s="48"/>
      <c r="P2360" s="49"/>
    </row>
    <row r="2361" spans="2:16" x14ac:dyDescent="0.3">
      <c r="B2361" s="120"/>
      <c r="C2361" s="431"/>
      <c r="D2361" s="432"/>
      <c r="E2361" s="114"/>
      <c r="F2361" s="83"/>
      <c r="G2361" s="74"/>
      <c r="I2361" s="115">
        <f>IF(C2361=0,0,VLOOKUP(C2361,Tabla1[],3,FALSE))</f>
        <v>0</v>
      </c>
      <c r="K2361" s="84">
        <f t="shared" si="71"/>
        <v>0</v>
      </c>
      <c r="L2361" s="116">
        <f t="shared" si="70"/>
        <v>0</v>
      </c>
      <c r="O2361" s="48"/>
      <c r="P2361" s="49"/>
    </row>
    <row r="2362" spans="2:16" x14ac:dyDescent="0.3">
      <c r="B2362" s="120"/>
      <c r="C2362" s="430"/>
      <c r="D2362" s="429"/>
      <c r="E2362" s="114"/>
      <c r="F2362" s="83"/>
      <c r="G2362" s="74"/>
      <c r="I2362" s="115">
        <f>IF(C2362=0,0,VLOOKUP(C2362,Tabla1[],3,FALSE))</f>
        <v>0</v>
      </c>
      <c r="K2362" s="84">
        <f t="shared" si="71"/>
        <v>0</v>
      </c>
      <c r="L2362" s="116">
        <f t="shared" si="70"/>
        <v>0</v>
      </c>
      <c r="O2362" s="48"/>
      <c r="P2362" s="49"/>
    </row>
    <row r="2363" spans="2:16" ht="17.25" thickBot="1" x14ac:dyDescent="0.35"/>
    <row r="2364" spans="2:16" ht="17.25" thickBot="1" x14ac:dyDescent="0.3">
      <c r="F2364" s="402" t="s">
        <v>9</v>
      </c>
      <c r="G2364" s="403"/>
      <c r="H2364" s="403"/>
      <c r="I2364" s="404"/>
      <c r="K2364" s="224">
        <f>+SUM(K2353:K2362)</f>
        <v>295</v>
      </c>
      <c r="L2364" s="117">
        <f>+SUM(L2353:L2362)</f>
        <v>590</v>
      </c>
      <c r="O2364" s="38"/>
      <c r="P2364" s="38"/>
    </row>
    <row r="2365" spans="2:16" ht="17.25" thickBot="1" x14ac:dyDescent="0.35">
      <c r="O2365" s="42"/>
      <c r="P2365" s="43"/>
    </row>
    <row r="2366" spans="2:16" ht="17.25" thickBot="1" x14ac:dyDescent="0.35">
      <c r="B2366" s="108" t="s">
        <v>10</v>
      </c>
      <c r="C2366" s="413" t="s">
        <v>11</v>
      </c>
      <c r="D2366" s="413"/>
      <c r="E2366" s="413"/>
      <c r="F2366" s="413"/>
      <c r="G2366" s="414"/>
    </row>
    <row r="2367" spans="2:16" x14ac:dyDescent="0.3">
      <c r="B2367" s="112" t="s">
        <v>6</v>
      </c>
      <c r="C2367" s="415" t="s">
        <v>1</v>
      </c>
      <c r="D2367" s="416"/>
      <c r="E2367" s="110" t="s">
        <v>192</v>
      </c>
      <c r="F2367" s="118" t="s">
        <v>2</v>
      </c>
      <c r="G2367" s="112" t="s">
        <v>3</v>
      </c>
      <c r="H2367" s="104"/>
      <c r="I2367" s="105" t="s">
        <v>7</v>
      </c>
      <c r="J2367" s="134"/>
      <c r="K2367" s="105" t="s">
        <v>8</v>
      </c>
      <c r="L2367" s="113" t="s">
        <v>193</v>
      </c>
    </row>
    <row r="2368" spans="2:16" x14ac:dyDescent="0.3">
      <c r="B2368" s="120"/>
      <c r="C2368" s="409"/>
      <c r="D2368" s="409"/>
      <c r="E2368" s="114"/>
      <c r="F2368" s="83"/>
      <c r="G2368" s="74"/>
      <c r="I2368" s="115">
        <f>IF(C2368=0,0,VLOOKUP(C2368,Tabla3[],3,FALSE))</f>
        <v>0</v>
      </c>
      <c r="K2368" s="84">
        <f>F2368*I2368</f>
        <v>0</v>
      </c>
      <c r="L2368" s="116">
        <f>E2368*I2368</f>
        <v>0</v>
      </c>
    </row>
    <row r="2369" spans="2:12" x14ac:dyDescent="0.3">
      <c r="B2369" s="74"/>
      <c r="C2369" s="431"/>
      <c r="D2369" s="432"/>
      <c r="E2369" s="119"/>
      <c r="F2369" s="72"/>
      <c r="G2369" s="74"/>
      <c r="I2369" s="115">
        <f>IF(C2369=0,0,VLOOKUP(C2369,Tabla3[],3,FALSE))</f>
        <v>0</v>
      </c>
      <c r="K2369" s="84">
        <f>+F2369*I2369</f>
        <v>0</v>
      </c>
      <c r="L2369" s="116">
        <f>E2369*I2369</f>
        <v>0</v>
      </c>
    </row>
    <row r="2370" spans="2:12" x14ac:dyDescent="0.3">
      <c r="B2370" s="74"/>
      <c r="C2370" s="431"/>
      <c r="D2370" s="432"/>
      <c r="E2370" s="119"/>
      <c r="F2370" s="72"/>
      <c r="G2370" s="74"/>
      <c r="I2370" s="115">
        <f>IF(C2370=0,0,VLOOKUP(C2370,Tabla3[],3,FALSE))</f>
        <v>0</v>
      </c>
      <c r="K2370" s="84">
        <f>+F2370*I2370</f>
        <v>0</v>
      </c>
      <c r="L2370" s="116">
        <f>E2370*I2370</f>
        <v>0</v>
      </c>
    </row>
    <row r="2371" spans="2:12" x14ac:dyDescent="0.3">
      <c r="B2371" s="74"/>
      <c r="C2371" s="411"/>
      <c r="D2371" s="412"/>
      <c r="E2371" s="119"/>
      <c r="F2371" s="72"/>
      <c r="G2371" s="74"/>
      <c r="I2371" s="115">
        <f>IF(C2371=0,0,VLOOKUP(C2371,Tabla3[],3,FALSE))</f>
        <v>0</v>
      </c>
      <c r="K2371" s="84">
        <f>+F2371*I2371</f>
        <v>0</v>
      </c>
      <c r="L2371" s="116">
        <f>E2371*I2371</f>
        <v>0</v>
      </c>
    </row>
    <row r="2372" spans="2:12" ht="17.25" thickBot="1" x14ac:dyDescent="0.35"/>
    <row r="2373" spans="2:12" ht="17.25" thickBot="1" x14ac:dyDescent="0.35">
      <c r="F2373" s="402" t="s">
        <v>12</v>
      </c>
      <c r="G2373" s="403"/>
      <c r="H2373" s="403"/>
      <c r="I2373" s="404"/>
      <c r="K2373" s="224">
        <f>+SUM(K2368:K2371)</f>
        <v>0</v>
      </c>
      <c r="L2373" s="117">
        <f>+SUM(L2368:L2371)</f>
        <v>0</v>
      </c>
    </row>
    <row r="2374" spans="2:12" ht="17.25" thickBot="1" x14ac:dyDescent="0.35"/>
    <row r="2375" spans="2:12" ht="17.25" thickBot="1" x14ac:dyDescent="0.35">
      <c r="B2375" s="108" t="s">
        <v>13</v>
      </c>
      <c r="C2375" s="413" t="s">
        <v>14</v>
      </c>
      <c r="D2375" s="413"/>
      <c r="E2375" s="413"/>
      <c r="F2375" s="413"/>
      <c r="G2375" s="414"/>
    </row>
    <row r="2376" spans="2:12" x14ac:dyDescent="0.3">
      <c r="B2376" s="112" t="s">
        <v>6</v>
      </c>
      <c r="C2376" s="415" t="s">
        <v>1</v>
      </c>
      <c r="D2376" s="416"/>
      <c r="E2376" s="110" t="s">
        <v>192</v>
      </c>
      <c r="F2376" s="118" t="s">
        <v>2</v>
      </c>
      <c r="G2376" s="112" t="s">
        <v>3</v>
      </c>
      <c r="H2376" s="104"/>
      <c r="I2376" s="105" t="s">
        <v>7</v>
      </c>
      <c r="J2376" s="134"/>
      <c r="K2376" s="105" t="s">
        <v>8</v>
      </c>
      <c r="L2376" s="113" t="s">
        <v>193</v>
      </c>
    </row>
    <row r="2377" spans="2:12" x14ac:dyDescent="0.3">
      <c r="B2377" s="120">
        <v>1</v>
      </c>
      <c r="C2377" s="409" t="s">
        <v>591</v>
      </c>
      <c r="D2377" s="409"/>
      <c r="E2377" s="114">
        <f>I2349</f>
        <v>2</v>
      </c>
      <c r="F2377" s="83">
        <f>ROUND(E2377/I2349,2)</f>
        <v>1</v>
      </c>
      <c r="G2377" s="74" t="str">
        <f>IF(C2377=0,0,VLOOKUP(C2377,Tabla2[],2,FALSE))</f>
        <v>m²</v>
      </c>
      <c r="I2377" s="115">
        <f>IF(C2377=0,0,VLOOKUP(C2377,Tabla2[],3,FALSE))</f>
        <v>50</v>
      </c>
      <c r="K2377" s="84">
        <f>+F2377*I2377</f>
        <v>50</v>
      </c>
      <c r="L2377" s="116">
        <f>E2377*I2377</f>
        <v>100</v>
      </c>
    </row>
    <row r="2378" spans="2:12" x14ac:dyDescent="0.3">
      <c r="B2378" s="120"/>
      <c r="C2378" s="409"/>
      <c r="D2378" s="409"/>
      <c r="E2378" s="114"/>
      <c r="F2378" s="83"/>
      <c r="G2378" s="74"/>
      <c r="I2378" s="115">
        <f>IF(C2378=0,0,VLOOKUP(C2378,Tabla2[],3,FALSE))</f>
        <v>0</v>
      </c>
      <c r="K2378" s="84">
        <f>+F2378*I2378</f>
        <v>0</v>
      </c>
      <c r="L2378" s="116">
        <f>E2378*I2378</f>
        <v>0</v>
      </c>
    </row>
    <row r="2379" spans="2:12" ht="17.25" thickBot="1" x14ac:dyDescent="0.35">
      <c r="B2379" s="121"/>
      <c r="C2379" s="417"/>
      <c r="D2379" s="418"/>
      <c r="E2379" s="122"/>
      <c r="F2379" s="123"/>
      <c r="G2379" s="74"/>
      <c r="I2379" s="115">
        <f>IF(C2379=0,0,VLOOKUP(C2379,Tabla2[],3,FALSE))</f>
        <v>0</v>
      </c>
      <c r="K2379" s="84">
        <f>+F2379*I2379</f>
        <v>0</v>
      </c>
      <c r="L2379" s="116">
        <f>E2379*I2379</f>
        <v>0</v>
      </c>
    </row>
    <row r="2380" spans="2:12" ht="17.25" thickBot="1" x14ac:dyDescent="0.35">
      <c r="B2380" s="419" t="s">
        <v>15</v>
      </c>
      <c r="C2380" s="420"/>
      <c r="D2380" s="420"/>
      <c r="E2380" s="420"/>
      <c r="F2380" s="420"/>
      <c r="G2380" s="421"/>
      <c r="I2380" s="84">
        <v>0</v>
      </c>
      <c r="K2380" s="84">
        <v>0</v>
      </c>
      <c r="L2380" s="116">
        <f>E2380*I2380</f>
        <v>0</v>
      </c>
    </row>
    <row r="2381" spans="2:12" ht="17.25" thickBot="1" x14ac:dyDescent="0.35"/>
    <row r="2382" spans="2:12" ht="17.25" thickBot="1" x14ac:dyDescent="0.35">
      <c r="F2382" s="402" t="s">
        <v>16</v>
      </c>
      <c r="G2382" s="403"/>
      <c r="H2382" s="403"/>
      <c r="I2382" s="404"/>
      <c r="K2382" s="224">
        <f>+SUM(K2377:K2380)</f>
        <v>50</v>
      </c>
      <c r="L2382" s="117">
        <f>+SUM(L2377:L2380)</f>
        <v>100</v>
      </c>
    </row>
    <row r="2383" spans="2:12" ht="17.25" thickBot="1" x14ac:dyDescent="0.35"/>
    <row r="2384" spans="2:12" ht="17.25" thickBot="1" x14ac:dyDescent="0.35">
      <c r="B2384" s="108" t="s">
        <v>17</v>
      </c>
      <c r="C2384" s="413" t="s">
        <v>18</v>
      </c>
      <c r="D2384" s="413"/>
      <c r="E2384" s="413"/>
      <c r="F2384" s="413"/>
      <c r="G2384" s="414"/>
    </row>
    <row r="2385" spans="2:16" x14ac:dyDescent="0.3">
      <c r="B2385" s="112" t="s">
        <v>6</v>
      </c>
      <c r="C2385" s="415" t="s">
        <v>1</v>
      </c>
      <c r="D2385" s="416"/>
      <c r="E2385" s="124"/>
      <c r="F2385" s="118" t="s">
        <v>2</v>
      </c>
      <c r="G2385" s="112" t="s">
        <v>3</v>
      </c>
      <c r="H2385" s="104"/>
      <c r="I2385" s="105" t="s">
        <v>7</v>
      </c>
      <c r="J2385" s="134"/>
      <c r="K2385" s="105" t="s">
        <v>8</v>
      </c>
      <c r="L2385" s="113" t="s">
        <v>193</v>
      </c>
    </row>
    <row r="2386" spans="2:16" x14ac:dyDescent="0.3">
      <c r="B2386" s="74"/>
      <c r="C2386" s="411"/>
      <c r="D2386" s="412"/>
      <c r="E2386" s="125"/>
      <c r="F2386" s="72"/>
      <c r="G2386" s="74"/>
      <c r="I2386" s="84">
        <v>0</v>
      </c>
      <c r="K2386" s="84">
        <f>+F2386*I2386</f>
        <v>0</v>
      </c>
      <c r="L2386" s="116">
        <f>E2386*I2386</f>
        <v>0</v>
      </c>
    </row>
    <row r="2387" spans="2:16" x14ac:dyDescent="0.3">
      <c r="B2387" s="74"/>
      <c r="C2387" s="411"/>
      <c r="D2387" s="412"/>
      <c r="E2387" s="125"/>
      <c r="F2387" s="72"/>
      <c r="G2387" s="74"/>
      <c r="I2387" s="84">
        <v>0</v>
      </c>
      <c r="K2387" s="84">
        <f>+F2387*I2387</f>
        <v>0</v>
      </c>
      <c r="L2387" s="116">
        <f>E2387*I2387</f>
        <v>0</v>
      </c>
    </row>
    <row r="2388" spans="2:16" x14ac:dyDescent="0.3">
      <c r="B2388" s="74"/>
      <c r="C2388" s="411"/>
      <c r="D2388" s="412"/>
      <c r="E2388" s="125"/>
      <c r="F2388" s="72"/>
      <c r="G2388" s="74"/>
      <c r="I2388" s="84">
        <v>0</v>
      </c>
      <c r="K2388" s="84">
        <f>+F2388*I2388</f>
        <v>0</v>
      </c>
      <c r="L2388" s="116">
        <f>E2388*I2388</f>
        <v>0</v>
      </c>
    </row>
    <row r="2389" spans="2:16" ht="17.25" thickBot="1" x14ac:dyDescent="0.35">
      <c r="L2389" s="116"/>
    </row>
    <row r="2390" spans="2:16" ht="17.25" thickBot="1" x14ac:dyDescent="0.35">
      <c r="F2390" s="402" t="s">
        <v>19</v>
      </c>
      <c r="G2390" s="403"/>
      <c r="H2390" s="403"/>
      <c r="I2390" s="404"/>
      <c r="K2390" s="224">
        <f>+SUM(K2386:K2388)</f>
        <v>0</v>
      </c>
      <c r="L2390" s="117">
        <f>+SUM(L2385:L2388)</f>
        <v>0</v>
      </c>
    </row>
    <row r="2391" spans="2:16" ht="15" customHeight="1" x14ac:dyDescent="0.3">
      <c r="F2391" s="126"/>
      <c r="G2391" s="280"/>
      <c r="H2391" s="128"/>
      <c r="I2391" s="106"/>
      <c r="K2391" s="225"/>
    </row>
    <row r="2392" spans="2:16" ht="15" customHeight="1" thickBot="1" x14ac:dyDescent="0.35"/>
    <row r="2393" spans="2:16" ht="17.25" thickBot="1" x14ac:dyDescent="0.35">
      <c r="F2393" s="402" t="s">
        <v>20</v>
      </c>
      <c r="G2393" s="403"/>
      <c r="H2393" s="403"/>
      <c r="I2393" s="404"/>
      <c r="K2393" s="224">
        <f>(+K2364+K2373+K2382+K2390)</f>
        <v>345</v>
      </c>
      <c r="L2393" s="117">
        <f>(+L2364+L2373+L2382+L2390)</f>
        <v>690</v>
      </c>
      <c r="N2393" s="129"/>
      <c r="O2393" s="39"/>
      <c r="P2393" s="40"/>
    </row>
    <row r="2394" spans="2:16" ht="7.5" customHeight="1" thickBot="1" x14ac:dyDescent="0.35">
      <c r="N2394" s="129"/>
      <c r="O2394" s="41"/>
      <c r="P2394" s="40"/>
    </row>
    <row r="2395" spans="2:16" ht="17.25" thickBot="1" x14ac:dyDescent="0.35">
      <c r="F2395" s="402" t="s">
        <v>21</v>
      </c>
      <c r="G2395" s="403"/>
      <c r="H2395" s="403"/>
      <c r="I2395" s="404"/>
      <c r="K2395" s="224">
        <f>K2393*$N$2</f>
        <v>138</v>
      </c>
      <c r="L2395" s="117">
        <f>L2393*$N$2</f>
        <v>276</v>
      </c>
    </row>
    <row r="2396" spans="2:16" ht="7.5" customHeight="1" thickBot="1" x14ac:dyDescent="0.35"/>
    <row r="2397" spans="2:16" ht="17.25" thickBot="1" x14ac:dyDescent="0.35">
      <c r="F2397" s="402" t="s">
        <v>22</v>
      </c>
      <c r="G2397" s="403"/>
      <c r="H2397" s="403"/>
      <c r="I2397" s="404"/>
      <c r="K2397" s="224">
        <f>+K2393+K2395</f>
        <v>483</v>
      </c>
      <c r="L2397" s="117">
        <f>+L2393+L2395</f>
        <v>966</v>
      </c>
    </row>
    <row r="2398" spans="2:16" ht="17.25" thickBot="1" x14ac:dyDescent="0.35">
      <c r="F2398" s="126"/>
      <c r="G2398" s="280"/>
      <c r="H2398" s="128"/>
      <c r="I2398" s="106"/>
      <c r="K2398" s="226"/>
      <c r="L2398" s="130">
        <f>L2397/I2349</f>
        <v>483</v>
      </c>
      <c r="M2398" s="131">
        <f>(K2397-L2398)*I2349</f>
        <v>0</v>
      </c>
    </row>
    <row r="2399" spans="2:16" x14ac:dyDescent="0.3">
      <c r="F2399" s="126"/>
      <c r="G2399" s="280"/>
      <c r="H2399" s="128"/>
      <c r="I2399" s="106"/>
      <c r="K2399" s="227"/>
      <c r="L2399" s="129"/>
      <c r="M2399" s="132"/>
      <c r="N2399" s="133"/>
    </row>
    <row r="2400" spans="2:16" ht="17.25" thickBot="1" x14ac:dyDescent="0.35">
      <c r="B2400" s="405"/>
      <c r="C2400" s="405"/>
      <c r="D2400" s="405"/>
    </row>
    <row r="2401" spans="1:16" x14ac:dyDescent="0.3">
      <c r="B2401" s="406" t="s">
        <v>23</v>
      </c>
      <c r="C2401" s="406"/>
      <c r="D2401" s="406"/>
    </row>
    <row r="2402" spans="1:16" x14ac:dyDescent="0.3">
      <c r="B2402" s="281"/>
      <c r="C2402" s="281"/>
      <c r="D2402" s="281"/>
    </row>
    <row r="2403" spans="1:16" x14ac:dyDescent="0.3">
      <c r="B2403" s="281"/>
      <c r="C2403" s="281"/>
      <c r="D2403" s="281"/>
    </row>
    <row r="2404" spans="1:16" x14ac:dyDescent="0.3">
      <c r="B2404" s="103" t="s">
        <v>43</v>
      </c>
      <c r="C2404" s="104"/>
      <c r="D2404" s="422" t="s">
        <v>1</v>
      </c>
      <c r="E2404" s="422"/>
      <c r="F2404" s="422"/>
      <c r="G2404" s="422"/>
      <c r="H2404" s="104"/>
      <c r="I2404" s="105" t="s">
        <v>2</v>
      </c>
      <c r="J2404" s="134"/>
      <c r="K2404" s="105" t="s">
        <v>3</v>
      </c>
    </row>
    <row r="2405" spans="1:16" s="4" customFormat="1" ht="30.75" customHeight="1" x14ac:dyDescent="0.25">
      <c r="A2405" s="31"/>
      <c r="B2405" s="287">
        <f>CATALOGO!B81</f>
        <v>1007.02</v>
      </c>
      <c r="C2405" s="71"/>
      <c r="D2405" s="437" t="str">
        <f>CATALOGO!C81</f>
        <v>BOTE DE BASURA PLÁSTICO 20 LITROS</v>
      </c>
      <c r="E2405" s="437"/>
      <c r="F2405" s="437"/>
      <c r="G2405" s="437"/>
      <c r="H2405" s="71"/>
      <c r="I2405" s="287">
        <f>CATALOGO!D81</f>
        <v>3</v>
      </c>
      <c r="J2405" s="107"/>
      <c r="K2405" s="222" t="str">
        <f>CATALOGO!G81</f>
        <v>Unidad</v>
      </c>
      <c r="L2405" s="71"/>
      <c r="M2405" s="71"/>
      <c r="N2405" s="102"/>
      <c r="O2405" s="37"/>
      <c r="P2405" s="37"/>
    </row>
    <row r="2406" spans="1:16" ht="17.25" thickBot="1" x14ac:dyDescent="0.35"/>
    <row r="2407" spans="1:16" ht="17.25" thickBot="1" x14ac:dyDescent="0.35">
      <c r="B2407" s="108" t="s">
        <v>4</v>
      </c>
      <c r="C2407" s="413" t="s">
        <v>5</v>
      </c>
      <c r="D2407" s="413"/>
      <c r="E2407" s="413"/>
      <c r="F2407" s="413"/>
      <c r="G2407" s="414"/>
    </row>
    <row r="2408" spans="1:16" x14ac:dyDescent="0.25">
      <c r="B2408" s="109" t="s">
        <v>6</v>
      </c>
      <c r="C2408" s="424" t="s">
        <v>1</v>
      </c>
      <c r="D2408" s="425"/>
      <c r="E2408" s="110" t="s">
        <v>192</v>
      </c>
      <c r="F2408" s="111" t="s">
        <v>2</v>
      </c>
      <c r="G2408" s="112" t="s">
        <v>3</v>
      </c>
      <c r="H2408" s="104"/>
      <c r="I2408" s="105" t="s">
        <v>7</v>
      </c>
      <c r="J2408" s="134"/>
      <c r="K2408" s="223" t="s">
        <v>8</v>
      </c>
      <c r="L2408" s="113" t="s">
        <v>193</v>
      </c>
      <c r="O2408" s="438"/>
      <c r="P2408" s="438"/>
    </row>
    <row r="2409" spans="1:16" ht="17.25" customHeight="1" x14ac:dyDescent="0.25">
      <c r="B2409" s="120">
        <v>1</v>
      </c>
      <c r="C2409" s="407" t="s">
        <v>318</v>
      </c>
      <c r="D2409" s="408"/>
      <c r="E2409" s="114">
        <f>1*I2405</f>
        <v>3</v>
      </c>
      <c r="F2409" s="83">
        <f>ROUND(E2409/I2405,2)</f>
        <v>1</v>
      </c>
      <c r="G2409" s="74" t="str">
        <f>IF(C2409=0,0,VLOOKUP(C2409,Tabla1[],2,FALSE))</f>
        <v>Unidad</v>
      </c>
      <c r="I2409" s="115">
        <f>IF(C2409=0,0,VLOOKUP(C2409,Tabla1[],3,FALSE))</f>
        <v>25</v>
      </c>
      <c r="K2409" s="84">
        <f>F2409*I2409</f>
        <v>25</v>
      </c>
      <c r="L2409" s="116">
        <f t="shared" ref="L2409:L2418" si="72">E2409*I2409</f>
        <v>75</v>
      </c>
      <c r="O2409" s="44"/>
      <c r="P2409" s="45"/>
    </row>
    <row r="2410" spans="1:16" ht="16.5" customHeight="1" x14ac:dyDescent="0.3">
      <c r="B2410" s="120"/>
      <c r="C2410" s="430"/>
      <c r="D2410" s="429"/>
      <c r="E2410" s="114"/>
      <c r="F2410" s="83"/>
      <c r="G2410" s="74"/>
      <c r="I2410" s="115">
        <f>IF(C2410=0,0,VLOOKUP(C2410,Tabla1[],3,FALSE))</f>
        <v>0</v>
      </c>
      <c r="K2410" s="84">
        <f t="shared" ref="K2410:K2418" si="73">+F2410*I2410</f>
        <v>0</v>
      </c>
      <c r="L2410" s="116">
        <f t="shared" si="72"/>
        <v>0</v>
      </c>
      <c r="P2410" s="45"/>
    </row>
    <row r="2411" spans="1:16" x14ac:dyDescent="0.3">
      <c r="B2411" s="120"/>
      <c r="C2411" s="430"/>
      <c r="D2411" s="429"/>
      <c r="E2411" s="114"/>
      <c r="F2411" s="83"/>
      <c r="G2411" s="74"/>
      <c r="I2411" s="115">
        <f>IF(C2411=0,0,VLOOKUP(C2411,Tabla1[],3,FALSE))</f>
        <v>0</v>
      </c>
      <c r="K2411" s="84">
        <f t="shared" si="73"/>
        <v>0</v>
      </c>
      <c r="L2411" s="116">
        <f t="shared" si="72"/>
        <v>0</v>
      </c>
      <c r="O2411" s="48"/>
      <c r="P2411" s="49"/>
    </row>
    <row r="2412" spans="1:16" x14ac:dyDescent="0.3">
      <c r="B2412" s="120"/>
      <c r="C2412" s="430"/>
      <c r="D2412" s="429"/>
      <c r="E2412" s="114"/>
      <c r="F2412" s="83"/>
      <c r="G2412" s="74"/>
      <c r="I2412" s="115">
        <f>IF(C2412=0,0,VLOOKUP(C2412,Tabla1[],3,FALSE))</f>
        <v>0</v>
      </c>
      <c r="K2412" s="84">
        <f t="shared" si="73"/>
        <v>0</v>
      </c>
      <c r="L2412" s="116">
        <f t="shared" si="72"/>
        <v>0</v>
      </c>
      <c r="O2412" s="48"/>
      <c r="P2412" s="49"/>
    </row>
    <row r="2413" spans="1:16" x14ac:dyDescent="0.3">
      <c r="B2413" s="120"/>
      <c r="C2413" s="430"/>
      <c r="D2413" s="429"/>
      <c r="E2413" s="114"/>
      <c r="F2413" s="83"/>
      <c r="G2413" s="74"/>
      <c r="I2413" s="115">
        <f>IF(C2413=0,0,VLOOKUP(C2413,Tabla1[],3,FALSE))</f>
        <v>0</v>
      </c>
      <c r="K2413" s="84">
        <f t="shared" si="73"/>
        <v>0</v>
      </c>
      <c r="L2413" s="116">
        <f t="shared" si="72"/>
        <v>0</v>
      </c>
      <c r="O2413" s="48"/>
      <c r="P2413" s="49"/>
    </row>
    <row r="2414" spans="1:16" x14ac:dyDescent="0.3">
      <c r="B2414" s="120"/>
      <c r="C2414" s="430"/>
      <c r="D2414" s="429"/>
      <c r="E2414" s="114"/>
      <c r="F2414" s="83"/>
      <c r="G2414" s="74"/>
      <c r="I2414" s="115">
        <f>IF(C2414=0,0,VLOOKUP(C2414,Tabla1[],3,FALSE))</f>
        <v>0</v>
      </c>
      <c r="K2414" s="84">
        <f t="shared" si="73"/>
        <v>0</v>
      </c>
      <c r="L2414" s="116">
        <f t="shared" si="72"/>
        <v>0</v>
      </c>
      <c r="O2414" s="48"/>
      <c r="P2414" s="49"/>
    </row>
    <row r="2415" spans="1:16" x14ac:dyDescent="0.3">
      <c r="B2415" s="120"/>
      <c r="C2415" s="430"/>
      <c r="D2415" s="429"/>
      <c r="E2415" s="114"/>
      <c r="F2415" s="83"/>
      <c r="G2415" s="74"/>
      <c r="I2415" s="115">
        <f>IF(C2415=0,0,VLOOKUP(C2415,Tabla1[],3,FALSE))</f>
        <v>0</v>
      </c>
      <c r="K2415" s="84">
        <f t="shared" si="73"/>
        <v>0</v>
      </c>
      <c r="L2415" s="116">
        <f t="shared" si="72"/>
        <v>0</v>
      </c>
      <c r="O2415" s="48"/>
      <c r="P2415" s="49"/>
    </row>
    <row r="2416" spans="1:16" x14ac:dyDescent="0.3">
      <c r="B2416" s="120"/>
      <c r="C2416" s="428"/>
      <c r="D2416" s="429"/>
      <c r="E2416" s="114"/>
      <c r="F2416" s="83"/>
      <c r="G2416" s="74"/>
      <c r="I2416" s="115">
        <f>IF(C2416=0,0,VLOOKUP(C2416,Tabla1[],3,FALSE))</f>
        <v>0</v>
      </c>
      <c r="K2416" s="84">
        <f t="shared" si="73"/>
        <v>0</v>
      </c>
      <c r="L2416" s="116">
        <f t="shared" si="72"/>
        <v>0</v>
      </c>
      <c r="O2416" s="48"/>
      <c r="P2416" s="49"/>
    </row>
    <row r="2417" spans="2:16" x14ac:dyDescent="0.3">
      <c r="B2417" s="120"/>
      <c r="C2417" s="431"/>
      <c r="D2417" s="432"/>
      <c r="E2417" s="114"/>
      <c r="F2417" s="83"/>
      <c r="G2417" s="74"/>
      <c r="I2417" s="115">
        <f>IF(C2417=0,0,VLOOKUP(C2417,Tabla1[],3,FALSE))</f>
        <v>0</v>
      </c>
      <c r="K2417" s="84">
        <f t="shared" si="73"/>
        <v>0</v>
      </c>
      <c r="L2417" s="116">
        <f t="shared" si="72"/>
        <v>0</v>
      </c>
      <c r="O2417" s="48"/>
      <c r="P2417" s="49"/>
    </row>
    <row r="2418" spans="2:16" x14ac:dyDescent="0.3">
      <c r="B2418" s="120"/>
      <c r="C2418" s="430"/>
      <c r="D2418" s="429"/>
      <c r="E2418" s="114"/>
      <c r="F2418" s="83"/>
      <c r="G2418" s="74"/>
      <c r="I2418" s="115">
        <f>IF(C2418=0,0,VLOOKUP(C2418,Tabla1[],3,FALSE))</f>
        <v>0</v>
      </c>
      <c r="K2418" s="84">
        <f t="shared" si="73"/>
        <v>0</v>
      </c>
      <c r="L2418" s="116">
        <f t="shared" si="72"/>
        <v>0</v>
      </c>
      <c r="O2418" s="48"/>
      <c r="P2418" s="49"/>
    </row>
    <row r="2419" spans="2:16" ht="17.25" thickBot="1" x14ac:dyDescent="0.35"/>
    <row r="2420" spans="2:16" ht="17.25" thickBot="1" x14ac:dyDescent="0.3">
      <c r="F2420" s="402" t="s">
        <v>9</v>
      </c>
      <c r="G2420" s="403"/>
      <c r="H2420" s="403"/>
      <c r="I2420" s="404"/>
      <c r="K2420" s="224">
        <f>+SUM(K2409:K2418)</f>
        <v>25</v>
      </c>
      <c r="L2420" s="117">
        <f>+SUM(L2409:L2418)</f>
        <v>75</v>
      </c>
      <c r="O2420" s="38"/>
      <c r="P2420" s="38"/>
    </row>
    <row r="2421" spans="2:16" ht="17.25" thickBot="1" x14ac:dyDescent="0.35">
      <c r="O2421" s="42"/>
      <c r="P2421" s="43"/>
    </row>
    <row r="2422" spans="2:16" ht="17.25" thickBot="1" x14ac:dyDescent="0.35">
      <c r="B2422" s="108" t="s">
        <v>10</v>
      </c>
      <c r="C2422" s="413" t="s">
        <v>11</v>
      </c>
      <c r="D2422" s="413"/>
      <c r="E2422" s="413"/>
      <c r="F2422" s="413"/>
      <c r="G2422" s="414"/>
    </row>
    <row r="2423" spans="2:16" x14ac:dyDescent="0.3">
      <c r="B2423" s="112" t="s">
        <v>6</v>
      </c>
      <c r="C2423" s="415" t="s">
        <v>1</v>
      </c>
      <c r="D2423" s="416"/>
      <c r="E2423" s="110" t="s">
        <v>192</v>
      </c>
      <c r="F2423" s="118" t="s">
        <v>2</v>
      </c>
      <c r="G2423" s="112" t="s">
        <v>3</v>
      </c>
      <c r="H2423" s="104"/>
      <c r="I2423" s="105" t="s">
        <v>7</v>
      </c>
      <c r="J2423" s="134"/>
      <c r="K2423" s="105" t="s">
        <v>8</v>
      </c>
      <c r="L2423" s="113" t="s">
        <v>193</v>
      </c>
    </row>
    <row r="2424" spans="2:16" x14ac:dyDescent="0.3">
      <c r="B2424" s="120"/>
      <c r="C2424" s="409"/>
      <c r="D2424" s="409"/>
      <c r="E2424" s="114"/>
      <c r="F2424" s="83"/>
      <c r="G2424" s="74"/>
      <c r="I2424" s="115">
        <f>IF(C2424=0,0,VLOOKUP(C2424,Tabla3[],3,FALSE))</f>
        <v>0</v>
      </c>
      <c r="K2424" s="84">
        <f>F2424*I2424</f>
        <v>0</v>
      </c>
      <c r="L2424" s="116">
        <f>E2424*I2424</f>
        <v>0</v>
      </c>
    </row>
    <row r="2425" spans="2:16" x14ac:dyDescent="0.3">
      <c r="B2425" s="74"/>
      <c r="C2425" s="431"/>
      <c r="D2425" s="432"/>
      <c r="E2425" s="119"/>
      <c r="F2425" s="72"/>
      <c r="G2425" s="74"/>
      <c r="I2425" s="115">
        <f>IF(C2425=0,0,VLOOKUP(C2425,Tabla3[],3,FALSE))</f>
        <v>0</v>
      </c>
      <c r="K2425" s="84">
        <f>+F2425*I2425</f>
        <v>0</v>
      </c>
      <c r="L2425" s="116">
        <f>E2425*I2425</f>
        <v>0</v>
      </c>
    </row>
    <row r="2426" spans="2:16" x14ac:dyDescent="0.3">
      <c r="B2426" s="74"/>
      <c r="C2426" s="431"/>
      <c r="D2426" s="432"/>
      <c r="E2426" s="119"/>
      <c r="F2426" s="72"/>
      <c r="G2426" s="74"/>
      <c r="I2426" s="115">
        <f>IF(C2426=0,0,VLOOKUP(C2426,Tabla3[],3,FALSE))</f>
        <v>0</v>
      </c>
      <c r="K2426" s="84">
        <f>+F2426*I2426</f>
        <v>0</v>
      </c>
      <c r="L2426" s="116">
        <f>E2426*I2426</f>
        <v>0</v>
      </c>
    </row>
    <row r="2427" spans="2:16" x14ac:dyDescent="0.3">
      <c r="B2427" s="74"/>
      <c r="C2427" s="411"/>
      <c r="D2427" s="412"/>
      <c r="E2427" s="119"/>
      <c r="F2427" s="72"/>
      <c r="G2427" s="74"/>
      <c r="I2427" s="115">
        <f>IF(C2427=0,0,VLOOKUP(C2427,Tabla3[],3,FALSE))</f>
        <v>0</v>
      </c>
      <c r="K2427" s="84">
        <f>+F2427*I2427</f>
        <v>0</v>
      </c>
      <c r="L2427" s="116">
        <f>E2427*I2427</f>
        <v>0</v>
      </c>
    </row>
    <row r="2428" spans="2:16" ht="17.25" thickBot="1" x14ac:dyDescent="0.35"/>
    <row r="2429" spans="2:16" ht="17.25" thickBot="1" x14ac:dyDescent="0.35">
      <c r="F2429" s="402" t="s">
        <v>12</v>
      </c>
      <c r="G2429" s="403"/>
      <c r="H2429" s="403"/>
      <c r="I2429" s="404"/>
      <c r="K2429" s="224">
        <f>+SUM(K2424:K2427)</f>
        <v>0</v>
      </c>
      <c r="L2429" s="117">
        <f>+SUM(L2424:L2427)</f>
        <v>0</v>
      </c>
    </row>
    <row r="2430" spans="2:16" ht="17.25" thickBot="1" x14ac:dyDescent="0.35"/>
    <row r="2431" spans="2:16" ht="17.25" thickBot="1" x14ac:dyDescent="0.35">
      <c r="B2431" s="108" t="s">
        <v>13</v>
      </c>
      <c r="C2431" s="413" t="s">
        <v>14</v>
      </c>
      <c r="D2431" s="413"/>
      <c r="E2431" s="413"/>
      <c r="F2431" s="413"/>
      <c r="G2431" s="414"/>
    </row>
    <row r="2432" spans="2:16" x14ac:dyDescent="0.3">
      <c r="B2432" s="112" t="s">
        <v>6</v>
      </c>
      <c r="C2432" s="415" t="s">
        <v>1</v>
      </c>
      <c r="D2432" s="416"/>
      <c r="E2432" s="110" t="s">
        <v>192</v>
      </c>
      <c r="F2432" s="118" t="s">
        <v>2</v>
      </c>
      <c r="G2432" s="112" t="s">
        <v>3</v>
      </c>
      <c r="H2432" s="104"/>
      <c r="I2432" s="105" t="s">
        <v>7</v>
      </c>
      <c r="J2432" s="134"/>
      <c r="K2432" s="105" t="s">
        <v>8</v>
      </c>
      <c r="L2432" s="113" t="s">
        <v>193</v>
      </c>
    </row>
    <row r="2433" spans="2:12" x14ac:dyDescent="0.3">
      <c r="B2433" s="120"/>
      <c r="C2433" s="409"/>
      <c r="D2433" s="409"/>
      <c r="E2433" s="114"/>
      <c r="F2433" s="83"/>
      <c r="G2433" s="74"/>
      <c r="I2433" s="115">
        <f>IF(C2433=0,0,VLOOKUP(C2433,Tabla2[],3,FALSE))</f>
        <v>0</v>
      </c>
      <c r="K2433" s="84">
        <f>+F2433*I2433</f>
        <v>0</v>
      </c>
      <c r="L2433" s="116">
        <f>E2433*I2433</f>
        <v>0</v>
      </c>
    </row>
    <row r="2434" spans="2:12" x14ac:dyDescent="0.3">
      <c r="B2434" s="120"/>
      <c r="C2434" s="409"/>
      <c r="D2434" s="409"/>
      <c r="E2434" s="114"/>
      <c r="F2434" s="83"/>
      <c r="G2434" s="74"/>
      <c r="I2434" s="115">
        <f>IF(C2434=0,0,VLOOKUP(C2434,Tabla2[],3,FALSE))</f>
        <v>0</v>
      </c>
      <c r="K2434" s="84">
        <f>+F2434*I2434</f>
        <v>0</v>
      </c>
      <c r="L2434" s="116">
        <f>E2434*I2434</f>
        <v>0</v>
      </c>
    </row>
    <row r="2435" spans="2:12" ht="17.25" thickBot="1" x14ac:dyDescent="0.35">
      <c r="B2435" s="121"/>
      <c r="C2435" s="417"/>
      <c r="D2435" s="418"/>
      <c r="E2435" s="122"/>
      <c r="F2435" s="123"/>
      <c r="G2435" s="74"/>
      <c r="I2435" s="115">
        <f>IF(C2435=0,0,VLOOKUP(C2435,Tabla2[],3,FALSE))</f>
        <v>0</v>
      </c>
      <c r="K2435" s="84">
        <f>+F2435*I2435</f>
        <v>0</v>
      </c>
      <c r="L2435" s="116">
        <f>E2435*I2435</f>
        <v>0</v>
      </c>
    </row>
    <row r="2436" spans="2:12" ht="17.25" thickBot="1" x14ac:dyDescent="0.35">
      <c r="B2436" s="419" t="s">
        <v>15</v>
      </c>
      <c r="C2436" s="420"/>
      <c r="D2436" s="420"/>
      <c r="E2436" s="420"/>
      <c r="F2436" s="420"/>
      <c r="G2436" s="421"/>
      <c r="I2436" s="84">
        <v>0</v>
      </c>
      <c r="K2436" s="84">
        <v>0</v>
      </c>
      <c r="L2436" s="116">
        <f>E2436*I2436</f>
        <v>0</v>
      </c>
    </row>
    <row r="2437" spans="2:12" ht="17.25" thickBot="1" x14ac:dyDescent="0.35"/>
    <row r="2438" spans="2:12" ht="17.25" thickBot="1" x14ac:dyDescent="0.35">
      <c r="F2438" s="402" t="s">
        <v>16</v>
      </c>
      <c r="G2438" s="403"/>
      <c r="H2438" s="403"/>
      <c r="I2438" s="404"/>
      <c r="K2438" s="224">
        <f>+SUM(K2433:K2436)</f>
        <v>0</v>
      </c>
      <c r="L2438" s="117">
        <f>+SUM(L2433:L2436)</f>
        <v>0</v>
      </c>
    </row>
    <row r="2439" spans="2:12" ht="17.25" thickBot="1" x14ac:dyDescent="0.35"/>
    <row r="2440" spans="2:12" ht="17.25" thickBot="1" x14ac:dyDescent="0.35">
      <c r="B2440" s="108" t="s">
        <v>17</v>
      </c>
      <c r="C2440" s="413" t="s">
        <v>18</v>
      </c>
      <c r="D2440" s="413"/>
      <c r="E2440" s="413"/>
      <c r="F2440" s="413"/>
      <c r="G2440" s="414"/>
    </row>
    <row r="2441" spans="2:12" x14ac:dyDescent="0.3">
      <c r="B2441" s="112" t="s">
        <v>6</v>
      </c>
      <c r="C2441" s="415" t="s">
        <v>1</v>
      </c>
      <c r="D2441" s="416"/>
      <c r="E2441" s="124"/>
      <c r="F2441" s="118" t="s">
        <v>2</v>
      </c>
      <c r="G2441" s="112" t="s">
        <v>3</v>
      </c>
      <c r="H2441" s="104"/>
      <c r="I2441" s="105" t="s">
        <v>7</v>
      </c>
      <c r="J2441" s="134"/>
      <c r="K2441" s="105" t="s">
        <v>8</v>
      </c>
      <c r="L2441" s="113" t="s">
        <v>193</v>
      </c>
    </row>
    <row r="2442" spans="2:12" x14ac:dyDescent="0.3">
      <c r="B2442" s="74"/>
      <c r="C2442" s="411"/>
      <c r="D2442" s="412"/>
      <c r="E2442" s="125"/>
      <c r="F2442" s="72"/>
      <c r="G2442" s="74"/>
      <c r="I2442" s="84">
        <v>0</v>
      </c>
      <c r="K2442" s="84">
        <f>+F2442*I2442</f>
        <v>0</v>
      </c>
      <c r="L2442" s="116">
        <f>E2442*I2442</f>
        <v>0</v>
      </c>
    </row>
    <row r="2443" spans="2:12" x14ac:dyDescent="0.3">
      <c r="B2443" s="74"/>
      <c r="C2443" s="411"/>
      <c r="D2443" s="412"/>
      <c r="E2443" s="125"/>
      <c r="F2443" s="72"/>
      <c r="G2443" s="74"/>
      <c r="I2443" s="84">
        <v>0</v>
      </c>
      <c r="K2443" s="84">
        <f>+F2443*I2443</f>
        <v>0</v>
      </c>
      <c r="L2443" s="116">
        <f>E2443*I2443</f>
        <v>0</v>
      </c>
    </row>
    <row r="2444" spans="2:12" x14ac:dyDescent="0.3">
      <c r="B2444" s="74"/>
      <c r="C2444" s="411"/>
      <c r="D2444" s="412"/>
      <c r="E2444" s="125"/>
      <c r="F2444" s="72"/>
      <c r="G2444" s="74"/>
      <c r="I2444" s="84">
        <v>0</v>
      </c>
      <c r="K2444" s="84">
        <f>+F2444*I2444</f>
        <v>0</v>
      </c>
      <c r="L2444" s="116">
        <f>E2444*I2444</f>
        <v>0</v>
      </c>
    </row>
    <row r="2445" spans="2:12" ht="17.25" thickBot="1" x14ac:dyDescent="0.35">
      <c r="L2445" s="116"/>
    </row>
    <row r="2446" spans="2:12" ht="17.25" thickBot="1" x14ac:dyDescent="0.35">
      <c r="F2446" s="402" t="s">
        <v>19</v>
      </c>
      <c r="G2446" s="403"/>
      <c r="H2446" s="403"/>
      <c r="I2446" s="404"/>
      <c r="K2446" s="224">
        <f>+SUM(K2442:K2444)</f>
        <v>0</v>
      </c>
      <c r="L2446" s="117">
        <f>+SUM(L2441:L2444)</f>
        <v>0</v>
      </c>
    </row>
    <row r="2447" spans="2:12" ht="15" customHeight="1" x14ac:dyDescent="0.3">
      <c r="F2447" s="126"/>
      <c r="G2447" s="280"/>
      <c r="H2447" s="128"/>
      <c r="I2447" s="106"/>
      <c r="K2447" s="225"/>
    </row>
    <row r="2448" spans="2:12" ht="15" customHeight="1" thickBot="1" x14ac:dyDescent="0.35"/>
    <row r="2449" spans="1:16" ht="17.25" thickBot="1" x14ac:dyDescent="0.35">
      <c r="F2449" s="402" t="s">
        <v>20</v>
      </c>
      <c r="G2449" s="403"/>
      <c r="H2449" s="403"/>
      <c r="I2449" s="404"/>
      <c r="K2449" s="224">
        <f>(+K2420+K2429+K2438+K2446)</f>
        <v>25</v>
      </c>
      <c r="L2449" s="117">
        <f>(+L2420+L2429+L2438+L2446)</f>
        <v>75</v>
      </c>
      <c r="N2449" s="129"/>
      <c r="O2449" s="39"/>
      <c r="P2449" s="40"/>
    </row>
    <row r="2450" spans="1:16" ht="7.5" customHeight="1" thickBot="1" x14ac:dyDescent="0.35">
      <c r="N2450" s="129"/>
      <c r="O2450" s="41"/>
      <c r="P2450" s="40"/>
    </row>
    <row r="2451" spans="1:16" ht="17.25" thickBot="1" x14ac:dyDescent="0.35">
      <c r="F2451" s="402" t="s">
        <v>21</v>
      </c>
      <c r="G2451" s="403"/>
      <c r="H2451" s="403"/>
      <c r="I2451" s="404"/>
      <c r="K2451" s="224">
        <f>K2449*$N$2</f>
        <v>10</v>
      </c>
      <c r="L2451" s="117">
        <f>L2449*$N$2</f>
        <v>30</v>
      </c>
    </row>
    <row r="2452" spans="1:16" ht="7.5" customHeight="1" thickBot="1" x14ac:dyDescent="0.35"/>
    <row r="2453" spans="1:16" ht="17.25" thickBot="1" x14ac:dyDescent="0.35">
      <c r="F2453" s="402" t="s">
        <v>22</v>
      </c>
      <c r="G2453" s="403"/>
      <c r="H2453" s="403"/>
      <c r="I2453" s="404"/>
      <c r="K2453" s="224">
        <f>+K2449+K2451</f>
        <v>35</v>
      </c>
      <c r="L2453" s="117">
        <f>+L2449+L2451</f>
        <v>105</v>
      </c>
    </row>
    <row r="2454" spans="1:16" ht="17.25" thickBot="1" x14ac:dyDescent="0.35">
      <c r="F2454" s="126"/>
      <c r="G2454" s="280"/>
      <c r="H2454" s="128"/>
      <c r="I2454" s="106"/>
      <c r="K2454" s="226"/>
      <c r="L2454" s="130">
        <f>L2453/I2405</f>
        <v>35</v>
      </c>
      <c r="M2454" s="131">
        <f>(K2453-L2454)*I2405</f>
        <v>0</v>
      </c>
    </row>
    <row r="2455" spans="1:16" x14ac:dyDescent="0.3">
      <c r="F2455" s="126"/>
      <c r="G2455" s="280"/>
      <c r="H2455" s="128"/>
      <c r="I2455" s="106"/>
      <c r="K2455" s="227"/>
      <c r="L2455" s="129"/>
      <c r="M2455" s="132"/>
      <c r="N2455" s="133"/>
    </row>
    <row r="2456" spans="1:16" ht="17.25" thickBot="1" x14ac:dyDescent="0.35">
      <c r="B2456" s="405"/>
      <c r="C2456" s="405"/>
      <c r="D2456" s="405"/>
    </row>
    <row r="2457" spans="1:16" x14ac:dyDescent="0.3">
      <c r="B2457" s="406" t="s">
        <v>23</v>
      </c>
      <c r="C2457" s="406"/>
      <c r="D2457" s="406"/>
    </row>
    <row r="2458" spans="1:16" x14ac:dyDescent="0.3">
      <c r="B2458" s="281"/>
      <c r="C2458" s="281"/>
      <c r="D2458" s="281"/>
    </row>
    <row r="2459" spans="1:16" x14ac:dyDescent="0.3">
      <c r="B2459" s="281"/>
      <c r="C2459" s="281"/>
      <c r="D2459" s="281"/>
    </row>
    <row r="2460" spans="1:16" x14ac:dyDescent="0.3">
      <c r="B2460" s="103" t="s">
        <v>43</v>
      </c>
      <c r="C2460" s="104"/>
      <c r="D2460" s="422" t="s">
        <v>1</v>
      </c>
      <c r="E2460" s="422"/>
      <c r="F2460" s="422"/>
      <c r="G2460" s="422"/>
      <c r="H2460" s="104"/>
      <c r="I2460" s="105" t="s">
        <v>2</v>
      </c>
      <c r="J2460" s="134"/>
      <c r="K2460" s="105" t="s">
        <v>3</v>
      </c>
    </row>
    <row r="2461" spans="1:16" s="4" customFormat="1" ht="30.75" customHeight="1" x14ac:dyDescent="0.25">
      <c r="A2461" s="31"/>
      <c r="B2461" s="287">
        <f>CATALOGO!B84</f>
        <v>1007.08</v>
      </c>
      <c r="C2461" s="71"/>
      <c r="D2461" s="437" t="str">
        <f>CATALOGO!C84</f>
        <v>DISPENSADOR PARA JABÓN LÍQUIDO ACERO INOXIDABLE</v>
      </c>
      <c r="E2461" s="437"/>
      <c r="F2461" s="437"/>
      <c r="G2461" s="437"/>
      <c r="H2461" s="71"/>
      <c r="I2461" s="287">
        <f>CATALOGO!D84</f>
        <v>1</v>
      </c>
      <c r="J2461" s="107"/>
      <c r="K2461" s="222" t="str">
        <f>CATALOGO!G84</f>
        <v>Unidad</v>
      </c>
      <c r="L2461" s="71"/>
      <c r="M2461" s="71"/>
      <c r="N2461" s="102"/>
      <c r="O2461" s="37"/>
      <c r="P2461" s="37"/>
    </row>
    <row r="2462" spans="1:16" ht="17.25" thickBot="1" x14ac:dyDescent="0.35"/>
    <row r="2463" spans="1:16" ht="17.25" thickBot="1" x14ac:dyDescent="0.35">
      <c r="B2463" s="108" t="s">
        <v>4</v>
      </c>
      <c r="C2463" s="413" t="s">
        <v>5</v>
      </c>
      <c r="D2463" s="413"/>
      <c r="E2463" s="413"/>
      <c r="F2463" s="413"/>
      <c r="G2463" s="414"/>
    </row>
    <row r="2464" spans="1:16" x14ac:dyDescent="0.25">
      <c r="B2464" s="109" t="s">
        <v>6</v>
      </c>
      <c r="C2464" s="424" t="s">
        <v>1</v>
      </c>
      <c r="D2464" s="425"/>
      <c r="E2464" s="110" t="s">
        <v>192</v>
      </c>
      <c r="F2464" s="111" t="s">
        <v>2</v>
      </c>
      <c r="G2464" s="112" t="s">
        <v>3</v>
      </c>
      <c r="H2464" s="104"/>
      <c r="I2464" s="105" t="s">
        <v>7</v>
      </c>
      <c r="J2464" s="134"/>
      <c r="K2464" s="223" t="s">
        <v>8</v>
      </c>
      <c r="L2464" s="113" t="s">
        <v>193</v>
      </c>
      <c r="O2464" s="438"/>
      <c r="P2464" s="438"/>
    </row>
    <row r="2465" spans="2:16" ht="17.25" customHeight="1" x14ac:dyDescent="0.25">
      <c r="B2465" s="120">
        <v>1</v>
      </c>
      <c r="C2465" s="407" t="s">
        <v>322</v>
      </c>
      <c r="D2465" s="408"/>
      <c r="E2465" s="114">
        <f>1*I2461</f>
        <v>1</v>
      </c>
      <c r="F2465" s="83">
        <f>ROUND(E2465/I2461,2)</f>
        <v>1</v>
      </c>
      <c r="G2465" s="74" t="str">
        <f>IF(C2465=0,0,VLOOKUP(C2465,Tabla1[],2,FALSE))</f>
        <v>Unidad</v>
      </c>
      <c r="I2465" s="115">
        <f>IF(C2465=0,0,VLOOKUP(C2465,Tabla1[],3,FALSE))</f>
        <v>1040</v>
      </c>
      <c r="K2465" s="84">
        <f>F2465*I2465</f>
        <v>1040</v>
      </c>
      <c r="L2465" s="116">
        <f t="shared" ref="L2465:L2474" si="74">E2465*I2465</f>
        <v>1040</v>
      </c>
      <c r="O2465" s="44"/>
      <c r="P2465" s="45"/>
    </row>
    <row r="2466" spans="2:16" ht="16.5" customHeight="1" x14ac:dyDescent="0.3">
      <c r="B2466" s="120"/>
      <c r="C2466" s="430"/>
      <c r="D2466" s="429"/>
      <c r="E2466" s="114"/>
      <c r="F2466" s="83"/>
      <c r="G2466" s="74"/>
      <c r="I2466" s="115">
        <f>IF(C2466=0,0,VLOOKUP(C2466,Tabla1[],3,FALSE))</f>
        <v>0</v>
      </c>
      <c r="K2466" s="84">
        <f t="shared" ref="K2466:K2474" si="75">+F2466*I2466</f>
        <v>0</v>
      </c>
      <c r="L2466" s="116">
        <f t="shared" si="74"/>
        <v>0</v>
      </c>
      <c r="P2466" s="45"/>
    </row>
    <row r="2467" spans="2:16" x14ac:dyDescent="0.3">
      <c r="B2467" s="120"/>
      <c r="C2467" s="430"/>
      <c r="D2467" s="429"/>
      <c r="E2467" s="114"/>
      <c r="F2467" s="83"/>
      <c r="G2467" s="74"/>
      <c r="I2467" s="115">
        <f>IF(C2467=0,0,VLOOKUP(C2467,Tabla1[],3,FALSE))</f>
        <v>0</v>
      </c>
      <c r="K2467" s="84">
        <f t="shared" si="75"/>
        <v>0</v>
      </c>
      <c r="L2467" s="116">
        <f t="shared" si="74"/>
        <v>0</v>
      </c>
      <c r="O2467" s="48"/>
      <c r="P2467" s="49"/>
    </row>
    <row r="2468" spans="2:16" x14ac:dyDescent="0.3">
      <c r="B2468" s="120"/>
      <c r="C2468" s="430"/>
      <c r="D2468" s="429"/>
      <c r="E2468" s="114"/>
      <c r="F2468" s="83"/>
      <c r="G2468" s="74"/>
      <c r="I2468" s="115">
        <f>IF(C2468=0,0,VLOOKUP(C2468,Tabla1[],3,FALSE))</f>
        <v>0</v>
      </c>
      <c r="K2468" s="84">
        <f t="shared" si="75"/>
        <v>0</v>
      </c>
      <c r="L2468" s="116">
        <f t="shared" si="74"/>
        <v>0</v>
      </c>
      <c r="O2468" s="48"/>
      <c r="P2468" s="49"/>
    </row>
    <row r="2469" spans="2:16" x14ac:dyDescent="0.3">
      <c r="B2469" s="120"/>
      <c r="C2469" s="430"/>
      <c r="D2469" s="429"/>
      <c r="E2469" s="114"/>
      <c r="F2469" s="83"/>
      <c r="G2469" s="74"/>
      <c r="I2469" s="115">
        <f>IF(C2469=0,0,VLOOKUP(C2469,Tabla1[],3,FALSE))</f>
        <v>0</v>
      </c>
      <c r="K2469" s="84">
        <f t="shared" si="75"/>
        <v>0</v>
      </c>
      <c r="L2469" s="116">
        <f t="shared" si="74"/>
        <v>0</v>
      </c>
      <c r="O2469" s="48"/>
      <c r="P2469" s="49"/>
    </row>
    <row r="2470" spans="2:16" x14ac:dyDescent="0.3">
      <c r="B2470" s="120"/>
      <c r="C2470" s="430"/>
      <c r="D2470" s="429"/>
      <c r="E2470" s="114"/>
      <c r="F2470" s="83"/>
      <c r="G2470" s="74"/>
      <c r="I2470" s="115">
        <f>IF(C2470=0,0,VLOOKUP(C2470,Tabla1[],3,FALSE))</f>
        <v>0</v>
      </c>
      <c r="K2470" s="84">
        <f t="shared" si="75"/>
        <v>0</v>
      </c>
      <c r="L2470" s="116">
        <f t="shared" si="74"/>
        <v>0</v>
      </c>
      <c r="O2470" s="48"/>
      <c r="P2470" s="49"/>
    </row>
    <row r="2471" spans="2:16" x14ac:dyDescent="0.3">
      <c r="B2471" s="120"/>
      <c r="C2471" s="430"/>
      <c r="D2471" s="429"/>
      <c r="E2471" s="114"/>
      <c r="F2471" s="83"/>
      <c r="G2471" s="74"/>
      <c r="I2471" s="115">
        <f>IF(C2471=0,0,VLOOKUP(C2471,Tabla1[],3,FALSE))</f>
        <v>0</v>
      </c>
      <c r="K2471" s="84">
        <f t="shared" si="75"/>
        <v>0</v>
      </c>
      <c r="L2471" s="116">
        <f t="shared" si="74"/>
        <v>0</v>
      </c>
      <c r="O2471" s="48"/>
      <c r="P2471" s="49"/>
    </row>
    <row r="2472" spans="2:16" x14ac:dyDescent="0.3">
      <c r="B2472" s="120"/>
      <c r="C2472" s="428"/>
      <c r="D2472" s="429"/>
      <c r="E2472" s="114"/>
      <c r="F2472" s="83"/>
      <c r="G2472" s="74"/>
      <c r="I2472" s="115">
        <f>IF(C2472=0,0,VLOOKUP(C2472,Tabla1[],3,FALSE))</f>
        <v>0</v>
      </c>
      <c r="K2472" s="84">
        <f t="shared" si="75"/>
        <v>0</v>
      </c>
      <c r="L2472" s="116">
        <f t="shared" si="74"/>
        <v>0</v>
      </c>
      <c r="O2472" s="48"/>
      <c r="P2472" s="49"/>
    </row>
    <row r="2473" spans="2:16" x14ac:dyDescent="0.3">
      <c r="B2473" s="120"/>
      <c r="C2473" s="431"/>
      <c r="D2473" s="432"/>
      <c r="E2473" s="114"/>
      <c r="F2473" s="83"/>
      <c r="G2473" s="74"/>
      <c r="I2473" s="115">
        <f>IF(C2473=0,0,VLOOKUP(C2473,Tabla1[],3,FALSE))</f>
        <v>0</v>
      </c>
      <c r="K2473" s="84">
        <f t="shared" si="75"/>
        <v>0</v>
      </c>
      <c r="L2473" s="116">
        <f t="shared" si="74"/>
        <v>0</v>
      </c>
      <c r="O2473" s="48"/>
      <c r="P2473" s="49"/>
    </row>
    <row r="2474" spans="2:16" x14ac:dyDescent="0.3">
      <c r="B2474" s="120"/>
      <c r="C2474" s="430"/>
      <c r="D2474" s="429"/>
      <c r="E2474" s="114"/>
      <c r="F2474" s="83"/>
      <c r="G2474" s="74"/>
      <c r="I2474" s="115">
        <f>IF(C2474=0,0,VLOOKUP(C2474,Tabla1[],3,FALSE))</f>
        <v>0</v>
      </c>
      <c r="K2474" s="84">
        <f t="shared" si="75"/>
        <v>0</v>
      </c>
      <c r="L2474" s="116">
        <f t="shared" si="74"/>
        <v>0</v>
      </c>
      <c r="O2474" s="48"/>
      <c r="P2474" s="49"/>
    </row>
    <row r="2475" spans="2:16" ht="17.25" thickBot="1" x14ac:dyDescent="0.35"/>
    <row r="2476" spans="2:16" ht="17.25" thickBot="1" x14ac:dyDescent="0.3">
      <c r="F2476" s="402" t="s">
        <v>9</v>
      </c>
      <c r="G2476" s="403"/>
      <c r="H2476" s="403"/>
      <c r="I2476" s="404"/>
      <c r="K2476" s="224">
        <f>+SUM(K2465:K2474)</f>
        <v>1040</v>
      </c>
      <c r="L2476" s="117">
        <f>+SUM(L2465:L2474)</f>
        <v>1040</v>
      </c>
      <c r="O2476" s="38"/>
      <c r="P2476" s="38"/>
    </row>
    <row r="2477" spans="2:16" ht="17.25" thickBot="1" x14ac:dyDescent="0.35">
      <c r="O2477" s="42"/>
      <c r="P2477" s="43"/>
    </row>
    <row r="2478" spans="2:16" ht="17.25" thickBot="1" x14ac:dyDescent="0.35">
      <c r="B2478" s="108" t="s">
        <v>10</v>
      </c>
      <c r="C2478" s="413" t="s">
        <v>11</v>
      </c>
      <c r="D2478" s="413"/>
      <c r="E2478" s="413"/>
      <c r="F2478" s="413"/>
      <c r="G2478" s="414"/>
    </row>
    <row r="2479" spans="2:16" x14ac:dyDescent="0.3">
      <c r="B2479" s="112" t="s">
        <v>6</v>
      </c>
      <c r="C2479" s="415" t="s">
        <v>1</v>
      </c>
      <c r="D2479" s="416"/>
      <c r="E2479" s="110" t="s">
        <v>192</v>
      </c>
      <c r="F2479" s="118" t="s">
        <v>2</v>
      </c>
      <c r="G2479" s="112" t="s">
        <v>3</v>
      </c>
      <c r="H2479" s="104"/>
      <c r="I2479" s="105" t="s">
        <v>7</v>
      </c>
      <c r="J2479" s="134"/>
      <c r="K2479" s="105" t="s">
        <v>8</v>
      </c>
      <c r="L2479" s="113" t="s">
        <v>193</v>
      </c>
    </row>
    <row r="2480" spans="2:16" x14ac:dyDescent="0.3">
      <c r="B2480" s="120"/>
      <c r="C2480" s="409"/>
      <c r="D2480" s="409"/>
      <c r="E2480" s="114"/>
      <c r="F2480" s="83"/>
      <c r="G2480" s="74"/>
      <c r="I2480" s="115">
        <f>IF(C2480=0,0,VLOOKUP(C2480,Tabla3[],3,FALSE))</f>
        <v>0</v>
      </c>
      <c r="K2480" s="84">
        <f>F2480*I2480</f>
        <v>0</v>
      </c>
      <c r="L2480" s="116">
        <f>E2480*I2480</f>
        <v>0</v>
      </c>
    </row>
    <row r="2481" spans="2:12" x14ac:dyDescent="0.3">
      <c r="B2481" s="74"/>
      <c r="C2481" s="431"/>
      <c r="D2481" s="432"/>
      <c r="E2481" s="119"/>
      <c r="F2481" s="72"/>
      <c r="G2481" s="74"/>
      <c r="I2481" s="115">
        <f>IF(C2481=0,0,VLOOKUP(C2481,Tabla3[],3,FALSE))</f>
        <v>0</v>
      </c>
      <c r="K2481" s="84">
        <f>+F2481*I2481</f>
        <v>0</v>
      </c>
      <c r="L2481" s="116">
        <f>E2481*I2481</f>
        <v>0</v>
      </c>
    </row>
    <row r="2482" spans="2:12" x14ac:dyDescent="0.3">
      <c r="B2482" s="74"/>
      <c r="C2482" s="431"/>
      <c r="D2482" s="432"/>
      <c r="E2482" s="119"/>
      <c r="F2482" s="72"/>
      <c r="G2482" s="74"/>
      <c r="I2482" s="115">
        <f>IF(C2482=0,0,VLOOKUP(C2482,Tabla3[],3,FALSE))</f>
        <v>0</v>
      </c>
      <c r="K2482" s="84">
        <f>+F2482*I2482</f>
        <v>0</v>
      </c>
      <c r="L2482" s="116">
        <f>E2482*I2482</f>
        <v>0</v>
      </c>
    </row>
    <row r="2483" spans="2:12" x14ac:dyDescent="0.3">
      <c r="B2483" s="74"/>
      <c r="C2483" s="411"/>
      <c r="D2483" s="412"/>
      <c r="E2483" s="119"/>
      <c r="F2483" s="72"/>
      <c r="G2483" s="74"/>
      <c r="I2483" s="115">
        <f>IF(C2483=0,0,VLOOKUP(C2483,Tabla3[],3,FALSE))</f>
        <v>0</v>
      </c>
      <c r="K2483" s="84">
        <f>+F2483*I2483</f>
        <v>0</v>
      </c>
      <c r="L2483" s="116">
        <f>E2483*I2483</f>
        <v>0</v>
      </c>
    </row>
    <row r="2484" spans="2:12" ht="17.25" thickBot="1" x14ac:dyDescent="0.35"/>
    <row r="2485" spans="2:12" ht="17.25" thickBot="1" x14ac:dyDescent="0.35">
      <c r="F2485" s="402" t="s">
        <v>12</v>
      </c>
      <c r="G2485" s="403"/>
      <c r="H2485" s="403"/>
      <c r="I2485" s="404"/>
      <c r="K2485" s="224">
        <f>+SUM(K2480:K2483)</f>
        <v>0</v>
      </c>
      <c r="L2485" s="117">
        <f>+SUM(L2480:L2483)</f>
        <v>0</v>
      </c>
    </row>
    <row r="2486" spans="2:12" ht="17.25" thickBot="1" x14ac:dyDescent="0.35"/>
    <row r="2487" spans="2:12" ht="17.25" thickBot="1" x14ac:dyDescent="0.35">
      <c r="B2487" s="108" t="s">
        <v>13</v>
      </c>
      <c r="C2487" s="413" t="s">
        <v>14</v>
      </c>
      <c r="D2487" s="413"/>
      <c r="E2487" s="413"/>
      <c r="F2487" s="413"/>
      <c r="G2487" s="414"/>
    </row>
    <row r="2488" spans="2:12" x14ac:dyDescent="0.3">
      <c r="B2488" s="112" t="s">
        <v>6</v>
      </c>
      <c r="C2488" s="415" t="s">
        <v>1</v>
      </c>
      <c r="D2488" s="416"/>
      <c r="E2488" s="110" t="s">
        <v>192</v>
      </c>
      <c r="F2488" s="118" t="s">
        <v>2</v>
      </c>
      <c r="G2488" s="112" t="s">
        <v>3</v>
      </c>
      <c r="H2488" s="104"/>
      <c r="I2488" s="105" t="s">
        <v>7</v>
      </c>
      <c r="J2488" s="134"/>
      <c r="K2488" s="105" t="s">
        <v>8</v>
      </c>
      <c r="L2488" s="113" t="s">
        <v>193</v>
      </c>
    </row>
    <row r="2489" spans="2:12" x14ac:dyDescent="0.3">
      <c r="B2489" s="120">
        <v>1</v>
      </c>
      <c r="C2489" s="409" t="s">
        <v>323</v>
      </c>
      <c r="D2489" s="409"/>
      <c r="E2489" s="114">
        <f>1*I2461</f>
        <v>1</v>
      </c>
      <c r="F2489" s="83">
        <f>ROUND(E2489/I2461,2)</f>
        <v>1</v>
      </c>
      <c r="G2489" s="74" t="str">
        <f>IF(C2489=0,0,VLOOKUP(C2489,Tabla2[],2,FALSE))</f>
        <v>Unidad</v>
      </c>
      <c r="I2489" s="115">
        <f>IF(C2489=0,0,VLOOKUP(C2489,Tabla2[],3,FALSE))</f>
        <v>50</v>
      </c>
      <c r="K2489" s="84">
        <f>+F2489*I2489</f>
        <v>50</v>
      </c>
      <c r="L2489" s="116">
        <f>E2489*I2489</f>
        <v>50</v>
      </c>
    </row>
    <row r="2490" spans="2:12" x14ac:dyDescent="0.3">
      <c r="B2490" s="120"/>
      <c r="C2490" s="409"/>
      <c r="D2490" s="409"/>
      <c r="E2490" s="114"/>
      <c r="F2490" s="83"/>
      <c r="G2490" s="74"/>
      <c r="I2490" s="115">
        <f>IF(C2490=0,0,VLOOKUP(C2490,Tabla2[],3,FALSE))</f>
        <v>0</v>
      </c>
      <c r="K2490" s="84">
        <f>+F2490*I2490</f>
        <v>0</v>
      </c>
      <c r="L2490" s="116">
        <f>E2490*I2490</f>
        <v>0</v>
      </c>
    </row>
    <row r="2491" spans="2:12" ht="17.25" thickBot="1" x14ac:dyDescent="0.35">
      <c r="B2491" s="121"/>
      <c r="C2491" s="417"/>
      <c r="D2491" s="418"/>
      <c r="E2491" s="122"/>
      <c r="F2491" s="123"/>
      <c r="G2491" s="74"/>
      <c r="I2491" s="115">
        <f>IF(C2491=0,0,VLOOKUP(C2491,Tabla2[],3,FALSE))</f>
        <v>0</v>
      </c>
      <c r="K2491" s="84">
        <f>+F2491*I2491</f>
        <v>0</v>
      </c>
      <c r="L2491" s="116">
        <f>E2491*I2491</f>
        <v>0</v>
      </c>
    </row>
    <row r="2492" spans="2:12" ht="17.25" thickBot="1" x14ac:dyDescent="0.35">
      <c r="B2492" s="419" t="s">
        <v>15</v>
      </c>
      <c r="C2492" s="420"/>
      <c r="D2492" s="420"/>
      <c r="E2492" s="420"/>
      <c r="F2492" s="420"/>
      <c r="G2492" s="421"/>
      <c r="I2492" s="84">
        <v>0</v>
      </c>
      <c r="K2492" s="84">
        <v>0</v>
      </c>
      <c r="L2492" s="116">
        <f>E2492*I2492</f>
        <v>0</v>
      </c>
    </row>
    <row r="2493" spans="2:12" ht="17.25" thickBot="1" x14ac:dyDescent="0.35"/>
    <row r="2494" spans="2:12" ht="17.25" thickBot="1" x14ac:dyDescent="0.35">
      <c r="F2494" s="402" t="s">
        <v>16</v>
      </c>
      <c r="G2494" s="403"/>
      <c r="H2494" s="403"/>
      <c r="I2494" s="404"/>
      <c r="K2494" s="224">
        <f>+SUM(K2489:K2492)</f>
        <v>50</v>
      </c>
      <c r="L2494" s="117">
        <f>+SUM(L2489:L2492)</f>
        <v>50</v>
      </c>
    </row>
    <row r="2495" spans="2:12" ht="17.25" thickBot="1" x14ac:dyDescent="0.35"/>
    <row r="2496" spans="2:12" ht="17.25" thickBot="1" x14ac:dyDescent="0.35">
      <c r="B2496" s="108" t="s">
        <v>17</v>
      </c>
      <c r="C2496" s="413" t="s">
        <v>18</v>
      </c>
      <c r="D2496" s="413"/>
      <c r="E2496" s="413"/>
      <c r="F2496" s="413"/>
      <c r="G2496" s="414"/>
    </row>
    <row r="2497" spans="2:16" x14ac:dyDescent="0.3">
      <c r="B2497" s="112" t="s">
        <v>6</v>
      </c>
      <c r="C2497" s="415" t="s">
        <v>1</v>
      </c>
      <c r="D2497" s="416"/>
      <c r="E2497" s="124"/>
      <c r="F2497" s="118" t="s">
        <v>2</v>
      </c>
      <c r="G2497" s="112" t="s">
        <v>3</v>
      </c>
      <c r="H2497" s="104"/>
      <c r="I2497" s="105" t="s">
        <v>7</v>
      </c>
      <c r="J2497" s="134"/>
      <c r="K2497" s="105" t="s">
        <v>8</v>
      </c>
      <c r="L2497" s="113" t="s">
        <v>193</v>
      </c>
    </row>
    <row r="2498" spans="2:16" x14ac:dyDescent="0.3">
      <c r="B2498" s="74"/>
      <c r="C2498" s="411"/>
      <c r="D2498" s="412"/>
      <c r="E2498" s="125"/>
      <c r="F2498" s="72"/>
      <c r="G2498" s="74"/>
      <c r="I2498" s="84">
        <v>0</v>
      </c>
      <c r="K2498" s="84">
        <f>+F2498*I2498</f>
        <v>0</v>
      </c>
      <c r="L2498" s="116">
        <f>E2498*I2498</f>
        <v>0</v>
      </c>
    </row>
    <row r="2499" spans="2:16" x14ac:dyDescent="0.3">
      <c r="B2499" s="74"/>
      <c r="C2499" s="411"/>
      <c r="D2499" s="412"/>
      <c r="E2499" s="125"/>
      <c r="F2499" s="72"/>
      <c r="G2499" s="74"/>
      <c r="I2499" s="84">
        <v>0</v>
      </c>
      <c r="K2499" s="84">
        <f>+F2499*I2499</f>
        <v>0</v>
      </c>
      <c r="L2499" s="116">
        <f>E2499*I2499</f>
        <v>0</v>
      </c>
    </row>
    <row r="2500" spans="2:16" x14ac:dyDescent="0.3">
      <c r="B2500" s="74"/>
      <c r="C2500" s="411"/>
      <c r="D2500" s="412"/>
      <c r="E2500" s="125"/>
      <c r="F2500" s="72"/>
      <c r="G2500" s="74"/>
      <c r="I2500" s="84">
        <v>0</v>
      </c>
      <c r="K2500" s="84">
        <f>+F2500*I2500</f>
        <v>0</v>
      </c>
      <c r="L2500" s="116">
        <f>E2500*I2500</f>
        <v>0</v>
      </c>
    </row>
    <row r="2501" spans="2:16" ht="17.25" thickBot="1" x14ac:dyDescent="0.35">
      <c r="L2501" s="116"/>
    </row>
    <row r="2502" spans="2:16" ht="17.25" thickBot="1" x14ac:dyDescent="0.35">
      <c r="F2502" s="402" t="s">
        <v>19</v>
      </c>
      <c r="G2502" s="403"/>
      <c r="H2502" s="403"/>
      <c r="I2502" s="404"/>
      <c r="K2502" s="224">
        <f>+SUM(K2498:K2500)</f>
        <v>0</v>
      </c>
      <c r="L2502" s="117">
        <f>+SUM(L2497:L2500)</f>
        <v>0</v>
      </c>
    </row>
    <row r="2503" spans="2:16" ht="15" customHeight="1" x14ac:dyDescent="0.3">
      <c r="F2503" s="126"/>
      <c r="G2503" s="280"/>
      <c r="H2503" s="128"/>
      <c r="I2503" s="106"/>
      <c r="K2503" s="225"/>
    </row>
    <row r="2504" spans="2:16" ht="15" customHeight="1" thickBot="1" x14ac:dyDescent="0.35"/>
    <row r="2505" spans="2:16" ht="17.25" thickBot="1" x14ac:dyDescent="0.35">
      <c r="F2505" s="402" t="s">
        <v>20</v>
      </c>
      <c r="G2505" s="403"/>
      <c r="H2505" s="403"/>
      <c r="I2505" s="404"/>
      <c r="K2505" s="224">
        <f>(+K2476+K2485+K2494+K2502)</f>
        <v>1090</v>
      </c>
      <c r="L2505" s="117">
        <f>(+L2476+L2485+L2494+L2502)</f>
        <v>1090</v>
      </c>
      <c r="N2505" s="129"/>
      <c r="O2505" s="39"/>
      <c r="P2505" s="40"/>
    </row>
    <row r="2506" spans="2:16" ht="7.5" customHeight="1" thickBot="1" x14ac:dyDescent="0.35">
      <c r="N2506" s="129"/>
      <c r="O2506" s="41"/>
      <c r="P2506" s="40"/>
    </row>
    <row r="2507" spans="2:16" ht="17.25" thickBot="1" x14ac:dyDescent="0.35">
      <c r="F2507" s="402" t="s">
        <v>21</v>
      </c>
      <c r="G2507" s="403"/>
      <c r="H2507" s="403"/>
      <c r="I2507" s="404"/>
      <c r="K2507" s="224">
        <f>K2505*$N$2</f>
        <v>436</v>
      </c>
      <c r="L2507" s="117">
        <f>L2505*$N$2</f>
        <v>436</v>
      </c>
    </row>
    <row r="2508" spans="2:16" ht="7.5" customHeight="1" thickBot="1" x14ac:dyDescent="0.35"/>
    <row r="2509" spans="2:16" ht="17.25" thickBot="1" x14ac:dyDescent="0.35">
      <c r="F2509" s="402" t="s">
        <v>22</v>
      </c>
      <c r="G2509" s="403"/>
      <c r="H2509" s="403"/>
      <c r="I2509" s="404"/>
      <c r="K2509" s="224">
        <f>+K2505+K2507</f>
        <v>1526</v>
      </c>
      <c r="L2509" s="117">
        <f>+L2505+L2507</f>
        <v>1526</v>
      </c>
    </row>
    <row r="2510" spans="2:16" ht="17.25" thickBot="1" x14ac:dyDescent="0.35">
      <c r="F2510" s="126"/>
      <c r="G2510" s="280"/>
      <c r="H2510" s="128"/>
      <c r="I2510" s="106"/>
      <c r="K2510" s="226"/>
      <c r="L2510" s="130">
        <f>L2509/I2461</f>
        <v>1526</v>
      </c>
      <c r="M2510" s="131">
        <f>(K2509-L2510)*I2461</f>
        <v>0</v>
      </c>
    </row>
    <row r="2511" spans="2:16" x14ac:dyDescent="0.3">
      <c r="F2511" s="126"/>
      <c r="G2511" s="280"/>
      <c r="H2511" s="128"/>
      <c r="I2511" s="106"/>
      <c r="K2511" s="227"/>
      <c r="L2511" s="129"/>
      <c r="M2511" s="132"/>
      <c r="N2511" s="133"/>
    </row>
    <row r="2512" spans="2:16" ht="17.25" thickBot="1" x14ac:dyDescent="0.35">
      <c r="B2512" s="405"/>
      <c r="C2512" s="405"/>
      <c r="D2512" s="405"/>
    </row>
    <row r="2513" spans="1:16" x14ac:dyDescent="0.3">
      <c r="B2513" s="406" t="s">
        <v>23</v>
      </c>
      <c r="C2513" s="406"/>
      <c r="D2513" s="406"/>
    </row>
    <row r="2514" spans="1:16" x14ac:dyDescent="0.3">
      <c r="B2514" s="281"/>
      <c r="C2514" s="281"/>
      <c r="D2514" s="281"/>
    </row>
    <row r="2515" spans="1:16" x14ac:dyDescent="0.3">
      <c r="B2515" s="281"/>
      <c r="C2515" s="281"/>
      <c r="D2515" s="281"/>
    </row>
    <row r="2516" spans="1:16" x14ac:dyDescent="0.3">
      <c r="B2516" s="103" t="s">
        <v>43</v>
      </c>
      <c r="C2516" s="104"/>
      <c r="D2516" s="422" t="s">
        <v>1</v>
      </c>
      <c r="E2516" s="422"/>
      <c r="F2516" s="422"/>
      <c r="G2516" s="422"/>
      <c r="H2516" s="104"/>
      <c r="I2516" s="105" t="s">
        <v>2</v>
      </c>
      <c r="J2516" s="134"/>
      <c r="K2516" s="105" t="s">
        <v>3</v>
      </c>
    </row>
    <row r="2517" spans="1:16" s="4" customFormat="1" ht="30.75" customHeight="1" x14ac:dyDescent="0.25">
      <c r="A2517" s="31"/>
      <c r="B2517" s="287">
        <f>CATALOGO!B85</f>
        <v>1007.09</v>
      </c>
      <c r="C2517" s="71"/>
      <c r="D2517" s="437" t="str">
        <f>CATALOGO!C85</f>
        <v>DISPENSADOR DE ALCOHOL EN GEL (400ml)</v>
      </c>
      <c r="E2517" s="437"/>
      <c r="F2517" s="437"/>
      <c r="G2517" s="437"/>
      <c r="H2517" s="71"/>
      <c r="I2517" s="287">
        <f>CATALOGO!D85</f>
        <v>2</v>
      </c>
      <c r="J2517" s="107"/>
      <c r="K2517" s="222" t="str">
        <f>CATALOGO!G85</f>
        <v>Unidad</v>
      </c>
      <c r="L2517" s="71"/>
      <c r="M2517" s="71"/>
      <c r="N2517" s="102"/>
      <c r="O2517" s="37"/>
      <c r="P2517" s="37"/>
    </row>
    <row r="2518" spans="1:16" ht="17.25" thickBot="1" x14ac:dyDescent="0.35"/>
    <row r="2519" spans="1:16" ht="17.25" thickBot="1" x14ac:dyDescent="0.35">
      <c r="B2519" s="108" t="s">
        <v>4</v>
      </c>
      <c r="C2519" s="413" t="s">
        <v>5</v>
      </c>
      <c r="D2519" s="413"/>
      <c r="E2519" s="413"/>
      <c r="F2519" s="413"/>
      <c r="G2519" s="414"/>
    </row>
    <row r="2520" spans="1:16" x14ac:dyDescent="0.25">
      <c r="B2520" s="109" t="s">
        <v>6</v>
      </c>
      <c r="C2520" s="424" t="s">
        <v>1</v>
      </c>
      <c r="D2520" s="425"/>
      <c r="E2520" s="110" t="s">
        <v>192</v>
      </c>
      <c r="F2520" s="111" t="s">
        <v>2</v>
      </c>
      <c r="G2520" s="112" t="s">
        <v>3</v>
      </c>
      <c r="H2520" s="104"/>
      <c r="I2520" s="105" t="s">
        <v>7</v>
      </c>
      <c r="J2520" s="134"/>
      <c r="K2520" s="223" t="s">
        <v>8</v>
      </c>
      <c r="L2520" s="113" t="s">
        <v>193</v>
      </c>
      <c r="O2520" s="438"/>
      <c r="P2520" s="438"/>
    </row>
    <row r="2521" spans="1:16" ht="17.25" customHeight="1" x14ac:dyDescent="0.25">
      <c r="B2521" s="120">
        <v>1</v>
      </c>
      <c r="C2521" s="407" t="s">
        <v>91</v>
      </c>
      <c r="D2521" s="408"/>
      <c r="E2521" s="114">
        <f>1*I2517</f>
        <v>2</v>
      </c>
      <c r="F2521" s="83">
        <f>ROUND(E2521/I2517,2)</f>
        <v>1</v>
      </c>
      <c r="G2521" s="74" t="str">
        <f>IF(C2521=0,0,VLOOKUP(C2521,Tabla1[],2,FALSE))</f>
        <v>Unidad</v>
      </c>
      <c r="I2521" s="115">
        <f>IF(C2521=0,0,VLOOKUP(C2521,Tabla1[],3,FALSE))</f>
        <v>225</v>
      </c>
      <c r="K2521" s="84">
        <f>F2521*I2521</f>
        <v>225</v>
      </c>
      <c r="L2521" s="116">
        <f t="shared" ref="L2521:L2530" si="76">E2521*I2521</f>
        <v>450</v>
      </c>
      <c r="O2521" s="44"/>
      <c r="P2521" s="45"/>
    </row>
    <row r="2522" spans="1:16" ht="16.5" customHeight="1" x14ac:dyDescent="0.3">
      <c r="B2522" s="120"/>
      <c r="C2522" s="430"/>
      <c r="D2522" s="429"/>
      <c r="E2522" s="114"/>
      <c r="F2522" s="83"/>
      <c r="G2522" s="74"/>
      <c r="I2522" s="115">
        <f>IF(C2522=0,0,VLOOKUP(C2522,Tabla1[],3,FALSE))</f>
        <v>0</v>
      </c>
      <c r="K2522" s="84">
        <f t="shared" ref="K2522:K2530" si="77">+F2522*I2522</f>
        <v>0</v>
      </c>
      <c r="L2522" s="116">
        <f t="shared" si="76"/>
        <v>0</v>
      </c>
      <c r="P2522" s="45"/>
    </row>
    <row r="2523" spans="1:16" x14ac:dyDescent="0.3">
      <c r="B2523" s="120"/>
      <c r="C2523" s="430"/>
      <c r="D2523" s="429"/>
      <c r="E2523" s="114"/>
      <c r="F2523" s="83"/>
      <c r="G2523" s="74"/>
      <c r="I2523" s="115">
        <f>IF(C2523=0,0,VLOOKUP(C2523,Tabla1[],3,FALSE))</f>
        <v>0</v>
      </c>
      <c r="K2523" s="84">
        <f t="shared" si="77"/>
        <v>0</v>
      </c>
      <c r="L2523" s="116">
        <f t="shared" si="76"/>
        <v>0</v>
      </c>
      <c r="O2523" s="48"/>
      <c r="P2523" s="49"/>
    </row>
    <row r="2524" spans="1:16" x14ac:dyDescent="0.3">
      <c r="B2524" s="120"/>
      <c r="C2524" s="430"/>
      <c r="D2524" s="429"/>
      <c r="E2524" s="114"/>
      <c r="F2524" s="83"/>
      <c r="G2524" s="74"/>
      <c r="I2524" s="115">
        <f>IF(C2524=0,0,VLOOKUP(C2524,Tabla1[],3,FALSE))</f>
        <v>0</v>
      </c>
      <c r="K2524" s="84">
        <f t="shared" si="77"/>
        <v>0</v>
      </c>
      <c r="L2524" s="116">
        <f t="shared" si="76"/>
        <v>0</v>
      </c>
      <c r="O2524" s="48"/>
      <c r="P2524" s="49"/>
    </row>
    <row r="2525" spans="1:16" x14ac:dyDescent="0.3">
      <c r="B2525" s="120"/>
      <c r="C2525" s="430"/>
      <c r="D2525" s="429"/>
      <c r="E2525" s="114"/>
      <c r="F2525" s="83"/>
      <c r="G2525" s="74"/>
      <c r="I2525" s="115">
        <f>IF(C2525=0,0,VLOOKUP(C2525,Tabla1[],3,FALSE))</f>
        <v>0</v>
      </c>
      <c r="K2525" s="84">
        <f t="shared" si="77"/>
        <v>0</v>
      </c>
      <c r="L2525" s="116">
        <f t="shared" si="76"/>
        <v>0</v>
      </c>
      <c r="O2525" s="48"/>
      <c r="P2525" s="49"/>
    </row>
    <row r="2526" spans="1:16" x14ac:dyDescent="0.3">
      <c r="B2526" s="120"/>
      <c r="C2526" s="430"/>
      <c r="D2526" s="429"/>
      <c r="E2526" s="114"/>
      <c r="F2526" s="83"/>
      <c r="G2526" s="74"/>
      <c r="I2526" s="115">
        <f>IF(C2526=0,0,VLOOKUP(C2526,Tabla1[],3,FALSE))</f>
        <v>0</v>
      </c>
      <c r="K2526" s="84">
        <f t="shared" si="77"/>
        <v>0</v>
      </c>
      <c r="L2526" s="116">
        <f t="shared" si="76"/>
        <v>0</v>
      </c>
      <c r="O2526" s="48"/>
      <c r="P2526" s="49"/>
    </row>
    <row r="2527" spans="1:16" x14ac:dyDescent="0.3">
      <c r="B2527" s="120"/>
      <c r="C2527" s="430"/>
      <c r="D2527" s="429"/>
      <c r="E2527" s="114"/>
      <c r="F2527" s="83"/>
      <c r="G2527" s="74"/>
      <c r="I2527" s="115">
        <f>IF(C2527=0,0,VLOOKUP(C2527,Tabla1[],3,FALSE))</f>
        <v>0</v>
      </c>
      <c r="K2527" s="84">
        <f t="shared" si="77"/>
        <v>0</v>
      </c>
      <c r="L2527" s="116">
        <f t="shared" si="76"/>
        <v>0</v>
      </c>
      <c r="O2527" s="48"/>
      <c r="P2527" s="49"/>
    </row>
    <row r="2528" spans="1:16" x14ac:dyDescent="0.3">
      <c r="B2528" s="120"/>
      <c r="C2528" s="428"/>
      <c r="D2528" s="429"/>
      <c r="E2528" s="114"/>
      <c r="F2528" s="83"/>
      <c r="G2528" s="74"/>
      <c r="I2528" s="115">
        <f>IF(C2528=0,0,VLOOKUP(C2528,Tabla1[],3,FALSE))</f>
        <v>0</v>
      </c>
      <c r="K2528" s="84">
        <f t="shared" si="77"/>
        <v>0</v>
      </c>
      <c r="L2528" s="116">
        <f t="shared" si="76"/>
        <v>0</v>
      </c>
      <c r="O2528" s="48"/>
      <c r="P2528" s="49"/>
    </row>
    <row r="2529" spans="2:16" x14ac:dyDescent="0.3">
      <c r="B2529" s="120"/>
      <c r="C2529" s="431"/>
      <c r="D2529" s="432"/>
      <c r="E2529" s="114"/>
      <c r="F2529" s="83"/>
      <c r="G2529" s="74"/>
      <c r="I2529" s="115">
        <f>IF(C2529=0,0,VLOOKUP(C2529,Tabla1[],3,FALSE))</f>
        <v>0</v>
      </c>
      <c r="K2529" s="84">
        <f t="shared" si="77"/>
        <v>0</v>
      </c>
      <c r="L2529" s="116">
        <f t="shared" si="76"/>
        <v>0</v>
      </c>
      <c r="O2529" s="48"/>
      <c r="P2529" s="49"/>
    </row>
    <row r="2530" spans="2:16" x14ac:dyDescent="0.3">
      <c r="B2530" s="120"/>
      <c r="C2530" s="430"/>
      <c r="D2530" s="429"/>
      <c r="E2530" s="114"/>
      <c r="F2530" s="83"/>
      <c r="G2530" s="74"/>
      <c r="I2530" s="115">
        <f>IF(C2530=0,0,VLOOKUP(C2530,Tabla1[],3,FALSE))</f>
        <v>0</v>
      </c>
      <c r="K2530" s="84">
        <f t="shared" si="77"/>
        <v>0</v>
      </c>
      <c r="L2530" s="116">
        <f t="shared" si="76"/>
        <v>0</v>
      </c>
      <c r="O2530" s="48"/>
      <c r="P2530" s="49"/>
    </row>
    <row r="2531" spans="2:16" ht="17.25" thickBot="1" x14ac:dyDescent="0.35"/>
    <row r="2532" spans="2:16" ht="17.25" thickBot="1" x14ac:dyDescent="0.3">
      <c r="F2532" s="402" t="s">
        <v>9</v>
      </c>
      <c r="G2532" s="403"/>
      <c r="H2532" s="403"/>
      <c r="I2532" s="404"/>
      <c r="K2532" s="224">
        <f>+SUM(K2521:K2530)</f>
        <v>225</v>
      </c>
      <c r="L2532" s="117">
        <f>+SUM(L2521:L2530)</f>
        <v>450</v>
      </c>
      <c r="O2532" s="38"/>
      <c r="P2532" s="38"/>
    </row>
    <row r="2533" spans="2:16" ht="17.25" thickBot="1" x14ac:dyDescent="0.35">
      <c r="O2533" s="42"/>
      <c r="P2533" s="43"/>
    </row>
    <row r="2534" spans="2:16" ht="17.25" thickBot="1" x14ac:dyDescent="0.35">
      <c r="B2534" s="108" t="s">
        <v>10</v>
      </c>
      <c r="C2534" s="413" t="s">
        <v>11</v>
      </c>
      <c r="D2534" s="413"/>
      <c r="E2534" s="413"/>
      <c r="F2534" s="413"/>
      <c r="G2534" s="414"/>
    </row>
    <row r="2535" spans="2:16" x14ac:dyDescent="0.3">
      <c r="B2535" s="112" t="s">
        <v>6</v>
      </c>
      <c r="C2535" s="415" t="s">
        <v>1</v>
      </c>
      <c r="D2535" s="416"/>
      <c r="E2535" s="110" t="s">
        <v>192</v>
      </c>
      <c r="F2535" s="118" t="s">
        <v>2</v>
      </c>
      <c r="G2535" s="112" t="s">
        <v>3</v>
      </c>
      <c r="H2535" s="104"/>
      <c r="I2535" s="105" t="s">
        <v>7</v>
      </c>
      <c r="J2535" s="134"/>
      <c r="K2535" s="105" t="s">
        <v>8</v>
      </c>
      <c r="L2535" s="113" t="s">
        <v>193</v>
      </c>
    </row>
    <row r="2536" spans="2:16" x14ac:dyDescent="0.3">
      <c r="B2536" s="120"/>
      <c r="C2536" s="409"/>
      <c r="D2536" s="409"/>
      <c r="E2536" s="114"/>
      <c r="F2536" s="83"/>
      <c r="G2536" s="74"/>
      <c r="I2536" s="115">
        <f>IF(C2536=0,0,VLOOKUP(C2536,Tabla3[],3,FALSE))</f>
        <v>0</v>
      </c>
      <c r="K2536" s="84">
        <f>F2536*I2536</f>
        <v>0</v>
      </c>
      <c r="L2536" s="116">
        <f>E2536*I2536</f>
        <v>0</v>
      </c>
    </row>
    <row r="2537" spans="2:16" x14ac:dyDescent="0.3">
      <c r="B2537" s="74"/>
      <c r="C2537" s="431"/>
      <c r="D2537" s="432"/>
      <c r="E2537" s="119"/>
      <c r="F2537" s="72"/>
      <c r="G2537" s="74"/>
      <c r="I2537" s="115">
        <f>IF(C2537=0,0,VLOOKUP(C2537,Tabla3[],3,FALSE))</f>
        <v>0</v>
      </c>
      <c r="K2537" s="84">
        <f>+F2537*I2537</f>
        <v>0</v>
      </c>
      <c r="L2537" s="116">
        <f>E2537*I2537</f>
        <v>0</v>
      </c>
    </row>
    <row r="2538" spans="2:16" x14ac:dyDescent="0.3">
      <c r="B2538" s="74"/>
      <c r="C2538" s="431"/>
      <c r="D2538" s="432"/>
      <c r="E2538" s="119"/>
      <c r="F2538" s="72"/>
      <c r="G2538" s="74"/>
      <c r="I2538" s="115">
        <f>IF(C2538=0,0,VLOOKUP(C2538,Tabla3[],3,FALSE))</f>
        <v>0</v>
      </c>
      <c r="K2538" s="84">
        <f>+F2538*I2538</f>
        <v>0</v>
      </c>
      <c r="L2538" s="116">
        <f>E2538*I2538</f>
        <v>0</v>
      </c>
    </row>
    <row r="2539" spans="2:16" x14ac:dyDescent="0.3">
      <c r="B2539" s="74"/>
      <c r="C2539" s="411"/>
      <c r="D2539" s="412"/>
      <c r="E2539" s="119"/>
      <c r="F2539" s="72"/>
      <c r="G2539" s="74"/>
      <c r="I2539" s="115">
        <f>IF(C2539=0,0,VLOOKUP(C2539,Tabla3[],3,FALSE))</f>
        <v>0</v>
      </c>
      <c r="K2539" s="84">
        <f>+F2539*I2539</f>
        <v>0</v>
      </c>
      <c r="L2539" s="116">
        <f>E2539*I2539</f>
        <v>0</v>
      </c>
    </row>
    <row r="2540" spans="2:16" ht="17.25" thickBot="1" x14ac:dyDescent="0.35"/>
    <row r="2541" spans="2:16" ht="17.25" thickBot="1" x14ac:dyDescent="0.35">
      <c r="F2541" s="402" t="s">
        <v>12</v>
      </c>
      <c r="G2541" s="403"/>
      <c r="H2541" s="403"/>
      <c r="I2541" s="404"/>
      <c r="K2541" s="224">
        <f>+SUM(K2536:K2539)</f>
        <v>0</v>
      </c>
      <c r="L2541" s="117">
        <f>+SUM(L2536:L2539)</f>
        <v>0</v>
      </c>
    </row>
    <row r="2542" spans="2:16" ht="17.25" thickBot="1" x14ac:dyDescent="0.35"/>
    <row r="2543" spans="2:16" ht="17.25" thickBot="1" x14ac:dyDescent="0.35">
      <c r="B2543" s="108" t="s">
        <v>13</v>
      </c>
      <c r="C2543" s="413" t="s">
        <v>14</v>
      </c>
      <c r="D2543" s="413"/>
      <c r="E2543" s="413"/>
      <c r="F2543" s="413"/>
      <c r="G2543" s="414"/>
    </row>
    <row r="2544" spans="2:16" x14ac:dyDescent="0.3">
      <c r="B2544" s="112" t="s">
        <v>6</v>
      </c>
      <c r="C2544" s="415" t="s">
        <v>1</v>
      </c>
      <c r="D2544" s="416"/>
      <c r="E2544" s="110" t="s">
        <v>192</v>
      </c>
      <c r="F2544" s="118" t="s">
        <v>2</v>
      </c>
      <c r="G2544" s="112" t="s">
        <v>3</v>
      </c>
      <c r="H2544" s="104"/>
      <c r="I2544" s="105" t="s">
        <v>7</v>
      </c>
      <c r="J2544" s="134"/>
      <c r="K2544" s="105" t="s">
        <v>8</v>
      </c>
      <c r="L2544" s="113" t="s">
        <v>193</v>
      </c>
    </row>
    <row r="2545" spans="2:12" x14ac:dyDescent="0.3">
      <c r="B2545" s="120">
        <v>1</v>
      </c>
      <c r="C2545" s="409" t="s">
        <v>92</v>
      </c>
      <c r="D2545" s="409"/>
      <c r="E2545" s="114">
        <f>1*I2517</f>
        <v>2</v>
      </c>
      <c r="F2545" s="83">
        <f>ROUND(E2545/I2517,2)</f>
        <v>1</v>
      </c>
      <c r="G2545" s="74" t="str">
        <f>IF(C2545=0,0,VLOOKUP(C2545,Tabla2[],2,FALSE))</f>
        <v>Unidad</v>
      </c>
      <c r="I2545" s="115">
        <f>IF(C2545=0,0,VLOOKUP(C2545,Tabla2[],3,FALSE))</f>
        <v>50</v>
      </c>
      <c r="K2545" s="84">
        <f>+F2545*I2545</f>
        <v>50</v>
      </c>
      <c r="L2545" s="116">
        <f>E2545*I2545</f>
        <v>100</v>
      </c>
    </row>
    <row r="2546" spans="2:12" x14ac:dyDescent="0.3">
      <c r="B2546" s="120"/>
      <c r="C2546" s="409"/>
      <c r="D2546" s="409"/>
      <c r="E2546" s="114"/>
      <c r="F2546" s="83"/>
      <c r="G2546" s="74"/>
      <c r="I2546" s="115">
        <f>IF(C2546=0,0,VLOOKUP(C2546,Tabla2[],3,FALSE))</f>
        <v>0</v>
      </c>
      <c r="K2546" s="84">
        <f>+F2546*I2546</f>
        <v>0</v>
      </c>
      <c r="L2546" s="116">
        <f>E2546*I2546</f>
        <v>0</v>
      </c>
    </row>
    <row r="2547" spans="2:12" ht="17.25" thickBot="1" x14ac:dyDescent="0.35">
      <c r="B2547" s="121"/>
      <c r="C2547" s="417"/>
      <c r="D2547" s="418"/>
      <c r="E2547" s="122"/>
      <c r="F2547" s="123"/>
      <c r="G2547" s="74"/>
      <c r="I2547" s="115">
        <f>IF(C2547=0,0,VLOOKUP(C2547,Tabla2[],3,FALSE))</f>
        <v>0</v>
      </c>
      <c r="K2547" s="84">
        <f>+F2547*I2547</f>
        <v>0</v>
      </c>
      <c r="L2547" s="116">
        <f>E2547*I2547</f>
        <v>0</v>
      </c>
    </row>
    <row r="2548" spans="2:12" ht="17.25" thickBot="1" x14ac:dyDescent="0.35">
      <c r="B2548" s="419" t="s">
        <v>15</v>
      </c>
      <c r="C2548" s="420"/>
      <c r="D2548" s="420"/>
      <c r="E2548" s="420"/>
      <c r="F2548" s="420"/>
      <c r="G2548" s="421"/>
      <c r="I2548" s="84">
        <v>0</v>
      </c>
      <c r="K2548" s="84">
        <v>0</v>
      </c>
      <c r="L2548" s="116">
        <f>E2548*I2548</f>
        <v>0</v>
      </c>
    </row>
    <row r="2549" spans="2:12" ht="17.25" thickBot="1" x14ac:dyDescent="0.35"/>
    <row r="2550" spans="2:12" ht="17.25" thickBot="1" x14ac:dyDescent="0.35">
      <c r="F2550" s="402" t="s">
        <v>16</v>
      </c>
      <c r="G2550" s="403"/>
      <c r="H2550" s="403"/>
      <c r="I2550" s="404"/>
      <c r="K2550" s="224">
        <f>+SUM(K2545:K2548)</f>
        <v>50</v>
      </c>
      <c r="L2550" s="117">
        <f>+SUM(L2545:L2548)</f>
        <v>100</v>
      </c>
    </row>
    <row r="2551" spans="2:12" ht="17.25" thickBot="1" x14ac:dyDescent="0.35"/>
    <row r="2552" spans="2:12" ht="17.25" thickBot="1" x14ac:dyDescent="0.35">
      <c r="B2552" s="108" t="s">
        <v>17</v>
      </c>
      <c r="C2552" s="413" t="s">
        <v>18</v>
      </c>
      <c r="D2552" s="413"/>
      <c r="E2552" s="413"/>
      <c r="F2552" s="413"/>
      <c r="G2552" s="414"/>
    </row>
    <row r="2553" spans="2:12" x14ac:dyDescent="0.3">
      <c r="B2553" s="112" t="s">
        <v>6</v>
      </c>
      <c r="C2553" s="415" t="s">
        <v>1</v>
      </c>
      <c r="D2553" s="416"/>
      <c r="E2553" s="124"/>
      <c r="F2553" s="118" t="s">
        <v>2</v>
      </c>
      <c r="G2553" s="112" t="s">
        <v>3</v>
      </c>
      <c r="H2553" s="104"/>
      <c r="I2553" s="105" t="s">
        <v>7</v>
      </c>
      <c r="J2553" s="134"/>
      <c r="K2553" s="105" t="s">
        <v>8</v>
      </c>
      <c r="L2553" s="113" t="s">
        <v>193</v>
      </c>
    </row>
    <row r="2554" spans="2:12" x14ac:dyDescent="0.3">
      <c r="B2554" s="74"/>
      <c r="C2554" s="411"/>
      <c r="D2554" s="412"/>
      <c r="E2554" s="125"/>
      <c r="F2554" s="72"/>
      <c r="G2554" s="74"/>
      <c r="I2554" s="84">
        <v>0</v>
      </c>
      <c r="K2554" s="84">
        <f>+F2554*I2554</f>
        <v>0</v>
      </c>
      <c r="L2554" s="116">
        <f>E2554*I2554</f>
        <v>0</v>
      </c>
    </row>
    <row r="2555" spans="2:12" x14ac:dyDescent="0.3">
      <c r="B2555" s="74"/>
      <c r="C2555" s="411"/>
      <c r="D2555" s="412"/>
      <c r="E2555" s="125"/>
      <c r="F2555" s="72"/>
      <c r="G2555" s="74"/>
      <c r="I2555" s="84">
        <v>0</v>
      </c>
      <c r="K2555" s="84">
        <f>+F2555*I2555</f>
        <v>0</v>
      </c>
      <c r="L2555" s="116">
        <f>E2555*I2555</f>
        <v>0</v>
      </c>
    </row>
    <row r="2556" spans="2:12" x14ac:dyDescent="0.3">
      <c r="B2556" s="74"/>
      <c r="C2556" s="411"/>
      <c r="D2556" s="412"/>
      <c r="E2556" s="125"/>
      <c r="F2556" s="72"/>
      <c r="G2556" s="74"/>
      <c r="I2556" s="84">
        <v>0</v>
      </c>
      <c r="K2556" s="84">
        <f>+F2556*I2556</f>
        <v>0</v>
      </c>
      <c r="L2556" s="116">
        <f>E2556*I2556</f>
        <v>0</v>
      </c>
    </row>
    <row r="2557" spans="2:12" ht="17.25" thickBot="1" x14ac:dyDescent="0.35">
      <c r="L2557" s="116"/>
    </row>
    <row r="2558" spans="2:12" ht="17.25" thickBot="1" x14ac:dyDescent="0.35">
      <c r="F2558" s="402" t="s">
        <v>19</v>
      </c>
      <c r="G2558" s="403"/>
      <c r="H2558" s="403"/>
      <c r="I2558" s="404"/>
      <c r="K2558" s="224">
        <f>+SUM(K2554:K2556)</f>
        <v>0</v>
      </c>
      <c r="L2558" s="117">
        <f>+SUM(L2553:L2556)</f>
        <v>0</v>
      </c>
    </row>
    <row r="2559" spans="2:12" ht="15" customHeight="1" x14ac:dyDescent="0.3">
      <c r="F2559" s="126"/>
      <c r="G2559" s="280"/>
      <c r="H2559" s="128"/>
      <c r="I2559" s="106"/>
      <c r="K2559" s="225"/>
    </row>
    <row r="2560" spans="2:12" ht="15" customHeight="1" thickBot="1" x14ac:dyDescent="0.35"/>
    <row r="2561" spans="1:16" ht="17.25" thickBot="1" x14ac:dyDescent="0.35">
      <c r="F2561" s="402" t="s">
        <v>20</v>
      </c>
      <c r="G2561" s="403"/>
      <c r="H2561" s="403"/>
      <c r="I2561" s="404"/>
      <c r="K2561" s="224">
        <f>(+K2532+K2541+K2550+K2558)</f>
        <v>275</v>
      </c>
      <c r="L2561" s="117">
        <f>(+L2532+L2541+L2550+L2558)</f>
        <v>550</v>
      </c>
      <c r="N2561" s="129"/>
      <c r="O2561" s="39"/>
      <c r="P2561" s="40"/>
    </row>
    <row r="2562" spans="1:16" ht="7.5" customHeight="1" thickBot="1" x14ac:dyDescent="0.35">
      <c r="N2562" s="129"/>
      <c r="O2562" s="41"/>
      <c r="P2562" s="40"/>
    </row>
    <row r="2563" spans="1:16" ht="17.25" thickBot="1" x14ac:dyDescent="0.35">
      <c r="F2563" s="402" t="s">
        <v>21</v>
      </c>
      <c r="G2563" s="403"/>
      <c r="H2563" s="403"/>
      <c r="I2563" s="404"/>
      <c r="K2563" s="224">
        <f>K2561*$N$2</f>
        <v>110</v>
      </c>
      <c r="L2563" s="117">
        <f>L2561*$N$2</f>
        <v>220</v>
      </c>
    </row>
    <row r="2564" spans="1:16" ht="7.5" customHeight="1" thickBot="1" x14ac:dyDescent="0.35"/>
    <row r="2565" spans="1:16" ht="17.25" thickBot="1" x14ac:dyDescent="0.35">
      <c r="F2565" s="402" t="s">
        <v>22</v>
      </c>
      <c r="G2565" s="403"/>
      <c r="H2565" s="403"/>
      <c r="I2565" s="404"/>
      <c r="K2565" s="224">
        <f>+K2561+K2563</f>
        <v>385</v>
      </c>
      <c r="L2565" s="117">
        <f>+L2561+L2563</f>
        <v>770</v>
      </c>
    </row>
    <row r="2566" spans="1:16" ht="17.25" thickBot="1" x14ac:dyDescent="0.35">
      <c r="F2566" s="126"/>
      <c r="G2566" s="280"/>
      <c r="H2566" s="128"/>
      <c r="I2566" s="106"/>
      <c r="K2566" s="226"/>
      <c r="L2566" s="130">
        <f>L2565/I2517</f>
        <v>385</v>
      </c>
      <c r="M2566" s="131">
        <f>(K2565-L2566)*I2517</f>
        <v>0</v>
      </c>
    </row>
    <row r="2567" spans="1:16" x14ac:dyDescent="0.3">
      <c r="F2567" s="126"/>
      <c r="G2567" s="280"/>
      <c r="H2567" s="128"/>
      <c r="I2567" s="106"/>
      <c r="K2567" s="227"/>
      <c r="L2567" s="129"/>
      <c r="M2567" s="132"/>
      <c r="N2567" s="133"/>
    </row>
    <row r="2568" spans="1:16" ht="17.25" thickBot="1" x14ac:dyDescent="0.35">
      <c r="B2568" s="405"/>
      <c r="C2568" s="405"/>
      <c r="D2568" s="405"/>
    </row>
    <row r="2569" spans="1:16" x14ac:dyDescent="0.3">
      <c r="B2569" s="406" t="s">
        <v>23</v>
      </c>
      <c r="C2569" s="406"/>
      <c r="D2569" s="406"/>
    </row>
    <row r="2570" spans="1:16" x14ac:dyDescent="0.3">
      <c r="B2570" s="281"/>
      <c r="C2570" s="281"/>
      <c r="D2570" s="281"/>
    </row>
    <row r="2572" spans="1:16" x14ac:dyDescent="0.3">
      <c r="B2572" s="103" t="s">
        <v>43</v>
      </c>
      <c r="C2572" s="104"/>
      <c r="D2572" s="422" t="s">
        <v>1</v>
      </c>
      <c r="E2572" s="422"/>
      <c r="F2572" s="422"/>
      <c r="G2572" s="422"/>
      <c r="H2572" s="104"/>
      <c r="I2572" s="105" t="s">
        <v>2</v>
      </c>
      <c r="J2572" s="134"/>
      <c r="K2572" s="105" t="s">
        <v>3</v>
      </c>
    </row>
    <row r="2573" spans="1:16" s="4" customFormat="1" ht="30.75" customHeight="1" x14ac:dyDescent="0.25">
      <c r="A2573" s="31"/>
      <c r="B2573" s="287">
        <f>CATALOGO!B87</f>
        <v>1005.03</v>
      </c>
      <c r="C2573" s="71"/>
      <c r="D2573" s="437" t="str">
        <f>CATALOGO!C87</f>
        <v>TABLERO ELÉCTRICO (08 POLOS)</v>
      </c>
      <c r="E2573" s="437"/>
      <c r="F2573" s="437"/>
      <c r="G2573" s="437"/>
      <c r="H2573" s="71"/>
      <c r="I2573" s="287">
        <f>CATALOGO!D87</f>
        <v>1</v>
      </c>
      <c r="J2573" s="107"/>
      <c r="K2573" s="222" t="str">
        <f>CATALOGO!G87</f>
        <v>Unidad</v>
      </c>
      <c r="L2573" s="71"/>
      <c r="M2573" s="71"/>
      <c r="N2573" s="102"/>
      <c r="O2573" s="37"/>
      <c r="P2573" s="37"/>
    </row>
    <row r="2574" spans="1:16" ht="17.25" thickBot="1" x14ac:dyDescent="0.35"/>
    <row r="2575" spans="1:16" ht="17.25" thickBot="1" x14ac:dyDescent="0.35">
      <c r="B2575" s="108" t="s">
        <v>4</v>
      </c>
      <c r="C2575" s="413" t="s">
        <v>5</v>
      </c>
      <c r="D2575" s="413"/>
      <c r="E2575" s="413"/>
      <c r="F2575" s="413"/>
      <c r="G2575" s="414"/>
    </row>
    <row r="2576" spans="1:16" x14ac:dyDescent="0.25">
      <c r="B2576" s="109" t="s">
        <v>6</v>
      </c>
      <c r="C2576" s="424" t="s">
        <v>1</v>
      </c>
      <c r="D2576" s="425"/>
      <c r="E2576" s="110" t="s">
        <v>192</v>
      </c>
      <c r="F2576" s="111" t="s">
        <v>2</v>
      </c>
      <c r="G2576" s="112" t="s">
        <v>3</v>
      </c>
      <c r="H2576" s="104"/>
      <c r="I2576" s="105" t="s">
        <v>7</v>
      </c>
      <c r="J2576" s="134"/>
      <c r="K2576" s="223" t="s">
        <v>8</v>
      </c>
      <c r="L2576" s="113" t="s">
        <v>193</v>
      </c>
      <c r="O2576" s="438"/>
      <c r="P2576" s="438"/>
    </row>
    <row r="2577" spans="2:16" x14ac:dyDescent="0.25">
      <c r="B2577" s="120">
        <v>1</v>
      </c>
      <c r="C2577" s="407" t="s">
        <v>122</v>
      </c>
      <c r="D2577" s="408"/>
      <c r="E2577" s="114">
        <f>I2573</f>
        <v>1</v>
      </c>
      <c r="F2577" s="83">
        <f>ROUND(E2577/I2573,2)</f>
        <v>1</v>
      </c>
      <c r="G2577" s="74" t="str">
        <f>IF(C2577=0,0,VLOOKUP(C2577,Tabla1[],2,FALSE))</f>
        <v>Unidad</v>
      </c>
      <c r="I2577" s="115">
        <f>IF(C2577=0,0,VLOOKUP(C2577,Tabla1[],3,FALSE))</f>
        <v>350</v>
      </c>
      <c r="K2577" s="84">
        <f>F2577*I2577</f>
        <v>350</v>
      </c>
      <c r="L2577" s="116">
        <f t="shared" ref="L2577:L2583" si="78">E2577*I2577</f>
        <v>350</v>
      </c>
      <c r="O2577" s="44"/>
      <c r="P2577" s="45"/>
    </row>
    <row r="2578" spans="2:16" x14ac:dyDescent="0.25">
      <c r="B2578" s="120">
        <v>2</v>
      </c>
      <c r="C2578" s="407" t="s">
        <v>243</v>
      </c>
      <c r="D2578" s="408"/>
      <c r="E2578" s="114">
        <f>E2577*8</f>
        <v>8</v>
      </c>
      <c r="F2578" s="83">
        <f>ROUND(E2578/I2573,2)</f>
        <v>8</v>
      </c>
      <c r="G2578" s="74" t="str">
        <f>IF(C2578=0,0,VLOOKUP(C2578,Tabla1[],2,FALSE))</f>
        <v>Unidad</v>
      </c>
      <c r="I2578" s="115">
        <f>IF(C2578=0,0,VLOOKUP(C2578,Tabla1[],3,FALSE))</f>
        <v>50</v>
      </c>
      <c r="K2578" s="84">
        <f>F2578*I2578</f>
        <v>400</v>
      </c>
      <c r="L2578" s="116">
        <f t="shared" si="78"/>
        <v>400</v>
      </c>
      <c r="O2578" s="44"/>
      <c r="P2578" s="45"/>
    </row>
    <row r="2579" spans="2:16" x14ac:dyDescent="0.25">
      <c r="B2579" s="120">
        <v>3</v>
      </c>
      <c r="C2579" s="430" t="s">
        <v>251</v>
      </c>
      <c r="D2579" s="429"/>
      <c r="E2579" s="114">
        <f>I2573*31.5</f>
        <v>31.5</v>
      </c>
      <c r="F2579" s="83">
        <f>ROUND(E2579/I2573,1)</f>
        <v>31.5</v>
      </c>
      <c r="G2579" s="74" t="str">
        <f>IF(C2579=0,0,VLOOKUP(C2579,Tabla1[],2,FALSE))</f>
        <v>ml</v>
      </c>
      <c r="I2579" s="115">
        <f>IF(C2579=0,0,VLOOKUP(C2579,Tabla1[],3,FALSE))</f>
        <v>10</v>
      </c>
      <c r="K2579" s="84">
        <f>+F2579*I2579</f>
        <v>315</v>
      </c>
      <c r="L2579" s="116">
        <f t="shared" si="78"/>
        <v>315</v>
      </c>
      <c r="O2579" s="44"/>
      <c r="P2579" s="46"/>
    </row>
    <row r="2580" spans="2:16" x14ac:dyDescent="0.25">
      <c r="B2580" s="120">
        <v>4</v>
      </c>
      <c r="C2580" s="430" t="s">
        <v>254</v>
      </c>
      <c r="D2580" s="429"/>
      <c r="E2580" s="114">
        <f>E2581*2</f>
        <v>10</v>
      </c>
      <c r="F2580" s="83">
        <f>ROUND(E2580/I2573,2)</f>
        <v>10</v>
      </c>
      <c r="G2580" s="74" t="str">
        <f>IF(C2580=0,0,VLOOKUP(C2580,Tabla1[],2,FALSE))</f>
        <v>Unidad</v>
      </c>
      <c r="I2580" s="115">
        <f>IF(C2580=0,0,VLOOKUP(C2580,Tabla1[],3,FALSE))</f>
        <v>5</v>
      </c>
      <c r="K2580" s="84">
        <f>+F2580*I2580</f>
        <v>50</v>
      </c>
      <c r="L2580" s="116">
        <f t="shared" si="78"/>
        <v>50</v>
      </c>
      <c r="O2580" s="44"/>
      <c r="P2580" s="46"/>
    </row>
    <row r="2581" spans="2:16" x14ac:dyDescent="0.3">
      <c r="B2581" s="120">
        <v>5</v>
      </c>
      <c r="C2581" s="430" t="s">
        <v>253</v>
      </c>
      <c r="D2581" s="429"/>
      <c r="E2581" s="114">
        <f>I2573*5</f>
        <v>5</v>
      </c>
      <c r="F2581" s="83">
        <f>ROUND(E2581/I2573,2)</f>
        <v>5</v>
      </c>
      <c r="G2581" s="74" t="str">
        <f>IF(C2581=0,0,VLOOKUP(C2581,Tabla1[],2,FALSE))</f>
        <v>Unidad</v>
      </c>
      <c r="I2581" s="115">
        <f>IF(C2581=0,0,VLOOKUP(C2581,Tabla1[],3,FALSE))</f>
        <v>20</v>
      </c>
      <c r="K2581" s="84">
        <f>+F2581*I2581</f>
        <v>100</v>
      </c>
      <c r="L2581" s="116">
        <f t="shared" si="78"/>
        <v>100</v>
      </c>
      <c r="O2581" s="48"/>
      <c r="P2581" s="49"/>
    </row>
    <row r="2582" spans="2:16" x14ac:dyDescent="0.3">
      <c r="B2582" s="120">
        <v>6</v>
      </c>
      <c r="C2582" s="430" t="s">
        <v>255</v>
      </c>
      <c r="D2582" s="429"/>
      <c r="E2582" s="114">
        <f>I2573</f>
        <v>1</v>
      </c>
      <c r="F2582" s="83">
        <f>ROUND(E2582/I2573,2)</f>
        <v>1</v>
      </c>
      <c r="G2582" s="74" t="str">
        <f>IF(C2582=0,0,VLOOKUP(C2582,Tabla1[],2,FALSE))</f>
        <v>Unidad</v>
      </c>
      <c r="I2582" s="115">
        <f>IF(C2582=0,0,VLOOKUP(C2582,Tabla1[],3,FALSE))</f>
        <v>10</v>
      </c>
      <c r="K2582" s="84">
        <f>+F2582*I2582</f>
        <v>10</v>
      </c>
      <c r="L2582" s="116">
        <f t="shared" si="78"/>
        <v>10</v>
      </c>
      <c r="O2582" s="48"/>
      <c r="P2582" s="49"/>
    </row>
    <row r="2583" spans="2:16" x14ac:dyDescent="0.3">
      <c r="B2583" s="120">
        <v>7</v>
      </c>
      <c r="C2583" s="430" t="s">
        <v>256</v>
      </c>
      <c r="D2583" s="429"/>
      <c r="E2583" s="114">
        <f>I2573</f>
        <v>1</v>
      </c>
      <c r="F2583" s="83">
        <f>ROUND(E2583/I2573,2)</f>
        <v>1</v>
      </c>
      <c r="G2583" s="74" t="str">
        <f>IF(C2583=0,0,VLOOKUP(C2583,Tabla1[],2,FALSE))</f>
        <v>Unidad</v>
      </c>
      <c r="I2583" s="115">
        <f>IF(C2583=0,0,VLOOKUP(C2583,Tabla1[],3,FALSE))</f>
        <v>60</v>
      </c>
      <c r="K2583" s="84">
        <f>+F2583*I2583</f>
        <v>60</v>
      </c>
      <c r="L2583" s="116">
        <f t="shared" si="78"/>
        <v>60</v>
      </c>
      <c r="O2583" s="48"/>
      <c r="P2583" s="49"/>
    </row>
    <row r="2584" spans="2:16" ht="17.25" thickBot="1" x14ac:dyDescent="0.35"/>
    <row r="2585" spans="2:16" ht="17.25" thickBot="1" x14ac:dyDescent="0.3">
      <c r="F2585" s="402" t="s">
        <v>9</v>
      </c>
      <c r="G2585" s="403"/>
      <c r="H2585" s="403"/>
      <c r="I2585" s="404"/>
      <c r="K2585" s="224">
        <f>+SUM(K2577:K2583)</f>
        <v>1285</v>
      </c>
      <c r="L2585" s="117">
        <f>+SUM(L2577:L2583)</f>
        <v>1285</v>
      </c>
      <c r="O2585" s="38"/>
      <c r="P2585" s="38"/>
    </row>
    <row r="2586" spans="2:16" ht="17.25" thickBot="1" x14ac:dyDescent="0.35">
      <c r="O2586" s="42"/>
      <c r="P2586" s="43"/>
    </row>
    <row r="2587" spans="2:16" ht="17.25" thickBot="1" x14ac:dyDescent="0.35">
      <c r="B2587" s="108" t="s">
        <v>10</v>
      </c>
      <c r="C2587" s="413" t="s">
        <v>11</v>
      </c>
      <c r="D2587" s="413"/>
      <c r="E2587" s="413"/>
      <c r="F2587" s="413"/>
      <c r="G2587" s="414"/>
    </row>
    <row r="2588" spans="2:16" x14ac:dyDescent="0.3">
      <c r="B2588" s="112" t="s">
        <v>6</v>
      </c>
      <c r="C2588" s="415" t="s">
        <v>1</v>
      </c>
      <c r="D2588" s="416"/>
      <c r="E2588" s="110" t="s">
        <v>192</v>
      </c>
      <c r="F2588" s="118" t="s">
        <v>2</v>
      </c>
      <c r="G2588" s="112" t="s">
        <v>3</v>
      </c>
      <c r="H2588" s="104"/>
      <c r="I2588" s="105" t="s">
        <v>7</v>
      </c>
      <c r="J2588" s="134"/>
      <c r="K2588" s="105" t="s">
        <v>8</v>
      </c>
      <c r="L2588" s="113" t="s">
        <v>193</v>
      </c>
    </row>
    <row r="2589" spans="2:16" x14ac:dyDescent="0.3">
      <c r="B2589" s="120"/>
      <c r="C2589" s="409"/>
      <c r="D2589" s="409"/>
      <c r="E2589" s="114"/>
      <c r="F2589" s="83"/>
      <c r="G2589" s="74"/>
      <c r="I2589" s="115">
        <f>IF(C2589=0,0,VLOOKUP(C2589,Tabla3[],3,FALSE))</f>
        <v>0</v>
      </c>
      <c r="K2589" s="84">
        <f>F2589*I2589</f>
        <v>0</v>
      </c>
      <c r="L2589" s="116">
        <f>E2589*I2589</f>
        <v>0</v>
      </c>
    </row>
    <row r="2590" spans="2:16" x14ac:dyDescent="0.3">
      <c r="B2590" s="74"/>
      <c r="C2590" s="431"/>
      <c r="D2590" s="432"/>
      <c r="E2590" s="119"/>
      <c r="F2590" s="72"/>
      <c r="G2590" s="74"/>
      <c r="I2590" s="115">
        <f>IF(C2590=0,0,VLOOKUP(C2590,Tabla3[],3,FALSE))</f>
        <v>0</v>
      </c>
      <c r="K2590" s="84">
        <f>+F2590*I2590</f>
        <v>0</v>
      </c>
      <c r="L2590" s="116">
        <f>E2590*I2590</f>
        <v>0</v>
      </c>
    </row>
    <row r="2591" spans="2:16" x14ac:dyDescent="0.3">
      <c r="B2591" s="74"/>
      <c r="C2591" s="431"/>
      <c r="D2591" s="432"/>
      <c r="E2591" s="119"/>
      <c r="F2591" s="72"/>
      <c r="G2591" s="74"/>
      <c r="I2591" s="115">
        <f>IF(C2591=0,0,VLOOKUP(C2591,Tabla3[],3,FALSE))</f>
        <v>0</v>
      </c>
      <c r="K2591" s="84">
        <f>+F2591*I2591</f>
        <v>0</v>
      </c>
      <c r="L2591" s="116">
        <f>E2591*I2591</f>
        <v>0</v>
      </c>
    </row>
    <row r="2592" spans="2:16" x14ac:dyDescent="0.3">
      <c r="B2592" s="74"/>
      <c r="C2592" s="411"/>
      <c r="D2592" s="412"/>
      <c r="E2592" s="119"/>
      <c r="F2592" s="72"/>
      <c r="G2592" s="74"/>
      <c r="I2592" s="115">
        <f>IF(C2592=0,0,VLOOKUP(C2592,Tabla3[],3,FALSE))</f>
        <v>0</v>
      </c>
      <c r="K2592" s="84">
        <f>+F2592*I2592</f>
        <v>0</v>
      </c>
      <c r="L2592" s="116">
        <f>E2592*I2592</f>
        <v>0</v>
      </c>
    </row>
    <row r="2593" spans="2:12" ht="17.25" thickBot="1" x14ac:dyDescent="0.35"/>
    <row r="2594" spans="2:12" ht="17.25" thickBot="1" x14ac:dyDescent="0.35">
      <c r="F2594" s="402" t="s">
        <v>12</v>
      </c>
      <c r="G2594" s="403"/>
      <c r="H2594" s="403"/>
      <c r="I2594" s="404"/>
      <c r="K2594" s="224">
        <f>+SUM(K2589:K2592)</f>
        <v>0</v>
      </c>
      <c r="L2594" s="117">
        <f>+SUM(L2589:L2592)</f>
        <v>0</v>
      </c>
    </row>
    <row r="2595" spans="2:12" ht="17.25" thickBot="1" x14ac:dyDescent="0.35"/>
    <row r="2596" spans="2:12" ht="17.25" thickBot="1" x14ac:dyDescent="0.35">
      <c r="B2596" s="108" t="s">
        <v>13</v>
      </c>
      <c r="C2596" s="413" t="s">
        <v>14</v>
      </c>
      <c r="D2596" s="413"/>
      <c r="E2596" s="413"/>
      <c r="F2596" s="413"/>
      <c r="G2596" s="414"/>
    </row>
    <row r="2597" spans="2:12" x14ac:dyDescent="0.3">
      <c r="B2597" s="112" t="s">
        <v>6</v>
      </c>
      <c r="C2597" s="415" t="s">
        <v>1</v>
      </c>
      <c r="D2597" s="416"/>
      <c r="E2597" s="110" t="s">
        <v>192</v>
      </c>
      <c r="F2597" s="118" t="s">
        <v>2</v>
      </c>
      <c r="G2597" s="112" t="s">
        <v>3</v>
      </c>
      <c r="H2597" s="104"/>
      <c r="I2597" s="105" t="s">
        <v>7</v>
      </c>
      <c r="J2597" s="134"/>
      <c r="K2597" s="105" t="s">
        <v>8</v>
      </c>
      <c r="L2597" s="113" t="s">
        <v>193</v>
      </c>
    </row>
    <row r="2598" spans="2:12" x14ac:dyDescent="0.3">
      <c r="B2598" s="120">
        <v>1</v>
      </c>
      <c r="C2598" s="409" t="s">
        <v>252</v>
      </c>
      <c r="D2598" s="409"/>
      <c r="E2598" s="114">
        <f>I2573</f>
        <v>1</v>
      </c>
      <c r="F2598" s="83">
        <f>ROUND(E2598/I2573,2)</f>
        <v>1</v>
      </c>
      <c r="G2598" s="74" t="str">
        <f>IF(C2598=0,0,VLOOKUP(C2598,Tabla2[],2,FALSE))</f>
        <v>Unidad</v>
      </c>
      <c r="I2598" s="115">
        <f>IF(C2598=0,0,VLOOKUP(C2598,Tabla2[],3,FALSE))</f>
        <v>250</v>
      </c>
      <c r="K2598" s="84">
        <f>+F2598*I2598</f>
        <v>250</v>
      </c>
      <c r="L2598" s="116">
        <f>E2598*I2598</f>
        <v>250</v>
      </c>
    </row>
    <row r="2599" spans="2:12" x14ac:dyDescent="0.3">
      <c r="B2599" s="120"/>
      <c r="C2599" s="409"/>
      <c r="D2599" s="409"/>
      <c r="E2599" s="114"/>
      <c r="F2599" s="83"/>
      <c r="G2599" s="74"/>
      <c r="I2599" s="115">
        <f>IF(C2599=0,0,VLOOKUP(C2599,Tabla2[],3,FALSE))</f>
        <v>0</v>
      </c>
      <c r="K2599" s="84">
        <f>+F2599*I2599</f>
        <v>0</v>
      </c>
      <c r="L2599" s="116">
        <f>E2599*I2599</f>
        <v>0</v>
      </c>
    </row>
    <row r="2600" spans="2:12" ht="17.25" thickBot="1" x14ac:dyDescent="0.35">
      <c r="B2600" s="121"/>
      <c r="C2600" s="417"/>
      <c r="D2600" s="418"/>
      <c r="E2600" s="122"/>
      <c r="F2600" s="123"/>
      <c r="G2600" s="74"/>
      <c r="I2600" s="115">
        <f>IF(C2600=0,0,VLOOKUP(C2600,Tabla2[],3,FALSE))</f>
        <v>0</v>
      </c>
      <c r="K2600" s="84">
        <f>+F2600*I2600</f>
        <v>0</v>
      </c>
      <c r="L2600" s="116">
        <f>E2600*I2600</f>
        <v>0</v>
      </c>
    </row>
    <row r="2601" spans="2:12" ht="17.25" thickBot="1" x14ac:dyDescent="0.35">
      <c r="B2601" s="419" t="s">
        <v>15</v>
      </c>
      <c r="C2601" s="420"/>
      <c r="D2601" s="420"/>
      <c r="E2601" s="420"/>
      <c r="F2601" s="420"/>
      <c r="G2601" s="421"/>
      <c r="I2601" s="84">
        <v>0</v>
      </c>
      <c r="K2601" s="84">
        <v>0</v>
      </c>
      <c r="L2601" s="116">
        <f>E2601*I2601</f>
        <v>0</v>
      </c>
    </row>
    <row r="2602" spans="2:12" ht="17.25" thickBot="1" x14ac:dyDescent="0.35"/>
    <row r="2603" spans="2:12" ht="17.25" thickBot="1" x14ac:dyDescent="0.35">
      <c r="F2603" s="402" t="s">
        <v>16</v>
      </c>
      <c r="G2603" s="403"/>
      <c r="H2603" s="403"/>
      <c r="I2603" s="404"/>
      <c r="K2603" s="224">
        <f>+SUM(K2598:K2601)</f>
        <v>250</v>
      </c>
      <c r="L2603" s="117">
        <f>+SUM(L2598:L2601)</f>
        <v>250</v>
      </c>
    </row>
    <row r="2604" spans="2:12" ht="17.25" thickBot="1" x14ac:dyDescent="0.35"/>
    <row r="2605" spans="2:12" ht="17.25" thickBot="1" x14ac:dyDescent="0.35">
      <c r="B2605" s="108" t="s">
        <v>17</v>
      </c>
      <c r="C2605" s="413" t="s">
        <v>18</v>
      </c>
      <c r="D2605" s="413"/>
      <c r="E2605" s="413"/>
      <c r="F2605" s="413"/>
      <c r="G2605" s="414"/>
    </row>
    <row r="2606" spans="2:12" x14ac:dyDescent="0.3">
      <c r="B2606" s="112" t="s">
        <v>6</v>
      </c>
      <c r="C2606" s="415" t="s">
        <v>1</v>
      </c>
      <c r="D2606" s="416"/>
      <c r="E2606" s="124"/>
      <c r="F2606" s="118" t="s">
        <v>2</v>
      </c>
      <c r="G2606" s="112" t="s">
        <v>3</v>
      </c>
      <c r="H2606" s="104"/>
      <c r="I2606" s="105" t="s">
        <v>7</v>
      </c>
      <c r="J2606" s="134"/>
      <c r="K2606" s="105" t="s">
        <v>8</v>
      </c>
      <c r="L2606" s="113" t="s">
        <v>193</v>
      </c>
    </row>
    <row r="2607" spans="2:12" x14ac:dyDescent="0.3">
      <c r="B2607" s="74"/>
      <c r="C2607" s="411"/>
      <c r="D2607" s="412"/>
      <c r="E2607" s="125"/>
      <c r="F2607" s="72"/>
      <c r="G2607" s="74"/>
      <c r="I2607" s="84">
        <v>0</v>
      </c>
      <c r="K2607" s="84">
        <f>+F2607*I2607</f>
        <v>0</v>
      </c>
      <c r="L2607" s="116">
        <f>E2607*I2607</f>
        <v>0</v>
      </c>
    </row>
    <row r="2608" spans="2:12" x14ac:dyDescent="0.3">
      <c r="B2608" s="74"/>
      <c r="C2608" s="411"/>
      <c r="D2608" s="412"/>
      <c r="E2608" s="125"/>
      <c r="F2608" s="72"/>
      <c r="G2608" s="74"/>
      <c r="I2608" s="84">
        <v>0</v>
      </c>
      <c r="K2608" s="84">
        <f>+F2608*I2608</f>
        <v>0</v>
      </c>
      <c r="L2608" s="116">
        <f>E2608*I2608</f>
        <v>0</v>
      </c>
    </row>
    <row r="2609" spans="2:16" x14ac:dyDescent="0.3">
      <c r="B2609" s="74"/>
      <c r="C2609" s="411"/>
      <c r="D2609" s="412"/>
      <c r="E2609" s="125"/>
      <c r="F2609" s="72"/>
      <c r="G2609" s="74"/>
      <c r="I2609" s="84">
        <v>0</v>
      </c>
      <c r="K2609" s="84">
        <f>+F2609*I2609</f>
        <v>0</v>
      </c>
      <c r="L2609" s="116">
        <f>E2609*I2609</f>
        <v>0</v>
      </c>
    </row>
    <row r="2610" spans="2:16" ht="17.25" thickBot="1" x14ac:dyDescent="0.35">
      <c r="L2610" s="116"/>
    </row>
    <row r="2611" spans="2:16" ht="17.25" thickBot="1" x14ac:dyDescent="0.35">
      <c r="F2611" s="402" t="s">
        <v>19</v>
      </c>
      <c r="G2611" s="403"/>
      <c r="H2611" s="403"/>
      <c r="I2611" s="404"/>
      <c r="K2611" s="224">
        <f>+SUM(K2607:K2609)</f>
        <v>0</v>
      </c>
      <c r="L2611" s="117">
        <f>+SUM(L2606:L2609)</f>
        <v>0</v>
      </c>
    </row>
    <row r="2612" spans="2:16" ht="15" customHeight="1" x14ac:dyDescent="0.3">
      <c r="F2612" s="126"/>
      <c r="G2612" s="280"/>
      <c r="H2612" s="128"/>
      <c r="I2612" s="106"/>
      <c r="K2612" s="225"/>
    </row>
    <row r="2613" spans="2:16" ht="15" customHeight="1" thickBot="1" x14ac:dyDescent="0.35"/>
    <row r="2614" spans="2:16" ht="17.25" thickBot="1" x14ac:dyDescent="0.35">
      <c r="F2614" s="402" t="s">
        <v>20</v>
      </c>
      <c r="G2614" s="403"/>
      <c r="H2614" s="403"/>
      <c r="I2614" s="404"/>
      <c r="K2614" s="224">
        <f>(+K2585+K2594+K2603+K2611)</f>
        <v>1535</v>
      </c>
      <c r="L2614" s="117">
        <f>(+L2585+L2594+L2603+L2611)</f>
        <v>1535</v>
      </c>
      <c r="N2614" s="129"/>
      <c r="O2614" s="39"/>
      <c r="P2614" s="40"/>
    </row>
    <row r="2615" spans="2:16" ht="7.5" customHeight="1" thickBot="1" x14ac:dyDescent="0.35">
      <c r="N2615" s="129"/>
      <c r="O2615" s="41"/>
      <c r="P2615" s="40"/>
    </row>
    <row r="2616" spans="2:16" ht="17.25" thickBot="1" x14ac:dyDescent="0.35">
      <c r="F2616" s="402" t="s">
        <v>21</v>
      </c>
      <c r="G2616" s="403"/>
      <c r="H2616" s="403"/>
      <c r="I2616" s="404"/>
      <c r="K2616" s="224">
        <f>K2614*$N$2</f>
        <v>614</v>
      </c>
      <c r="L2616" s="117">
        <f>L2614*$N$2</f>
        <v>614</v>
      </c>
    </row>
    <row r="2617" spans="2:16" ht="7.5" customHeight="1" thickBot="1" x14ac:dyDescent="0.35"/>
    <row r="2618" spans="2:16" ht="17.25" thickBot="1" x14ac:dyDescent="0.35">
      <c r="F2618" s="402" t="s">
        <v>22</v>
      </c>
      <c r="G2618" s="403"/>
      <c r="H2618" s="403"/>
      <c r="I2618" s="404"/>
      <c r="K2618" s="224">
        <f>+K2614+K2616</f>
        <v>2149</v>
      </c>
      <c r="L2618" s="117">
        <f>+L2614+L2616</f>
        <v>2149</v>
      </c>
    </row>
    <row r="2619" spans="2:16" ht="17.25" thickBot="1" x14ac:dyDescent="0.35">
      <c r="F2619" s="126"/>
      <c r="G2619" s="280"/>
      <c r="H2619" s="128"/>
      <c r="I2619" s="106"/>
      <c r="K2619" s="226"/>
      <c r="L2619" s="130">
        <f>L2618/I2573</f>
        <v>2149</v>
      </c>
      <c r="M2619" s="131">
        <f>(K2618-L2619)*I2573</f>
        <v>0</v>
      </c>
    </row>
    <row r="2620" spans="2:16" x14ac:dyDescent="0.3">
      <c r="F2620" s="126"/>
      <c r="G2620" s="280"/>
      <c r="H2620" s="128"/>
      <c r="I2620" s="106"/>
      <c r="K2620" s="227"/>
      <c r="L2620" s="129"/>
      <c r="M2620" s="132"/>
      <c r="N2620" s="133"/>
    </row>
    <row r="2621" spans="2:16" ht="17.25" thickBot="1" x14ac:dyDescent="0.35">
      <c r="B2621" s="405"/>
      <c r="C2621" s="405"/>
      <c r="D2621" s="405"/>
    </row>
    <row r="2622" spans="2:16" x14ac:dyDescent="0.3">
      <c r="B2622" s="406" t="s">
        <v>23</v>
      </c>
      <c r="C2622" s="406"/>
      <c r="D2622" s="406"/>
    </row>
    <row r="2623" spans="2:16" x14ac:dyDescent="0.3">
      <c r="B2623" s="281"/>
      <c r="C2623" s="281"/>
      <c r="D2623" s="281"/>
    </row>
    <row r="2625" spans="1:16" x14ac:dyDescent="0.3">
      <c r="B2625" s="103" t="s">
        <v>43</v>
      </c>
      <c r="C2625" s="104"/>
      <c r="D2625" s="422" t="s">
        <v>1</v>
      </c>
      <c r="E2625" s="422"/>
      <c r="F2625" s="422"/>
      <c r="G2625" s="422"/>
      <c r="H2625" s="104"/>
      <c r="I2625" s="105" t="s">
        <v>2</v>
      </c>
      <c r="J2625" s="134"/>
      <c r="K2625" s="105" t="s">
        <v>3</v>
      </c>
    </row>
    <row r="2626" spans="1:16" s="4" customFormat="1" ht="30.75" customHeight="1" x14ac:dyDescent="0.25">
      <c r="A2626" s="31"/>
      <c r="B2626" s="287">
        <f>CATALOGO!B88</f>
        <v>1009.03</v>
      </c>
      <c r="C2626" s="71"/>
      <c r="D2626" s="436" t="str">
        <f>CATALOGO!C88</f>
        <v>LÁMPARA LED TIPO LISTON 2 TUBOS (18 WATS)</v>
      </c>
      <c r="E2626" s="436"/>
      <c r="F2626" s="436"/>
      <c r="G2626" s="436"/>
      <c r="H2626" s="71"/>
      <c r="I2626" s="287">
        <f>CATALOGO!D88</f>
        <v>7</v>
      </c>
      <c r="J2626" s="107"/>
      <c r="K2626" s="222" t="str">
        <f>CATALOGO!G88</f>
        <v>Unidad</v>
      </c>
      <c r="L2626" s="71"/>
      <c r="M2626" s="71"/>
      <c r="N2626" s="71"/>
      <c r="O2626" s="37"/>
      <c r="P2626" s="37"/>
    </row>
    <row r="2627" spans="1:16" ht="17.25" thickBot="1" x14ac:dyDescent="0.35"/>
    <row r="2628" spans="1:16" ht="17.25" thickBot="1" x14ac:dyDescent="0.35">
      <c r="B2628" s="108" t="s">
        <v>4</v>
      </c>
      <c r="C2628" s="413" t="s">
        <v>5</v>
      </c>
      <c r="D2628" s="413"/>
      <c r="E2628" s="413"/>
      <c r="F2628" s="413"/>
      <c r="G2628" s="414"/>
    </row>
    <row r="2629" spans="1:16" x14ac:dyDescent="0.25">
      <c r="B2629" s="109" t="s">
        <v>6</v>
      </c>
      <c r="C2629" s="424" t="s">
        <v>1</v>
      </c>
      <c r="D2629" s="425"/>
      <c r="E2629" s="110" t="s">
        <v>192</v>
      </c>
      <c r="F2629" s="111" t="s">
        <v>2</v>
      </c>
      <c r="G2629" s="112" t="s">
        <v>3</v>
      </c>
      <c r="H2629" s="104"/>
      <c r="I2629" s="105" t="s">
        <v>7</v>
      </c>
      <c r="J2629" s="134"/>
      <c r="K2629" s="223" t="s">
        <v>8</v>
      </c>
      <c r="L2629" s="113" t="s">
        <v>193</v>
      </c>
      <c r="O2629" s="438"/>
      <c r="P2629" s="438"/>
    </row>
    <row r="2630" spans="1:16" ht="17.25" customHeight="1" x14ac:dyDescent="0.25">
      <c r="B2630" s="120">
        <v>1</v>
      </c>
      <c r="C2630" s="407" t="s">
        <v>257</v>
      </c>
      <c r="D2630" s="408"/>
      <c r="E2630" s="114">
        <f>I2626</f>
        <v>7</v>
      </c>
      <c r="F2630" s="83">
        <f>ROUND(E2630/I2626,2)</f>
        <v>1</v>
      </c>
      <c r="G2630" s="74" t="str">
        <f>IF(C2630=0,0,VLOOKUP(C2630,Tabla1[],2,FALSE))</f>
        <v>Unidad</v>
      </c>
      <c r="I2630" s="115">
        <f>IF(C2630=0,0,VLOOKUP(C2630,Tabla1[],3,FALSE))</f>
        <v>75</v>
      </c>
      <c r="K2630" s="84">
        <f>F2630*I2630</f>
        <v>75</v>
      </c>
      <c r="L2630" s="116">
        <f t="shared" ref="L2630:L2635" si="79">E2630*I2630</f>
        <v>525</v>
      </c>
      <c r="O2630" s="44"/>
      <c r="P2630" s="45"/>
    </row>
    <row r="2631" spans="1:16" ht="17.25" customHeight="1" x14ac:dyDescent="0.25">
      <c r="B2631" s="120">
        <v>2</v>
      </c>
      <c r="C2631" s="407" t="s">
        <v>258</v>
      </c>
      <c r="D2631" s="408"/>
      <c r="E2631" s="114">
        <f>E2630*2</f>
        <v>14</v>
      </c>
      <c r="F2631" s="83">
        <f>ROUND(E2631/I2626,2)</f>
        <v>2</v>
      </c>
      <c r="G2631" s="74" t="str">
        <f>IF(C2631=0,0,VLOOKUP(C2631,Tabla1[],2,FALSE))</f>
        <v>Unidad</v>
      </c>
      <c r="I2631" s="115">
        <f>IF(C2631=0,0,VLOOKUP(C2631,Tabla1[],3,FALSE))</f>
        <v>40</v>
      </c>
      <c r="K2631" s="84">
        <f>F2631*I2631</f>
        <v>80</v>
      </c>
      <c r="L2631" s="116">
        <f t="shared" si="79"/>
        <v>560</v>
      </c>
      <c r="O2631" s="44"/>
      <c r="P2631" s="45"/>
    </row>
    <row r="2632" spans="1:16" x14ac:dyDescent="0.25">
      <c r="B2632" s="120">
        <v>3</v>
      </c>
      <c r="C2632" s="430" t="s">
        <v>249</v>
      </c>
      <c r="D2632" s="429"/>
      <c r="E2632" s="114">
        <f>I2626*45</f>
        <v>315</v>
      </c>
      <c r="F2632" s="83">
        <f>ROUND(E2632/I2626,1)</f>
        <v>45</v>
      </c>
      <c r="G2632" s="74" t="str">
        <f>IF(C2632=0,0,VLOOKUP(C2632,Tabla1[],2,FALSE))</f>
        <v>ml</v>
      </c>
      <c r="I2632" s="115">
        <f>IF(C2632=0,0,VLOOKUP(C2632,Tabla1[],3,FALSE))</f>
        <v>5</v>
      </c>
      <c r="K2632" s="84">
        <f>+F2632*I2632</f>
        <v>225</v>
      </c>
      <c r="L2632" s="116">
        <f t="shared" si="79"/>
        <v>1575</v>
      </c>
      <c r="O2632" s="44"/>
      <c r="P2632" s="46"/>
    </row>
    <row r="2633" spans="1:16" x14ac:dyDescent="0.25">
      <c r="B2633" s="120">
        <v>4</v>
      </c>
      <c r="C2633" s="430" t="s">
        <v>254</v>
      </c>
      <c r="D2633" s="429"/>
      <c r="E2633" s="114">
        <f>I2626</f>
        <v>7</v>
      </c>
      <c r="F2633" s="83">
        <f>ROUND(E2633/I2626,1)</f>
        <v>1</v>
      </c>
      <c r="G2633" s="74" t="str">
        <f>IF(C2633=0,0,VLOOKUP(C2633,Tabla1[],2,FALSE))</f>
        <v>Unidad</v>
      </c>
      <c r="I2633" s="115">
        <f>IF(C2633=0,0,VLOOKUP(C2633,Tabla1[],3,FALSE))</f>
        <v>5</v>
      </c>
      <c r="K2633" s="84">
        <f>+F2633*I2633</f>
        <v>5</v>
      </c>
      <c r="L2633" s="116">
        <f t="shared" si="79"/>
        <v>35</v>
      </c>
      <c r="O2633" s="44"/>
      <c r="P2633" s="46"/>
    </row>
    <row r="2634" spans="1:16" x14ac:dyDescent="0.3">
      <c r="B2634" s="120">
        <v>5</v>
      </c>
      <c r="C2634" s="430" t="s">
        <v>253</v>
      </c>
      <c r="D2634" s="429"/>
      <c r="E2634" s="114">
        <f>I2626*2.5</f>
        <v>17.5</v>
      </c>
      <c r="F2634" s="83">
        <f>ROUND(E2634/I2626,2)</f>
        <v>2.5</v>
      </c>
      <c r="G2634" s="74" t="str">
        <f>IF(C2634=0,0,VLOOKUP(C2634,Tabla1[],2,FALSE))</f>
        <v>Unidad</v>
      </c>
      <c r="I2634" s="115">
        <f>IF(C2634=0,0,VLOOKUP(C2634,Tabla1[],3,FALSE))</f>
        <v>20</v>
      </c>
      <c r="K2634" s="84">
        <f>+F2634*I2634</f>
        <v>50</v>
      </c>
      <c r="L2634" s="116">
        <f t="shared" si="79"/>
        <v>350</v>
      </c>
      <c r="O2634" s="48"/>
      <c r="P2634" s="49"/>
    </row>
    <row r="2635" spans="1:16" x14ac:dyDescent="0.3">
      <c r="B2635" s="120">
        <v>6</v>
      </c>
      <c r="C2635" s="430" t="s">
        <v>259</v>
      </c>
      <c r="D2635" s="429"/>
      <c r="E2635" s="114">
        <f>I2626*6</f>
        <v>42</v>
      </c>
      <c r="F2635" s="83">
        <f>ROUND(E2635/I2626,2)</f>
        <v>6</v>
      </c>
      <c r="G2635" s="74" t="str">
        <f>IF(C2635=0,0,VLOOKUP(C2635,Tabla1[],2,FALSE))</f>
        <v>Unidad</v>
      </c>
      <c r="I2635" s="115">
        <f>IF(C2635=0,0,VLOOKUP(C2635,Tabla1[],3,FALSE))</f>
        <v>5</v>
      </c>
      <c r="K2635" s="84">
        <f>+F2635*I2635</f>
        <v>30</v>
      </c>
      <c r="L2635" s="116">
        <f t="shared" si="79"/>
        <v>210</v>
      </c>
      <c r="O2635" s="48"/>
      <c r="P2635" s="49"/>
    </row>
    <row r="2636" spans="1:16" ht="17.25" thickBot="1" x14ac:dyDescent="0.35"/>
    <row r="2637" spans="1:16" ht="17.25" thickBot="1" x14ac:dyDescent="0.3">
      <c r="F2637" s="402" t="s">
        <v>9</v>
      </c>
      <c r="G2637" s="403"/>
      <c r="H2637" s="403"/>
      <c r="I2637" s="404"/>
      <c r="K2637" s="224">
        <f>+SUM(K2630:K2635)</f>
        <v>465</v>
      </c>
      <c r="L2637" s="117">
        <f>+SUM(L2630:L2635)</f>
        <v>3255</v>
      </c>
      <c r="O2637" s="38"/>
      <c r="P2637" s="38"/>
    </row>
    <row r="2638" spans="1:16" ht="17.25" thickBot="1" x14ac:dyDescent="0.35">
      <c r="O2638" s="42"/>
      <c r="P2638" s="43"/>
    </row>
    <row r="2639" spans="1:16" ht="17.25" thickBot="1" x14ac:dyDescent="0.35">
      <c r="B2639" s="108" t="s">
        <v>10</v>
      </c>
      <c r="C2639" s="413" t="s">
        <v>11</v>
      </c>
      <c r="D2639" s="413"/>
      <c r="E2639" s="413"/>
      <c r="F2639" s="413"/>
      <c r="G2639" s="414"/>
    </row>
    <row r="2640" spans="1:16" x14ac:dyDescent="0.3">
      <c r="B2640" s="112" t="s">
        <v>6</v>
      </c>
      <c r="C2640" s="415" t="s">
        <v>1</v>
      </c>
      <c r="D2640" s="416"/>
      <c r="E2640" s="110" t="s">
        <v>192</v>
      </c>
      <c r="F2640" s="118" t="s">
        <v>2</v>
      </c>
      <c r="G2640" s="112" t="s">
        <v>3</v>
      </c>
      <c r="H2640" s="104"/>
      <c r="I2640" s="105" t="s">
        <v>7</v>
      </c>
      <c r="J2640" s="134"/>
      <c r="K2640" s="105" t="s">
        <v>8</v>
      </c>
      <c r="L2640" s="113" t="s">
        <v>193</v>
      </c>
    </row>
    <row r="2641" spans="2:12" x14ac:dyDescent="0.3">
      <c r="B2641" s="120"/>
      <c r="C2641" s="409"/>
      <c r="D2641" s="409"/>
      <c r="E2641" s="114"/>
      <c r="F2641" s="83"/>
      <c r="G2641" s="74"/>
      <c r="I2641" s="115">
        <f>IF(C2641=0,0,VLOOKUP(C2641,Tabla3[],3,FALSE))</f>
        <v>0</v>
      </c>
      <c r="K2641" s="84">
        <f>F2641*I2641</f>
        <v>0</v>
      </c>
      <c r="L2641" s="116">
        <f>E2641*I2641</f>
        <v>0</v>
      </c>
    </row>
    <row r="2642" spans="2:12" x14ac:dyDescent="0.3">
      <c r="B2642" s="74"/>
      <c r="C2642" s="431"/>
      <c r="D2642" s="432"/>
      <c r="E2642" s="119"/>
      <c r="F2642" s="72"/>
      <c r="G2642" s="74"/>
      <c r="I2642" s="115">
        <f>IF(C2642=0,0,VLOOKUP(C2642,Tabla3[],3,FALSE))</f>
        <v>0</v>
      </c>
      <c r="K2642" s="84">
        <f>+F2642*I2642</f>
        <v>0</v>
      </c>
      <c r="L2642" s="116">
        <f>E2642*I2642</f>
        <v>0</v>
      </c>
    </row>
    <row r="2643" spans="2:12" x14ac:dyDescent="0.3">
      <c r="B2643" s="74"/>
      <c r="C2643" s="431"/>
      <c r="D2643" s="432"/>
      <c r="E2643" s="119"/>
      <c r="F2643" s="72"/>
      <c r="G2643" s="74"/>
      <c r="I2643" s="115">
        <f>IF(C2643=0,0,VLOOKUP(C2643,Tabla3[],3,FALSE))</f>
        <v>0</v>
      </c>
      <c r="K2643" s="84">
        <f>+F2643*I2643</f>
        <v>0</v>
      </c>
      <c r="L2643" s="116">
        <f>E2643*I2643</f>
        <v>0</v>
      </c>
    </row>
    <row r="2644" spans="2:12" x14ac:dyDescent="0.3">
      <c r="B2644" s="74"/>
      <c r="C2644" s="411"/>
      <c r="D2644" s="412"/>
      <c r="E2644" s="119"/>
      <c r="F2644" s="72"/>
      <c r="G2644" s="74"/>
      <c r="I2644" s="115">
        <f>IF(C2644=0,0,VLOOKUP(C2644,Tabla3[],3,FALSE))</f>
        <v>0</v>
      </c>
      <c r="K2644" s="84">
        <f>+F2644*I2644</f>
        <v>0</v>
      </c>
      <c r="L2644" s="116">
        <f>E2644*I2644</f>
        <v>0</v>
      </c>
    </row>
    <row r="2645" spans="2:12" ht="17.25" thickBot="1" x14ac:dyDescent="0.35"/>
    <row r="2646" spans="2:12" ht="17.25" thickBot="1" x14ac:dyDescent="0.35">
      <c r="F2646" s="402" t="s">
        <v>12</v>
      </c>
      <c r="G2646" s="403"/>
      <c r="H2646" s="403"/>
      <c r="I2646" s="404"/>
      <c r="K2646" s="224">
        <f>+SUM(K2641:K2644)</f>
        <v>0</v>
      </c>
      <c r="L2646" s="117">
        <f>+SUM(L2641:L2644)</f>
        <v>0</v>
      </c>
    </row>
    <row r="2647" spans="2:12" ht="17.25" thickBot="1" x14ac:dyDescent="0.35"/>
    <row r="2648" spans="2:12" ht="17.25" thickBot="1" x14ac:dyDescent="0.35">
      <c r="B2648" s="108" t="s">
        <v>13</v>
      </c>
      <c r="C2648" s="413" t="s">
        <v>14</v>
      </c>
      <c r="D2648" s="413"/>
      <c r="E2648" s="413"/>
      <c r="F2648" s="413"/>
      <c r="G2648" s="414"/>
    </row>
    <row r="2649" spans="2:12" x14ac:dyDescent="0.3">
      <c r="B2649" s="112" t="s">
        <v>6</v>
      </c>
      <c r="C2649" s="415" t="s">
        <v>1</v>
      </c>
      <c r="D2649" s="416"/>
      <c r="E2649" s="110" t="s">
        <v>192</v>
      </c>
      <c r="F2649" s="118" t="s">
        <v>2</v>
      </c>
      <c r="G2649" s="112" t="s">
        <v>3</v>
      </c>
      <c r="H2649" s="104"/>
      <c r="I2649" s="105" t="s">
        <v>7</v>
      </c>
      <c r="J2649" s="134"/>
      <c r="K2649" s="105" t="s">
        <v>8</v>
      </c>
      <c r="L2649" s="113" t="s">
        <v>193</v>
      </c>
    </row>
    <row r="2650" spans="2:12" x14ac:dyDescent="0.3">
      <c r="B2650" s="120">
        <v>1</v>
      </c>
      <c r="C2650" s="409" t="s">
        <v>85</v>
      </c>
      <c r="D2650" s="409"/>
      <c r="E2650" s="114">
        <f>I2626</f>
        <v>7</v>
      </c>
      <c r="F2650" s="83">
        <f>ROUND(E2650/I2626,2)</f>
        <v>1</v>
      </c>
      <c r="G2650" s="74" t="str">
        <f>IF(C2650=0,0,VLOOKUP(C2650,Tabla2[],2,FALSE))</f>
        <v>Unidad</v>
      </c>
      <c r="I2650" s="115">
        <f>IF(C2650=0,0,VLOOKUP(C2650,Tabla2[],3,FALSE))</f>
        <v>120</v>
      </c>
      <c r="K2650" s="84">
        <f>+F2650*I2650</f>
        <v>120</v>
      </c>
      <c r="L2650" s="116">
        <f>E2650*I2650</f>
        <v>840</v>
      </c>
    </row>
    <row r="2651" spans="2:12" x14ac:dyDescent="0.3">
      <c r="B2651" s="120"/>
      <c r="C2651" s="409"/>
      <c r="D2651" s="409"/>
      <c r="E2651" s="114"/>
      <c r="F2651" s="83"/>
      <c r="G2651" s="74"/>
      <c r="I2651" s="115">
        <f>IF(C2651=0,0,VLOOKUP(C2651,Tabla2[],3,FALSE))</f>
        <v>0</v>
      </c>
      <c r="K2651" s="84">
        <f>+F2651*I2651</f>
        <v>0</v>
      </c>
      <c r="L2651" s="116">
        <f>E2651*I2651</f>
        <v>0</v>
      </c>
    </row>
    <row r="2652" spans="2:12" ht="17.25" thickBot="1" x14ac:dyDescent="0.35">
      <c r="B2652" s="121"/>
      <c r="C2652" s="417"/>
      <c r="D2652" s="418"/>
      <c r="E2652" s="122"/>
      <c r="F2652" s="123"/>
      <c r="G2652" s="74"/>
      <c r="I2652" s="115">
        <f>IF(C2652=0,0,VLOOKUP(C2652,Tabla2[],3,FALSE))</f>
        <v>0</v>
      </c>
      <c r="K2652" s="84">
        <f>+F2652*I2652</f>
        <v>0</v>
      </c>
      <c r="L2652" s="116">
        <f>E2652*I2652</f>
        <v>0</v>
      </c>
    </row>
    <row r="2653" spans="2:12" ht="17.25" thickBot="1" x14ac:dyDescent="0.35">
      <c r="B2653" s="419" t="s">
        <v>15</v>
      </c>
      <c r="C2653" s="420"/>
      <c r="D2653" s="420"/>
      <c r="E2653" s="420"/>
      <c r="F2653" s="420"/>
      <c r="G2653" s="421"/>
      <c r="I2653" s="84">
        <v>0</v>
      </c>
      <c r="K2653" s="84">
        <v>0</v>
      </c>
      <c r="L2653" s="116">
        <f>E2653*I2653</f>
        <v>0</v>
      </c>
    </row>
    <row r="2654" spans="2:12" ht="17.25" thickBot="1" x14ac:dyDescent="0.35"/>
    <row r="2655" spans="2:12" ht="17.25" thickBot="1" x14ac:dyDescent="0.35">
      <c r="F2655" s="402" t="s">
        <v>16</v>
      </c>
      <c r="G2655" s="403"/>
      <c r="H2655" s="403"/>
      <c r="I2655" s="404"/>
      <c r="K2655" s="224">
        <f>+SUM(K2650:K2653)</f>
        <v>120</v>
      </c>
      <c r="L2655" s="117">
        <f>+SUM(L2650:L2653)</f>
        <v>840</v>
      </c>
    </row>
    <row r="2656" spans="2:12" ht="17.25" thickBot="1" x14ac:dyDescent="0.35"/>
    <row r="2657" spans="2:16" ht="17.25" thickBot="1" x14ac:dyDescent="0.35">
      <c r="B2657" s="108" t="s">
        <v>17</v>
      </c>
      <c r="C2657" s="413" t="s">
        <v>18</v>
      </c>
      <c r="D2657" s="413"/>
      <c r="E2657" s="413"/>
      <c r="F2657" s="413"/>
      <c r="G2657" s="414"/>
    </row>
    <row r="2658" spans="2:16" x14ac:dyDescent="0.3">
      <c r="B2658" s="112" t="s">
        <v>6</v>
      </c>
      <c r="C2658" s="415" t="s">
        <v>1</v>
      </c>
      <c r="D2658" s="416"/>
      <c r="E2658" s="124"/>
      <c r="F2658" s="118" t="s">
        <v>2</v>
      </c>
      <c r="G2658" s="112" t="s">
        <v>3</v>
      </c>
      <c r="H2658" s="104"/>
      <c r="I2658" s="105" t="s">
        <v>7</v>
      </c>
      <c r="J2658" s="134"/>
      <c r="K2658" s="105" t="s">
        <v>8</v>
      </c>
      <c r="L2658" s="113" t="s">
        <v>193</v>
      </c>
    </row>
    <row r="2659" spans="2:16" x14ac:dyDescent="0.3">
      <c r="B2659" s="74"/>
      <c r="C2659" s="411"/>
      <c r="D2659" s="412"/>
      <c r="E2659" s="125"/>
      <c r="F2659" s="72"/>
      <c r="G2659" s="74"/>
      <c r="I2659" s="84">
        <v>0</v>
      </c>
      <c r="K2659" s="84">
        <f>+F2659*I2659</f>
        <v>0</v>
      </c>
      <c r="L2659" s="116">
        <f>E2659*I2659</f>
        <v>0</v>
      </c>
    </row>
    <row r="2660" spans="2:16" x14ac:dyDescent="0.3">
      <c r="B2660" s="74"/>
      <c r="C2660" s="411"/>
      <c r="D2660" s="412"/>
      <c r="E2660" s="125"/>
      <c r="F2660" s="72"/>
      <c r="G2660" s="74"/>
      <c r="I2660" s="84">
        <v>0</v>
      </c>
      <c r="K2660" s="84">
        <f>+F2660*I2660</f>
        <v>0</v>
      </c>
      <c r="L2660" s="116">
        <f>E2660*I2660</f>
        <v>0</v>
      </c>
    </row>
    <row r="2661" spans="2:16" x14ac:dyDescent="0.3">
      <c r="B2661" s="74"/>
      <c r="C2661" s="411"/>
      <c r="D2661" s="412"/>
      <c r="E2661" s="125"/>
      <c r="F2661" s="72"/>
      <c r="G2661" s="74"/>
      <c r="I2661" s="84">
        <v>0</v>
      </c>
      <c r="K2661" s="84">
        <f>+F2661*I2661</f>
        <v>0</v>
      </c>
      <c r="L2661" s="116">
        <f>E2661*I2661</f>
        <v>0</v>
      </c>
    </row>
    <row r="2662" spans="2:16" ht="17.25" thickBot="1" x14ac:dyDescent="0.35">
      <c r="L2662" s="116"/>
    </row>
    <row r="2663" spans="2:16" ht="17.25" thickBot="1" x14ac:dyDescent="0.35">
      <c r="F2663" s="402" t="s">
        <v>19</v>
      </c>
      <c r="G2663" s="403"/>
      <c r="H2663" s="403"/>
      <c r="I2663" s="404"/>
      <c r="K2663" s="224">
        <f>+SUM(K2659:K2661)</f>
        <v>0</v>
      </c>
      <c r="L2663" s="117">
        <f>+SUM(L2658:L2661)</f>
        <v>0</v>
      </c>
    </row>
    <row r="2664" spans="2:16" ht="15" customHeight="1" x14ac:dyDescent="0.3">
      <c r="F2664" s="126"/>
      <c r="G2664" s="280"/>
      <c r="H2664" s="128"/>
      <c r="I2664" s="106"/>
      <c r="K2664" s="225"/>
    </row>
    <row r="2665" spans="2:16" ht="15" customHeight="1" thickBot="1" x14ac:dyDescent="0.35"/>
    <row r="2666" spans="2:16" ht="17.25" thickBot="1" x14ac:dyDescent="0.35">
      <c r="F2666" s="402" t="s">
        <v>20</v>
      </c>
      <c r="G2666" s="403"/>
      <c r="H2666" s="403"/>
      <c r="I2666" s="404"/>
      <c r="K2666" s="224">
        <f>(+K2637+K2646+K2655+K2663)</f>
        <v>585</v>
      </c>
      <c r="L2666" s="117">
        <f>(+L2637+L2646+L2655+L2663)</f>
        <v>4095</v>
      </c>
      <c r="N2666" s="129"/>
      <c r="O2666" s="39"/>
      <c r="P2666" s="40"/>
    </row>
    <row r="2667" spans="2:16" ht="7.5" customHeight="1" thickBot="1" x14ac:dyDescent="0.35">
      <c r="N2667" s="129"/>
      <c r="O2667" s="41"/>
      <c r="P2667" s="40"/>
    </row>
    <row r="2668" spans="2:16" ht="17.25" thickBot="1" x14ac:dyDescent="0.35">
      <c r="F2668" s="402" t="s">
        <v>21</v>
      </c>
      <c r="G2668" s="403"/>
      <c r="H2668" s="403"/>
      <c r="I2668" s="404"/>
      <c r="K2668" s="224">
        <f>K2666*$N$2</f>
        <v>234</v>
      </c>
      <c r="L2668" s="117">
        <f>L2666*$N$2</f>
        <v>1638</v>
      </c>
    </row>
    <row r="2669" spans="2:16" ht="7.5" customHeight="1" thickBot="1" x14ac:dyDescent="0.35"/>
    <row r="2670" spans="2:16" ht="17.25" thickBot="1" x14ac:dyDescent="0.35">
      <c r="F2670" s="402" t="s">
        <v>22</v>
      </c>
      <c r="G2670" s="403"/>
      <c r="H2670" s="403"/>
      <c r="I2670" s="404"/>
      <c r="K2670" s="224">
        <f>+K2666+K2668</f>
        <v>819</v>
      </c>
      <c r="L2670" s="117">
        <f>+L2666+L2668</f>
        <v>5733</v>
      </c>
    </row>
    <row r="2671" spans="2:16" ht="17.25" thickBot="1" x14ac:dyDescent="0.35">
      <c r="F2671" s="126"/>
      <c r="G2671" s="280"/>
      <c r="H2671" s="128"/>
      <c r="I2671" s="106"/>
      <c r="K2671" s="226"/>
      <c r="L2671" s="130">
        <f>L2670/I2626</f>
        <v>819</v>
      </c>
      <c r="M2671" s="131">
        <f>(K2670-L2671)*I2626</f>
        <v>0</v>
      </c>
    </row>
    <row r="2672" spans="2:16" x14ac:dyDescent="0.3">
      <c r="F2672" s="126"/>
      <c r="G2672" s="280"/>
      <c r="H2672" s="128"/>
      <c r="I2672" s="106"/>
      <c r="K2672" s="227"/>
      <c r="L2672" s="129"/>
      <c r="M2672" s="132"/>
      <c r="N2672" s="133"/>
    </row>
    <row r="2673" spans="1:16" ht="17.25" thickBot="1" x14ac:dyDescent="0.35">
      <c r="B2673" s="405"/>
      <c r="C2673" s="405"/>
      <c r="D2673" s="405"/>
    </row>
    <row r="2674" spans="1:16" x14ac:dyDescent="0.3">
      <c r="B2674" s="406" t="s">
        <v>23</v>
      </c>
      <c r="C2674" s="406"/>
      <c r="D2674" s="406"/>
    </row>
    <row r="2675" spans="1:16" x14ac:dyDescent="0.3">
      <c r="B2675" s="281"/>
      <c r="C2675" s="281"/>
      <c r="D2675" s="281"/>
    </row>
    <row r="2677" spans="1:16" x14ac:dyDescent="0.3">
      <c r="B2677" s="103" t="s">
        <v>43</v>
      </c>
      <c r="C2677" s="104"/>
      <c r="D2677" s="422" t="s">
        <v>1</v>
      </c>
      <c r="E2677" s="422"/>
      <c r="F2677" s="422"/>
      <c r="G2677" s="422"/>
      <c r="H2677" s="104"/>
      <c r="I2677" s="105" t="s">
        <v>2</v>
      </c>
      <c r="J2677" s="134"/>
      <c r="K2677" s="105" t="s">
        <v>3</v>
      </c>
    </row>
    <row r="2678" spans="1:16" s="4" customFormat="1" ht="30.75" customHeight="1" x14ac:dyDescent="0.25">
      <c r="A2678" s="31"/>
      <c r="B2678" s="287">
        <f>CATALOGO!B89</f>
        <v>1011.01</v>
      </c>
      <c r="C2678" s="71"/>
      <c r="D2678" s="437" t="str">
        <f>CATALOGO!C89</f>
        <v>INTERRUPTOR SENCILLO</v>
      </c>
      <c r="E2678" s="437"/>
      <c r="F2678" s="437"/>
      <c r="G2678" s="437"/>
      <c r="H2678" s="71"/>
      <c r="I2678" s="287">
        <f>CATALOGO!D89</f>
        <v>2</v>
      </c>
      <c r="J2678" s="107"/>
      <c r="K2678" s="222" t="str">
        <f>CATALOGO!G89</f>
        <v>Unidad</v>
      </c>
      <c r="L2678" s="71"/>
      <c r="M2678" s="71"/>
      <c r="N2678" s="102"/>
      <c r="O2678" s="37"/>
      <c r="P2678" s="37"/>
    </row>
    <row r="2679" spans="1:16" ht="17.25" thickBot="1" x14ac:dyDescent="0.35"/>
    <row r="2680" spans="1:16" ht="17.25" thickBot="1" x14ac:dyDescent="0.35">
      <c r="B2680" s="108" t="s">
        <v>4</v>
      </c>
      <c r="C2680" s="413" t="s">
        <v>5</v>
      </c>
      <c r="D2680" s="413"/>
      <c r="E2680" s="413"/>
      <c r="F2680" s="413"/>
      <c r="G2680" s="414"/>
    </row>
    <row r="2681" spans="1:16" x14ac:dyDescent="0.25">
      <c r="B2681" s="109" t="s">
        <v>6</v>
      </c>
      <c r="C2681" s="424" t="s">
        <v>1</v>
      </c>
      <c r="D2681" s="425"/>
      <c r="E2681" s="110" t="s">
        <v>192</v>
      </c>
      <c r="F2681" s="111" t="s">
        <v>2</v>
      </c>
      <c r="G2681" s="112" t="s">
        <v>3</v>
      </c>
      <c r="H2681" s="104"/>
      <c r="I2681" s="105" t="s">
        <v>7</v>
      </c>
      <c r="J2681" s="134"/>
      <c r="K2681" s="223" t="s">
        <v>8</v>
      </c>
      <c r="L2681" s="113" t="s">
        <v>193</v>
      </c>
      <c r="O2681" s="438"/>
      <c r="P2681" s="438"/>
    </row>
    <row r="2682" spans="1:16" ht="16.5" customHeight="1" x14ac:dyDescent="0.25">
      <c r="B2682" s="120">
        <v>1</v>
      </c>
      <c r="C2682" s="407" t="s">
        <v>280</v>
      </c>
      <c r="D2682" s="408"/>
      <c r="E2682" s="114">
        <f>I2678</f>
        <v>2</v>
      </c>
      <c r="F2682" s="83">
        <f>ROUND(E2682/I2678,2)</f>
        <v>1</v>
      </c>
      <c r="G2682" s="74" t="str">
        <f>IF(C2682=0,0,VLOOKUP(C2682,Tabla1[],2,FALSE))</f>
        <v>Unidad</v>
      </c>
      <c r="I2682" s="115">
        <f>IF(C2682=0,0,VLOOKUP(C2682,Tabla1[],3,FALSE))</f>
        <v>40</v>
      </c>
      <c r="K2682" s="84">
        <f>F2682*I2682</f>
        <v>40</v>
      </c>
      <c r="L2682" s="116">
        <f>E2682*I2682</f>
        <v>80</v>
      </c>
      <c r="O2682" s="44"/>
      <c r="P2682" s="45"/>
    </row>
    <row r="2683" spans="1:16" ht="16.5" customHeight="1" x14ac:dyDescent="0.25">
      <c r="B2683" s="120">
        <v>2</v>
      </c>
      <c r="C2683" s="407" t="s">
        <v>86</v>
      </c>
      <c r="D2683" s="408"/>
      <c r="E2683" s="114">
        <f>I2678</f>
        <v>2</v>
      </c>
      <c r="F2683" s="83">
        <f>ROUND(E2683/I2678,2)</f>
        <v>1</v>
      </c>
      <c r="G2683" s="74" t="str">
        <f>IF(C2683=0,0,VLOOKUP(C2683,Tabla1[],2,FALSE))</f>
        <v>Unidad</v>
      </c>
      <c r="I2683" s="115">
        <f>IF(C2683=0,0,VLOOKUP(C2683,Tabla1[],3,FALSE))</f>
        <v>10</v>
      </c>
      <c r="K2683" s="84">
        <f>F2683*I2683</f>
        <v>10</v>
      </c>
      <c r="L2683" s="116">
        <f>E2683*I2683</f>
        <v>20</v>
      </c>
      <c r="O2683" s="44"/>
      <c r="P2683" s="45"/>
    </row>
    <row r="2684" spans="1:16" x14ac:dyDescent="0.3">
      <c r="B2684" s="120">
        <v>3</v>
      </c>
      <c r="C2684" s="428" t="s">
        <v>268</v>
      </c>
      <c r="D2684" s="429"/>
      <c r="E2684" s="114">
        <f>I2678</f>
        <v>2</v>
      </c>
      <c r="F2684" s="83">
        <f>ROUND(E2684/I2678,2)</f>
        <v>1</v>
      </c>
      <c r="G2684" s="74" t="str">
        <f>IF(C2684=0,0,VLOOKUP(C2684,Tabla1[],2,FALSE))</f>
        <v>Unidad</v>
      </c>
      <c r="I2684" s="115">
        <f>IF(C2684=0,0,VLOOKUP(C2684,Tabla1[],3,FALSE))</f>
        <v>50</v>
      </c>
      <c r="K2684" s="84">
        <f>+F2684*I2684</f>
        <v>50</v>
      </c>
      <c r="L2684" s="116">
        <f>E2684*I2684</f>
        <v>100</v>
      </c>
      <c r="P2684" s="45"/>
    </row>
    <row r="2685" spans="1:16" ht="17.25" thickBot="1" x14ac:dyDescent="0.35"/>
    <row r="2686" spans="1:16" ht="17.25" thickBot="1" x14ac:dyDescent="0.3">
      <c r="F2686" s="402" t="s">
        <v>9</v>
      </c>
      <c r="G2686" s="403"/>
      <c r="H2686" s="403"/>
      <c r="I2686" s="404"/>
      <c r="K2686" s="224">
        <f>+SUM(K2682:K2684)</f>
        <v>100</v>
      </c>
      <c r="L2686" s="117">
        <f>+SUM(L2682:L2684)</f>
        <v>200</v>
      </c>
      <c r="O2686" s="38"/>
      <c r="P2686" s="38"/>
    </row>
    <row r="2687" spans="1:16" ht="17.25" thickBot="1" x14ac:dyDescent="0.35">
      <c r="O2687" s="42"/>
      <c r="P2687" s="43"/>
    </row>
    <row r="2688" spans="1:16" ht="17.25" thickBot="1" x14ac:dyDescent="0.35">
      <c r="B2688" s="108" t="s">
        <v>10</v>
      </c>
      <c r="C2688" s="413" t="s">
        <v>11</v>
      </c>
      <c r="D2688" s="413"/>
      <c r="E2688" s="413"/>
      <c r="F2688" s="413"/>
      <c r="G2688" s="414"/>
    </row>
    <row r="2689" spans="2:12" x14ac:dyDescent="0.3">
      <c r="B2689" s="112" t="s">
        <v>6</v>
      </c>
      <c r="C2689" s="415" t="s">
        <v>1</v>
      </c>
      <c r="D2689" s="416"/>
      <c r="E2689" s="110" t="s">
        <v>192</v>
      </c>
      <c r="F2689" s="118" t="s">
        <v>2</v>
      </c>
      <c r="G2689" s="112" t="s">
        <v>3</v>
      </c>
      <c r="H2689" s="104"/>
      <c r="I2689" s="105" t="s">
        <v>7</v>
      </c>
      <c r="J2689" s="134"/>
      <c r="K2689" s="105" t="s">
        <v>8</v>
      </c>
      <c r="L2689" s="113" t="s">
        <v>193</v>
      </c>
    </row>
    <row r="2690" spans="2:12" x14ac:dyDescent="0.3">
      <c r="B2690" s="120"/>
      <c r="C2690" s="409"/>
      <c r="D2690" s="409"/>
      <c r="E2690" s="114"/>
      <c r="F2690" s="83"/>
      <c r="G2690" s="74"/>
      <c r="I2690" s="115">
        <f>IF(C2690=0,0,VLOOKUP(C2690,Tabla3[],3,FALSE))</f>
        <v>0</v>
      </c>
      <c r="K2690" s="84">
        <f>F2690*I2690</f>
        <v>0</v>
      </c>
      <c r="L2690" s="116">
        <f>E2690*I2690</f>
        <v>0</v>
      </c>
    </row>
    <row r="2691" spans="2:12" x14ac:dyDescent="0.3">
      <c r="B2691" s="74"/>
      <c r="C2691" s="431"/>
      <c r="D2691" s="432"/>
      <c r="E2691" s="119"/>
      <c r="F2691" s="72"/>
      <c r="G2691" s="74"/>
      <c r="I2691" s="115">
        <f>IF(C2691=0,0,VLOOKUP(C2691,Tabla3[],3,FALSE))</f>
        <v>0</v>
      </c>
      <c r="K2691" s="84">
        <f>+F2691*I2691</f>
        <v>0</v>
      </c>
      <c r="L2691" s="116">
        <f>E2691*I2691</f>
        <v>0</v>
      </c>
    </row>
    <row r="2692" spans="2:12" x14ac:dyDescent="0.3">
      <c r="B2692" s="74"/>
      <c r="C2692" s="431"/>
      <c r="D2692" s="432"/>
      <c r="E2692" s="119"/>
      <c r="F2692" s="72"/>
      <c r="G2692" s="74"/>
      <c r="I2692" s="115">
        <f>IF(C2692=0,0,VLOOKUP(C2692,Tabla3[],3,FALSE))</f>
        <v>0</v>
      </c>
      <c r="K2692" s="84">
        <f>+F2692*I2692</f>
        <v>0</v>
      </c>
      <c r="L2692" s="116">
        <f>E2692*I2692</f>
        <v>0</v>
      </c>
    </row>
    <row r="2693" spans="2:12" x14ac:dyDescent="0.3">
      <c r="B2693" s="74"/>
      <c r="C2693" s="411"/>
      <c r="D2693" s="412"/>
      <c r="E2693" s="119"/>
      <c r="F2693" s="72"/>
      <c r="G2693" s="74"/>
      <c r="I2693" s="115">
        <f>IF(C2693=0,0,VLOOKUP(C2693,Tabla3[],3,FALSE))</f>
        <v>0</v>
      </c>
      <c r="K2693" s="84">
        <f>+F2693*I2693</f>
        <v>0</v>
      </c>
      <c r="L2693" s="116">
        <f>E2693*I2693</f>
        <v>0</v>
      </c>
    </row>
    <row r="2694" spans="2:12" ht="17.25" thickBot="1" x14ac:dyDescent="0.35"/>
    <row r="2695" spans="2:12" ht="17.25" thickBot="1" x14ac:dyDescent="0.35">
      <c r="F2695" s="402" t="s">
        <v>12</v>
      </c>
      <c r="G2695" s="403"/>
      <c r="H2695" s="403"/>
      <c r="I2695" s="404"/>
      <c r="K2695" s="224">
        <f>+SUM(K2690:K2693)</f>
        <v>0</v>
      </c>
      <c r="L2695" s="117">
        <f>+SUM(L2690:L2693)</f>
        <v>0</v>
      </c>
    </row>
    <row r="2696" spans="2:12" ht="17.25" thickBot="1" x14ac:dyDescent="0.35"/>
    <row r="2697" spans="2:12" ht="17.25" thickBot="1" x14ac:dyDescent="0.35">
      <c r="B2697" s="108" t="s">
        <v>13</v>
      </c>
      <c r="C2697" s="413" t="s">
        <v>14</v>
      </c>
      <c r="D2697" s="413"/>
      <c r="E2697" s="413"/>
      <c r="F2697" s="413"/>
      <c r="G2697" s="414"/>
    </row>
    <row r="2698" spans="2:12" x14ac:dyDescent="0.3">
      <c r="B2698" s="112" t="s">
        <v>6</v>
      </c>
      <c r="C2698" s="415" t="s">
        <v>1</v>
      </c>
      <c r="D2698" s="416"/>
      <c r="E2698" s="110" t="s">
        <v>192</v>
      </c>
      <c r="F2698" s="118" t="s">
        <v>2</v>
      </c>
      <c r="G2698" s="112" t="s">
        <v>3</v>
      </c>
      <c r="H2698" s="104"/>
      <c r="I2698" s="105" t="s">
        <v>7</v>
      </c>
      <c r="J2698" s="134"/>
      <c r="K2698" s="105" t="s">
        <v>8</v>
      </c>
      <c r="L2698" s="113" t="s">
        <v>193</v>
      </c>
    </row>
    <row r="2699" spans="2:12" x14ac:dyDescent="0.3">
      <c r="B2699" s="120">
        <v>1</v>
      </c>
      <c r="C2699" s="409" t="s">
        <v>266</v>
      </c>
      <c r="D2699" s="409"/>
      <c r="E2699" s="114">
        <f>I2678</f>
        <v>2</v>
      </c>
      <c r="F2699" s="83">
        <f>ROUND(E2699/I2678,2)</f>
        <v>1</v>
      </c>
      <c r="G2699" s="74" t="str">
        <f>IF(C2699=0,0,VLOOKUP(C2699,Tabla2[],2,FALSE))</f>
        <v>Unidad</v>
      </c>
      <c r="I2699" s="115">
        <f>IF(C2699=0,0,VLOOKUP(C2699,Tabla2[],3,FALSE))</f>
        <v>100</v>
      </c>
      <c r="K2699" s="84">
        <f>+F2699*I2699</f>
        <v>100</v>
      </c>
      <c r="L2699" s="116">
        <f>E2699*I2699</f>
        <v>200</v>
      </c>
    </row>
    <row r="2700" spans="2:12" x14ac:dyDescent="0.3">
      <c r="B2700" s="120"/>
      <c r="C2700" s="409"/>
      <c r="D2700" s="409"/>
      <c r="E2700" s="114"/>
      <c r="F2700" s="83"/>
      <c r="G2700" s="74"/>
      <c r="I2700" s="115">
        <f>IF(C2700=0,0,VLOOKUP(C2700,Tabla2[],3,FALSE))</f>
        <v>0</v>
      </c>
      <c r="K2700" s="84">
        <f>+F2700*I2700</f>
        <v>0</v>
      </c>
      <c r="L2700" s="116">
        <f>E2700*I2700</f>
        <v>0</v>
      </c>
    </row>
    <row r="2701" spans="2:12" ht="17.25" thickBot="1" x14ac:dyDescent="0.35">
      <c r="B2701" s="121"/>
      <c r="C2701" s="417"/>
      <c r="D2701" s="418"/>
      <c r="E2701" s="122"/>
      <c r="F2701" s="123"/>
      <c r="G2701" s="74"/>
      <c r="I2701" s="115">
        <f>IF(C2701=0,0,VLOOKUP(C2701,Tabla2[],3,FALSE))</f>
        <v>0</v>
      </c>
      <c r="K2701" s="84">
        <f>+F2701*I2701</f>
        <v>0</v>
      </c>
      <c r="L2701" s="116">
        <f>E2701*I2701</f>
        <v>0</v>
      </c>
    </row>
    <row r="2702" spans="2:12" ht="17.25" thickBot="1" x14ac:dyDescent="0.35">
      <c r="B2702" s="419" t="s">
        <v>15</v>
      </c>
      <c r="C2702" s="420"/>
      <c r="D2702" s="420"/>
      <c r="E2702" s="420"/>
      <c r="F2702" s="420"/>
      <c r="G2702" s="421"/>
      <c r="I2702" s="84">
        <v>0</v>
      </c>
      <c r="K2702" s="84">
        <v>0</v>
      </c>
      <c r="L2702" s="116">
        <f>E2702*I2702</f>
        <v>0</v>
      </c>
    </row>
    <row r="2703" spans="2:12" ht="17.25" thickBot="1" x14ac:dyDescent="0.35"/>
    <row r="2704" spans="2:12" ht="17.25" thickBot="1" x14ac:dyDescent="0.35">
      <c r="F2704" s="402" t="s">
        <v>16</v>
      </c>
      <c r="G2704" s="403"/>
      <c r="H2704" s="403"/>
      <c r="I2704" s="404"/>
      <c r="K2704" s="224">
        <f>+SUM(K2699:K2702)</f>
        <v>100</v>
      </c>
      <c r="L2704" s="117">
        <f>+SUM(L2699:L2702)</f>
        <v>200</v>
      </c>
    </row>
    <row r="2705" spans="2:16" ht="17.25" thickBot="1" x14ac:dyDescent="0.35"/>
    <row r="2706" spans="2:16" ht="17.25" thickBot="1" x14ac:dyDescent="0.35">
      <c r="B2706" s="108" t="s">
        <v>17</v>
      </c>
      <c r="C2706" s="413" t="s">
        <v>18</v>
      </c>
      <c r="D2706" s="413"/>
      <c r="E2706" s="413"/>
      <c r="F2706" s="413"/>
      <c r="G2706" s="414"/>
    </row>
    <row r="2707" spans="2:16" x14ac:dyDescent="0.3">
      <c r="B2707" s="112" t="s">
        <v>6</v>
      </c>
      <c r="C2707" s="415" t="s">
        <v>1</v>
      </c>
      <c r="D2707" s="416"/>
      <c r="E2707" s="124"/>
      <c r="F2707" s="118" t="s">
        <v>2</v>
      </c>
      <c r="G2707" s="112" t="s">
        <v>3</v>
      </c>
      <c r="H2707" s="104"/>
      <c r="I2707" s="105" t="s">
        <v>7</v>
      </c>
      <c r="J2707" s="134"/>
      <c r="K2707" s="105" t="s">
        <v>8</v>
      </c>
      <c r="L2707" s="113" t="s">
        <v>193</v>
      </c>
    </row>
    <row r="2708" spans="2:16" x14ac:dyDescent="0.3">
      <c r="B2708" s="74"/>
      <c r="C2708" s="411"/>
      <c r="D2708" s="412"/>
      <c r="E2708" s="125"/>
      <c r="F2708" s="72"/>
      <c r="G2708" s="74"/>
      <c r="I2708" s="84">
        <v>0</v>
      </c>
      <c r="K2708" s="84">
        <f>+F2708*I2708</f>
        <v>0</v>
      </c>
      <c r="L2708" s="116">
        <f>E2708*I2708</f>
        <v>0</v>
      </c>
    </row>
    <row r="2709" spans="2:16" x14ac:dyDescent="0.3">
      <c r="B2709" s="74"/>
      <c r="C2709" s="411"/>
      <c r="D2709" s="412"/>
      <c r="E2709" s="125"/>
      <c r="F2709" s="72"/>
      <c r="G2709" s="74"/>
      <c r="I2709" s="84">
        <v>0</v>
      </c>
      <c r="K2709" s="84">
        <f>+F2709*I2709</f>
        <v>0</v>
      </c>
      <c r="L2709" s="116">
        <f>E2709*I2709</f>
        <v>0</v>
      </c>
    </row>
    <row r="2710" spans="2:16" x14ac:dyDescent="0.3">
      <c r="B2710" s="74"/>
      <c r="C2710" s="411"/>
      <c r="D2710" s="412"/>
      <c r="E2710" s="125"/>
      <c r="F2710" s="72"/>
      <c r="G2710" s="74"/>
      <c r="I2710" s="84">
        <v>0</v>
      </c>
      <c r="K2710" s="84">
        <f>+F2710*I2710</f>
        <v>0</v>
      </c>
      <c r="L2710" s="116">
        <f>E2710*I2710</f>
        <v>0</v>
      </c>
    </row>
    <row r="2711" spans="2:16" ht="17.25" thickBot="1" x14ac:dyDescent="0.35">
      <c r="L2711" s="116"/>
    </row>
    <row r="2712" spans="2:16" ht="17.25" thickBot="1" x14ac:dyDescent="0.35">
      <c r="F2712" s="402" t="s">
        <v>19</v>
      </c>
      <c r="G2712" s="403"/>
      <c r="H2712" s="403"/>
      <c r="I2712" s="404"/>
      <c r="K2712" s="224">
        <f>+SUM(K2708:K2710)</f>
        <v>0</v>
      </c>
      <c r="L2712" s="117">
        <f>+SUM(L2707:L2710)</f>
        <v>0</v>
      </c>
    </row>
    <row r="2713" spans="2:16" ht="15" customHeight="1" x14ac:dyDescent="0.3">
      <c r="F2713" s="126"/>
      <c r="G2713" s="280"/>
      <c r="H2713" s="128"/>
      <c r="I2713" s="106"/>
      <c r="K2713" s="225"/>
    </row>
    <row r="2714" spans="2:16" ht="15" customHeight="1" thickBot="1" x14ac:dyDescent="0.35"/>
    <row r="2715" spans="2:16" ht="17.25" thickBot="1" x14ac:dyDescent="0.35">
      <c r="F2715" s="402" t="s">
        <v>20</v>
      </c>
      <c r="G2715" s="403"/>
      <c r="H2715" s="403"/>
      <c r="I2715" s="404"/>
      <c r="K2715" s="224">
        <f>(+K2686+K2695+K2704+K2712)</f>
        <v>200</v>
      </c>
      <c r="L2715" s="117">
        <f>(+L2686+L2695+L2704+L2712)</f>
        <v>400</v>
      </c>
      <c r="N2715" s="129"/>
      <c r="O2715" s="39"/>
      <c r="P2715" s="40"/>
    </row>
    <row r="2716" spans="2:16" ht="7.5" customHeight="1" thickBot="1" x14ac:dyDescent="0.35">
      <c r="N2716" s="129"/>
      <c r="O2716" s="41"/>
      <c r="P2716" s="40"/>
    </row>
    <row r="2717" spans="2:16" ht="17.25" thickBot="1" x14ac:dyDescent="0.35">
      <c r="F2717" s="402" t="s">
        <v>21</v>
      </c>
      <c r="G2717" s="403"/>
      <c r="H2717" s="403"/>
      <c r="I2717" s="404"/>
      <c r="K2717" s="224">
        <f>K2715*$N$2</f>
        <v>80</v>
      </c>
      <c r="L2717" s="117">
        <f>L2715*$N$2</f>
        <v>160</v>
      </c>
    </row>
    <row r="2718" spans="2:16" ht="7.5" customHeight="1" thickBot="1" x14ac:dyDescent="0.35"/>
    <row r="2719" spans="2:16" ht="17.25" thickBot="1" x14ac:dyDescent="0.35">
      <c r="F2719" s="402" t="s">
        <v>22</v>
      </c>
      <c r="G2719" s="403"/>
      <c r="H2719" s="403"/>
      <c r="I2719" s="404"/>
      <c r="K2719" s="224">
        <f>+K2715+K2717</f>
        <v>280</v>
      </c>
      <c r="L2719" s="117">
        <f>+L2715+L2717</f>
        <v>560</v>
      </c>
    </row>
    <row r="2720" spans="2:16" ht="17.25" thickBot="1" x14ac:dyDescent="0.35">
      <c r="F2720" s="126"/>
      <c r="G2720" s="280"/>
      <c r="H2720" s="128"/>
      <c r="I2720" s="106"/>
      <c r="K2720" s="226"/>
      <c r="L2720" s="130">
        <f>L2719/I2678</f>
        <v>280</v>
      </c>
      <c r="M2720" s="131">
        <f>(K2719-L2720)*I2678</f>
        <v>0</v>
      </c>
    </row>
    <row r="2721" spans="1:16" x14ac:dyDescent="0.3">
      <c r="F2721" s="126"/>
      <c r="G2721" s="280"/>
      <c r="H2721" s="128"/>
      <c r="I2721" s="106"/>
      <c r="K2721" s="227"/>
      <c r="L2721" s="129"/>
      <c r="M2721" s="132"/>
      <c r="N2721" s="133"/>
    </row>
    <row r="2722" spans="1:16" ht="17.25" thickBot="1" x14ac:dyDescent="0.35">
      <c r="B2722" s="405"/>
      <c r="C2722" s="405"/>
      <c r="D2722" s="405"/>
    </row>
    <row r="2723" spans="1:16" x14ac:dyDescent="0.3">
      <c r="B2723" s="406" t="s">
        <v>23</v>
      </c>
      <c r="C2723" s="406"/>
      <c r="D2723" s="406"/>
    </row>
    <row r="2724" spans="1:16" x14ac:dyDescent="0.3">
      <c r="B2724" s="281"/>
      <c r="C2724" s="281"/>
      <c r="D2724" s="281"/>
    </row>
    <row r="2726" spans="1:16" x14ac:dyDescent="0.3">
      <c r="B2726" s="103" t="s">
        <v>43</v>
      </c>
      <c r="C2726" s="104"/>
      <c r="D2726" s="422" t="s">
        <v>1</v>
      </c>
      <c r="E2726" s="422"/>
      <c r="F2726" s="422"/>
      <c r="G2726" s="422"/>
      <c r="H2726" s="104"/>
      <c r="I2726" s="105" t="s">
        <v>2</v>
      </c>
      <c r="J2726" s="134"/>
      <c r="K2726" s="105" t="s">
        <v>3</v>
      </c>
    </row>
    <row r="2727" spans="1:16" s="4" customFormat="1" ht="30.75" customHeight="1" x14ac:dyDescent="0.25">
      <c r="A2727" s="31"/>
      <c r="B2727" s="287">
        <f>CATALOGO!B90</f>
        <v>1011.02</v>
      </c>
      <c r="C2727" s="71"/>
      <c r="D2727" s="437" t="str">
        <f>CATALOGO!C90</f>
        <v>INTERRUPTOR DOBLE</v>
      </c>
      <c r="E2727" s="437"/>
      <c r="F2727" s="437"/>
      <c r="G2727" s="437"/>
      <c r="H2727" s="71"/>
      <c r="I2727" s="287">
        <f>CATALOGO!D90</f>
        <v>1</v>
      </c>
      <c r="J2727" s="107"/>
      <c r="K2727" s="222" t="str">
        <f>CATALOGO!G90</f>
        <v>Unidad</v>
      </c>
      <c r="L2727" s="71"/>
      <c r="M2727" s="71"/>
      <c r="N2727" s="102"/>
      <c r="O2727" s="37"/>
      <c r="P2727" s="37"/>
    </row>
    <row r="2728" spans="1:16" ht="17.25" thickBot="1" x14ac:dyDescent="0.35"/>
    <row r="2729" spans="1:16" ht="17.25" thickBot="1" x14ac:dyDescent="0.35">
      <c r="B2729" s="108" t="s">
        <v>4</v>
      </c>
      <c r="C2729" s="413" t="s">
        <v>5</v>
      </c>
      <c r="D2729" s="413"/>
      <c r="E2729" s="413"/>
      <c r="F2729" s="413"/>
      <c r="G2729" s="414"/>
    </row>
    <row r="2730" spans="1:16" x14ac:dyDescent="0.25">
      <c r="B2730" s="109" t="s">
        <v>6</v>
      </c>
      <c r="C2730" s="424" t="s">
        <v>1</v>
      </c>
      <c r="D2730" s="425"/>
      <c r="E2730" s="110" t="s">
        <v>192</v>
      </c>
      <c r="F2730" s="111" t="s">
        <v>2</v>
      </c>
      <c r="G2730" s="112" t="s">
        <v>3</v>
      </c>
      <c r="H2730" s="104"/>
      <c r="I2730" s="105" t="s">
        <v>7</v>
      </c>
      <c r="J2730" s="134"/>
      <c r="K2730" s="223" t="s">
        <v>8</v>
      </c>
      <c r="L2730" s="113" t="s">
        <v>193</v>
      </c>
      <c r="O2730" s="438"/>
      <c r="P2730" s="438"/>
    </row>
    <row r="2731" spans="1:16" ht="16.5" customHeight="1" x14ac:dyDescent="0.25">
      <c r="B2731" s="120">
        <v>1</v>
      </c>
      <c r="C2731" s="407" t="s">
        <v>280</v>
      </c>
      <c r="D2731" s="408"/>
      <c r="E2731" s="114">
        <f>I2727</f>
        <v>1</v>
      </c>
      <c r="F2731" s="83">
        <f>ROUND(E2731/I2727,2)</f>
        <v>1</v>
      </c>
      <c r="G2731" s="74" t="str">
        <f>IF(C2731=0,0,VLOOKUP(C2731,Tabla1[],2,FALSE))</f>
        <v>Unidad</v>
      </c>
      <c r="I2731" s="115">
        <f>IF(C2731=0,0,VLOOKUP(C2731,Tabla1[],3,FALSE))</f>
        <v>40</v>
      </c>
      <c r="K2731" s="84">
        <f>F2731*I2731</f>
        <v>40</v>
      </c>
      <c r="L2731" s="116">
        <f>E2731*I2731</f>
        <v>40</v>
      </c>
      <c r="O2731" s="44"/>
      <c r="P2731" s="45"/>
    </row>
    <row r="2732" spans="1:16" ht="16.5" customHeight="1" x14ac:dyDescent="0.25">
      <c r="B2732" s="120">
        <v>2</v>
      </c>
      <c r="C2732" s="407" t="s">
        <v>86</v>
      </c>
      <c r="D2732" s="408"/>
      <c r="E2732" s="114">
        <f>I2727</f>
        <v>1</v>
      </c>
      <c r="F2732" s="83">
        <f>ROUND(E2732/I2727,2)</f>
        <v>1</v>
      </c>
      <c r="G2732" s="74" t="str">
        <f>IF(C2732=0,0,VLOOKUP(C2732,Tabla1[],2,FALSE))</f>
        <v>Unidad</v>
      </c>
      <c r="I2732" s="115">
        <f>IF(C2732=0,0,VLOOKUP(C2732,Tabla1[],3,FALSE))</f>
        <v>10</v>
      </c>
      <c r="K2732" s="84">
        <f>F2732*I2732</f>
        <v>10</v>
      </c>
      <c r="L2732" s="116">
        <f>E2732*I2732</f>
        <v>10</v>
      </c>
      <c r="O2732" s="44"/>
      <c r="P2732" s="45"/>
    </row>
    <row r="2733" spans="1:16" x14ac:dyDescent="0.3">
      <c r="B2733" s="120">
        <v>3</v>
      </c>
      <c r="C2733" s="428" t="s">
        <v>268</v>
      </c>
      <c r="D2733" s="429"/>
      <c r="E2733" s="114">
        <f>I2727*2</f>
        <v>2</v>
      </c>
      <c r="F2733" s="83">
        <f>ROUND(E2733/I2727,2)</f>
        <v>2</v>
      </c>
      <c r="G2733" s="74" t="str">
        <f>IF(C2733=0,0,VLOOKUP(C2733,Tabla1[],2,FALSE))</f>
        <v>Unidad</v>
      </c>
      <c r="I2733" s="115">
        <f>IF(C2733=0,0,VLOOKUP(C2733,Tabla1[],3,FALSE))</f>
        <v>50</v>
      </c>
      <c r="K2733" s="84">
        <f>+F2733*I2733</f>
        <v>100</v>
      </c>
      <c r="L2733" s="116">
        <f>E2733*I2733</f>
        <v>100</v>
      </c>
      <c r="P2733" s="45"/>
    </row>
    <row r="2734" spans="1:16" ht="17.25" thickBot="1" x14ac:dyDescent="0.35"/>
    <row r="2735" spans="1:16" ht="17.25" thickBot="1" x14ac:dyDescent="0.3">
      <c r="F2735" s="402" t="s">
        <v>9</v>
      </c>
      <c r="G2735" s="403"/>
      <c r="H2735" s="403"/>
      <c r="I2735" s="404"/>
      <c r="K2735" s="224">
        <f>+SUM(K2731:K2733)</f>
        <v>150</v>
      </c>
      <c r="L2735" s="117">
        <f>+SUM(L2731:L2733)</f>
        <v>150</v>
      </c>
      <c r="O2735" s="38"/>
      <c r="P2735" s="38"/>
    </row>
    <row r="2736" spans="1:16" ht="17.25" thickBot="1" x14ac:dyDescent="0.35">
      <c r="O2736" s="42"/>
      <c r="P2736" s="43"/>
    </row>
    <row r="2737" spans="2:12" ht="17.25" thickBot="1" x14ac:dyDescent="0.35">
      <c r="B2737" s="108" t="s">
        <v>10</v>
      </c>
      <c r="C2737" s="413" t="s">
        <v>11</v>
      </c>
      <c r="D2737" s="413"/>
      <c r="E2737" s="413"/>
      <c r="F2737" s="413"/>
      <c r="G2737" s="414"/>
    </row>
    <row r="2738" spans="2:12" x14ac:dyDescent="0.3">
      <c r="B2738" s="112" t="s">
        <v>6</v>
      </c>
      <c r="C2738" s="415" t="s">
        <v>1</v>
      </c>
      <c r="D2738" s="416"/>
      <c r="E2738" s="110" t="s">
        <v>192</v>
      </c>
      <c r="F2738" s="118" t="s">
        <v>2</v>
      </c>
      <c r="G2738" s="112" t="s">
        <v>3</v>
      </c>
      <c r="H2738" s="104"/>
      <c r="I2738" s="105" t="s">
        <v>7</v>
      </c>
      <c r="J2738" s="134"/>
      <c r="K2738" s="105" t="s">
        <v>8</v>
      </c>
      <c r="L2738" s="113" t="s">
        <v>193</v>
      </c>
    </row>
    <row r="2739" spans="2:12" x14ac:dyDescent="0.3">
      <c r="B2739" s="120"/>
      <c r="C2739" s="409"/>
      <c r="D2739" s="409"/>
      <c r="E2739" s="114"/>
      <c r="F2739" s="83"/>
      <c r="G2739" s="74"/>
      <c r="I2739" s="115">
        <f>IF(C2739=0,0,VLOOKUP(C2739,Tabla3[],3,FALSE))</f>
        <v>0</v>
      </c>
      <c r="K2739" s="84">
        <f>F2739*I2739</f>
        <v>0</v>
      </c>
      <c r="L2739" s="116">
        <f>E2739*I2739</f>
        <v>0</v>
      </c>
    </row>
    <row r="2740" spans="2:12" x14ac:dyDescent="0.3">
      <c r="B2740" s="74"/>
      <c r="C2740" s="431"/>
      <c r="D2740" s="432"/>
      <c r="E2740" s="119"/>
      <c r="F2740" s="72"/>
      <c r="G2740" s="74"/>
      <c r="I2740" s="115">
        <f>IF(C2740=0,0,VLOOKUP(C2740,Tabla3[],3,FALSE))</f>
        <v>0</v>
      </c>
      <c r="K2740" s="84">
        <f>+F2740*I2740</f>
        <v>0</v>
      </c>
      <c r="L2740" s="116">
        <f>E2740*I2740</f>
        <v>0</v>
      </c>
    </row>
    <row r="2741" spans="2:12" x14ac:dyDescent="0.3">
      <c r="B2741" s="74"/>
      <c r="C2741" s="431"/>
      <c r="D2741" s="432"/>
      <c r="E2741" s="119"/>
      <c r="F2741" s="72"/>
      <c r="G2741" s="74"/>
      <c r="I2741" s="115">
        <f>IF(C2741=0,0,VLOOKUP(C2741,Tabla3[],3,FALSE))</f>
        <v>0</v>
      </c>
      <c r="K2741" s="84">
        <f>+F2741*I2741</f>
        <v>0</v>
      </c>
      <c r="L2741" s="116">
        <f>E2741*I2741</f>
        <v>0</v>
      </c>
    </row>
    <row r="2742" spans="2:12" x14ac:dyDescent="0.3">
      <c r="B2742" s="74"/>
      <c r="C2742" s="411"/>
      <c r="D2742" s="412"/>
      <c r="E2742" s="119"/>
      <c r="F2742" s="72"/>
      <c r="G2742" s="74"/>
      <c r="I2742" s="115">
        <f>IF(C2742=0,0,VLOOKUP(C2742,Tabla3[],3,FALSE))</f>
        <v>0</v>
      </c>
      <c r="K2742" s="84">
        <f>+F2742*I2742</f>
        <v>0</v>
      </c>
      <c r="L2742" s="116">
        <f>E2742*I2742</f>
        <v>0</v>
      </c>
    </row>
    <row r="2743" spans="2:12" ht="17.25" thickBot="1" x14ac:dyDescent="0.35"/>
    <row r="2744" spans="2:12" ht="17.25" thickBot="1" x14ac:dyDescent="0.35">
      <c r="F2744" s="402" t="s">
        <v>12</v>
      </c>
      <c r="G2744" s="403"/>
      <c r="H2744" s="403"/>
      <c r="I2744" s="404"/>
      <c r="K2744" s="224">
        <f>+SUM(K2739:K2742)</f>
        <v>0</v>
      </c>
      <c r="L2744" s="117">
        <f>+SUM(L2739:L2742)</f>
        <v>0</v>
      </c>
    </row>
    <row r="2745" spans="2:12" ht="17.25" thickBot="1" x14ac:dyDescent="0.35"/>
    <row r="2746" spans="2:12" ht="17.25" thickBot="1" x14ac:dyDescent="0.35">
      <c r="B2746" s="108" t="s">
        <v>13</v>
      </c>
      <c r="C2746" s="413" t="s">
        <v>14</v>
      </c>
      <c r="D2746" s="413"/>
      <c r="E2746" s="413"/>
      <c r="F2746" s="413"/>
      <c r="G2746" s="414"/>
    </row>
    <row r="2747" spans="2:12" x14ac:dyDescent="0.3">
      <c r="B2747" s="112" t="s">
        <v>6</v>
      </c>
      <c r="C2747" s="415" t="s">
        <v>1</v>
      </c>
      <c r="D2747" s="416"/>
      <c r="E2747" s="110" t="s">
        <v>192</v>
      </c>
      <c r="F2747" s="118" t="s">
        <v>2</v>
      </c>
      <c r="G2747" s="112" t="s">
        <v>3</v>
      </c>
      <c r="H2747" s="104"/>
      <c r="I2747" s="105" t="s">
        <v>7</v>
      </c>
      <c r="J2747" s="134"/>
      <c r="K2747" s="105" t="s">
        <v>8</v>
      </c>
      <c r="L2747" s="113" t="s">
        <v>193</v>
      </c>
    </row>
    <row r="2748" spans="2:12" x14ac:dyDescent="0.3">
      <c r="B2748" s="120">
        <v>1</v>
      </c>
      <c r="C2748" s="409" t="s">
        <v>266</v>
      </c>
      <c r="D2748" s="409"/>
      <c r="E2748" s="114">
        <f>I2727</f>
        <v>1</v>
      </c>
      <c r="F2748" s="83">
        <f>ROUND(E2748/I2727,2)</f>
        <v>1</v>
      </c>
      <c r="G2748" s="74" t="str">
        <f>IF(C2748=0,0,VLOOKUP(C2748,Tabla2[],2,FALSE))</f>
        <v>Unidad</v>
      </c>
      <c r="I2748" s="115">
        <f>IF(C2748=0,0,VLOOKUP(C2748,Tabla2[],3,FALSE))</f>
        <v>100</v>
      </c>
      <c r="K2748" s="84">
        <f>+F2748*I2748</f>
        <v>100</v>
      </c>
      <c r="L2748" s="116">
        <f>E2748*I2748</f>
        <v>100</v>
      </c>
    </row>
    <row r="2749" spans="2:12" x14ac:dyDescent="0.3">
      <c r="B2749" s="120"/>
      <c r="C2749" s="409"/>
      <c r="D2749" s="409"/>
      <c r="E2749" s="114"/>
      <c r="F2749" s="83"/>
      <c r="G2749" s="74"/>
      <c r="I2749" s="115">
        <f>IF(C2749=0,0,VLOOKUP(C2749,Tabla2[],3,FALSE))</f>
        <v>0</v>
      </c>
      <c r="K2749" s="84">
        <f>+F2749*I2749</f>
        <v>0</v>
      </c>
      <c r="L2749" s="116">
        <f>E2749*I2749</f>
        <v>0</v>
      </c>
    </row>
    <row r="2750" spans="2:12" ht="17.25" thickBot="1" x14ac:dyDescent="0.35">
      <c r="B2750" s="121"/>
      <c r="C2750" s="417"/>
      <c r="D2750" s="418"/>
      <c r="E2750" s="122"/>
      <c r="F2750" s="123"/>
      <c r="G2750" s="74"/>
      <c r="I2750" s="115">
        <f>IF(C2750=0,0,VLOOKUP(C2750,Tabla2[],3,FALSE))</f>
        <v>0</v>
      </c>
      <c r="K2750" s="84">
        <f>+F2750*I2750</f>
        <v>0</v>
      </c>
      <c r="L2750" s="116">
        <f>E2750*I2750</f>
        <v>0</v>
      </c>
    </row>
    <row r="2751" spans="2:12" ht="17.25" thickBot="1" x14ac:dyDescent="0.35">
      <c r="B2751" s="419" t="s">
        <v>15</v>
      </c>
      <c r="C2751" s="420"/>
      <c r="D2751" s="420"/>
      <c r="E2751" s="420"/>
      <c r="F2751" s="420"/>
      <c r="G2751" s="421"/>
      <c r="I2751" s="84">
        <v>0</v>
      </c>
      <c r="K2751" s="84">
        <v>0</v>
      </c>
      <c r="L2751" s="116">
        <f>E2751*I2751</f>
        <v>0</v>
      </c>
    </row>
    <row r="2752" spans="2:12" ht="17.25" thickBot="1" x14ac:dyDescent="0.35"/>
    <row r="2753" spans="2:16" ht="17.25" thickBot="1" x14ac:dyDescent="0.35">
      <c r="F2753" s="402" t="s">
        <v>16</v>
      </c>
      <c r="G2753" s="403"/>
      <c r="H2753" s="403"/>
      <c r="I2753" s="404"/>
      <c r="K2753" s="224">
        <f>+SUM(K2748:K2751)</f>
        <v>100</v>
      </c>
      <c r="L2753" s="117">
        <f>+SUM(L2748:L2751)</f>
        <v>100</v>
      </c>
    </row>
    <row r="2754" spans="2:16" ht="17.25" thickBot="1" x14ac:dyDescent="0.35"/>
    <row r="2755" spans="2:16" ht="17.25" thickBot="1" x14ac:dyDescent="0.35">
      <c r="B2755" s="108" t="s">
        <v>17</v>
      </c>
      <c r="C2755" s="413" t="s">
        <v>18</v>
      </c>
      <c r="D2755" s="413"/>
      <c r="E2755" s="413"/>
      <c r="F2755" s="413"/>
      <c r="G2755" s="414"/>
    </row>
    <row r="2756" spans="2:16" x14ac:dyDescent="0.3">
      <c r="B2756" s="112" t="s">
        <v>6</v>
      </c>
      <c r="C2756" s="415" t="s">
        <v>1</v>
      </c>
      <c r="D2756" s="416"/>
      <c r="E2756" s="124"/>
      <c r="F2756" s="118" t="s">
        <v>2</v>
      </c>
      <c r="G2756" s="112" t="s">
        <v>3</v>
      </c>
      <c r="H2756" s="104"/>
      <c r="I2756" s="105" t="s">
        <v>7</v>
      </c>
      <c r="J2756" s="134"/>
      <c r="K2756" s="105" t="s">
        <v>8</v>
      </c>
      <c r="L2756" s="113" t="s">
        <v>193</v>
      </c>
    </row>
    <row r="2757" spans="2:16" x14ac:dyDescent="0.3">
      <c r="B2757" s="74"/>
      <c r="C2757" s="411"/>
      <c r="D2757" s="412"/>
      <c r="E2757" s="125"/>
      <c r="F2757" s="72"/>
      <c r="G2757" s="74"/>
      <c r="I2757" s="84">
        <v>0</v>
      </c>
      <c r="K2757" s="84">
        <f>+F2757*I2757</f>
        <v>0</v>
      </c>
      <c r="L2757" s="116">
        <f>E2757*I2757</f>
        <v>0</v>
      </c>
    </row>
    <row r="2758" spans="2:16" x14ac:dyDescent="0.3">
      <c r="B2758" s="74"/>
      <c r="C2758" s="411"/>
      <c r="D2758" s="412"/>
      <c r="E2758" s="125"/>
      <c r="F2758" s="72"/>
      <c r="G2758" s="74"/>
      <c r="I2758" s="84">
        <v>0</v>
      </c>
      <c r="K2758" s="84">
        <f>+F2758*I2758</f>
        <v>0</v>
      </c>
      <c r="L2758" s="116">
        <f>E2758*I2758</f>
        <v>0</v>
      </c>
    </row>
    <row r="2759" spans="2:16" x14ac:dyDescent="0.3">
      <c r="B2759" s="74"/>
      <c r="C2759" s="411"/>
      <c r="D2759" s="412"/>
      <c r="E2759" s="125"/>
      <c r="F2759" s="72"/>
      <c r="G2759" s="74"/>
      <c r="I2759" s="84">
        <v>0</v>
      </c>
      <c r="K2759" s="84">
        <f>+F2759*I2759</f>
        <v>0</v>
      </c>
      <c r="L2759" s="116">
        <f>E2759*I2759</f>
        <v>0</v>
      </c>
    </row>
    <row r="2760" spans="2:16" ht="17.25" thickBot="1" x14ac:dyDescent="0.35">
      <c r="L2760" s="116"/>
    </row>
    <row r="2761" spans="2:16" ht="17.25" thickBot="1" x14ac:dyDescent="0.35">
      <c r="F2761" s="402" t="s">
        <v>19</v>
      </c>
      <c r="G2761" s="403"/>
      <c r="H2761" s="403"/>
      <c r="I2761" s="404"/>
      <c r="K2761" s="224">
        <f>+SUM(K2757:K2759)</f>
        <v>0</v>
      </c>
      <c r="L2761" s="117">
        <f>+SUM(L2756:L2759)</f>
        <v>0</v>
      </c>
    </row>
    <row r="2762" spans="2:16" ht="15" customHeight="1" x14ac:dyDescent="0.3">
      <c r="F2762" s="126"/>
      <c r="G2762" s="280"/>
      <c r="H2762" s="128"/>
      <c r="I2762" s="106"/>
      <c r="K2762" s="225"/>
    </row>
    <row r="2763" spans="2:16" ht="15" customHeight="1" thickBot="1" x14ac:dyDescent="0.35"/>
    <row r="2764" spans="2:16" ht="17.25" thickBot="1" x14ac:dyDescent="0.35">
      <c r="F2764" s="402" t="s">
        <v>20</v>
      </c>
      <c r="G2764" s="403"/>
      <c r="H2764" s="403"/>
      <c r="I2764" s="404"/>
      <c r="K2764" s="224">
        <f>(+K2735+K2744+K2753+K2761)</f>
        <v>250</v>
      </c>
      <c r="L2764" s="117">
        <f>(+L2735+L2744+L2753+L2761)</f>
        <v>250</v>
      </c>
      <c r="N2764" s="129"/>
      <c r="O2764" s="39"/>
      <c r="P2764" s="40"/>
    </row>
    <row r="2765" spans="2:16" ht="7.5" customHeight="1" thickBot="1" x14ac:dyDescent="0.35">
      <c r="N2765" s="129"/>
      <c r="O2765" s="41"/>
      <c r="P2765" s="40"/>
    </row>
    <row r="2766" spans="2:16" ht="17.25" thickBot="1" x14ac:dyDescent="0.35">
      <c r="F2766" s="402" t="s">
        <v>21</v>
      </c>
      <c r="G2766" s="403"/>
      <c r="H2766" s="403"/>
      <c r="I2766" s="404"/>
      <c r="K2766" s="224">
        <f>K2764*$N$2</f>
        <v>100</v>
      </c>
      <c r="L2766" s="117">
        <f>L2764*$N$2</f>
        <v>100</v>
      </c>
    </row>
    <row r="2767" spans="2:16" ht="7.5" customHeight="1" thickBot="1" x14ac:dyDescent="0.35"/>
    <row r="2768" spans="2:16" ht="17.25" thickBot="1" x14ac:dyDescent="0.35">
      <c r="F2768" s="402" t="s">
        <v>22</v>
      </c>
      <c r="G2768" s="403"/>
      <c r="H2768" s="403"/>
      <c r="I2768" s="404"/>
      <c r="K2768" s="224">
        <f>+K2764+K2766</f>
        <v>350</v>
      </c>
      <c r="L2768" s="117">
        <f>+L2764+L2766</f>
        <v>350</v>
      </c>
    </row>
    <row r="2769" spans="1:16" ht="17.25" thickBot="1" x14ac:dyDescent="0.35">
      <c r="F2769" s="126"/>
      <c r="G2769" s="280"/>
      <c r="H2769" s="128"/>
      <c r="I2769" s="106"/>
      <c r="K2769" s="226"/>
      <c r="L2769" s="130">
        <f>L2768/I2727</f>
        <v>350</v>
      </c>
      <c r="M2769" s="131">
        <f>(K2768-L2769)*I2727</f>
        <v>0</v>
      </c>
    </row>
    <row r="2770" spans="1:16" x14ac:dyDescent="0.3">
      <c r="F2770" s="126"/>
      <c r="G2770" s="280"/>
      <c r="H2770" s="128"/>
      <c r="I2770" s="106"/>
      <c r="K2770" s="227"/>
      <c r="L2770" s="129"/>
      <c r="M2770" s="132"/>
      <c r="N2770" s="133"/>
    </row>
    <row r="2771" spans="1:16" ht="17.25" thickBot="1" x14ac:dyDescent="0.35">
      <c r="B2771" s="405"/>
      <c r="C2771" s="405"/>
      <c r="D2771" s="405"/>
    </row>
    <row r="2772" spans="1:16" x14ac:dyDescent="0.3">
      <c r="B2772" s="406" t="s">
        <v>23</v>
      </c>
      <c r="C2772" s="406"/>
      <c r="D2772" s="406"/>
    </row>
    <row r="2773" spans="1:16" x14ac:dyDescent="0.3">
      <c r="B2773" s="281"/>
      <c r="C2773" s="281"/>
      <c r="D2773" s="281"/>
    </row>
    <row r="2775" spans="1:16" x14ac:dyDescent="0.3">
      <c r="B2775" s="103" t="s">
        <v>43</v>
      </c>
      <c r="C2775" s="104"/>
      <c r="D2775" s="422" t="s">
        <v>1</v>
      </c>
      <c r="E2775" s="422"/>
      <c r="F2775" s="422"/>
      <c r="G2775" s="422"/>
      <c r="H2775" s="104"/>
      <c r="I2775" s="105" t="s">
        <v>2</v>
      </c>
      <c r="J2775" s="134"/>
      <c r="K2775" s="105" t="s">
        <v>3</v>
      </c>
    </row>
    <row r="2776" spans="1:16" s="4" customFormat="1" ht="30.75" customHeight="1" x14ac:dyDescent="0.25">
      <c r="A2776" s="31"/>
      <c r="B2776" s="287">
        <f>CATALOGO!B91</f>
        <v>1012.02</v>
      </c>
      <c r="C2776" s="71"/>
      <c r="D2776" s="437" t="str">
        <f>CATALOGO!C91</f>
        <v>TOMACORRIENTE DOBLE 120V, 15A. (ALAMBRADO)</v>
      </c>
      <c r="E2776" s="437"/>
      <c r="F2776" s="437"/>
      <c r="G2776" s="437"/>
      <c r="H2776" s="71"/>
      <c r="I2776" s="287">
        <f>CATALOGO!D91</f>
        <v>7</v>
      </c>
      <c r="J2776" s="107"/>
      <c r="K2776" s="222" t="str">
        <f>CATALOGO!G91</f>
        <v>Unidad</v>
      </c>
      <c r="L2776" s="71"/>
      <c r="M2776" s="71"/>
      <c r="N2776" s="102"/>
      <c r="O2776" s="37"/>
      <c r="P2776" s="37"/>
    </row>
    <row r="2777" spans="1:16" ht="17.25" thickBot="1" x14ac:dyDescent="0.35"/>
    <row r="2778" spans="1:16" ht="17.25" thickBot="1" x14ac:dyDescent="0.35">
      <c r="B2778" s="108" t="s">
        <v>4</v>
      </c>
      <c r="C2778" s="413" t="s">
        <v>5</v>
      </c>
      <c r="D2778" s="413"/>
      <c r="E2778" s="413"/>
      <c r="F2778" s="413"/>
      <c r="G2778" s="414"/>
    </row>
    <row r="2779" spans="1:16" x14ac:dyDescent="0.25">
      <c r="B2779" s="109" t="s">
        <v>6</v>
      </c>
      <c r="C2779" s="424" t="s">
        <v>1</v>
      </c>
      <c r="D2779" s="425"/>
      <c r="E2779" s="110" t="s">
        <v>192</v>
      </c>
      <c r="F2779" s="111" t="s">
        <v>2</v>
      </c>
      <c r="G2779" s="112" t="s">
        <v>3</v>
      </c>
      <c r="H2779" s="104"/>
      <c r="I2779" s="105" t="s">
        <v>7</v>
      </c>
      <c r="J2779" s="134"/>
      <c r="K2779" s="223" t="s">
        <v>8</v>
      </c>
      <c r="L2779" s="113" t="s">
        <v>193</v>
      </c>
      <c r="O2779" s="438"/>
      <c r="P2779" s="438"/>
    </row>
    <row r="2780" spans="1:16" x14ac:dyDescent="0.25">
      <c r="B2780" s="120">
        <v>1</v>
      </c>
      <c r="C2780" s="407" t="s">
        <v>265</v>
      </c>
      <c r="D2780" s="408"/>
      <c r="E2780" s="114">
        <f>I2776</f>
        <v>7</v>
      </c>
      <c r="F2780" s="83">
        <f>ROUND(E2780/I2776,2)</f>
        <v>1</v>
      </c>
      <c r="G2780" s="74" t="str">
        <f>IF(C2780=0,0,VLOOKUP(C2780,Tabla1[],2,FALSE))</f>
        <v>Unidad</v>
      </c>
      <c r="I2780" s="115">
        <f>IF(C2780=0,0,VLOOKUP(C2780,Tabla1[],3,FALSE))</f>
        <v>40</v>
      </c>
      <c r="K2780" s="84">
        <f>F2780*I2780</f>
        <v>40</v>
      </c>
      <c r="L2780" s="116">
        <f>E2780*I2780</f>
        <v>280</v>
      </c>
      <c r="O2780" s="44"/>
      <c r="P2780" s="45"/>
    </row>
    <row r="2781" spans="1:16" x14ac:dyDescent="0.25">
      <c r="B2781" s="120">
        <v>2</v>
      </c>
      <c r="C2781" s="407" t="s">
        <v>86</v>
      </c>
      <c r="D2781" s="408"/>
      <c r="E2781" s="114">
        <f>I2776</f>
        <v>7</v>
      </c>
      <c r="F2781" s="83">
        <f>ROUND(E2781/I2776,2)</f>
        <v>1</v>
      </c>
      <c r="G2781" s="74" t="str">
        <f>IF(C2781=0,0,VLOOKUP(C2781,Tabla1[],2,FALSE))</f>
        <v>Unidad</v>
      </c>
      <c r="I2781" s="115">
        <f>IF(C2781=0,0,VLOOKUP(C2781,Tabla1[],3,FALSE))</f>
        <v>10</v>
      </c>
      <c r="K2781" s="84">
        <f>F2781*I2781</f>
        <v>10</v>
      </c>
      <c r="L2781" s="116">
        <f>E2781*I2781</f>
        <v>70</v>
      </c>
      <c r="O2781" s="44"/>
      <c r="P2781" s="45"/>
    </row>
    <row r="2782" spans="1:16" x14ac:dyDescent="0.25">
      <c r="B2782" s="120">
        <v>3</v>
      </c>
      <c r="C2782" s="430" t="s">
        <v>249</v>
      </c>
      <c r="D2782" s="429"/>
      <c r="E2782" s="114">
        <f>I2776*12</f>
        <v>84</v>
      </c>
      <c r="F2782" s="83">
        <f>ROUND(E2782/I2776,1)</f>
        <v>12</v>
      </c>
      <c r="G2782" s="74" t="str">
        <f>IF(C2782=0,0,VLOOKUP(C2782,Tabla1[],2,FALSE))</f>
        <v>ml</v>
      </c>
      <c r="I2782" s="115">
        <f>IF(C2782=0,0,VLOOKUP(C2782,Tabla1[],3,FALSE))</f>
        <v>5</v>
      </c>
      <c r="K2782" s="84">
        <f>+F2782*I2782</f>
        <v>60</v>
      </c>
      <c r="L2782" s="116">
        <f>E2782*I2782</f>
        <v>420</v>
      </c>
      <c r="O2782" s="44"/>
      <c r="P2782" s="46"/>
    </row>
    <row r="2783" spans="1:16" x14ac:dyDescent="0.3">
      <c r="B2783" s="120">
        <v>4</v>
      </c>
      <c r="C2783" s="428" t="s">
        <v>269</v>
      </c>
      <c r="D2783" s="429"/>
      <c r="E2783" s="114">
        <f>I2776</f>
        <v>7</v>
      </c>
      <c r="F2783" s="83">
        <f>ROUND(E2783/I2776,2)</f>
        <v>1</v>
      </c>
      <c r="G2783" s="74" t="str">
        <f>IF(C2783=0,0,VLOOKUP(C2783,Tabla1[],2,FALSE))</f>
        <v>Unidad</v>
      </c>
      <c r="I2783" s="115">
        <f>IF(C2783=0,0,VLOOKUP(C2783,Tabla1[],3,FALSE))</f>
        <v>40</v>
      </c>
      <c r="K2783" s="84">
        <f>+F2783*I2783</f>
        <v>40</v>
      </c>
      <c r="L2783" s="116">
        <f>E2783*I2783</f>
        <v>280</v>
      </c>
      <c r="P2783" s="45"/>
    </row>
    <row r="2784" spans="1:16" ht="17.25" thickBot="1" x14ac:dyDescent="0.35"/>
    <row r="2785" spans="2:16" ht="17.25" thickBot="1" x14ac:dyDescent="0.3">
      <c r="F2785" s="402" t="s">
        <v>9</v>
      </c>
      <c r="G2785" s="403"/>
      <c r="H2785" s="403"/>
      <c r="I2785" s="404"/>
      <c r="K2785" s="224">
        <f>+SUM(K2780:K2783)</f>
        <v>150</v>
      </c>
      <c r="L2785" s="117">
        <f>+SUM(L2780:L2783)</f>
        <v>1050</v>
      </c>
      <c r="O2785" s="38"/>
      <c r="P2785" s="38"/>
    </row>
    <row r="2786" spans="2:16" ht="17.25" thickBot="1" x14ac:dyDescent="0.35">
      <c r="O2786" s="42"/>
      <c r="P2786" s="43"/>
    </row>
    <row r="2787" spans="2:16" ht="17.25" thickBot="1" x14ac:dyDescent="0.35">
      <c r="B2787" s="108" t="s">
        <v>10</v>
      </c>
      <c r="C2787" s="413" t="s">
        <v>11</v>
      </c>
      <c r="D2787" s="413"/>
      <c r="E2787" s="413"/>
      <c r="F2787" s="413"/>
      <c r="G2787" s="414"/>
    </row>
    <row r="2788" spans="2:16" x14ac:dyDescent="0.3">
      <c r="B2788" s="112" t="s">
        <v>6</v>
      </c>
      <c r="C2788" s="415" t="s">
        <v>1</v>
      </c>
      <c r="D2788" s="416"/>
      <c r="E2788" s="110" t="s">
        <v>192</v>
      </c>
      <c r="F2788" s="118" t="s">
        <v>2</v>
      </c>
      <c r="G2788" s="112" t="s">
        <v>3</v>
      </c>
      <c r="H2788" s="104"/>
      <c r="I2788" s="105" t="s">
        <v>7</v>
      </c>
      <c r="J2788" s="134"/>
      <c r="K2788" s="105" t="s">
        <v>8</v>
      </c>
      <c r="L2788" s="113" t="s">
        <v>193</v>
      </c>
    </row>
    <row r="2789" spans="2:16" x14ac:dyDescent="0.3">
      <c r="B2789" s="120"/>
      <c r="C2789" s="409"/>
      <c r="D2789" s="409"/>
      <c r="E2789" s="114"/>
      <c r="F2789" s="83"/>
      <c r="G2789" s="74"/>
      <c r="I2789" s="115">
        <f>IF(C2789=0,0,VLOOKUP(C2789,Tabla3[],3,FALSE))</f>
        <v>0</v>
      </c>
      <c r="K2789" s="84">
        <f>F2789*I2789</f>
        <v>0</v>
      </c>
      <c r="L2789" s="116">
        <f>E2789*I2789</f>
        <v>0</v>
      </c>
    </row>
    <row r="2790" spans="2:16" x14ac:dyDescent="0.3">
      <c r="B2790" s="74"/>
      <c r="C2790" s="431"/>
      <c r="D2790" s="432"/>
      <c r="E2790" s="119"/>
      <c r="F2790" s="72"/>
      <c r="G2790" s="74"/>
      <c r="I2790" s="115">
        <f>IF(C2790=0,0,VLOOKUP(C2790,Tabla3[],3,FALSE))</f>
        <v>0</v>
      </c>
      <c r="K2790" s="84">
        <f>+F2790*I2790</f>
        <v>0</v>
      </c>
      <c r="L2790" s="116">
        <f>E2790*I2790</f>
        <v>0</v>
      </c>
    </row>
    <row r="2791" spans="2:16" x14ac:dyDescent="0.3">
      <c r="B2791" s="74"/>
      <c r="C2791" s="431"/>
      <c r="D2791" s="432"/>
      <c r="E2791" s="119"/>
      <c r="F2791" s="72"/>
      <c r="G2791" s="74"/>
      <c r="I2791" s="115">
        <f>IF(C2791=0,0,VLOOKUP(C2791,Tabla3[],3,FALSE))</f>
        <v>0</v>
      </c>
      <c r="K2791" s="84">
        <f>+F2791*I2791</f>
        <v>0</v>
      </c>
      <c r="L2791" s="116">
        <f>E2791*I2791</f>
        <v>0</v>
      </c>
    </row>
    <row r="2792" spans="2:16" x14ac:dyDescent="0.3">
      <c r="B2792" s="74"/>
      <c r="C2792" s="411"/>
      <c r="D2792" s="412"/>
      <c r="E2792" s="119"/>
      <c r="F2792" s="72"/>
      <c r="G2792" s="74"/>
      <c r="I2792" s="115">
        <f>IF(C2792=0,0,VLOOKUP(C2792,Tabla3[],3,FALSE))</f>
        <v>0</v>
      </c>
      <c r="K2792" s="84">
        <f>+F2792*I2792</f>
        <v>0</v>
      </c>
      <c r="L2792" s="116">
        <f>E2792*I2792</f>
        <v>0</v>
      </c>
    </row>
    <row r="2793" spans="2:16" ht="17.25" thickBot="1" x14ac:dyDescent="0.35"/>
    <row r="2794" spans="2:16" ht="17.25" thickBot="1" x14ac:dyDescent="0.35">
      <c r="F2794" s="402" t="s">
        <v>12</v>
      </c>
      <c r="G2794" s="403"/>
      <c r="H2794" s="403"/>
      <c r="I2794" s="404"/>
      <c r="K2794" s="224">
        <f>+SUM(K2789:K2792)</f>
        <v>0</v>
      </c>
      <c r="L2794" s="117">
        <f>+SUM(L2789:L2792)</f>
        <v>0</v>
      </c>
    </row>
    <row r="2795" spans="2:16" ht="17.25" thickBot="1" x14ac:dyDescent="0.35"/>
    <row r="2796" spans="2:16" ht="17.25" thickBot="1" x14ac:dyDescent="0.35">
      <c r="B2796" s="108" t="s">
        <v>13</v>
      </c>
      <c r="C2796" s="413" t="s">
        <v>14</v>
      </c>
      <c r="D2796" s="413"/>
      <c r="E2796" s="413"/>
      <c r="F2796" s="413"/>
      <c r="G2796" s="414"/>
    </row>
    <row r="2797" spans="2:16" x14ac:dyDescent="0.3">
      <c r="B2797" s="112" t="s">
        <v>6</v>
      </c>
      <c r="C2797" s="415" t="s">
        <v>1</v>
      </c>
      <c r="D2797" s="416"/>
      <c r="E2797" s="110" t="s">
        <v>192</v>
      </c>
      <c r="F2797" s="118" t="s">
        <v>2</v>
      </c>
      <c r="G2797" s="112" t="s">
        <v>3</v>
      </c>
      <c r="H2797" s="104"/>
      <c r="I2797" s="105" t="s">
        <v>7</v>
      </c>
      <c r="J2797" s="134"/>
      <c r="K2797" s="105" t="s">
        <v>8</v>
      </c>
      <c r="L2797" s="113" t="s">
        <v>193</v>
      </c>
    </row>
    <row r="2798" spans="2:16" x14ac:dyDescent="0.3">
      <c r="B2798" s="120">
        <v>1</v>
      </c>
      <c r="C2798" s="409" t="s">
        <v>267</v>
      </c>
      <c r="D2798" s="409"/>
      <c r="E2798" s="114">
        <f>I2776</f>
        <v>7</v>
      </c>
      <c r="F2798" s="83">
        <f>ROUND(E2798/I2776,2)</f>
        <v>1</v>
      </c>
      <c r="G2798" s="74" t="str">
        <f>IF(C2798=0,0,VLOOKUP(C2798,Tabla2[],2,FALSE))</f>
        <v>Unidad</v>
      </c>
      <c r="I2798" s="115">
        <f>IF(C2798=0,0,VLOOKUP(C2798,Tabla2[],3,FALSE))</f>
        <v>115</v>
      </c>
      <c r="K2798" s="84">
        <f>+F2798*I2798</f>
        <v>115</v>
      </c>
      <c r="L2798" s="116">
        <f>E2798*I2798</f>
        <v>805</v>
      </c>
    </row>
    <row r="2799" spans="2:16" x14ac:dyDescent="0.3">
      <c r="B2799" s="120"/>
      <c r="C2799" s="409"/>
      <c r="D2799" s="409"/>
      <c r="E2799" s="114"/>
      <c r="F2799" s="83"/>
      <c r="G2799" s="74"/>
      <c r="I2799" s="115">
        <f>IF(C2799=0,0,VLOOKUP(C2799,Tabla2[],3,FALSE))</f>
        <v>0</v>
      </c>
      <c r="K2799" s="84">
        <f>+F2799*I2799</f>
        <v>0</v>
      </c>
      <c r="L2799" s="116">
        <f>E2799*I2799</f>
        <v>0</v>
      </c>
    </row>
    <row r="2800" spans="2:16" ht="17.25" thickBot="1" x14ac:dyDescent="0.35">
      <c r="B2800" s="121"/>
      <c r="C2800" s="417"/>
      <c r="D2800" s="418"/>
      <c r="E2800" s="122"/>
      <c r="F2800" s="123"/>
      <c r="G2800" s="74"/>
      <c r="I2800" s="115">
        <f>IF(C2800=0,0,VLOOKUP(C2800,Tabla2[],3,FALSE))</f>
        <v>0</v>
      </c>
      <c r="K2800" s="84">
        <f>+F2800*I2800</f>
        <v>0</v>
      </c>
      <c r="L2800" s="116">
        <f>E2800*I2800</f>
        <v>0</v>
      </c>
    </row>
    <row r="2801" spans="2:16" ht="17.25" thickBot="1" x14ac:dyDescent="0.35">
      <c r="B2801" s="419" t="s">
        <v>15</v>
      </c>
      <c r="C2801" s="420"/>
      <c r="D2801" s="420"/>
      <c r="E2801" s="420"/>
      <c r="F2801" s="420"/>
      <c r="G2801" s="421"/>
      <c r="I2801" s="84">
        <v>0</v>
      </c>
      <c r="K2801" s="84">
        <v>0</v>
      </c>
      <c r="L2801" s="116">
        <f>E2801*I2801</f>
        <v>0</v>
      </c>
    </row>
    <row r="2802" spans="2:16" ht="17.25" thickBot="1" x14ac:dyDescent="0.35"/>
    <row r="2803" spans="2:16" ht="17.25" thickBot="1" x14ac:dyDescent="0.35">
      <c r="F2803" s="402" t="s">
        <v>16</v>
      </c>
      <c r="G2803" s="403"/>
      <c r="H2803" s="403"/>
      <c r="I2803" s="404"/>
      <c r="K2803" s="224">
        <f>+SUM(K2798:K2801)</f>
        <v>115</v>
      </c>
      <c r="L2803" s="117">
        <f>+SUM(L2798:L2801)</f>
        <v>805</v>
      </c>
    </row>
    <row r="2804" spans="2:16" ht="17.25" thickBot="1" x14ac:dyDescent="0.35"/>
    <row r="2805" spans="2:16" ht="17.25" thickBot="1" x14ac:dyDescent="0.35">
      <c r="B2805" s="108" t="s">
        <v>17</v>
      </c>
      <c r="C2805" s="413" t="s">
        <v>18</v>
      </c>
      <c r="D2805" s="413"/>
      <c r="E2805" s="413"/>
      <c r="F2805" s="413"/>
      <c r="G2805" s="414"/>
    </row>
    <row r="2806" spans="2:16" x14ac:dyDescent="0.3">
      <c r="B2806" s="112" t="s">
        <v>6</v>
      </c>
      <c r="C2806" s="415" t="s">
        <v>1</v>
      </c>
      <c r="D2806" s="416"/>
      <c r="E2806" s="124"/>
      <c r="F2806" s="118" t="s">
        <v>2</v>
      </c>
      <c r="G2806" s="112" t="s">
        <v>3</v>
      </c>
      <c r="H2806" s="104"/>
      <c r="I2806" s="105" t="s">
        <v>7</v>
      </c>
      <c r="J2806" s="134"/>
      <c r="K2806" s="105" t="s">
        <v>8</v>
      </c>
      <c r="L2806" s="113" t="s">
        <v>193</v>
      </c>
    </row>
    <row r="2807" spans="2:16" x14ac:dyDescent="0.3">
      <c r="B2807" s="74"/>
      <c r="C2807" s="411"/>
      <c r="D2807" s="412"/>
      <c r="E2807" s="125"/>
      <c r="F2807" s="72"/>
      <c r="G2807" s="74"/>
      <c r="I2807" s="84">
        <v>0</v>
      </c>
      <c r="K2807" s="84">
        <f>+F2807*I2807</f>
        <v>0</v>
      </c>
      <c r="L2807" s="116">
        <f>E2807*I2807</f>
        <v>0</v>
      </c>
    </row>
    <row r="2808" spans="2:16" x14ac:dyDescent="0.3">
      <c r="B2808" s="74"/>
      <c r="C2808" s="411"/>
      <c r="D2808" s="412"/>
      <c r="E2808" s="125"/>
      <c r="F2808" s="72"/>
      <c r="G2808" s="74"/>
      <c r="I2808" s="84">
        <v>0</v>
      </c>
      <c r="K2808" s="84">
        <f>+F2808*I2808</f>
        <v>0</v>
      </c>
      <c r="L2808" s="116">
        <f>E2808*I2808</f>
        <v>0</v>
      </c>
    </row>
    <row r="2809" spans="2:16" x14ac:dyDescent="0.3">
      <c r="B2809" s="74"/>
      <c r="C2809" s="411"/>
      <c r="D2809" s="412"/>
      <c r="E2809" s="125"/>
      <c r="F2809" s="72"/>
      <c r="G2809" s="74"/>
      <c r="I2809" s="84">
        <v>0</v>
      </c>
      <c r="K2809" s="84">
        <f>+F2809*I2809</f>
        <v>0</v>
      </c>
      <c r="L2809" s="116">
        <f>E2809*I2809</f>
        <v>0</v>
      </c>
    </row>
    <row r="2810" spans="2:16" ht="17.25" thickBot="1" x14ac:dyDescent="0.35">
      <c r="L2810" s="116"/>
    </row>
    <row r="2811" spans="2:16" ht="17.25" thickBot="1" x14ac:dyDescent="0.35">
      <c r="F2811" s="402" t="s">
        <v>19</v>
      </c>
      <c r="G2811" s="403"/>
      <c r="H2811" s="403"/>
      <c r="I2811" s="404"/>
      <c r="K2811" s="224">
        <f>+SUM(K2807:K2809)</f>
        <v>0</v>
      </c>
      <c r="L2811" s="117">
        <f>+SUM(L2806:L2809)</f>
        <v>0</v>
      </c>
    </row>
    <row r="2812" spans="2:16" ht="15" customHeight="1" x14ac:dyDescent="0.3">
      <c r="F2812" s="126"/>
      <c r="G2812" s="280"/>
      <c r="H2812" s="128"/>
      <c r="I2812" s="106"/>
      <c r="K2812" s="225"/>
    </row>
    <row r="2813" spans="2:16" ht="15" customHeight="1" thickBot="1" x14ac:dyDescent="0.35"/>
    <row r="2814" spans="2:16" ht="17.25" thickBot="1" x14ac:dyDescent="0.35">
      <c r="F2814" s="402" t="s">
        <v>20</v>
      </c>
      <c r="G2814" s="403"/>
      <c r="H2814" s="403"/>
      <c r="I2814" s="404"/>
      <c r="K2814" s="224">
        <f>(+K2785+K2794+K2803+K2811)</f>
        <v>265</v>
      </c>
      <c r="L2814" s="117">
        <f>(+L2785+L2794+L2803+L2811)</f>
        <v>1855</v>
      </c>
      <c r="N2814" s="129"/>
      <c r="O2814" s="39"/>
      <c r="P2814" s="40"/>
    </row>
    <row r="2815" spans="2:16" ht="7.5" customHeight="1" thickBot="1" x14ac:dyDescent="0.35">
      <c r="N2815" s="129"/>
      <c r="O2815" s="41"/>
      <c r="P2815" s="40"/>
    </row>
    <row r="2816" spans="2:16" ht="17.25" thickBot="1" x14ac:dyDescent="0.35">
      <c r="F2816" s="402" t="s">
        <v>21</v>
      </c>
      <c r="G2816" s="403"/>
      <c r="H2816" s="403"/>
      <c r="I2816" s="404"/>
      <c r="K2816" s="224">
        <f>K2814*$N$2</f>
        <v>106</v>
      </c>
      <c r="L2816" s="117">
        <f>L2814*$N$2</f>
        <v>742</v>
      </c>
    </row>
    <row r="2817" spans="1:16" ht="7.5" customHeight="1" thickBot="1" x14ac:dyDescent="0.35"/>
    <row r="2818" spans="1:16" ht="17.25" thickBot="1" x14ac:dyDescent="0.35">
      <c r="F2818" s="402" t="s">
        <v>22</v>
      </c>
      <c r="G2818" s="403"/>
      <c r="H2818" s="403"/>
      <c r="I2818" s="404"/>
      <c r="K2818" s="224">
        <f>+K2814+K2816</f>
        <v>371</v>
      </c>
      <c r="L2818" s="117">
        <f>+L2814+L2816</f>
        <v>2597</v>
      </c>
    </row>
    <row r="2819" spans="1:16" ht="17.25" thickBot="1" x14ac:dyDescent="0.35">
      <c r="F2819" s="126"/>
      <c r="G2819" s="280"/>
      <c r="H2819" s="128"/>
      <c r="I2819" s="106"/>
      <c r="K2819" s="226"/>
      <c r="L2819" s="130">
        <f>L2818/I2776</f>
        <v>371</v>
      </c>
      <c r="M2819" s="131">
        <f>(K2818-L2819)*I2776</f>
        <v>0</v>
      </c>
    </row>
    <row r="2820" spans="1:16" x14ac:dyDescent="0.3">
      <c r="F2820" s="126"/>
      <c r="G2820" s="280"/>
      <c r="H2820" s="128"/>
      <c r="I2820" s="106"/>
      <c r="K2820" s="227"/>
      <c r="L2820" s="129"/>
      <c r="M2820" s="132"/>
      <c r="N2820" s="133"/>
    </row>
    <row r="2821" spans="1:16" ht="17.25" thickBot="1" x14ac:dyDescent="0.35">
      <c r="B2821" s="405"/>
      <c r="C2821" s="405"/>
      <c r="D2821" s="405"/>
    </row>
    <row r="2822" spans="1:16" x14ac:dyDescent="0.3">
      <c r="B2822" s="406" t="s">
        <v>23</v>
      </c>
      <c r="C2822" s="406"/>
      <c r="D2822" s="406"/>
    </row>
    <row r="2823" spans="1:16" x14ac:dyDescent="0.3">
      <c r="B2823" s="281"/>
      <c r="C2823" s="281"/>
      <c r="D2823" s="281"/>
    </row>
    <row r="2825" spans="1:16" x14ac:dyDescent="0.3">
      <c r="B2825" s="103" t="s">
        <v>43</v>
      </c>
      <c r="C2825" s="104"/>
      <c r="D2825" s="422" t="s">
        <v>1</v>
      </c>
      <c r="E2825" s="422"/>
      <c r="F2825" s="422"/>
      <c r="G2825" s="422"/>
      <c r="H2825" s="104"/>
      <c r="I2825" s="105" t="s">
        <v>2</v>
      </c>
      <c r="J2825" s="134"/>
      <c r="K2825" s="105" t="s">
        <v>3</v>
      </c>
    </row>
    <row r="2826" spans="1:16" s="4" customFormat="1" ht="30.75" customHeight="1" x14ac:dyDescent="0.25">
      <c r="A2826" s="31"/>
      <c r="B2826" s="287">
        <f>CATALOGO!B93</f>
        <v>1207.01</v>
      </c>
      <c r="C2826" s="71"/>
      <c r="D2826" s="437" t="str">
        <f>CATALOGO!C93</f>
        <v>EXTINTOR DE FUEGO DE 20 Lb</v>
      </c>
      <c r="E2826" s="437"/>
      <c r="F2826" s="437"/>
      <c r="G2826" s="437"/>
      <c r="H2826" s="71"/>
      <c r="I2826" s="287">
        <f>CATALOGO!D93</f>
        <v>1</v>
      </c>
      <c r="J2826" s="107"/>
      <c r="K2826" s="222" t="str">
        <f>CATALOGO!G93</f>
        <v>Unidad</v>
      </c>
      <c r="L2826" s="71"/>
      <c r="M2826" s="71"/>
      <c r="N2826" s="102"/>
      <c r="O2826" s="37"/>
      <c r="P2826" s="37"/>
    </row>
    <row r="2827" spans="1:16" ht="17.25" thickBot="1" x14ac:dyDescent="0.35"/>
    <row r="2828" spans="1:16" ht="17.25" thickBot="1" x14ac:dyDescent="0.35">
      <c r="B2828" s="108" t="s">
        <v>4</v>
      </c>
      <c r="C2828" s="413" t="s">
        <v>5</v>
      </c>
      <c r="D2828" s="413"/>
      <c r="E2828" s="413"/>
      <c r="F2828" s="413"/>
      <c r="G2828" s="414"/>
    </row>
    <row r="2829" spans="1:16" x14ac:dyDescent="0.25">
      <c r="B2829" s="109" t="s">
        <v>6</v>
      </c>
      <c r="C2829" s="424" t="s">
        <v>1</v>
      </c>
      <c r="D2829" s="425"/>
      <c r="E2829" s="110" t="s">
        <v>192</v>
      </c>
      <c r="F2829" s="111" t="s">
        <v>2</v>
      </c>
      <c r="G2829" s="112" t="s">
        <v>3</v>
      </c>
      <c r="H2829" s="104"/>
      <c r="I2829" s="105" t="s">
        <v>7</v>
      </c>
      <c r="J2829" s="134"/>
      <c r="K2829" s="223" t="s">
        <v>8</v>
      </c>
      <c r="L2829" s="113" t="s">
        <v>193</v>
      </c>
      <c r="O2829" s="438"/>
      <c r="P2829" s="438"/>
    </row>
    <row r="2830" spans="1:16" x14ac:dyDescent="0.25">
      <c r="B2830" s="120">
        <v>1</v>
      </c>
      <c r="C2830" s="407" t="s">
        <v>90</v>
      </c>
      <c r="D2830" s="408"/>
      <c r="E2830" s="114">
        <f>I2826</f>
        <v>1</v>
      </c>
      <c r="F2830" s="83">
        <f>ROUND(E2830/I2826,2)</f>
        <v>1</v>
      </c>
      <c r="G2830" s="74" t="str">
        <f>IF(C2830=0,0,VLOOKUP(C2830,Tabla1[],2,FALSE))</f>
        <v>Unidad</v>
      </c>
      <c r="I2830" s="115">
        <f>IF(C2830=0,0,VLOOKUP(C2830,Tabla1[],3,FALSE))</f>
        <v>1324.55</v>
      </c>
      <c r="K2830" s="84">
        <f>F2830*I2830</f>
        <v>1324.55</v>
      </c>
      <c r="L2830" s="116">
        <f>E2830*I2830</f>
        <v>1324.55</v>
      </c>
      <c r="O2830" s="44"/>
      <c r="P2830" s="45"/>
    </row>
    <row r="2831" spans="1:16" x14ac:dyDescent="0.25">
      <c r="B2831" s="120"/>
      <c r="C2831" s="407"/>
      <c r="D2831" s="408"/>
      <c r="E2831" s="114"/>
      <c r="F2831" s="83"/>
      <c r="G2831" s="74"/>
      <c r="I2831" s="115">
        <f>IF(C2831=0,0,VLOOKUP(C2831,Tabla1[],3,FALSE))</f>
        <v>0</v>
      </c>
      <c r="K2831" s="84">
        <f>F2831*I2831</f>
        <v>0</v>
      </c>
      <c r="L2831" s="116">
        <f>E2831*I2831</f>
        <v>0</v>
      </c>
      <c r="O2831" s="44"/>
      <c r="P2831" s="45"/>
    </row>
    <row r="2832" spans="1:16" x14ac:dyDescent="0.25">
      <c r="B2832" s="120"/>
      <c r="C2832" s="430"/>
      <c r="D2832" s="429"/>
      <c r="E2832" s="114"/>
      <c r="F2832" s="83"/>
      <c r="G2832" s="74"/>
      <c r="I2832" s="115">
        <f>IF(C2832=0,0,VLOOKUP(C2832,Tabla1[],3,FALSE))</f>
        <v>0</v>
      </c>
      <c r="K2832" s="84">
        <f>+F2832*I2832</f>
        <v>0</v>
      </c>
      <c r="L2832" s="116">
        <f>E2832*I2832</f>
        <v>0</v>
      </c>
      <c r="O2832" s="44"/>
      <c r="P2832" s="46"/>
    </row>
    <row r="2833" spans="2:16" x14ac:dyDescent="0.3">
      <c r="B2833" s="120"/>
      <c r="C2833" s="428"/>
      <c r="D2833" s="429"/>
      <c r="E2833" s="114"/>
      <c r="F2833" s="83"/>
      <c r="G2833" s="74"/>
      <c r="I2833" s="115">
        <f>IF(C2833=0,0,VLOOKUP(C2833,Tabla1[],3,FALSE))</f>
        <v>0</v>
      </c>
      <c r="K2833" s="84">
        <f>+F2833*I2833</f>
        <v>0</v>
      </c>
      <c r="L2833" s="116">
        <f>E2833*I2833</f>
        <v>0</v>
      </c>
      <c r="P2833" s="45"/>
    </row>
    <row r="2834" spans="2:16" ht="17.25" thickBot="1" x14ac:dyDescent="0.35"/>
    <row r="2835" spans="2:16" ht="17.25" thickBot="1" x14ac:dyDescent="0.3">
      <c r="F2835" s="402" t="s">
        <v>9</v>
      </c>
      <c r="G2835" s="403"/>
      <c r="H2835" s="403"/>
      <c r="I2835" s="404"/>
      <c r="K2835" s="224">
        <f>+SUM(K2830:K2833)</f>
        <v>1324.55</v>
      </c>
      <c r="L2835" s="117">
        <f>+SUM(L2830:L2833)</f>
        <v>1324.55</v>
      </c>
      <c r="O2835" s="38"/>
      <c r="P2835" s="38"/>
    </row>
    <row r="2836" spans="2:16" ht="17.25" thickBot="1" x14ac:dyDescent="0.35">
      <c r="O2836" s="42"/>
      <c r="P2836" s="43"/>
    </row>
    <row r="2837" spans="2:16" ht="17.25" thickBot="1" x14ac:dyDescent="0.35">
      <c r="B2837" s="108" t="s">
        <v>10</v>
      </c>
      <c r="C2837" s="413" t="s">
        <v>11</v>
      </c>
      <c r="D2837" s="413"/>
      <c r="E2837" s="413"/>
      <c r="F2837" s="413"/>
      <c r="G2837" s="414"/>
    </row>
    <row r="2838" spans="2:16" x14ac:dyDescent="0.3">
      <c r="B2838" s="112" t="s">
        <v>6</v>
      </c>
      <c r="C2838" s="415" t="s">
        <v>1</v>
      </c>
      <c r="D2838" s="416"/>
      <c r="E2838" s="110" t="s">
        <v>192</v>
      </c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120"/>
      <c r="C2839" s="409"/>
      <c r="D2839" s="409"/>
      <c r="E2839" s="114"/>
      <c r="F2839" s="83"/>
      <c r="G2839" s="74"/>
      <c r="I2839" s="115">
        <f>IF(C2839=0,0,VLOOKUP(C2839,Tabla3[],3,FALSE))</f>
        <v>0</v>
      </c>
      <c r="K2839" s="84">
        <f>F2839*I2839</f>
        <v>0</v>
      </c>
      <c r="L2839" s="116">
        <f>E2839*I2839</f>
        <v>0</v>
      </c>
    </row>
    <row r="2840" spans="2:16" x14ac:dyDescent="0.3">
      <c r="B2840" s="74"/>
      <c r="C2840" s="431"/>
      <c r="D2840" s="432"/>
      <c r="E2840" s="119"/>
      <c r="F2840" s="72"/>
      <c r="G2840" s="74"/>
      <c r="I2840" s="115">
        <f>IF(C2840=0,0,VLOOKUP(C2840,Tabla3[],3,FALSE))</f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431"/>
      <c r="D2841" s="432"/>
      <c r="E2841" s="119"/>
      <c r="F2841" s="72"/>
      <c r="G2841" s="74"/>
      <c r="I2841" s="115">
        <f>IF(C2841=0,0,VLOOKUP(C2841,Tabla3[],3,FALSE))</f>
        <v>0</v>
      </c>
      <c r="K2841" s="84">
        <f>+F2841*I2841</f>
        <v>0</v>
      </c>
      <c r="L2841" s="116">
        <f>E2841*I2841</f>
        <v>0</v>
      </c>
    </row>
    <row r="2842" spans="2:16" x14ac:dyDescent="0.3">
      <c r="B2842" s="74"/>
      <c r="C2842" s="411"/>
      <c r="D2842" s="412"/>
      <c r="E2842" s="119"/>
      <c r="F2842" s="72"/>
      <c r="G2842" s="74"/>
      <c r="I2842" s="115">
        <f>IF(C2842=0,0,VLOOKUP(C2842,Tabla3[],3,FALSE))</f>
        <v>0</v>
      </c>
      <c r="K2842" s="84">
        <f>+F2842*I2842</f>
        <v>0</v>
      </c>
      <c r="L2842" s="116">
        <f>E2842*I2842</f>
        <v>0</v>
      </c>
    </row>
    <row r="2843" spans="2:16" ht="17.25" thickBot="1" x14ac:dyDescent="0.35"/>
    <row r="2844" spans="2:16" ht="17.25" thickBot="1" x14ac:dyDescent="0.35">
      <c r="F2844" s="402" t="s">
        <v>12</v>
      </c>
      <c r="G2844" s="403"/>
      <c r="H2844" s="403"/>
      <c r="I2844" s="404"/>
      <c r="K2844" s="224">
        <f>+SUM(K2839:K2842)</f>
        <v>0</v>
      </c>
      <c r="L2844" s="117">
        <f>+SUM(L2839:L2842)</f>
        <v>0</v>
      </c>
    </row>
    <row r="2845" spans="2:16" ht="17.25" thickBot="1" x14ac:dyDescent="0.35"/>
    <row r="2846" spans="2:16" ht="17.25" thickBot="1" x14ac:dyDescent="0.35">
      <c r="B2846" s="108" t="s">
        <v>13</v>
      </c>
      <c r="C2846" s="413" t="s">
        <v>14</v>
      </c>
      <c r="D2846" s="413"/>
      <c r="E2846" s="413"/>
      <c r="F2846" s="413"/>
      <c r="G2846" s="414"/>
    </row>
    <row r="2847" spans="2:16" x14ac:dyDescent="0.3">
      <c r="B2847" s="112" t="s">
        <v>6</v>
      </c>
      <c r="C2847" s="415" t="s">
        <v>1</v>
      </c>
      <c r="D2847" s="416"/>
      <c r="E2847" s="110" t="s">
        <v>192</v>
      </c>
      <c r="F2847" s="118" t="s">
        <v>2</v>
      </c>
      <c r="G2847" s="112" t="s">
        <v>3</v>
      </c>
      <c r="H2847" s="104"/>
      <c r="I2847" s="105" t="s">
        <v>7</v>
      </c>
      <c r="J2847" s="134"/>
      <c r="K2847" s="105" t="s">
        <v>8</v>
      </c>
      <c r="L2847" s="113" t="s">
        <v>193</v>
      </c>
    </row>
    <row r="2848" spans="2:16" x14ac:dyDescent="0.3">
      <c r="B2848" s="120">
        <v>1</v>
      </c>
      <c r="C2848" s="409" t="s">
        <v>271</v>
      </c>
      <c r="D2848" s="409"/>
      <c r="E2848" s="114">
        <f>I2826</f>
        <v>1</v>
      </c>
      <c r="F2848" s="83">
        <f>ROUND(E2848/I2826,2)</f>
        <v>1</v>
      </c>
      <c r="G2848" s="74" t="str">
        <f>IF(C2848=0,0,VLOOKUP(C2848,Tabla2[],2,FALSE))</f>
        <v>Unidad</v>
      </c>
      <c r="I2848" s="115">
        <f>IF(C2848=0,0,VLOOKUP(C2848,Tabla2[],3,FALSE))</f>
        <v>50</v>
      </c>
      <c r="K2848" s="84">
        <f>+F2848*I2848</f>
        <v>50</v>
      </c>
      <c r="L2848" s="116">
        <f>E2848*I2848</f>
        <v>50</v>
      </c>
    </row>
    <row r="2849" spans="2:16" x14ac:dyDescent="0.3">
      <c r="B2849" s="120"/>
      <c r="C2849" s="409"/>
      <c r="D2849" s="409"/>
      <c r="E2849" s="114"/>
      <c r="F2849" s="83"/>
      <c r="G2849" s="74"/>
      <c r="I2849" s="115">
        <f>IF(C2849=0,0,VLOOKUP(C2849,Tabla2[],3,FALSE))</f>
        <v>0</v>
      </c>
      <c r="K2849" s="84">
        <f>+F2849*I2849</f>
        <v>0</v>
      </c>
      <c r="L2849" s="116">
        <f>E2849*I2849</f>
        <v>0</v>
      </c>
    </row>
    <row r="2850" spans="2:16" ht="17.25" thickBot="1" x14ac:dyDescent="0.35">
      <c r="B2850" s="121"/>
      <c r="C2850" s="417"/>
      <c r="D2850" s="418"/>
      <c r="E2850" s="122"/>
      <c r="F2850" s="123"/>
      <c r="G2850" s="74"/>
      <c r="I2850" s="115">
        <f>IF(C2850=0,0,VLOOKUP(C2850,Tabla2[],3,FALSE))</f>
        <v>0</v>
      </c>
      <c r="K2850" s="84">
        <f>+F2850*I2850</f>
        <v>0</v>
      </c>
      <c r="L2850" s="116">
        <f>E2850*I2850</f>
        <v>0</v>
      </c>
    </row>
    <row r="2851" spans="2:16" ht="17.25" thickBot="1" x14ac:dyDescent="0.35">
      <c r="B2851" s="419" t="s">
        <v>15</v>
      </c>
      <c r="C2851" s="420"/>
      <c r="D2851" s="420"/>
      <c r="E2851" s="420"/>
      <c r="F2851" s="420"/>
      <c r="G2851" s="421"/>
      <c r="I2851" s="84">
        <v>0</v>
      </c>
      <c r="K2851" s="84">
        <v>0</v>
      </c>
      <c r="L2851" s="116">
        <f>E2851*I2851</f>
        <v>0</v>
      </c>
    </row>
    <row r="2852" spans="2:16" ht="17.25" thickBot="1" x14ac:dyDescent="0.35"/>
    <row r="2853" spans="2:16" ht="17.25" thickBot="1" x14ac:dyDescent="0.35">
      <c r="F2853" s="402" t="s">
        <v>16</v>
      </c>
      <c r="G2853" s="403"/>
      <c r="H2853" s="403"/>
      <c r="I2853" s="404"/>
      <c r="K2853" s="224">
        <f>+SUM(K2848:K2851)</f>
        <v>50</v>
      </c>
      <c r="L2853" s="117">
        <f>+SUM(L2848:L2851)</f>
        <v>50</v>
      </c>
    </row>
    <row r="2854" spans="2:16" ht="17.25" thickBot="1" x14ac:dyDescent="0.35"/>
    <row r="2855" spans="2:16" ht="17.25" thickBot="1" x14ac:dyDescent="0.35">
      <c r="B2855" s="108" t="s">
        <v>17</v>
      </c>
      <c r="C2855" s="413" t="s">
        <v>18</v>
      </c>
      <c r="D2855" s="413"/>
      <c r="E2855" s="413"/>
      <c r="F2855" s="413"/>
      <c r="G2855" s="414"/>
    </row>
    <row r="2856" spans="2:16" x14ac:dyDescent="0.3">
      <c r="B2856" s="112" t="s">
        <v>6</v>
      </c>
      <c r="C2856" s="415" t="s">
        <v>1</v>
      </c>
      <c r="D2856" s="416"/>
      <c r="E2856" s="124"/>
      <c r="F2856" s="118" t="s">
        <v>2</v>
      </c>
      <c r="G2856" s="112" t="s">
        <v>3</v>
      </c>
      <c r="H2856" s="104"/>
      <c r="I2856" s="105" t="s">
        <v>7</v>
      </c>
      <c r="J2856" s="134"/>
      <c r="K2856" s="105" t="s">
        <v>8</v>
      </c>
      <c r="L2856" s="113" t="s">
        <v>193</v>
      </c>
    </row>
    <row r="2857" spans="2:16" x14ac:dyDescent="0.3">
      <c r="B2857" s="74"/>
      <c r="C2857" s="411"/>
      <c r="D2857" s="412"/>
      <c r="E2857" s="125"/>
      <c r="F2857" s="72"/>
      <c r="G2857" s="74"/>
      <c r="I2857" s="84">
        <v>0</v>
      </c>
      <c r="K2857" s="84">
        <f>+F2857*I2857</f>
        <v>0</v>
      </c>
      <c r="L2857" s="116">
        <f>E2857*I2857</f>
        <v>0</v>
      </c>
    </row>
    <row r="2858" spans="2:16" x14ac:dyDescent="0.3">
      <c r="B2858" s="74"/>
      <c r="C2858" s="411"/>
      <c r="D2858" s="412"/>
      <c r="E2858" s="125"/>
      <c r="F2858" s="72"/>
      <c r="G2858" s="74"/>
      <c r="I2858" s="84">
        <v>0</v>
      </c>
      <c r="K2858" s="84">
        <f>+F2858*I2858</f>
        <v>0</v>
      </c>
      <c r="L2858" s="116">
        <f>E2858*I2858</f>
        <v>0</v>
      </c>
    </row>
    <row r="2859" spans="2:16" x14ac:dyDescent="0.3">
      <c r="B2859" s="74"/>
      <c r="C2859" s="411"/>
      <c r="D2859" s="412"/>
      <c r="E2859" s="125"/>
      <c r="F2859" s="72"/>
      <c r="G2859" s="74"/>
      <c r="I2859" s="84">
        <v>0</v>
      </c>
      <c r="K2859" s="84">
        <f>+F2859*I2859</f>
        <v>0</v>
      </c>
      <c r="L2859" s="116">
        <f>E2859*I2859</f>
        <v>0</v>
      </c>
    </row>
    <row r="2860" spans="2:16" ht="17.25" thickBot="1" x14ac:dyDescent="0.35">
      <c r="L2860" s="116"/>
    </row>
    <row r="2861" spans="2:16" ht="17.25" thickBot="1" x14ac:dyDescent="0.35">
      <c r="F2861" s="402" t="s">
        <v>19</v>
      </c>
      <c r="G2861" s="403"/>
      <c r="H2861" s="403"/>
      <c r="I2861" s="404"/>
      <c r="K2861" s="224">
        <f>+SUM(K2857:K2859)</f>
        <v>0</v>
      </c>
      <c r="L2861" s="117">
        <f>+SUM(L2856:L2859)</f>
        <v>0</v>
      </c>
    </row>
    <row r="2862" spans="2:16" ht="15" customHeight="1" x14ac:dyDescent="0.3">
      <c r="F2862" s="126"/>
      <c r="G2862" s="280"/>
      <c r="H2862" s="128"/>
      <c r="I2862" s="106"/>
      <c r="K2862" s="225"/>
    </row>
    <row r="2863" spans="2:16" ht="15" customHeight="1" thickBot="1" x14ac:dyDescent="0.35"/>
    <row r="2864" spans="2:16" ht="17.25" thickBot="1" x14ac:dyDescent="0.35">
      <c r="F2864" s="402" t="s">
        <v>20</v>
      </c>
      <c r="G2864" s="403"/>
      <c r="H2864" s="403"/>
      <c r="I2864" s="404"/>
      <c r="K2864" s="224">
        <f>(+K2835+K2844+K2853+K2861)</f>
        <v>1374.55</v>
      </c>
      <c r="L2864" s="117">
        <f>(+L2835+L2844+L2853+L2861)</f>
        <v>1374.55</v>
      </c>
      <c r="N2864" s="129"/>
      <c r="O2864" s="39"/>
      <c r="P2864" s="40"/>
    </row>
    <row r="2865" spans="1:16" ht="7.5" customHeight="1" thickBot="1" x14ac:dyDescent="0.35">
      <c r="N2865" s="129"/>
      <c r="O2865" s="41"/>
      <c r="P2865" s="40"/>
    </row>
    <row r="2866" spans="1:16" ht="17.25" thickBot="1" x14ac:dyDescent="0.35">
      <c r="F2866" s="402" t="s">
        <v>21</v>
      </c>
      <c r="G2866" s="403"/>
      <c r="H2866" s="403"/>
      <c r="I2866" s="404"/>
      <c r="K2866" s="224">
        <f>K2864*$N$2</f>
        <v>549.82000000000005</v>
      </c>
      <c r="L2866" s="117">
        <f>L2864*$N$2</f>
        <v>549.82000000000005</v>
      </c>
    </row>
    <row r="2867" spans="1:16" ht="7.5" customHeight="1" thickBot="1" x14ac:dyDescent="0.35"/>
    <row r="2868" spans="1:16" ht="17.25" thickBot="1" x14ac:dyDescent="0.35">
      <c r="F2868" s="402" t="s">
        <v>22</v>
      </c>
      <c r="G2868" s="403"/>
      <c r="H2868" s="403"/>
      <c r="I2868" s="404"/>
      <c r="K2868" s="224">
        <f>+K2864+K2866</f>
        <v>1924.37</v>
      </c>
      <c r="L2868" s="117">
        <f>+L2864+L2866</f>
        <v>1924.37</v>
      </c>
    </row>
    <row r="2869" spans="1:16" ht="17.25" thickBot="1" x14ac:dyDescent="0.35">
      <c r="F2869" s="126"/>
      <c r="G2869" s="280"/>
      <c r="H2869" s="128"/>
      <c r="I2869" s="106"/>
      <c r="K2869" s="226"/>
      <c r="L2869" s="130">
        <f>L2868/I2826</f>
        <v>1924.37</v>
      </c>
      <c r="M2869" s="131">
        <f>(K2868-L2869)*I2826</f>
        <v>0</v>
      </c>
    </row>
    <row r="2870" spans="1:16" x14ac:dyDescent="0.3">
      <c r="F2870" s="126"/>
      <c r="G2870" s="280"/>
      <c r="H2870" s="128"/>
      <c r="I2870" s="106"/>
      <c r="K2870" s="227"/>
      <c r="L2870" s="129"/>
      <c r="M2870" s="132"/>
      <c r="N2870" s="133"/>
    </row>
    <row r="2871" spans="1:16" ht="17.25" thickBot="1" x14ac:dyDescent="0.35">
      <c r="B2871" s="405"/>
      <c r="C2871" s="405"/>
      <c r="D2871" s="405"/>
    </row>
    <row r="2872" spans="1:16" x14ac:dyDescent="0.3">
      <c r="B2872" s="406" t="s">
        <v>23</v>
      </c>
      <c r="C2872" s="406"/>
      <c r="D2872" s="406"/>
    </row>
    <row r="2873" spans="1:16" x14ac:dyDescent="0.3">
      <c r="B2873" s="281"/>
      <c r="C2873" s="281"/>
      <c r="D2873" s="281"/>
    </row>
    <row r="2875" spans="1:16" x14ac:dyDescent="0.3">
      <c r="B2875" s="103" t="s">
        <v>43</v>
      </c>
      <c r="C2875" s="104"/>
      <c r="D2875" s="422" t="s">
        <v>1</v>
      </c>
      <c r="E2875" s="422"/>
      <c r="F2875" s="422"/>
      <c r="G2875" s="422"/>
      <c r="H2875" s="104"/>
      <c r="I2875" s="105" t="s">
        <v>2</v>
      </c>
      <c r="J2875" s="134"/>
      <c r="K2875" s="105" t="s">
        <v>3</v>
      </c>
    </row>
    <row r="2876" spans="1:16" s="4" customFormat="1" ht="30.75" customHeight="1" x14ac:dyDescent="0.25">
      <c r="A2876" s="31"/>
      <c r="B2876" s="287">
        <f>CATALOGO!B94</f>
        <v>1207.03</v>
      </c>
      <c r="C2876" s="71"/>
      <c r="D2876" s="437" t="str">
        <f>CATALOGO!C94</f>
        <v>GABINETE METÁLICO PARA EXTINTOR EMPOTRADO</v>
      </c>
      <c r="E2876" s="437"/>
      <c r="F2876" s="437"/>
      <c r="G2876" s="437"/>
      <c r="H2876" s="71"/>
      <c r="I2876" s="287">
        <f>CATALOGO!D94</f>
        <v>1</v>
      </c>
      <c r="J2876" s="107"/>
      <c r="K2876" s="222" t="str">
        <f>CATALOGO!G94</f>
        <v>Unidad</v>
      </c>
      <c r="L2876" s="71"/>
      <c r="M2876" s="71"/>
      <c r="N2876" s="102"/>
      <c r="O2876" s="37"/>
      <c r="P2876" s="37"/>
    </row>
    <row r="2877" spans="1:16" ht="17.25" thickBot="1" x14ac:dyDescent="0.35"/>
    <row r="2878" spans="1:16" ht="17.25" thickBot="1" x14ac:dyDescent="0.35">
      <c r="B2878" s="108" t="s">
        <v>4</v>
      </c>
      <c r="C2878" s="413" t="s">
        <v>5</v>
      </c>
      <c r="D2878" s="413"/>
      <c r="E2878" s="413"/>
      <c r="F2878" s="413"/>
      <c r="G2878" s="414"/>
    </row>
    <row r="2879" spans="1:16" x14ac:dyDescent="0.25">
      <c r="B2879" s="109" t="s">
        <v>6</v>
      </c>
      <c r="C2879" s="424" t="s">
        <v>1</v>
      </c>
      <c r="D2879" s="425"/>
      <c r="E2879" s="110" t="s">
        <v>192</v>
      </c>
      <c r="F2879" s="111" t="s">
        <v>2</v>
      </c>
      <c r="G2879" s="112" t="s">
        <v>3</v>
      </c>
      <c r="H2879" s="104"/>
      <c r="I2879" s="105" t="s">
        <v>7</v>
      </c>
      <c r="J2879" s="134"/>
      <c r="K2879" s="223" t="s">
        <v>8</v>
      </c>
      <c r="L2879" s="113" t="s">
        <v>193</v>
      </c>
      <c r="O2879" s="438"/>
      <c r="P2879" s="438"/>
    </row>
    <row r="2880" spans="1:16" x14ac:dyDescent="0.25">
      <c r="B2880" s="120">
        <v>1</v>
      </c>
      <c r="C2880" s="407" t="s">
        <v>592</v>
      </c>
      <c r="D2880" s="408"/>
      <c r="E2880" s="114">
        <f>I2876</f>
        <v>1</v>
      </c>
      <c r="F2880" s="83">
        <f>ROUND(E2880/I2876,2)</f>
        <v>1</v>
      </c>
      <c r="G2880" s="74" t="str">
        <f>IF(C2880=0,0,VLOOKUP(C2880,Tabla1[],2,FALSE))</f>
        <v>Unidad</v>
      </c>
      <c r="I2880" s="115">
        <f>IF(C2880=0,0,VLOOKUP(C2880,Tabla1[],3,FALSE))</f>
        <v>1110</v>
      </c>
      <c r="K2880" s="84">
        <f>F2880*I2880</f>
        <v>1110</v>
      </c>
      <c r="L2880" s="116">
        <f>E2880*I2880</f>
        <v>1110</v>
      </c>
      <c r="O2880" s="44"/>
      <c r="P2880" s="45"/>
    </row>
    <row r="2881" spans="2:16" x14ac:dyDescent="0.25">
      <c r="B2881" s="120"/>
      <c r="C2881" s="407"/>
      <c r="D2881" s="408"/>
      <c r="E2881" s="114"/>
      <c r="F2881" s="83"/>
      <c r="G2881" s="74"/>
      <c r="I2881" s="115">
        <f>IF(C2881=0,0,VLOOKUP(C2881,Tabla1[],3,FALSE))</f>
        <v>0</v>
      </c>
      <c r="K2881" s="84">
        <f>F2881*I2881</f>
        <v>0</v>
      </c>
      <c r="L2881" s="116">
        <f>E2881*I2881</f>
        <v>0</v>
      </c>
      <c r="O2881" s="44"/>
      <c r="P2881" s="45"/>
    </row>
    <row r="2882" spans="2:16" x14ac:dyDescent="0.25">
      <c r="B2882" s="120"/>
      <c r="C2882" s="430"/>
      <c r="D2882" s="429"/>
      <c r="E2882" s="114"/>
      <c r="F2882" s="83"/>
      <c r="G2882" s="74"/>
      <c r="I2882" s="115">
        <f>IF(C2882=0,0,VLOOKUP(C2882,Tabla1[],3,FALSE))</f>
        <v>0</v>
      </c>
      <c r="K2882" s="84">
        <f>+F2882*I2882</f>
        <v>0</v>
      </c>
      <c r="L2882" s="116">
        <f>E2882*I2882</f>
        <v>0</v>
      </c>
      <c r="O2882" s="44"/>
      <c r="P2882" s="46"/>
    </row>
    <row r="2883" spans="2:16" x14ac:dyDescent="0.3">
      <c r="B2883" s="120"/>
      <c r="C2883" s="428"/>
      <c r="D2883" s="429"/>
      <c r="E2883" s="114"/>
      <c r="F2883" s="83"/>
      <c r="G2883" s="74"/>
      <c r="I2883" s="115">
        <f>IF(C2883=0,0,VLOOKUP(C2883,Tabla1[],3,FALSE))</f>
        <v>0</v>
      </c>
      <c r="K2883" s="84">
        <f>+F2883*I2883</f>
        <v>0</v>
      </c>
      <c r="L2883" s="116">
        <f>E2883*I2883</f>
        <v>0</v>
      </c>
      <c r="P2883" s="45"/>
    </row>
    <row r="2884" spans="2:16" ht="17.25" thickBot="1" x14ac:dyDescent="0.35"/>
    <row r="2885" spans="2:16" ht="17.25" thickBot="1" x14ac:dyDescent="0.3">
      <c r="F2885" s="402" t="s">
        <v>9</v>
      </c>
      <c r="G2885" s="403"/>
      <c r="H2885" s="403"/>
      <c r="I2885" s="404"/>
      <c r="K2885" s="224">
        <f>+SUM(K2880:K2883)</f>
        <v>1110</v>
      </c>
      <c r="L2885" s="117">
        <f>+SUM(L2880:L2883)</f>
        <v>1110</v>
      </c>
      <c r="O2885" s="38"/>
      <c r="P2885" s="38"/>
    </row>
    <row r="2886" spans="2:16" ht="17.25" thickBot="1" x14ac:dyDescent="0.35">
      <c r="O2886" s="42"/>
      <c r="P2886" s="43"/>
    </row>
    <row r="2887" spans="2:16" ht="17.25" thickBot="1" x14ac:dyDescent="0.35">
      <c r="B2887" s="108" t="s">
        <v>10</v>
      </c>
      <c r="C2887" s="413" t="s">
        <v>11</v>
      </c>
      <c r="D2887" s="413"/>
      <c r="E2887" s="413"/>
      <c r="F2887" s="413"/>
      <c r="G2887" s="414"/>
    </row>
    <row r="2888" spans="2:16" x14ac:dyDescent="0.3">
      <c r="B2888" s="112" t="s">
        <v>6</v>
      </c>
      <c r="C2888" s="415" t="s">
        <v>1</v>
      </c>
      <c r="D2888" s="416"/>
      <c r="E2888" s="110" t="s">
        <v>192</v>
      </c>
      <c r="F2888" s="118" t="s">
        <v>2</v>
      </c>
      <c r="G2888" s="112" t="s">
        <v>3</v>
      </c>
      <c r="H2888" s="104"/>
      <c r="I2888" s="105" t="s">
        <v>7</v>
      </c>
      <c r="J2888" s="134"/>
      <c r="K2888" s="105" t="s">
        <v>8</v>
      </c>
      <c r="L2888" s="113" t="s">
        <v>193</v>
      </c>
    </row>
    <row r="2889" spans="2:16" x14ac:dyDescent="0.3">
      <c r="B2889" s="120"/>
      <c r="C2889" s="409"/>
      <c r="D2889" s="409"/>
      <c r="E2889" s="114"/>
      <c r="F2889" s="83"/>
      <c r="G2889" s="74"/>
      <c r="I2889" s="115">
        <f>IF(C2889=0,0,VLOOKUP(C2889,Tabla3[],3,FALSE))</f>
        <v>0</v>
      </c>
      <c r="K2889" s="84">
        <f>F2889*I2889</f>
        <v>0</v>
      </c>
      <c r="L2889" s="116">
        <f>E2889*I2889</f>
        <v>0</v>
      </c>
    </row>
    <row r="2890" spans="2:16" x14ac:dyDescent="0.3">
      <c r="B2890" s="74"/>
      <c r="C2890" s="431"/>
      <c r="D2890" s="432"/>
      <c r="E2890" s="119"/>
      <c r="F2890" s="72"/>
      <c r="G2890" s="74"/>
      <c r="I2890" s="115">
        <f>IF(C2890=0,0,VLOOKUP(C2890,Tabla3[],3,FALSE))</f>
        <v>0</v>
      </c>
      <c r="K2890" s="84">
        <f>+F2890*I2890</f>
        <v>0</v>
      </c>
      <c r="L2890" s="116">
        <f>E2890*I2890</f>
        <v>0</v>
      </c>
    </row>
    <row r="2891" spans="2:16" x14ac:dyDescent="0.3">
      <c r="B2891" s="74"/>
      <c r="C2891" s="431"/>
      <c r="D2891" s="432"/>
      <c r="E2891" s="119"/>
      <c r="F2891" s="72"/>
      <c r="G2891" s="74"/>
      <c r="I2891" s="115">
        <f>IF(C2891=0,0,VLOOKUP(C2891,Tabla3[],3,FALSE))</f>
        <v>0</v>
      </c>
      <c r="K2891" s="84">
        <f>+F2891*I2891</f>
        <v>0</v>
      </c>
      <c r="L2891" s="116">
        <f>E2891*I2891</f>
        <v>0</v>
      </c>
    </row>
    <row r="2892" spans="2:16" x14ac:dyDescent="0.3">
      <c r="B2892" s="74"/>
      <c r="C2892" s="411"/>
      <c r="D2892" s="412"/>
      <c r="E2892" s="119"/>
      <c r="F2892" s="72"/>
      <c r="G2892" s="74"/>
      <c r="I2892" s="115">
        <f>IF(C2892=0,0,VLOOKUP(C2892,Tabla3[],3,FALSE))</f>
        <v>0</v>
      </c>
      <c r="K2892" s="84">
        <f>+F2892*I2892</f>
        <v>0</v>
      </c>
      <c r="L2892" s="116">
        <f>E2892*I2892</f>
        <v>0</v>
      </c>
    </row>
    <row r="2893" spans="2:16" ht="17.25" thickBot="1" x14ac:dyDescent="0.35"/>
    <row r="2894" spans="2:16" ht="17.25" thickBot="1" x14ac:dyDescent="0.35">
      <c r="F2894" s="402" t="s">
        <v>12</v>
      </c>
      <c r="G2894" s="403"/>
      <c r="H2894" s="403"/>
      <c r="I2894" s="404"/>
      <c r="K2894" s="224">
        <f>+SUM(K2889:K2892)</f>
        <v>0</v>
      </c>
      <c r="L2894" s="117">
        <f>+SUM(L2889:L2892)</f>
        <v>0</v>
      </c>
    </row>
    <row r="2895" spans="2:16" ht="17.25" thickBot="1" x14ac:dyDescent="0.35"/>
    <row r="2896" spans="2:16" ht="17.25" thickBot="1" x14ac:dyDescent="0.35">
      <c r="B2896" s="108" t="s">
        <v>13</v>
      </c>
      <c r="C2896" s="413" t="s">
        <v>14</v>
      </c>
      <c r="D2896" s="413"/>
      <c r="E2896" s="413"/>
      <c r="F2896" s="413"/>
      <c r="G2896" s="414"/>
    </row>
    <row r="2897" spans="2:12" x14ac:dyDescent="0.3">
      <c r="B2897" s="112" t="s">
        <v>6</v>
      </c>
      <c r="C2897" s="415" t="s">
        <v>1</v>
      </c>
      <c r="D2897" s="416"/>
      <c r="E2897" s="110" t="s">
        <v>192</v>
      </c>
      <c r="F2897" s="118" t="s">
        <v>2</v>
      </c>
      <c r="G2897" s="112" t="s">
        <v>3</v>
      </c>
      <c r="H2897" s="104"/>
      <c r="I2897" s="105" t="s">
        <v>7</v>
      </c>
      <c r="J2897" s="134"/>
      <c r="K2897" s="105" t="s">
        <v>8</v>
      </c>
      <c r="L2897" s="113" t="s">
        <v>193</v>
      </c>
    </row>
    <row r="2898" spans="2:12" x14ac:dyDescent="0.3">
      <c r="B2898" s="120">
        <v>1</v>
      </c>
      <c r="C2898" s="409" t="s">
        <v>593</v>
      </c>
      <c r="D2898" s="409"/>
      <c r="E2898" s="114">
        <f>I2876</f>
        <v>1</v>
      </c>
      <c r="F2898" s="83">
        <f>ROUND(E2898/I2876,2)</f>
        <v>1</v>
      </c>
      <c r="G2898" s="74" t="str">
        <f>IF(C2898=0,0,VLOOKUP(C2898,Tabla2[],2,FALSE))</f>
        <v>Unidad</v>
      </c>
      <c r="I2898" s="115">
        <f>IF(C2898=0,0,VLOOKUP(C2898,Tabla2[],3,FALSE))</f>
        <v>50</v>
      </c>
      <c r="K2898" s="84">
        <f>+F2898*I2898</f>
        <v>50</v>
      </c>
      <c r="L2898" s="116">
        <f>E2898*I2898</f>
        <v>50</v>
      </c>
    </row>
    <row r="2899" spans="2:12" x14ac:dyDescent="0.3">
      <c r="B2899" s="120"/>
      <c r="C2899" s="409"/>
      <c r="D2899" s="409"/>
      <c r="E2899" s="114"/>
      <c r="F2899" s="83"/>
      <c r="G2899" s="74"/>
      <c r="I2899" s="115">
        <f>IF(C2899=0,0,VLOOKUP(C2899,Tabla2[],3,FALSE))</f>
        <v>0</v>
      </c>
      <c r="K2899" s="84">
        <f>+F2899*I2899</f>
        <v>0</v>
      </c>
      <c r="L2899" s="116">
        <f>E2899*I2899</f>
        <v>0</v>
      </c>
    </row>
    <row r="2900" spans="2:12" ht="17.25" thickBot="1" x14ac:dyDescent="0.35">
      <c r="B2900" s="121"/>
      <c r="C2900" s="417"/>
      <c r="D2900" s="418"/>
      <c r="E2900" s="122"/>
      <c r="F2900" s="123"/>
      <c r="G2900" s="74"/>
      <c r="I2900" s="115">
        <f>IF(C2900=0,0,VLOOKUP(C2900,Tabla2[],3,FALSE))</f>
        <v>0</v>
      </c>
      <c r="K2900" s="84">
        <f>+F2900*I2900</f>
        <v>0</v>
      </c>
      <c r="L2900" s="116">
        <f>E2900*I2900</f>
        <v>0</v>
      </c>
    </row>
    <row r="2901" spans="2:12" ht="17.25" thickBot="1" x14ac:dyDescent="0.35">
      <c r="B2901" s="419" t="s">
        <v>15</v>
      </c>
      <c r="C2901" s="420"/>
      <c r="D2901" s="420"/>
      <c r="E2901" s="420"/>
      <c r="F2901" s="420"/>
      <c r="G2901" s="421"/>
      <c r="I2901" s="84">
        <v>0</v>
      </c>
      <c r="K2901" s="84">
        <v>0</v>
      </c>
      <c r="L2901" s="116">
        <f>E2901*I2901</f>
        <v>0</v>
      </c>
    </row>
    <row r="2902" spans="2:12" ht="17.25" thickBot="1" x14ac:dyDescent="0.35"/>
    <row r="2903" spans="2:12" ht="17.25" thickBot="1" x14ac:dyDescent="0.35">
      <c r="F2903" s="402" t="s">
        <v>16</v>
      </c>
      <c r="G2903" s="403"/>
      <c r="H2903" s="403"/>
      <c r="I2903" s="404"/>
      <c r="K2903" s="224">
        <f>+SUM(K2898:K2901)</f>
        <v>50</v>
      </c>
      <c r="L2903" s="117">
        <f>+SUM(L2898:L2901)</f>
        <v>50</v>
      </c>
    </row>
    <row r="2904" spans="2:12" ht="17.25" thickBot="1" x14ac:dyDescent="0.35"/>
    <row r="2905" spans="2:12" ht="17.25" thickBot="1" x14ac:dyDescent="0.35">
      <c r="B2905" s="108" t="s">
        <v>17</v>
      </c>
      <c r="C2905" s="413" t="s">
        <v>18</v>
      </c>
      <c r="D2905" s="413"/>
      <c r="E2905" s="413"/>
      <c r="F2905" s="413"/>
      <c r="G2905" s="414"/>
    </row>
    <row r="2906" spans="2:12" x14ac:dyDescent="0.3">
      <c r="B2906" s="112" t="s">
        <v>6</v>
      </c>
      <c r="C2906" s="415" t="s">
        <v>1</v>
      </c>
      <c r="D2906" s="416"/>
      <c r="E2906" s="124"/>
      <c r="F2906" s="118" t="s">
        <v>2</v>
      </c>
      <c r="G2906" s="112" t="s">
        <v>3</v>
      </c>
      <c r="H2906" s="104"/>
      <c r="I2906" s="105" t="s">
        <v>7</v>
      </c>
      <c r="J2906" s="134"/>
      <c r="K2906" s="105" t="s">
        <v>8</v>
      </c>
      <c r="L2906" s="113" t="s">
        <v>193</v>
      </c>
    </row>
    <row r="2907" spans="2:12" x14ac:dyDescent="0.3">
      <c r="B2907" s="74"/>
      <c r="C2907" s="411"/>
      <c r="D2907" s="412"/>
      <c r="E2907" s="125"/>
      <c r="F2907" s="72"/>
      <c r="G2907" s="74"/>
      <c r="I2907" s="84">
        <v>0</v>
      </c>
      <c r="K2907" s="84">
        <f>+F2907*I2907</f>
        <v>0</v>
      </c>
      <c r="L2907" s="116">
        <f>E2907*I2907</f>
        <v>0</v>
      </c>
    </row>
    <row r="2908" spans="2:12" x14ac:dyDescent="0.3">
      <c r="B2908" s="74"/>
      <c r="C2908" s="411"/>
      <c r="D2908" s="412"/>
      <c r="E2908" s="125"/>
      <c r="F2908" s="72"/>
      <c r="G2908" s="74"/>
      <c r="I2908" s="84">
        <v>0</v>
      </c>
      <c r="K2908" s="84">
        <f>+F2908*I2908</f>
        <v>0</v>
      </c>
      <c r="L2908" s="116">
        <f>E2908*I2908</f>
        <v>0</v>
      </c>
    </row>
    <row r="2909" spans="2:12" x14ac:dyDescent="0.3">
      <c r="B2909" s="74"/>
      <c r="C2909" s="411"/>
      <c r="D2909" s="412"/>
      <c r="E2909" s="125"/>
      <c r="F2909" s="72"/>
      <c r="G2909" s="74"/>
      <c r="I2909" s="84">
        <v>0</v>
      </c>
      <c r="K2909" s="84">
        <f>+F2909*I2909</f>
        <v>0</v>
      </c>
      <c r="L2909" s="116">
        <f>E2909*I2909</f>
        <v>0</v>
      </c>
    </row>
    <row r="2910" spans="2:12" ht="17.25" thickBot="1" x14ac:dyDescent="0.35">
      <c r="L2910" s="116"/>
    </row>
    <row r="2911" spans="2:12" ht="17.25" thickBot="1" x14ac:dyDescent="0.35">
      <c r="F2911" s="402" t="s">
        <v>19</v>
      </c>
      <c r="G2911" s="403"/>
      <c r="H2911" s="403"/>
      <c r="I2911" s="404"/>
      <c r="K2911" s="224">
        <f>+SUM(K2907:K2909)</f>
        <v>0</v>
      </c>
      <c r="L2911" s="117">
        <f>+SUM(L2906:L2909)</f>
        <v>0</v>
      </c>
    </row>
    <row r="2912" spans="2:12" ht="15" customHeight="1" x14ac:dyDescent="0.3">
      <c r="F2912" s="126"/>
      <c r="G2912" s="280"/>
      <c r="H2912" s="128"/>
      <c r="I2912" s="106"/>
      <c r="K2912" s="225"/>
    </row>
    <row r="2913" spans="1:16" ht="15" customHeight="1" thickBot="1" x14ac:dyDescent="0.35"/>
    <row r="2914" spans="1:16" ht="17.25" thickBot="1" x14ac:dyDescent="0.35">
      <c r="F2914" s="402" t="s">
        <v>20</v>
      </c>
      <c r="G2914" s="403"/>
      <c r="H2914" s="403"/>
      <c r="I2914" s="404"/>
      <c r="K2914" s="224">
        <f>(+K2885+K2894+K2903+K2911)</f>
        <v>1160</v>
      </c>
      <c r="L2914" s="117">
        <f>(+L2885+L2894+L2903+L2911)</f>
        <v>1160</v>
      </c>
      <c r="N2914" s="129"/>
      <c r="O2914" s="39"/>
      <c r="P2914" s="40"/>
    </row>
    <row r="2915" spans="1:16" ht="7.5" customHeight="1" thickBot="1" x14ac:dyDescent="0.35">
      <c r="N2915" s="129"/>
      <c r="O2915" s="41"/>
      <c r="P2915" s="40"/>
    </row>
    <row r="2916" spans="1:16" ht="17.25" thickBot="1" x14ac:dyDescent="0.35">
      <c r="F2916" s="402" t="s">
        <v>21</v>
      </c>
      <c r="G2916" s="403"/>
      <c r="H2916" s="403"/>
      <c r="I2916" s="404"/>
      <c r="K2916" s="224">
        <f>K2914*$N$2</f>
        <v>464</v>
      </c>
      <c r="L2916" s="117">
        <f>L2914*$N$2</f>
        <v>464</v>
      </c>
    </row>
    <row r="2917" spans="1:16" ht="7.5" customHeight="1" thickBot="1" x14ac:dyDescent="0.35"/>
    <row r="2918" spans="1:16" ht="17.25" thickBot="1" x14ac:dyDescent="0.35">
      <c r="F2918" s="402" t="s">
        <v>22</v>
      </c>
      <c r="G2918" s="403"/>
      <c r="H2918" s="403"/>
      <c r="I2918" s="404"/>
      <c r="K2918" s="224">
        <f>+K2914+K2916</f>
        <v>1624</v>
      </c>
      <c r="L2918" s="117">
        <f>+L2914+L2916</f>
        <v>1624</v>
      </c>
    </row>
    <row r="2919" spans="1:16" ht="17.25" thickBot="1" x14ac:dyDescent="0.35">
      <c r="F2919" s="126"/>
      <c r="G2919" s="280"/>
      <c r="H2919" s="128"/>
      <c r="I2919" s="106"/>
      <c r="K2919" s="226"/>
      <c r="L2919" s="130">
        <f>L2918/I2876</f>
        <v>1624</v>
      </c>
      <c r="M2919" s="131">
        <f>(K2918-L2919)*I2876</f>
        <v>0</v>
      </c>
    </row>
    <row r="2920" spans="1:16" x14ac:dyDescent="0.3">
      <c r="F2920" s="126"/>
      <c r="G2920" s="280"/>
      <c r="H2920" s="128"/>
      <c r="I2920" s="106"/>
      <c r="K2920" s="227"/>
      <c r="L2920" s="129"/>
      <c r="M2920" s="132"/>
      <c r="N2920" s="133"/>
    </row>
    <row r="2921" spans="1:16" ht="17.25" thickBot="1" x14ac:dyDescent="0.35">
      <c r="B2921" s="405"/>
      <c r="C2921" s="405"/>
      <c r="D2921" s="405"/>
    </row>
    <row r="2922" spans="1:16" x14ac:dyDescent="0.3">
      <c r="B2922" s="406" t="s">
        <v>23</v>
      </c>
      <c r="C2922" s="406"/>
      <c r="D2922" s="406"/>
    </row>
    <row r="2923" spans="1:16" x14ac:dyDescent="0.3">
      <c r="B2923" s="281"/>
      <c r="C2923" s="281"/>
      <c r="D2923" s="281"/>
    </row>
    <row r="2925" spans="1:16" x14ac:dyDescent="0.3">
      <c r="B2925" s="103" t="s">
        <v>43</v>
      </c>
      <c r="C2925" s="104"/>
      <c r="D2925" s="422" t="s">
        <v>1</v>
      </c>
      <c r="E2925" s="422"/>
      <c r="F2925" s="422"/>
      <c r="G2925" s="422"/>
      <c r="H2925" s="104"/>
      <c r="I2925" s="105" t="s">
        <v>2</v>
      </c>
      <c r="J2925" s="134"/>
      <c r="K2925" s="105" t="s">
        <v>3</v>
      </c>
    </row>
    <row r="2926" spans="1:16" s="4" customFormat="1" ht="30.75" customHeight="1" x14ac:dyDescent="0.25">
      <c r="A2926" s="31"/>
      <c r="B2926" s="287">
        <f>CATALOGO!B95</f>
        <v>1208.02</v>
      </c>
      <c r="C2926" s="71"/>
      <c r="D2926" s="437" t="str">
        <f>CATALOGO!C95</f>
        <v>CAMPANA DE LÁMINA NEGRA 3/64" PARA ESTUFA</v>
      </c>
      <c r="E2926" s="437"/>
      <c r="F2926" s="437"/>
      <c r="G2926" s="437"/>
      <c r="H2926" s="71"/>
      <c r="I2926" s="287">
        <f>CATALOGO!D95</f>
        <v>1</v>
      </c>
      <c r="J2926" s="107"/>
      <c r="K2926" s="222" t="str">
        <f>CATALOGO!G95</f>
        <v>Unidad</v>
      </c>
      <c r="L2926" s="71"/>
      <c r="M2926" s="71"/>
      <c r="N2926" s="102"/>
      <c r="O2926" s="37"/>
      <c r="P2926" s="37"/>
    </row>
    <row r="2927" spans="1:16" ht="17.25" thickBot="1" x14ac:dyDescent="0.35"/>
    <row r="2928" spans="1:16" ht="17.25" thickBot="1" x14ac:dyDescent="0.35">
      <c r="B2928" s="108" t="s">
        <v>4</v>
      </c>
      <c r="C2928" s="413" t="s">
        <v>5</v>
      </c>
      <c r="D2928" s="413"/>
      <c r="E2928" s="413"/>
      <c r="F2928" s="413"/>
      <c r="G2928" s="414"/>
    </row>
    <row r="2929" spans="2:16" x14ac:dyDescent="0.25">
      <c r="B2929" s="109" t="s">
        <v>6</v>
      </c>
      <c r="C2929" s="424" t="s">
        <v>1</v>
      </c>
      <c r="D2929" s="425"/>
      <c r="E2929" s="110" t="s">
        <v>192</v>
      </c>
      <c r="F2929" s="111" t="s">
        <v>2</v>
      </c>
      <c r="G2929" s="112" t="s">
        <v>3</v>
      </c>
      <c r="H2929" s="104"/>
      <c r="I2929" s="105" t="s">
        <v>7</v>
      </c>
      <c r="J2929" s="134"/>
      <c r="K2929" s="223" t="s">
        <v>8</v>
      </c>
      <c r="L2929" s="113" t="s">
        <v>193</v>
      </c>
      <c r="O2929" s="438"/>
      <c r="P2929" s="438"/>
    </row>
    <row r="2930" spans="2:16" x14ac:dyDescent="0.25">
      <c r="B2930" s="120">
        <v>1</v>
      </c>
      <c r="C2930" s="407" t="s">
        <v>56</v>
      </c>
      <c r="D2930" s="408"/>
      <c r="E2930" s="114">
        <f>I2926</f>
        <v>1</v>
      </c>
      <c r="F2930" s="83">
        <f>ROUND(E2930/I2926,2)</f>
        <v>1</v>
      </c>
      <c r="G2930" s="74" t="str">
        <f>IF(C2930=0,0,VLOOKUP(C2930,Tabla1[],2,FALSE))</f>
        <v>Unidad</v>
      </c>
      <c r="I2930" s="115">
        <f>IF(C2930=0,0,VLOOKUP(C2930,Tabla1[],3,FALSE))</f>
        <v>2000</v>
      </c>
      <c r="K2930" s="84">
        <f>F2930*I2930</f>
        <v>2000</v>
      </c>
      <c r="L2930" s="116">
        <f>E2930*I2930</f>
        <v>2000</v>
      </c>
      <c r="O2930" s="44"/>
      <c r="P2930" s="45"/>
    </row>
    <row r="2931" spans="2:16" x14ac:dyDescent="0.25">
      <c r="B2931" s="120"/>
      <c r="C2931" s="407"/>
      <c r="D2931" s="408"/>
      <c r="E2931" s="114"/>
      <c r="F2931" s="83"/>
      <c r="G2931" s="74"/>
      <c r="I2931" s="115">
        <f>IF(C2931=0,0,VLOOKUP(C2931,Tabla1[],3,FALSE))</f>
        <v>0</v>
      </c>
      <c r="K2931" s="84">
        <f>F2931*I2931</f>
        <v>0</v>
      </c>
      <c r="L2931" s="116">
        <f>E2931*I2931</f>
        <v>0</v>
      </c>
      <c r="O2931" s="44"/>
      <c r="P2931" s="45"/>
    </row>
    <row r="2932" spans="2:16" x14ac:dyDescent="0.25">
      <c r="B2932" s="120"/>
      <c r="C2932" s="430"/>
      <c r="D2932" s="429"/>
      <c r="E2932" s="114"/>
      <c r="F2932" s="83"/>
      <c r="G2932" s="74"/>
      <c r="I2932" s="115">
        <f>IF(C2932=0,0,VLOOKUP(C2932,Tabla1[],3,FALSE))</f>
        <v>0</v>
      </c>
      <c r="K2932" s="84">
        <f>+F2932*I2932</f>
        <v>0</v>
      </c>
      <c r="L2932" s="116">
        <f>E2932*I2932</f>
        <v>0</v>
      </c>
      <c r="O2932" s="44"/>
      <c r="P2932" s="46"/>
    </row>
    <row r="2933" spans="2:16" x14ac:dyDescent="0.3">
      <c r="B2933" s="120"/>
      <c r="C2933" s="428"/>
      <c r="D2933" s="429"/>
      <c r="E2933" s="114"/>
      <c r="F2933" s="83"/>
      <c r="G2933" s="74"/>
      <c r="I2933" s="115">
        <f>IF(C2933=0,0,VLOOKUP(C2933,Tabla1[],3,FALSE))</f>
        <v>0</v>
      </c>
      <c r="K2933" s="84">
        <f>+F2933*I2933</f>
        <v>0</v>
      </c>
      <c r="L2933" s="116">
        <f>E2933*I2933</f>
        <v>0</v>
      </c>
      <c r="P2933" s="45"/>
    </row>
    <row r="2934" spans="2:16" ht="17.25" thickBot="1" x14ac:dyDescent="0.35"/>
    <row r="2935" spans="2:16" ht="17.25" thickBot="1" x14ac:dyDescent="0.3">
      <c r="F2935" s="402" t="s">
        <v>9</v>
      </c>
      <c r="G2935" s="403"/>
      <c r="H2935" s="403"/>
      <c r="I2935" s="404"/>
      <c r="K2935" s="224">
        <f>+SUM(K2930:K2933)</f>
        <v>2000</v>
      </c>
      <c r="L2935" s="117">
        <f>+SUM(L2930:L2933)</f>
        <v>2000</v>
      </c>
      <c r="O2935" s="38"/>
      <c r="P2935" s="38"/>
    </row>
    <row r="2936" spans="2:16" ht="17.25" thickBot="1" x14ac:dyDescent="0.35">
      <c r="O2936" s="42"/>
      <c r="P2936" s="43"/>
    </row>
    <row r="2937" spans="2:16" ht="17.25" thickBot="1" x14ac:dyDescent="0.35">
      <c r="B2937" s="108" t="s">
        <v>10</v>
      </c>
      <c r="C2937" s="413" t="s">
        <v>11</v>
      </c>
      <c r="D2937" s="413"/>
      <c r="E2937" s="413"/>
      <c r="F2937" s="413"/>
      <c r="G2937" s="414"/>
    </row>
    <row r="2938" spans="2:16" x14ac:dyDescent="0.3">
      <c r="B2938" s="112" t="s">
        <v>6</v>
      </c>
      <c r="C2938" s="415" t="s">
        <v>1</v>
      </c>
      <c r="D2938" s="416"/>
      <c r="E2938" s="110" t="s">
        <v>192</v>
      </c>
      <c r="F2938" s="118" t="s">
        <v>2</v>
      </c>
      <c r="G2938" s="112" t="s">
        <v>3</v>
      </c>
      <c r="H2938" s="104"/>
      <c r="I2938" s="105" t="s">
        <v>7</v>
      </c>
      <c r="J2938" s="134"/>
      <c r="K2938" s="105" t="s">
        <v>8</v>
      </c>
      <c r="L2938" s="113" t="s">
        <v>193</v>
      </c>
    </row>
    <row r="2939" spans="2:16" x14ac:dyDescent="0.3">
      <c r="B2939" s="120"/>
      <c r="C2939" s="409"/>
      <c r="D2939" s="409"/>
      <c r="E2939" s="114"/>
      <c r="F2939" s="83"/>
      <c r="G2939" s="74"/>
      <c r="I2939" s="115">
        <f>IF(C2939=0,0,VLOOKUP(C2939,Tabla3[],3,FALSE))</f>
        <v>0</v>
      </c>
      <c r="K2939" s="84">
        <f>F2939*I2939</f>
        <v>0</v>
      </c>
      <c r="L2939" s="116">
        <f>E2939*I2939</f>
        <v>0</v>
      </c>
    </row>
    <row r="2940" spans="2:16" x14ac:dyDescent="0.3">
      <c r="B2940" s="74"/>
      <c r="C2940" s="431"/>
      <c r="D2940" s="432"/>
      <c r="E2940" s="119"/>
      <c r="F2940" s="72"/>
      <c r="G2940" s="74"/>
      <c r="I2940" s="115">
        <f>IF(C2940=0,0,VLOOKUP(C2940,Tabla3[],3,FALSE))</f>
        <v>0</v>
      </c>
      <c r="K2940" s="84">
        <f>+F2940*I2940</f>
        <v>0</v>
      </c>
      <c r="L2940" s="116">
        <f>E2940*I2940</f>
        <v>0</v>
      </c>
    </row>
    <row r="2941" spans="2:16" x14ac:dyDescent="0.3">
      <c r="B2941" s="74"/>
      <c r="C2941" s="431"/>
      <c r="D2941" s="432"/>
      <c r="E2941" s="119"/>
      <c r="F2941" s="72"/>
      <c r="G2941" s="74"/>
      <c r="I2941" s="115">
        <f>IF(C2941=0,0,VLOOKUP(C2941,Tabla3[],3,FALSE))</f>
        <v>0</v>
      </c>
      <c r="K2941" s="84">
        <f>+F2941*I2941</f>
        <v>0</v>
      </c>
      <c r="L2941" s="116">
        <f>E2941*I2941</f>
        <v>0</v>
      </c>
    </row>
    <row r="2942" spans="2:16" x14ac:dyDescent="0.3">
      <c r="B2942" s="74"/>
      <c r="C2942" s="411"/>
      <c r="D2942" s="412"/>
      <c r="E2942" s="119"/>
      <c r="F2942" s="72"/>
      <c r="G2942" s="74"/>
      <c r="I2942" s="115">
        <f>IF(C2942=0,0,VLOOKUP(C2942,Tabla3[],3,FALSE))</f>
        <v>0</v>
      </c>
      <c r="K2942" s="84">
        <f>+F2942*I2942</f>
        <v>0</v>
      </c>
      <c r="L2942" s="116">
        <f>E2942*I2942</f>
        <v>0</v>
      </c>
    </row>
    <row r="2943" spans="2:16" ht="17.25" thickBot="1" x14ac:dyDescent="0.35"/>
    <row r="2944" spans="2:16" ht="17.25" thickBot="1" x14ac:dyDescent="0.35">
      <c r="F2944" s="402" t="s">
        <v>12</v>
      </c>
      <c r="G2944" s="403"/>
      <c r="H2944" s="403"/>
      <c r="I2944" s="404"/>
      <c r="K2944" s="224">
        <f>+SUM(K2939:K2942)</f>
        <v>0</v>
      </c>
      <c r="L2944" s="117">
        <f>+SUM(L2939:L2942)</f>
        <v>0</v>
      </c>
    </row>
    <row r="2945" spans="2:12" ht="17.25" thickBot="1" x14ac:dyDescent="0.35"/>
    <row r="2946" spans="2:12" ht="17.25" thickBot="1" x14ac:dyDescent="0.35">
      <c r="B2946" s="108" t="s">
        <v>13</v>
      </c>
      <c r="C2946" s="413" t="s">
        <v>14</v>
      </c>
      <c r="D2946" s="413"/>
      <c r="E2946" s="413"/>
      <c r="F2946" s="413"/>
      <c r="G2946" s="414"/>
    </row>
    <row r="2947" spans="2:12" x14ac:dyDescent="0.3">
      <c r="B2947" s="112" t="s">
        <v>6</v>
      </c>
      <c r="C2947" s="415" t="s">
        <v>1</v>
      </c>
      <c r="D2947" s="416"/>
      <c r="E2947" s="110" t="s">
        <v>192</v>
      </c>
      <c r="F2947" s="118" t="s">
        <v>2</v>
      </c>
      <c r="G2947" s="112" t="s">
        <v>3</v>
      </c>
      <c r="H2947" s="104"/>
      <c r="I2947" s="105" t="s">
        <v>7</v>
      </c>
      <c r="J2947" s="134"/>
      <c r="K2947" s="105" t="s">
        <v>8</v>
      </c>
      <c r="L2947" s="113" t="s">
        <v>193</v>
      </c>
    </row>
    <row r="2948" spans="2:12" x14ac:dyDescent="0.3">
      <c r="B2948" s="120">
        <v>1</v>
      </c>
      <c r="C2948" s="409" t="s">
        <v>185</v>
      </c>
      <c r="D2948" s="409"/>
      <c r="E2948" s="114">
        <f>I2926</f>
        <v>1</v>
      </c>
      <c r="F2948" s="83">
        <f>ROUND(E2948/I2926,2)</f>
        <v>1</v>
      </c>
      <c r="G2948" s="74" t="str">
        <f>IF(C2948=0,0,VLOOKUP(C2948,Tabla2[],2,FALSE))</f>
        <v>Unidad</v>
      </c>
      <c r="I2948" s="115">
        <f>IF(C2948=0,0,VLOOKUP(C2948,Tabla2[],3,FALSE))</f>
        <v>58</v>
      </c>
      <c r="K2948" s="84">
        <f>+F2948*I2948</f>
        <v>58</v>
      </c>
      <c r="L2948" s="116">
        <f>E2948*I2948</f>
        <v>58</v>
      </c>
    </row>
    <row r="2949" spans="2:12" x14ac:dyDescent="0.3">
      <c r="B2949" s="120"/>
      <c r="C2949" s="409"/>
      <c r="D2949" s="409"/>
      <c r="E2949" s="114"/>
      <c r="F2949" s="83"/>
      <c r="G2949" s="74"/>
      <c r="I2949" s="115">
        <f>IF(C2949=0,0,VLOOKUP(C2949,Tabla2[],3,FALSE))</f>
        <v>0</v>
      </c>
      <c r="K2949" s="84">
        <f>+F2949*I2949</f>
        <v>0</v>
      </c>
      <c r="L2949" s="116">
        <f>E2949*I2949</f>
        <v>0</v>
      </c>
    </row>
    <row r="2950" spans="2:12" ht="17.25" thickBot="1" x14ac:dyDescent="0.35">
      <c r="B2950" s="121"/>
      <c r="C2950" s="417"/>
      <c r="D2950" s="418"/>
      <c r="E2950" s="122"/>
      <c r="F2950" s="123"/>
      <c r="G2950" s="74"/>
      <c r="I2950" s="115">
        <f>IF(C2950=0,0,VLOOKUP(C2950,Tabla2[],3,FALSE))</f>
        <v>0</v>
      </c>
      <c r="K2950" s="84">
        <f>+F2950*I2950</f>
        <v>0</v>
      </c>
      <c r="L2950" s="116">
        <f>E2950*I2950</f>
        <v>0</v>
      </c>
    </row>
    <row r="2951" spans="2:12" ht="17.25" thickBot="1" x14ac:dyDescent="0.35">
      <c r="B2951" s="419" t="s">
        <v>15</v>
      </c>
      <c r="C2951" s="420"/>
      <c r="D2951" s="420"/>
      <c r="E2951" s="420"/>
      <c r="F2951" s="420"/>
      <c r="G2951" s="421"/>
      <c r="I2951" s="84">
        <v>0</v>
      </c>
      <c r="K2951" s="84">
        <v>0</v>
      </c>
      <c r="L2951" s="116">
        <f>E2951*I2951</f>
        <v>0</v>
      </c>
    </row>
    <row r="2952" spans="2:12" ht="17.25" thickBot="1" x14ac:dyDescent="0.35"/>
    <row r="2953" spans="2:12" ht="17.25" thickBot="1" x14ac:dyDescent="0.35">
      <c r="F2953" s="402" t="s">
        <v>16</v>
      </c>
      <c r="G2953" s="403"/>
      <c r="H2953" s="403"/>
      <c r="I2953" s="404"/>
      <c r="K2953" s="224">
        <f>+SUM(K2948:K2951)</f>
        <v>58</v>
      </c>
      <c r="L2953" s="117">
        <f>+SUM(L2948:L2951)</f>
        <v>58</v>
      </c>
    </row>
    <row r="2954" spans="2:12" ht="17.25" thickBot="1" x14ac:dyDescent="0.35"/>
    <row r="2955" spans="2:12" ht="17.25" thickBot="1" x14ac:dyDescent="0.35">
      <c r="B2955" s="108" t="s">
        <v>17</v>
      </c>
      <c r="C2955" s="413" t="s">
        <v>18</v>
      </c>
      <c r="D2955" s="413"/>
      <c r="E2955" s="413"/>
      <c r="F2955" s="413"/>
      <c r="G2955" s="414"/>
    </row>
    <row r="2956" spans="2:12" x14ac:dyDescent="0.3">
      <c r="B2956" s="112" t="s">
        <v>6</v>
      </c>
      <c r="C2956" s="415" t="s">
        <v>1</v>
      </c>
      <c r="D2956" s="416"/>
      <c r="E2956" s="124"/>
      <c r="F2956" s="118" t="s">
        <v>2</v>
      </c>
      <c r="G2956" s="112" t="s">
        <v>3</v>
      </c>
      <c r="H2956" s="104"/>
      <c r="I2956" s="105" t="s">
        <v>7</v>
      </c>
      <c r="J2956" s="134"/>
      <c r="K2956" s="105" t="s">
        <v>8</v>
      </c>
      <c r="L2956" s="113" t="s">
        <v>193</v>
      </c>
    </row>
    <row r="2957" spans="2:12" x14ac:dyDescent="0.3">
      <c r="B2957" s="74"/>
      <c r="C2957" s="411"/>
      <c r="D2957" s="412"/>
      <c r="E2957" s="125"/>
      <c r="F2957" s="72"/>
      <c r="G2957" s="74"/>
      <c r="I2957" s="84">
        <v>0</v>
      </c>
      <c r="K2957" s="84">
        <f>+F2957*I2957</f>
        <v>0</v>
      </c>
      <c r="L2957" s="116">
        <f>E2957*I2957</f>
        <v>0</v>
      </c>
    </row>
    <row r="2958" spans="2:12" x14ac:dyDescent="0.3">
      <c r="B2958" s="74"/>
      <c r="C2958" s="411"/>
      <c r="D2958" s="412"/>
      <c r="E2958" s="125"/>
      <c r="F2958" s="72"/>
      <c r="G2958" s="74"/>
      <c r="I2958" s="84">
        <v>0</v>
      </c>
      <c r="K2958" s="84">
        <f>+F2958*I2958</f>
        <v>0</v>
      </c>
      <c r="L2958" s="116">
        <f>E2958*I2958</f>
        <v>0</v>
      </c>
    </row>
    <row r="2959" spans="2:12" x14ac:dyDescent="0.3">
      <c r="B2959" s="74"/>
      <c r="C2959" s="411"/>
      <c r="D2959" s="412"/>
      <c r="E2959" s="125"/>
      <c r="F2959" s="72"/>
      <c r="G2959" s="74"/>
      <c r="I2959" s="84">
        <v>0</v>
      </c>
      <c r="K2959" s="84">
        <f>+F2959*I2959</f>
        <v>0</v>
      </c>
      <c r="L2959" s="116">
        <f>E2959*I2959</f>
        <v>0</v>
      </c>
    </row>
    <row r="2960" spans="2:12" ht="17.25" thickBot="1" x14ac:dyDescent="0.35">
      <c r="L2960" s="116"/>
    </row>
    <row r="2961" spans="1:16" ht="17.25" thickBot="1" x14ac:dyDescent="0.35">
      <c r="F2961" s="402" t="s">
        <v>19</v>
      </c>
      <c r="G2961" s="403"/>
      <c r="H2961" s="403"/>
      <c r="I2961" s="404"/>
      <c r="K2961" s="224">
        <f>+SUM(K2957:K2959)</f>
        <v>0</v>
      </c>
      <c r="L2961" s="117">
        <f>+SUM(L2956:L2959)</f>
        <v>0</v>
      </c>
    </row>
    <row r="2962" spans="1:16" ht="15" customHeight="1" x14ac:dyDescent="0.3">
      <c r="F2962" s="126"/>
      <c r="G2962" s="280"/>
      <c r="H2962" s="128"/>
      <c r="I2962" s="106"/>
      <c r="K2962" s="225"/>
    </row>
    <row r="2963" spans="1:16" ht="15" customHeight="1" thickBot="1" x14ac:dyDescent="0.35"/>
    <row r="2964" spans="1:16" ht="17.25" thickBot="1" x14ac:dyDescent="0.35">
      <c r="F2964" s="402" t="s">
        <v>20</v>
      </c>
      <c r="G2964" s="403"/>
      <c r="H2964" s="403"/>
      <c r="I2964" s="404"/>
      <c r="K2964" s="224">
        <f>(+K2935+K2944+K2953+K2961)</f>
        <v>2058</v>
      </c>
      <c r="L2964" s="117">
        <f>(+L2935+L2944+L2953+L2961)</f>
        <v>2058</v>
      </c>
      <c r="N2964" s="129"/>
      <c r="O2964" s="39"/>
      <c r="P2964" s="40"/>
    </row>
    <row r="2965" spans="1:16" ht="7.5" customHeight="1" thickBot="1" x14ac:dyDescent="0.35">
      <c r="N2965" s="129"/>
      <c r="O2965" s="41"/>
      <c r="P2965" s="40"/>
    </row>
    <row r="2966" spans="1:16" ht="17.25" thickBot="1" x14ac:dyDescent="0.35">
      <c r="F2966" s="402" t="s">
        <v>21</v>
      </c>
      <c r="G2966" s="403"/>
      <c r="H2966" s="403"/>
      <c r="I2966" s="404"/>
      <c r="K2966" s="224">
        <f>K2964*$N$2</f>
        <v>823.2</v>
      </c>
      <c r="L2966" s="117">
        <f>L2964*$N$2</f>
        <v>823.2</v>
      </c>
    </row>
    <row r="2967" spans="1:16" ht="7.5" customHeight="1" thickBot="1" x14ac:dyDescent="0.35"/>
    <row r="2968" spans="1:16" ht="17.25" thickBot="1" x14ac:dyDescent="0.35">
      <c r="F2968" s="402" t="s">
        <v>22</v>
      </c>
      <c r="G2968" s="403"/>
      <c r="H2968" s="403"/>
      <c r="I2968" s="404"/>
      <c r="K2968" s="224">
        <f>+K2964+K2966</f>
        <v>2881.2</v>
      </c>
      <c r="L2968" s="117">
        <f>+L2964+L2966</f>
        <v>2881.2</v>
      </c>
    </row>
    <row r="2969" spans="1:16" ht="17.25" thickBot="1" x14ac:dyDescent="0.35">
      <c r="F2969" s="126"/>
      <c r="G2969" s="280"/>
      <c r="H2969" s="128"/>
      <c r="I2969" s="106"/>
      <c r="K2969" s="226"/>
      <c r="L2969" s="130">
        <f>L2968/I2926</f>
        <v>2881.2</v>
      </c>
      <c r="M2969" s="131">
        <f>(K2968-L2969)*I2926</f>
        <v>0</v>
      </c>
    </row>
    <row r="2970" spans="1:16" x14ac:dyDescent="0.3">
      <c r="F2970" s="126"/>
      <c r="G2970" s="280"/>
      <c r="H2970" s="128"/>
      <c r="I2970" s="106"/>
      <c r="K2970" s="227"/>
      <c r="L2970" s="129"/>
      <c r="M2970" s="132"/>
      <c r="N2970" s="133"/>
    </row>
    <row r="2971" spans="1:16" ht="17.25" thickBot="1" x14ac:dyDescent="0.35">
      <c r="B2971" s="405"/>
      <c r="C2971" s="405"/>
      <c r="D2971" s="405"/>
    </row>
    <row r="2972" spans="1:16" x14ac:dyDescent="0.3">
      <c r="B2972" s="406" t="s">
        <v>23</v>
      </c>
      <c r="C2972" s="406"/>
      <c r="D2972" s="406"/>
    </row>
    <row r="2973" spans="1:16" x14ac:dyDescent="0.3">
      <c r="B2973" s="281"/>
      <c r="C2973" s="281"/>
      <c r="D2973" s="281"/>
    </row>
    <row r="2975" spans="1:16" x14ac:dyDescent="0.3">
      <c r="B2975" s="103" t="s">
        <v>43</v>
      </c>
      <c r="C2975" s="104"/>
      <c r="D2975" s="422" t="s">
        <v>1</v>
      </c>
      <c r="E2975" s="422"/>
      <c r="F2975" s="422"/>
      <c r="G2975" s="422"/>
      <c r="H2975" s="104"/>
      <c r="I2975" s="105" t="s">
        <v>2</v>
      </c>
      <c r="J2975" s="134"/>
      <c r="K2975" s="105" t="s">
        <v>3</v>
      </c>
    </row>
    <row r="2976" spans="1:16" s="4" customFormat="1" ht="30.75" customHeight="1" x14ac:dyDescent="0.25">
      <c r="A2976" s="31"/>
      <c r="B2976" s="287">
        <f>CATALOGO!B97</f>
        <v>1304.02</v>
      </c>
      <c r="C2976" s="71"/>
      <c r="D2976" s="437" t="str">
        <f>CATALOGO!C97</f>
        <v>TOP DE CONCRETO (SOLO LOSA)</v>
      </c>
      <c r="E2976" s="437"/>
      <c r="F2976" s="437"/>
      <c r="G2976" s="437"/>
      <c r="H2976" s="71"/>
      <c r="I2976" s="287">
        <f>CATALOGO!D97</f>
        <v>3.39</v>
      </c>
      <c r="J2976" s="107"/>
      <c r="K2976" s="222" t="str">
        <f>CATALOGO!G97</f>
        <v>ml</v>
      </c>
      <c r="L2976" s="71"/>
      <c r="M2976" s="71"/>
      <c r="N2976" s="102"/>
      <c r="O2976" s="37"/>
      <c r="P2976" s="37"/>
    </row>
    <row r="2977" spans="2:16" ht="17.25" thickBot="1" x14ac:dyDescent="0.35"/>
    <row r="2978" spans="2:16" ht="17.25" thickBot="1" x14ac:dyDescent="0.35">
      <c r="B2978" s="108" t="s">
        <v>4</v>
      </c>
      <c r="C2978" s="413" t="s">
        <v>5</v>
      </c>
      <c r="D2978" s="413"/>
      <c r="E2978" s="413"/>
      <c r="F2978" s="413"/>
      <c r="G2978" s="414"/>
    </row>
    <row r="2979" spans="2:16" x14ac:dyDescent="0.25">
      <c r="B2979" s="109" t="s">
        <v>6</v>
      </c>
      <c r="C2979" s="424" t="s">
        <v>1</v>
      </c>
      <c r="D2979" s="425"/>
      <c r="E2979" s="110" t="s">
        <v>192</v>
      </c>
      <c r="F2979" s="111" t="s">
        <v>2</v>
      </c>
      <c r="G2979" s="112" t="s">
        <v>3</v>
      </c>
      <c r="H2979" s="104"/>
      <c r="I2979" s="105" t="s">
        <v>7</v>
      </c>
      <c r="J2979" s="134"/>
      <c r="K2979" s="223" t="s">
        <v>8</v>
      </c>
      <c r="L2979" s="113" t="s">
        <v>193</v>
      </c>
      <c r="O2979" s="438"/>
      <c r="P2979" s="438"/>
    </row>
    <row r="2980" spans="2:16" ht="17.25" customHeight="1" x14ac:dyDescent="0.25">
      <c r="B2980" s="149">
        <v>1</v>
      </c>
      <c r="C2980" s="459" t="s">
        <v>229</v>
      </c>
      <c r="D2980" s="460"/>
      <c r="E2980" s="150">
        <v>0.2</v>
      </c>
      <c r="F2980" s="83">
        <f>ROUND(E2980/I2976,2)</f>
        <v>0.06</v>
      </c>
      <c r="G2980" s="74" t="str">
        <f>IF(C2980=0,0,VLOOKUP(C2980,PRECIOSM[],2,FALSE))</f>
        <v>m³</v>
      </c>
      <c r="I2980" s="115">
        <f>IF(C2980=0,0,VLOOKUP(C2980,PRECIOSM[],3,FALSE))</f>
        <v>250</v>
      </c>
      <c r="K2980" s="84">
        <f>F2980*I2980</f>
        <v>15</v>
      </c>
      <c r="L2980" s="116">
        <f t="shared" ref="L2980:L2988" si="80">E2980*I2980</f>
        <v>50</v>
      </c>
      <c r="O2980" s="44"/>
      <c r="P2980" s="45"/>
    </row>
    <row r="2981" spans="2:16" ht="17.25" customHeight="1" x14ac:dyDescent="0.25">
      <c r="B2981" s="149">
        <v>2</v>
      </c>
      <c r="C2981" s="459" t="s">
        <v>72</v>
      </c>
      <c r="D2981" s="460"/>
      <c r="E2981" s="150">
        <v>0.2</v>
      </c>
      <c r="F2981" s="83">
        <f>ROUND(E2981/I2976,2)</f>
        <v>0.06</v>
      </c>
      <c r="G2981" s="74" t="str">
        <f>IF(C2981=0,0,VLOOKUP(C2981,PRECIOSM[],2,FALSE))</f>
        <v>m³</v>
      </c>
      <c r="I2981" s="115">
        <f>IF(C2981=0,0,VLOOKUP(C2981,PRECIOSM[],3,FALSE))</f>
        <v>250</v>
      </c>
      <c r="K2981" s="84">
        <f>F2981*I2981</f>
        <v>15</v>
      </c>
      <c r="L2981" s="116">
        <f t="shared" si="80"/>
        <v>50</v>
      </c>
      <c r="O2981" s="44"/>
      <c r="P2981" s="45"/>
    </row>
    <row r="2982" spans="2:16" ht="16.5" customHeight="1" x14ac:dyDescent="0.25">
      <c r="B2982" s="149">
        <v>3</v>
      </c>
      <c r="C2982" s="459" t="s">
        <v>213</v>
      </c>
      <c r="D2982" s="460"/>
      <c r="E2982" s="150">
        <v>2</v>
      </c>
      <c r="F2982" s="83">
        <f>ROUND(E2982/I2976,1)</f>
        <v>0.6</v>
      </c>
      <c r="G2982" s="74" t="str">
        <f>IF(C2982=0,0,VLOOKUP(C2982,PRECIOSM[],2,FALSE))</f>
        <v>Saco</v>
      </c>
      <c r="I2982" s="115">
        <f>IF(C2982=0,0,VLOOKUP(C2982,PRECIOSM[],3,FALSE))</f>
        <v>80</v>
      </c>
      <c r="K2982" s="84">
        <f t="shared" ref="K2982:K2988" si="81">+F2982*I2982</f>
        <v>48</v>
      </c>
      <c r="L2982" s="116">
        <f t="shared" si="80"/>
        <v>160</v>
      </c>
      <c r="O2982" s="44"/>
      <c r="P2982" s="46"/>
    </row>
    <row r="2983" spans="2:16" ht="16.5" customHeight="1" x14ac:dyDescent="0.25">
      <c r="B2983" s="149">
        <v>4</v>
      </c>
      <c r="C2983" s="459" t="s">
        <v>168</v>
      </c>
      <c r="D2983" s="460"/>
      <c r="E2983" s="150">
        <v>8</v>
      </c>
      <c r="F2983" s="83">
        <f>ROUND(E2983/I2976,1)</f>
        <v>2.4</v>
      </c>
      <c r="G2983" s="74" t="str">
        <f>IF(C2983=0,0,VLOOKUP(C2983,PRECIOSM[],2,FALSE))</f>
        <v>Varilla</v>
      </c>
      <c r="I2983" s="115">
        <f>IF(C2983=0,0,VLOOKUP(C2983,PRECIOSM[],3,FALSE))</f>
        <v>40</v>
      </c>
      <c r="K2983" s="84">
        <f t="shared" si="81"/>
        <v>96</v>
      </c>
      <c r="L2983" s="116">
        <f t="shared" si="80"/>
        <v>320</v>
      </c>
      <c r="O2983" s="44"/>
      <c r="P2983" s="46"/>
    </row>
    <row r="2984" spans="2:16" ht="16.5" customHeight="1" x14ac:dyDescent="0.25">
      <c r="B2984" s="149">
        <v>5</v>
      </c>
      <c r="C2984" s="459" t="s">
        <v>368</v>
      </c>
      <c r="D2984" s="460"/>
      <c r="E2984" s="150">
        <v>4</v>
      </c>
      <c r="F2984" s="83">
        <f>ROUND(E2984/I2976,1)+0.05</f>
        <v>1.25</v>
      </c>
      <c r="G2984" s="74" t="str">
        <f>IF(C2984=0,0,VLOOKUP(C2984,PRECIOSM[],2,FALSE))</f>
        <v>Libra</v>
      </c>
      <c r="I2984" s="115">
        <f>IF(C2984=0,0,VLOOKUP(C2984,PRECIOSM[],3,FALSE))</f>
        <v>8</v>
      </c>
      <c r="K2984" s="84">
        <f t="shared" si="81"/>
        <v>10</v>
      </c>
      <c r="L2984" s="116">
        <f t="shared" si="80"/>
        <v>32</v>
      </c>
      <c r="O2984" s="44"/>
      <c r="P2984" s="46"/>
    </row>
    <row r="2985" spans="2:16" ht="16.5" customHeight="1" x14ac:dyDescent="0.25">
      <c r="B2985" s="149"/>
      <c r="C2985" s="459"/>
      <c r="D2985" s="460"/>
      <c r="E2985" s="150"/>
      <c r="F2985" s="83"/>
      <c r="G2985" s="74"/>
      <c r="I2985" s="115">
        <f>IF(C2985=0,0,VLOOKUP(C2985,Tabla1[],3,FALSE))</f>
        <v>0</v>
      </c>
      <c r="K2985" s="84">
        <f t="shared" si="81"/>
        <v>0</v>
      </c>
      <c r="L2985" s="116">
        <f t="shared" si="80"/>
        <v>0</v>
      </c>
      <c r="O2985" s="44"/>
      <c r="P2985" s="46"/>
    </row>
    <row r="2986" spans="2:16" x14ac:dyDescent="0.25">
      <c r="B2986" s="149"/>
      <c r="C2986" s="459"/>
      <c r="D2986" s="460"/>
      <c r="E2986" s="150"/>
      <c r="F2986" s="83"/>
      <c r="G2986" s="74"/>
      <c r="I2986" s="115">
        <f>IF(C2986=0,0,VLOOKUP(C2986,Tabla1[],3,FALSE))</f>
        <v>0</v>
      </c>
      <c r="K2986" s="84">
        <f t="shared" si="81"/>
        <v>0</v>
      </c>
      <c r="L2986" s="116">
        <f t="shared" si="80"/>
        <v>0</v>
      </c>
      <c r="O2986" s="44"/>
      <c r="P2986" s="46"/>
    </row>
    <row r="2987" spans="2:16" ht="16.5" customHeight="1" x14ac:dyDescent="0.25">
      <c r="B2987" s="149"/>
      <c r="C2987" s="459"/>
      <c r="D2987" s="460"/>
      <c r="E2987" s="150"/>
      <c r="F2987" s="83"/>
      <c r="G2987" s="74"/>
      <c r="I2987" s="115">
        <f>IF(C2987=0,0,VLOOKUP(C2987,Tabla1[],3,FALSE))</f>
        <v>0</v>
      </c>
      <c r="K2987" s="84">
        <f t="shared" si="81"/>
        <v>0</v>
      </c>
      <c r="L2987" s="116">
        <f t="shared" si="80"/>
        <v>0</v>
      </c>
      <c r="O2987" s="44"/>
      <c r="P2987" s="45"/>
    </row>
    <row r="2988" spans="2:16" x14ac:dyDescent="0.3">
      <c r="B2988" s="149"/>
      <c r="C2988" s="459"/>
      <c r="D2988" s="460"/>
      <c r="E2988" s="150"/>
      <c r="F2988" s="83"/>
      <c r="G2988" s="74"/>
      <c r="I2988" s="115">
        <f>IF(C2988=0,0,VLOOKUP(C2988,Tabla1[],3,FALSE))</f>
        <v>0</v>
      </c>
      <c r="K2988" s="84">
        <f t="shared" si="81"/>
        <v>0</v>
      </c>
      <c r="L2988" s="116">
        <f t="shared" si="80"/>
        <v>0</v>
      </c>
      <c r="P2988" s="45"/>
    </row>
    <row r="2989" spans="2:16" ht="17.25" thickBot="1" x14ac:dyDescent="0.35"/>
    <row r="2990" spans="2:16" ht="17.25" thickBot="1" x14ac:dyDescent="0.3">
      <c r="F2990" s="402" t="s">
        <v>9</v>
      </c>
      <c r="G2990" s="403"/>
      <c r="H2990" s="403"/>
      <c r="I2990" s="404"/>
      <c r="K2990" s="224">
        <f>+SUM(K2980:K2988)</f>
        <v>184</v>
      </c>
      <c r="L2990" s="117">
        <f>+SUM(L2980:L2988)</f>
        <v>612</v>
      </c>
      <c r="O2990" s="38"/>
      <c r="P2990" s="38"/>
    </row>
    <row r="2991" spans="2:16" ht="17.25" thickBot="1" x14ac:dyDescent="0.35">
      <c r="O2991" s="42"/>
      <c r="P2991" s="43"/>
    </row>
    <row r="2992" spans="2:16" ht="17.25" thickBot="1" x14ac:dyDescent="0.35">
      <c r="B2992" s="108" t="s">
        <v>10</v>
      </c>
      <c r="C2992" s="413" t="s">
        <v>11</v>
      </c>
      <c r="D2992" s="413"/>
      <c r="E2992" s="413"/>
      <c r="F2992" s="413"/>
      <c r="G2992" s="414"/>
    </row>
    <row r="2993" spans="2:12" x14ac:dyDescent="0.3">
      <c r="B2993" s="112" t="s">
        <v>6</v>
      </c>
      <c r="C2993" s="415" t="s">
        <v>1</v>
      </c>
      <c r="D2993" s="416"/>
      <c r="E2993" s="110" t="s">
        <v>192</v>
      </c>
      <c r="F2993" s="118" t="s">
        <v>2</v>
      </c>
      <c r="G2993" s="112" t="s">
        <v>3</v>
      </c>
      <c r="H2993" s="104"/>
      <c r="I2993" s="105" t="s">
        <v>7</v>
      </c>
      <c r="J2993" s="134"/>
      <c r="K2993" s="105" t="s">
        <v>8</v>
      </c>
      <c r="L2993" s="113" t="s">
        <v>193</v>
      </c>
    </row>
    <row r="2994" spans="2:12" x14ac:dyDescent="0.3">
      <c r="B2994" s="120"/>
      <c r="C2994" s="409"/>
      <c r="D2994" s="409"/>
      <c r="E2994" s="114"/>
      <c r="F2994" s="83"/>
      <c r="G2994" s="74"/>
      <c r="I2994" s="115">
        <f>IF(C2994=0,0,VLOOKUP(C2994,Tabla3[],3,FALSE))</f>
        <v>0</v>
      </c>
      <c r="K2994" s="84">
        <f>F2994*I2994</f>
        <v>0</v>
      </c>
      <c r="L2994" s="116">
        <f>E2994*I2994</f>
        <v>0</v>
      </c>
    </row>
    <row r="2995" spans="2:12" x14ac:dyDescent="0.3">
      <c r="B2995" s="74"/>
      <c r="C2995" s="431"/>
      <c r="D2995" s="432"/>
      <c r="E2995" s="119"/>
      <c r="F2995" s="72"/>
      <c r="G2995" s="74"/>
      <c r="I2995" s="115">
        <f>IF(C2995=0,0,VLOOKUP(C2995,Tabla3[],3,FALSE))</f>
        <v>0</v>
      </c>
      <c r="K2995" s="84">
        <f>+F2995*I2995</f>
        <v>0</v>
      </c>
      <c r="L2995" s="116">
        <f>E2995*I2995</f>
        <v>0</v>
      </c>
    </row>
    <row r="2996" spans="2:12" x14ac:dyDescent="0.3">
      <c r="B2996" s="74"/>
      <c r="C2996" s="431"/>
      <c r="D2996" s="432"/>
      <c r="E2996" s="119"/>
      <c r="F2996" s="72"/>
      <c r="G2996" s="74"/>
      <c r="I2996" s="115">
        <f>IF(C2996=0,0,VLOOKUP(C2996,Tabla3[],3,FALSE))</f>
        <v>0</v>
      </c>
      <c r="K2996" s="84">
        <f>+F2996*I2996</f>
        <v>0</v>
      </c>
      <c r="L2996" s="116">
        <f>E2996*I2996</f>
        <v>0</v>
      </c>
    </row>
    <row r="2997" spans="2:12" x14ac:dyDescent="0.3">
      <c r="B2997" s="74"/>
      <c r="C2997" s="411"/>
      <c r="D2997" s="412"/>
      <c r="E2997" s="119"/>
      <c r="F2997" s="72"/>
      <c r="G2997" s="74"/>
      <c r="I2997" s="115">
        <f>IF(C2997=0,0,VLOOKUP(C2997,Tabla3[],3,FALSE))</f>
        <v>0</v>
      </c>
      <c r="K2997" s="84">
        <f>+F2997*I2997</f>
        <v>0</v>
      </c>
      <c r="L2997" s="116">
        <f>E2997*I2997</f>
        <v>0</v>
      </c>
    </row>
    <row r="2998" spans="2:12" ht="17.25" thickBot="1" x14ac:dyDescent="0.35"/>
    <row r="2999" spans="2:12" ht="17.25" thickBot="1" x14ac:dyDescent="0.35">
      <c r="F2999" s="402" t="s">
        <v>12</v>
      </c>
      <c r="G2999" s="403"/>
      <c r="H2999" s="403"/>
      <c r="I2999" s="404"/>
      <c r="K2999" s="224">
        <f>+SUM(K2994:K2997)</f>
        <v>0</v>
      </c>
      <c r="L2999" s="117">
        <f>+SUM(L2994:L2997)</f>
        <v>0</v>
      </c>
    </row>
    <row r="3000" spans="2:12" ht="17.25" thickBot="1" x14ac:dyDescent="0.35"/>
    <row r="3001" spans="2:12" ht="17.25" thickBot="1" x14ac:dyDescent="0.35">
      <c r="B3001" s="108" t="s">
        <v>13</v>
      </c>
      <c r="C3001" s="413" t="s">
        <v>14</v>
      </c>
      <c r="D3001" s="413"/>
      <c r="E3001" s="413"/>
      <c r="F3001" s="413"/>
      <c r="G3001" s="414"/>
    </row>
    <row r="3002" spans="2:12" x14ac:dyDescent="0.3">
      <c r="B3002" s="112" t="s">
        <v>6</v>
      </c>
      <c r="C3002" s="415" t="s">
        <v>1</v>
      </c>
      <c r="D3002" s="416"/>
      <c r="E3002" s="110" t="s">
        <v>192</v>
      </c>
      <c r="F3002" s="118" t="s">
        <v>2</v>
      </c>
      <c r="G3002" s="112" t="s">
        <v>3</v>
      </c>
      <c r="H3002" s="104"/>
      <c r="I3002" s="105" t="s">
        <v>7</v>
      </c>
      <c r="J3002" s="134"/>
      <c r="K3002" s="105" t="s">
        <v>8</v>
      </c>
      <c r="L3002" s="113" t="s">
        <v>193</v>
      </c>
    </row>
    <row r="3003" spans="2:12" x14ac:dyDescent="0.3">
      <c r="B3003" s="120">
        <v>1</v>
      </c>
      <c r="C3003" s="409" t="s">
        <v>367</v>
      </c>
      <c r="D3003" s="409"/>
      <c r="E3003" s="114">
        <v>0.2</v>
      </c>
      <c r="F3003" s="83">
        <f>ROUND(E3003/I2976,2)</f>
        <v>0.06</v>
      </c>
      <c r="G3003" s="74" t="str">
        <f>IF(C3003=0,0,VLOOKUP(C3003,PRECIOSMO[],2,FALSE))</f>
        <v>m³</v>
      </c>
      <c r="I3003" s="115">
        <f>IF(C3003=0,0,VLOOKUP(C3003,PRECIOSMO[],3,FALSE))</f>
        <v>500</v>
      </c>
      <c r="K3003" s="84">
        <f>+F3003*I3003</f>
        <v>30</v>
      </c>
      <c r="L3003" s="116">
        <f>E3003*I3003</f>
        <v>100</v>
      </c>
    </row>
    <row r="3004" spans="2:12" x14ac:dyDescent="0.3">
      <c r="B3004" s="120">
        <v>2</v>
      </c>
      <c r="C3004" s="409" t="s">
        <v>714</v>
      </c>
      <c r="D3004" s="409"/>
      <c r="E3004" s="114">
        <v>3.39</v>
      </c>
      <c r="F3004" s="83">
        <f>ROUND(E3004/I2976,2)</f>
        <v>1</v>
      </c>
      <c r="G3004" s="74" t="s">
        <v>71</v>
      </c>
      <c r="I3004" s="115">
        <v>80</v>
      </c>
      <c r="K3004" s="84">
        <f>+F3004*I3004</f>
        <v>80</v>
      </c>
      <c r="L3004" s="116">
        <f>E3004*I3004</f>
        <v>271.2</v>
      </c>
    </row>
    <row r="3005" spans="2:12" ht="17.25" thickBot="1" x14ac:dyDescent="0.35">
      <c r="B3005" s="120">
        <v>3</v>
      </c>
      <c r="C3005" s="409" t="s">
        <v>715</v>
      </c>
      <c r="D3005" s="409"/>
      <c r="E3005" s="122">
        <v>3.39</v>
      </c>
      <c r="F3005" s="83">
        <f>ROUND(E3005/I2976,2)</f>
        <v>1</v>
      </c>
      <c r="G3005" s="74" t="s">
        <v>71</v>
      </c>
      <c r="I3005" s="115">
        <v>160</v>
      </c>
      <c r="K3005" s="84">
        <f>+F3005*I3005</f>
        <v>160</v>
      </c>
      <c r="L3005" s="116">
        <f>E3005*I3005</f>
        <v>542.4</v>
      </c>
    </row>
    <row r="3006" spans="2:12" ht="17.25" thickBot="1" x14ac:dyDescent="0.35">
      <c r="B3006" s="419" t="s">
        <v>15</v>
      </c>
      <c r="C3006" s="420"/>
      <c r="D3006" s="420"/>
      <c r="E3006" s="420"/>
      <c r="F3006" s="420"/>
      <c r="G3006" s="421"/>
      <c r="I3006" s="84">
        <v>0</v>
      </c>
      <c r="K3006" s="84">
        <v>0</v>
      </c>
      <c r="L3006" s="116">
        <f>E3006*I3006</f>
        <v>0</v>
      </c>
    </row>
    <row r="3007" spans="2:12" ht="17.25" thickBot="1" x14ac:dyDescent="0.35"/>
    <row r="3008" spans="2:12" ht="17.25" thickBot="1" x14ac:dyDescent="0.35">
      <c r="F3008" s="402" t="s">
        <v>16</v>
      </c>
      <c r="G3008" s="403"/>
      <c r="H3008" s="403"/>
      <c r="I3008" s="404"/>
      <c r="K3008" s="224">
        <f>+SUM(K3003:K3006)</f>
        <v>270</v>
      </c>
      <c r="L3008" s="117">
        <f>+SUM(L3003:L3006)</f>
        <v>913.59999999999991</v>
      </c>
    </row>
    <row r="3009" spans="2:16" ht="17.25" thickBot="1" x14ac:dyDescent="0.35"/>
    <row r="3010" spans="2:16" ht="17.25" thickBot="1" x14ac:dyDescent="0.35">
      <c r="B3010" s="108" t="s">
        <v>17</v>
      </c>
      <c r="C3010" s="413" t="s">
        <v>18</v>
      </c>
      <c r="D3010" s="413"/>
      <c r="E3010" s="413"/>
      <c r="F3010" s="413"/>
      <c r="G3010" s="414"/>
    </row>
    <row r="3011" spans="2:16" x14ac:dyDescent="0.3">
      <c r="B3011" s="112" t="s">
        <v>6</v>
      </c>
      <c r="C3011" s="415" t="s">
        <v>1</v>
      </c>
      <c r="D3011" s="416"/>
      <c r="E3011" s="124"/>
      <c r="F3011" s="118" t="s">
        <v>2</v>
      </c>
      <c r="G3011" s="112" t="s">
        <v>3</v>
      </c>
      <c r="H3011" s="104"/>
      <c r="I3011" s="105" t="s">
        <v>7</v>
      </c>
      <c r="J3011" s="134"/>
      <c r="K3011" s="105" t="s">
        <v>8</v>
      </c>
      <c r="L3011" s="113" t="s">
        <v>193</v>
      </c>
    </row>
    <row r="3012" spans="2:16" x14ac:dyDescent="0.3">
      <c r="B3012" s="74"/>
      <c r="C3012" s="411"/>
      <c r="D3012" s="412"/>
      <c r="E3012" s="125"/>
      <c r="F3012" s="72"/>
      <c r="G3012" s="74"/>
      <c r="I3012" s="84">
        <v>0</v>
      </c>
      <c r="K3012" s="84">
        <f>+F3012*I3012</f>
        <v>0</v>
      </c>
      <c r="L3012" s="116">
        <f>E3012*I3012</f>
        <v>0</v>
      </c>
    </row>
    <row r="3013" spans="2:16" x14ac:dyDescent="0.3">
      <c r="B3013" s="74"/>
      <c r="C3013" s="411"/>
      <c r="D3013" s="412"/>
      <c r="E3013" s="125"/>
      <c r="F3013" s="72"/>
      <c r="G3013" s="74"/>
      <c r="I3013" s="84">
        <v>0</v>
      </c>
      <c r="K3013" s="84">
        <f>+F3013*I3013</f>
        <v>0</v>
      </c>
      <c r="L3013" s="116">
        <f>E3013*I3013</f>
        <v>0</v>
      </c>
    </row>
    <row r="3014" spans="2:16" x14ac:dyDescent="0.3">
      <c r="B3014" s="74"/>
      <c r="C3014" s="411"/>
      <c r="D3014" s="412"/>
      <c r="E3014" s="125"/>
      <c r="F3014" s="72"/>
      <c r="G3014" s="74"/>
      <c r="I3014" s="84">
        <v>0</v>
      </c>
      <c r="K3014" s="84">
        <f>+F3014*I3014</f>
        <v>0</v>
      </c>
      <c r="L3014" s="116">
        <f>E3014*I3014</f>
        <v>0</v>
      </c>
    </row>
    <row r="3015" spans="2:16" ht="17.25" thickBot="1" x14ac:dyDescent="0.35">
      <c r="L3015" s="116"/>
    </row>
    <row r="3016" spans="2:16" ht="17.25" thickBot="1" x14ac:dyDescent="0.35">
      <c r="F3016" s="402" t="s">
        <v>19</v>
      </c>
      <c r="G3016" s="403"/>
      <c r="H3016" s="403"/>
      <c r="I3016" s="404"/>
      <c r="K3016" s="224">
        <f>+SUM(K3012:K3014)</f>
        <v>0</v>
      </c>
      <c r="L3016" s="117">
        <f>+SUM(L3011:L3014)</f>
        <v>0</v>
      </c>
    </row>
    <row r="3017" spans="2:16" ht="15" customHeight="1" x14ac:dyDescent="0.3">
      <c r="F3017" s="126"/>
      <c r="G3017" s="280"/>
      <c r="H3017" s="128"/>
      <c r="I3017" s="106"/>
      <c r="K3017" s="225"/>
    </row>
    <row r="3018" spans="2:16" ht="15" customHeight="1" thickBot="1" x14ac:dyDescent="0.35"/>
    <row r="3019" spans="2:16" ht="17.25" thickBot="1" x14ac:dyDescent="0.35">
      <c r="F3019" s="402" t="s">
        <v>20</v>
      </c>
      <c r="G3019" s="403"/>
      <c r="H3019" s="403"/>
      <c r="I3019" s="404"/>
      <c r="K3019" s="224">
        <f>(+K2990+K2999+K3008+K3016)</f>
        <v>454</v>
      </c>
      <c r="L3019" s="117">
        <f>(+L2990+L2999+L3008+L3016)</f>
        <v>1525.6</v>
      </c>
      <c r="N3019" s="129"/>
      <c r="O3019" s="39"/>
      <c r="P3019" s="40"/>
    </row>
    <row r="3020" spans="2:16" ht="7.5" customHeight="1" thickBot="1" x14ac:dyDescent="0.35">
      <c r="N3020" s="129"/>
      <c r="O3020" s="41"/>
      <c r="P3020" s="40"/>
    </row>
    <row r="3021" spans="2:16" ht="17.25" thickBot="1" x14ac:dyDescent="0.35">
      <c r="F3021" s="402" t="s">
        <v>21</v>
      </c>
      <c r="G3021" s="403"/>
      <c r="H3021" s="403"/>
      <c r="I3021" s="404"/>
      <c r="K3021" s="224">
        <f>K3019*$N$2</f>
        <v>181.60000000000002</v>
      </c>
      <c r="L3021" s="117">
        <f>L3019*$N$2</f>
        <v>610.24</v>
      </c>
    </row>
    <row r="3022" spans="2:16" ht="7.5" customHeight="1" thickBot="1" x14ac:dyDescent="0.35"/>
    <row r="3023" spans="2:16" ht="17.25" thickBot="1" x14ac:dyDescent="0.35">
      <c r="F3023" s="402" t="s">
        <v>22</v>
      </c>
      <c r="G3023" s="403"/>
      <c r="H3023" s="403"/>
      <c r="I3023" s="404"/>
      <c r="K3023" s="224">
        <f>+K3019+K3021</f>
        <v>635.6</v>
      </c>
      <c r="L3023" s="117">
        <f>+L3019+L3021</f>
        <v>2135.84</v>
      </c>
    </row>
    <row r="3024" spans="2:16" ht="17.25" thickBot="1" x14ac:dyDescent="0.35">
      <c r="F3024" s="126"/>
      <c r="G3024" s="280"/>
      <c r="H3024" s="128"/>
      <c r="I3024" s="106"/>
      <c r="K3024" s="226"/>
      <c r="L3024" s="130">
        <f>L3023/I2976</f>
        <v>630.04129793510322</v>
      </c>
      <c r="M3024" s="131">
        <f>(K3023-L3024)*I2976</f>
        <v>18.844000000000175</v>
      </c>
    </row>
    <row r="3025" spans="1:16" x14ac:dyDescent="0.3">
      <c r="F3025" s="126"/>
      <c r="G3025" s="280"/>
      <c r="H3025" s="128"/>
      <c r="I3025" s="106"/>
      <c r="K3025" s="227"/>
      <c r="L3025" s="129"/>
      <c r="M3025" s="132"/>
      <c r="N3025" s="133"/>
    </row>
    <row r="3026" spans="1:16" ht="17.25" thickBot="1" x14ac:dyDescent="0.35">
      <c r="B3026" s="405"/>
      <c r="C3026" s="405"/>
      <c r="D3026" s="405"/>
    </row>
    <row r="3027" spans="1:16" x14ac:dyDescent="0.3">
      <c r="B3027" s="406" t="s">
        <v>23</v>
      </c>
      <c r="C3027" s="406"/>
      <c r="D3027" s="406"/>
    </row>
    <row r="3028" spans="1:16" x14ac:dyDescent="0.3">
      <c r="B3028" s="281"/>
      <c r="C3028" s="281"/>
      <c r="D3028" s="281"/>
    </row>
    <row r="3030" spans="1:16" x14ac:dyDescent="0.3">
      <c r="B3030" s="103" t="s">
        <v>43</v>
      </c>
      <c r="C3030" s="104"/>
      <c r="D3030" s="422" t="s">
        <v>1</v>
      </c>
      <c r="E3030" s="422"/>
      <c r="F3030" s="422"/>
      <c r="G3030" s="422"/>
      <c r="H3030" s="104"/>
      <c r="I3030" s="105" t="s">
        <v>2</v>
      </c>
      <c r="J3030" s="134"/>
      <c r="K3030" s="105" t="s">
        <v>3</v>
      </c>
    </row>
    <row r="3031" spans="1:16" s="4" customFormat="1" ht="30.75" customHeight="1" x14ac:dyDescent="0.25">
      <c r="A3031" s="31"/>
      <c r="B3031" s="287">
        <f>CATALOGO!B98</f>
        <v>1304.0139999999999</v>
      </c>
      <c r="C3031" s="71"/>
      <c r="D3031" s="437" t="str">
        <f>CATALOGO!C98</f>
        <v>MUEBLE FIJO + LAVATRASTOS DE ACERO INOXIDABLE</v>
      </c>
      <c r="E3031" s="437"/>
      <c r="F3031" s="437"/>
      <c r="G3031" s="437"/>
      <c r="H3031" s="71"/>
      <c r="I3031" s="287">
        <f>CATALOGO!D98</f>
        <v>1</v>
      </c>
      <c r="J3031" s="107"/>
      <c r="K3031" s="222" t="str">
        <f>CATALOGO!G98</f>
        <v>Unidad</v>
      </c>
      <c r="L3031" s="71"/>
      <c r="M3031" s="71"/>
      <c r="N3031" s="102"/>
      <c r="O3031" s="37"/>
      <c r="P3031" s="37"/>
    </row>
    <row r="3032" spans="1:16" ht="17.25" thickBot="1" x14ac:dyDescent="0.35"/>
    <row r="3033" spans="1:16" ht="17.25" thickBot="1" x14ac:dyDescent="0.35">
      <c r="B3033" s="108" t="s">
        <v>4</v>
      </c>
      <c r="C3033" s="413" t="s">
        <v>5</v>
      </c>
      <c r="D3033" s="413"/>
      <c r="E3033" s="413"/>
      <c r="F3033" s="413"/>
      <c r="G3033" s="414"/>
    </row>
    <row r="3034" spans="1:16" x14ac:dyDescent="0.25">
      <c r="B3034" s="109" t="s">
        <v>6</v>
      </c>
      <c r="C3034" s="424" t="s">
        <v>1</v>
      </c>
      <c r="D3034" s="425"/>
      <c r="E3034" s="110" t="s">
        <v>192</v>
      </c>
      <c r="F3034" s="111" t="s">
        <v>2</v>
      </c>
      <c r="G3034" s="112" t="s">
        <v>3</v>
      </c>
      <c r="H3034" s="104"/>
      <c r="I3034" s="105" t="s">
        <v>7</v>
      </c>
      <c r="J3034" s="134"/>
      <c r="K3034" s="223" t="s">
        <v>8</v>
      </c>
      <c r="L3034" s="113" t="s">
        <v>193</v>
      </c>
      <c r="O3034" s="438"/>
      <c r="P3034" s="438"/>
    </row>
    <row r="3035" spans="1:16" ht="17.25" customHeight="1" x14ac:dyDescent="0.25">
      <c r="B3035" s="149">
        <v>1</v>
      </c>
      <c r="C3035" s="459" t="s">
        <v>469</v>
      </c>
      <c r="D3035" s="460"/>
      <c r="E3035" s="150">
        <v>4</v>
      </c>
      <c r="F3035" s="83">
        <f>ROUND(E3035/I3031,1)</f>
        <v>4</v>
      </c>
      <c r="G3035" s="74" t="str">
        <f>IF(C3035=0,0,VLOOKUP(C3035,Tabla1[],2,FALSE))</f>
        <v>m²</v>
      </c>
      <c r="I3035" s="115">
        <f>IF(C3035=0,0,VLOOKUP(C3035,Tabla1[],3,FALSE))</f>
        <v>120</v>
      </c>
      <c r="K3035" s="84">
        <f>F3035*I3035</f>
        <v>480</v>
      </c>
      <c r="L3035" s="116">
        <f t="shared" ref="L3035:L3043" si="82">E3035*I3035</f>
        <v>480</v>
      </c>
      <c r="O3035" s="44"/>
      <c r="P3035" s="45"/>
    </row>
    <row r="3036" spans="1:16" ht="17.25" customHeight="1" x14ac:dyDescent="0.25">
      <c r="B3036" s="149">
        <v>2</v>
      </c>
      <c r="C3036" s="459" t="s">
        <v>211</v>
      </c>
      <c r="D3036" s="460"/>
      <c r="E3036" s="150">
        <v>50</v>
      </c>
      <c r="F3036" s="83">
        <f>ROUND(E3036/I3031,1)</f>
        <v>50</v>
      </c>
      <c r="G3036" s="74" t="str">
        <f>IF(C3036=0,0,VLOOKUP(C3036,Tabla1[],2,FALSE))</f>
        <v>Unidad</v>
      </c>
      <c r="I3036" s="115">
        <f>IF(C3036=0,0,VLOOKUP(C3036,Tabla1[],3,FALSE))</f>
        <v>7</v>
      </c>
      <c r="K3036" s="84">
        <f>F3036*I3036</f>
        <v>350</v>
      </c>
      <c r="L3036" s="116">
        <f t="shared" si="82"/>
        <v>350</v>
      </c>
      <c r="O3036" s="44"/>
      <c r="P3036" s="45"/>
    </row>
    <row r="3037" spans="1:16" ht="16.5" customHeight="1" x14ac:dyDescent="0.25">
      <c r="B3037" s="149">
        <v>3</v>
      </c>
      <c r="C3037" s="459" t="s">
        <v>168</v>
      </c>
      <c r="D3037" s="460"/>
      <c r="E3037" s="150">
        <v>6</v>
      </c>
      <c r="F3037" s="83">
        <f>ROUND(E3037/I3031,1)</f>
        <v>6</v>
      </c>
      <c r="G3037" s="74" t="str">
        <f>IF(C3037=0,0,VLOOKUP(C3037,Tabla1[],2,FALSE))</f>
        <v>Varilla</v>
      </c>
      <c r="I3037" s="115">
        <f>IF(C3037=0,0,VLOOKUP(C3037,Tabla1[],3,FALSE))</f>
        <v>40</v>
      </c>
      <c r="K3037" s="84">
        <f t="shared" ref="K3037:K3043" si="83">+F3037*I3037</f>
        <v>240</v>
      </c>
      <c r="L3037" s="116">
        <f t="shared" si="82"/>
        <v>240</v>
      </c>
      <c r="O3037" s="44"/>
      <c r="P3037" s="46"/>
    </row>
    <row r="3038" spans="1:16" ht="16.5" customHeight="1" x14ac:dyDescent="0.25">
      <c r="B3038" s="149">
        <v>4</v>
      </c>
      <c r="C3038" s="459" t="s">
        <v>213</v>
      </c>
      <c r="D3038" s="460"/>
      <c r="E3038" s="150">
        <v>4</v>
      </c>
      <c r="F3038" s="83">
        <f>ROUND(E3038/I3031,1)</f>
        <v>4</v>
      </c>
      <c r="G3038" s="74" t="str">
        <f>IF(C3038=0,0,VLOOKUP(C3038,Tabla1[],2,FALSE))</f>
        <v>Saco</v>
      </c>
      <c r="I3038" s="115">
        <f>IF(C3038=0,0,VLOOKUP(C3038,Tabla1[],3,FALSE))</f>
        <v>80</v>
      </c>
      <c r="K3038" s="84">
        <f t="shared" si="83"/>
        <v>320</v>
      </c>
      <c r="L3038" s="116">
        <f t="shared" si="82"/>
        <v>320</v>
      </c>
      <c r="O3038" s="44"/>
      <c r="P3038" s="46"/>
    </row>
    <row r="3039" spans="1:16" ht="16.5" customHeight="1" x14ac:dyDescent="0.25">
      <c r="B3039" s="149">
        <v>5</v>
      </c>
      <c r="C3039" s="459" t="s">
        <v>72</v>
      </c>
      <c r="D3039" s="460"/>
      <c r="E3039" s="150">
        <v>0.16</v>
      </c>
      <c r="F3039" s="83">
        <f>ROUND(E3039/I3031,1)</f>
        <v>0.2</v>
      </c>
      <c r="G3039" s="74" t="str">
        <f>IF(C3039=0,0,VLOOKUP(C3039,Tabla1[],2,FALSE))</f>
        <v>m³</v>
      </c>
      <c r="I3039" s="115">
        <f>IF(C3039=0,0,VLOOKUP(C3039,Tabla1[],3,FALSE))</f>
        <v>250</v>
      </c>
      <c r="K3039" s="84">
        <f t="shared" si="83"/>
        <v>50</v>
      </c>
      <c r="L3039" s="116">
        <f t="shared" si="82"/>
        <v>40</v>
      </c>
      <c r="O3039" s="44"/>
      <c r="P3039" s="46"/>
    </row>
    <row r="3040" spans="1:16" ht="16.5" customHeight="1" x14ac:dyDescent="0.25">
      <c r="B3040" s="149">
        <v>6</v>
      </c>
      <c r="C3040" s="459" t="s">
        <v>229</v>
      </c>
      <c r="D3040" s="460"/>
      <c r="E3040" s="150">
        <v>0.14000000000000001</v>
      </c>
      <c r="F3040" s="83">
        <f>ROUND(E3040/I3031,1)</f>
        <v>0.1</v>
      </c>
      <c r="G3040" s="74" t="str">
        <f>IF(C3040=0,0,VLOOKUP(C3040,Tabla1[],2,FALSE))</f>
        <v>m³</v>
      </c>
      <c r="I3040" s="115">
        <f>IF(C3040=0,0,VLOOKUP(C3040,Tabla1[],3,FALSE))</f>
        <v>250</v>
      </c>
      <c r="K3040" s="84">
        <f t="shared" si="83"/>
        <v>25</v>
      </c>
      <c r="L3040" s="116">
        <f t="shared" si="82"/>
        <v>35</v>
      </c>
      <c r="O3040" s="44"/>
      <c r="P3040" s="46"/>
    </row>
    <row r="3041" spans="2:16" x14ac:dyDescent="0.25">
      <c r="B3041" s="149">
        <v>7</v>
      </c>
      <c r="C3041" s="459" t="s">
        <v>63</v>
      </c>
      <c r="D3041" s="460"/>
      <c r="E3041" s="150">
        <v>0.5</v>
      </c>
      <c r="F3041" s="83">
        <f>ROUND(E3041/I3031,1)</f>
        <v>0.5</v>
      </c>
      <c r="G3041" s="74" t="str">
        <f>IF(C3041=0,0,VLOOKUP(C3041,Tabla1[],2,FALSE))</f>
        <v>Galón</v>
      </c>
      <c r="I3041" s="115">
        <f>IF(C3041=0,0,VLOOKUP(C3041,Tabla1[],3,FALSE))</f>
        <v>200</v>
      </c>
      <c r="K3041" s="84">
        <f t="shared" si="83"/>
        <v>100</v>
      </c>
      <c r="L3041" s="116">
        <f t="shared" si="82"/>
        <v>100</v>
      </c>
      <c r="O3041" s="44"/>
      <c r="P3041" s="46"/>
    </row>
    <row r="3042" spans="2:16" ht="16.5" customHeight="1" x14ac:dyDescent="0.25">
      <c r="B3042" s="149">
        <v>8</v>
      </c>
      <c r="C3042" s="459" t="s">
        <v>93</v>
      </c>
      <c r="D3042" s="460"/>
      <c r="E3042" s="150">
        <v>1</v>
      </c>
      <c r="F3042" s="83">
        <f>ROUND(E3042/I3031,1)</f>
        <v>1</v>
      </c>
      <c r="G3042" s="74" t="str">
        <f>IF(C3042=0,0,VLOOKUP(C3042,Tabla1[],2,FALSE))</f>
        <v>Unidad</v>
      </c>
      <c r="I3042" s="115">
        <f>IF(C3042=0,0,VLOOKUP(C3042,Tabla1[],3,FALSE))</f>
        <v>2000</v>
      </c>
      <c r="K3042" s="84">
        <f t="shared" si="83"/>
        <v>2000</v>
      </c>
      <c r="L3042" s="116">
        <f t="shared" si="82"/>
        <v>2000</v>
      </c>
      <c r="O3042" s="44"/>
      <c r="P3042" s="45"/>
    </row>
    <row r="3043" spans="2:16" x14ac:dyDescent="0.3">
      <c r="B3043" s="149">
        <v>9</v>
      </c>
      <c r="C3043" s="459" t="s">
        <v>273</v>
      </c>
      <c r="D3043" s="460"/>
      <c r="E3043" s="150">
        <v>3</v>
      </c>
      <c r="F3043" s="83">
        <f>ROUND(E3043/I3031,1)</f>
        <v>3</v>
      </c>
      <c r="G3043" s="74" t="str">
        <f>IF(C3043=0,0,VLOOKUP(C3043,Tabla1[],2,FALSE))</f>
        <v>Unidad</v>
      </c>
      <c r="I3043" s="115">
        <f>IF(C3043=0,0,VLOOKUP(C3043,Tabla1[],3,FALSE))</f>
        <v>500</v>
      </c>
      <c r="K3043" s="84">
        <f t="shared" si="83"/>
        <v>1500</v>
      </c>
      <c r="L3043" s="116">
        <f t="shared" si="82"/>
        <v>1500</v>
      </c>
      <c r="P3043" s="45"/>
    </row>
    <row r="3044" spans="2:16" ht="17.25" thickBot="1" x14ac:dyDescent="0.35"/>
    <row r="3045" spans="2:16" ht="17.25" thickBot="1" x14ac:dyDescent="0.3">
      <c r="F3045" s="402" t="s">
        <v>9</v>
      </c>
      <c r="G3045" s="403"/>
      <c r="H3045" s="403"/>
      <c r="I3045" s="404"/>
      <c r="K3045" s="224">
        <f>+SUM(K3035:K3043)</f>
        <v>5065</v>
      </c>
      <c r="L3045" s="117">
        <f>+SUM(L3035:L3043)</f>
        <v>5065</v>
      </c>
      <c r="O3045" s="38"/>
      <c r="P3045" s="38"/>
    </row>
    <row r="3046" spans="2:16" ht="17.25" thickBot="1" x14ac:dyDescent="0.35">
      <c r="O3046" s="42"/>
      <c r="P3046" s="43"/>
    </row>
    <row r="3047" spans="2:16" ht="17.25" thickBot="1" x14ac:dyDescent="0.35">
      <c r="B3047" s="108" t="s">
        <v>10</v>
      </c>
      <c r="C3047" s="413" t="s">
        <v>11</v>
      </c>
      <c r="D3047" s="413"/>
      <c r="E3047" s="413"/>
      <c r="F3047" s="413"/>
      <c r="G3047" s="414"/>
    </row>
    <row r="3048" spans="2:16" x14ac:dyDescent="0.3">
      <c r="B3048" s="112" t="s">
        <v>6</v>
      </c>
      <c r="C3048" s="415" t="s">
        <v>1</v>
      </c>
      <c r="D3048" s="416"/>
      <c r="E3048" s="110" t="s">
        <v>192</v>
      </c>
      <c r="F3048" s="118" t="s">
        <v>2</v>
      </c>
      <c r="G3048" s="112" t="s">
        <v>3</v>
      </c>
      <c r="H3048" s="104"/>
      <c r="I3048" s="105" t="s">
        <v>7</v>
      </c>
      <c r="J3048" s="134"/>
      <c r="K3048" s="105" t="s">
        <v>8</v>
      </c>
      <c r="L3048" s="113" t="s">
        <v>193</v>
      </c>
    </row>
    <row r="3049" spans="2:16" x14ac:dyDescent="0.3">
      <c r="B3049" s="120"/>
      <c r="C3049" s="409"/>
      <c r="D3049" s="409"/>
      <c r="E3049" s="114"/>
      <c r="F3049" s="83"/>
      <c r="G3049" s="74"/>
      <c r="I3049" s="115">
        <f>IF(C3049=0,0,VLOOKUP(C3049,Tabla3[],3,FALSE))</f>
        <v>0</v>
      </c>
      <c r="K3049" s="84">
        <f>F3049*I3049</f>
        <v>0</v>
      </c>
      <c r="L3049" s="116">
        <f>E3049*I3049</f>
        <v>0</v>
      </c>
    </row>
    <row r="3050" spans="2:16" x14ac:dyDescent="0.3">
      <c r="B3050" s="74"/>
      <c r="C3050" s="431"/>
      <c r="D3050" s="432"/>
      <c r="E3050" s="119"/>
      <c r="F3050" s="72"/>
      <c r="G3050" s="74"/>
      <c r="I3050" s="115">
        <f>IF(C3050=0,0,VLOOKUP(C3050,Tabla3[],3,FALSE))</f>
        <v>0</v>
      </c>
      <c r="K3050" s="84">
        <f>+F3050*I3050</f>
        <v>0</v>
      </c>
      <c r="L3050" s="116">
        <f>E3050*I3050</f>
        <v>0</v>
      </c>
    </row>
    <row r="3051" spans="2:16" x14ac:dyDescent="0.3">
      <c r="B3051" s="74"/>
      <c r="C3051" s="431"/>
      <c r="D3051" s="432"/>
      <c r="E3051" s="119"/>
      <c r="F3051" s="72"/>
      <c r="G3051" s="74"/>
      <c r="I3051" s="115">
        <f>IF(C3051=0,0,VLOOKUP(C3051,Tabla3[],3,FALSE))</f>
        <v>0</v>
      </c>
      <c r="K3051" s="84">
        <f>+F3051*I3051</f>
        <v>0</v>
      </c>
      <c r="L3051" s="116">
        <f>E3051*I3051</f>
        <v>0</v>
      </c>
    </row>
    <row r="3052" spans="2:16" x14ac:dyDescent="0.3">
      <c r="B3052" s="74"/>
      <c r="C3052" s="411"/>
      <c r="D3052" s="412"/>
      <c r="E3052" s="119"/>
      <c r="F3052" s="72"/>
      <c r="G3052" s="74"/>
      <c r="I3052" s="115">
        <f>IF(C3052=0,0,VLOOKUP(C3052,Tabla3[],3,FALSE))</f>
        <v>0</v>
      </c>
      <c r="K3052" s="84">
        <f>+F3052*I3052</f>
        <v>0</v>
      </c>
      <c r="L3052" s="116">
        <f>E3052*I3052</f>
        <v>0</v>
      </c>
    </row>
    <row r="3053" spans="2:16" ht="17.25" thickBot="1" x14ac:dyDescent="0.35"/>
    <row r="3054" spans="2:16" ht="17.25" thickBot="1" x14ac:dyDescent="0.35">
      <c r="F3054" s="402" t="s">
        <v>12</v>
      </c>
      <c r="G3054" s="403"/>
      <c r="H3054" s="403"/>
      <c r="I3054" s="404"/>
      <c r="K3054" s="224">
        <f>+SUM(K3049:K3052)</f>
        <v>0</v>
      </c>
      <c r="L3054" s="117">
        <f>+SUM(L3049:L3052)</f>
        <v>0</v>
      </c>
    </row>
    <row r="3055" spans="2:16" ht="17.25" thickBot="1" x14ac:dyDescent="0.35"/>
    <row r="3056" spans="2:16" ht="17.25" thickBot="1" x14ac:dyDescent="0.35">
      <c r="B3056" s="108" t="s">
        <v>13</v>
      </c>
      <c r="C3056" s="413" t="s">
        <v>14</v>
      </c>
      <c r="D3056" s="413"/>
      <c r="E3056" s="413"/>
      <c r="F3056" s="413"/>
      <c r="G3056" s="414"/>
    </row>
    <row r="3057" spans="2:12" x14ac:dyDescent="0.3">
      <c r="B3057" s="112" t="s">
        <v>6</v>
      </c>
      <c r="C3057" s="415" t="s">
        <v>1</v>
      </c>
      <c r="D3057" s="416"/>
      <c r="E3057" s="110" t="s">
        <v>192</v>
      </c>
      <c r="F3057" s="118" t="s">
        <v>2</v>
      </c>
      <c r="G3057" s="112" t="s">
        <v>3</v>
      </c>
      <c r="H3057" s="104"/>
      <c r="I3057" s="105" t="s">
        <v>7</v>
      </c>
      <c r="J3057" s="134"/>
      <c r="K3057" s="105" t="s">
        <v>8</v>
      </c>
      <c r="L3057" s="113" t="s">
        <v>193</v>
      </c>
    </row>
    <row r="3058" spans="2:12" x14ac:dyDescent="0.3">
      <c r="B3058" s="120">
        <v>1</v>
      </c>
      <c r="C3058" s="409" t="s">
        <v>272</v>
      </c>
      <c r="D3058" s="409"/>
      <c r="E3058" s="114">
        <f>I3031</f>
        <v>1</v>
      </c>
      <c r="F3058" s="83">
        <f>ROUND(E3058/I3031,2)</f>
        <v>1</v>
      </c>
      <c r="G3058" s="74" t="str">
        <f>IF(C3058=0,0,VLOOKUP(C3058,Tabla2[],2,FALSE))</f>
        <v>Unidad</v>
      </c>
      <c r="I3058" s="115">
        <f>IF(C3058=0,0,VLOOKUP(C3058,Tabla2[],3,FALSE))</f>
        <v>500</v>
      </c>
      <c r="K3058" s="84">
        <f>+F3058*I3058</f>
        <v>500</v>
      </c>
      <c r="L3058" s="116">
        <f>E3058*I3058</f>
        <v>500</v>
      </c>
    </row>
    <row r="3059" spans="2:12" x14ac:dyDescent="0.3">
      <c r="B3059" s="120"/>
      <c r="C3059" s="409"/>
      <c r="D3059" s="409"/>
      <c r="E3059" s="114"/>
      <c r="F3059" s="83"/>
      <c r="G3059" s="74"/>
      <c r="I3059" s="115">
        <f>IF(C3059=0,0,VLOOKUP(C3059,Tabla2[],3,FALSE))</f>
        <v>0</v>
      </c>
      <c r="K3059" s="84">
        <f>+F3059*I3059</f>
        <v>0</v>
      </c>
      <c r="L3059" s="116">
        <f>E3059*I3059</f>
        <v>0</v>
      </c>
    </row>
    <row r="3060" spans="2:12" ht="17.25" thickBot="1" x14ac:dyDescent="0.35">
      <c r="B3060" s="121"/>
      <c r="C3060" s="417"/>
      <c r="D3060" s="418"/>
      <c r="E3060" s="122"/>
      <c r="F3060" s="123"/>
      <c r="G3060" s="74"/>
      <c r="I3060" s="115">
        <f>IF(C3060=0,0,VLOOKUP(C3060,Tabla2[],3,FALSE))</f>
        <v>0</v>
      </c>
      <c r="K3060" s="84">
        <f>+F3060*I3060</f>
        <v>0</v>
      </c>
      <c r="L3060" s="116">
        <f>E3060*I3060</f>
        <v>0</v>
      </c>
    </row>
    <row r="3061" spans="2:12" ht="17.25" thickBot="1" x14ac:dyDescent="0.35">
      <c r="B3061" s="419" t="s">
        <v>15</v>
      </c>
      <c r="C3061" s="420"/>
      <c r="D3061" s="420"/>
      <c r="E3061" s="420"/>
      <c r="F3061" s="420"/>
      <c r="G3061" s="421"/>
      <c r="I3061" s="84">
        <v>0</v>
      </c>
      <c r="K3061" s="84">
        <v>0</v>
      </c>
      <c r="L3061" s="116">
        <f>E3061*I3061</f>
        <v>0</v>
      </c>
    </row>
    <row r="3062" spans="2:12" ht="17.25" thickBot="1" x14ac:dyDescent="0.35"/>
    <row r="3063" spans="2:12" ht="17.25" thickBot="1" x14ac:dyDescent="0.35">
      <c r="F3063" s="402" t="s">
        <v>16</v>
      </c>
      <c r="G3063" s="403"/>
      <c r="H3063" s="403"/>
      <c r="I3063" s="404"/>
      <c r="K3063" s="224">
        <f>+SUM(K3058:K3061)</f>
        <v>500</v>
      </c>
      <c r="L3063" s="117">
        <f>+SUM(L3058:L3061)</f>
        <v>500</v>
      </c>
    </row>
    <row r="3064" spans="2:12" ht="17.25" thickBot="1" x14ac:dyDescent="0.35"/>
    <row r="3065" spans="2:12" ht="17.25" thickBot="1" x14ac:dyDescent="0.35">
      <c r="B3065" s="108" t="s">
        <v>17</v>
      </c>
      <c r="C3065" s="413" t="s">
        <v>18</v>
      </c>
      <c r="D3065" s="413"/>
      <c r="E3065" s="413"/>
      <c r="F3065" s="413"/>
      <c r="G3065" s="414"/>
    </row>
    <row r="3066" spans="2:12" x14ac:dyDescent="0.3">
      <c r="B3066" s="112" t="s">
        <v>6</v>
      </c>
      <c r="C3066" s="415" t="s">
        <v>1</v>
      </c>
      <c r="D3066" s="416"/>
      <c r="E3066" s="124"/>
      <c r="F3066" s="118" t="s">
        <v>2</v>
      </c>
      <c r="G3066" s="112" t="s">
        <v>3</v>
      </c>
      <c r="H3066" s="104"/>
      <c r="I3066" s="105" t="s">
        <v>7</v>
      </c>
      <c r="J3066" s="134"/>
      <c r="K3066" s="105" t="s">
        <v>8</v>
      </c>
      <c r="L3066" s="113" t="s">
        <v>193</v>
      </c>
    </row>
    <row r="3067" spans="2:12" x14ac:dyDescent="0.3">
      <c r="B3067" s="74"/>
      <c r="C3067" s="411"/>
      <c r="D3067" s="412"/>
      <c r="E3067" s="125"/>
      <c r="F3067" s="72"/>
      <c r="G3067" s="74"/>
      <c r="I3067" s="84">
        <v>0</v>
      </c>
      <c r="K3067" s="84">
        <f>+F3067*I3067</f>
        <v>0</v>
      </c>
      <c r="L3067" s="116">
        <f>E3067*I3067</f>
        <v>0</v>
      </c>
    </row>
    <row r="3068" spans="2:12" x14ac:dyDescent="0.3">
      <c r="B3068" s="74"/>
      <c r="C3068" s="411"/>
      <c r="D3068" s="412"/>
      <c r="E3068" s="125"/>
      <c r="F3068" s="72"/>
      <c r="G3068" s="74"/>
      <c r="I3068" s="84">
        <v>0</v>
      </c>
      <c r="K3068" s="84">
        <f>+F3068*I3068</f>
        <v>0</v>
      </c>
      <c r="L3068" s="116">
        <f>E3068*I3068</f>
        <v>0</v>
      </c>
    </row>
    <row r="3069" spans="2:12" x14ac:dyDescent="0.3">
      <c r="B3069" s="74"/>
      <c r="C3069" s="411"/>
      <c r="D3069" s="412"/>
      <c r="E3069" s="125"/>
      <c r="F3069" s="72"/>
      <c r="G3069" s="74"/>
      <c r="I3069" s="84">
        <v>0</v>
      </c>
      <c r="K3069" s="84">
        <f>+F3069*I3069</f>
        <v>0</v>
      </c>
      <c r="L3069" s="116">
        <f>E3069*I3069</f>
        <v>0</v>
      </c>
    </row>
    <row r="3070" spans="2:12" ht="17.25" thickBot="1" x14ac:dyDescent="0.35">
      <c r="L3070" s="116"/>
    </row>
    <row r="3071" spans="2:12" ht="17.25" thickBot="1" x14ac:dyDescent="0.35">
      <c r="F3071" s="402" t="s">
        <v>19</v>
      </c>
      <c r="G3071" s="403"/>
      <c r="H3071" s="403"/>
      <c r="I3071" s="404"/>
      <c r="K3071" s="224">
        <f>+SUM(K3067:K3069)</f>
        <v>0</v>
      </c>
      <c r="L3071" s="117">
        <f>+SUM(L3066:L3069)</f>
        <v>0</v>
      </c>
    </row>
    <row r="3072" spans="2:12" ht="15" customHeight="1" x14ac:dyDescent="0.3">
      <c r="F3072" s="126"/>
      <c r="G3072" s="280"/>
      <c r="H3072" s="128"/>
      <c r="I3072" s="106"/>
      <c r="K3072" s="225"/>
    </row>
    <row r="3073" spans="1:16" ht="15" customHeight="1" thickBot="1" x14ac:dyDescent="0.35"/>
    <row r="3074" spans="1:16" ht="17.25" thickBot="1" x14ac:dyDescent="0.35">
      <c r="F3074" s="402" t="s">
        <v>20</v>
      </c>
      <c r="G3074" s="403"/>
      <c r="H3074" s="403"/>
      <c r="I3074" s="404"/>
      <c r="K3074" s="224">
        <f>(+K3045+K3054+K3063+K3071)</f>
        <v>5565</v>
      </c>
      <c r="L3074" s="117">
        <f>(+L3045+L3054+L3063+L3071)</f>
        <v>5565</v>
      </c>
      <c r="N3074" s="129"/>
      <c r="O3074" s="39"/>
      <c r="P3074" s="40"/>
    </row>
    <row r="3075" spans="1:16" ht="7.5" customHeight="1" thickBot="1" x14ac:dyDescent="0.35">
      <c r="N3075" s="129"/>
      <c r="O3075" s="41"/>
      <c r="P3075" s="40"/>
    </row>
    <row r="3076" spans="1:16" ht="17.25" thickBot="1" x14ac:dyDescent="0.35">
      <c r="F3076" s="402" t="s">
        <v>21</v>
      </c>
      <c r="G3076" s="403"/>
      <c r="H3076" s="403"/>
      <c r="I3076" s="404"/>
      <c r="K3076" s="224">
        <f>K3074*$N$2</f>
        <v>2226</v>
      </c>
      <c r="L3076" s="117">
        <f>L3074*$N$2</f>
        <v>2226</v>
      </c>
    </row>
    <row r="3077" spans="1:16" ht="7.5" customHeight="1" thickBot="1" x14ac:dyDescent="0.35"/>
    <row r="3078" spans="1:16" ht="17.25" thickBot="1" x14ac:dyDescent="0.35">
      <c r="F3078" s="402" t="s">
        <v>22</v>
      </c>
      <c r="G3078" s="403"/>
      <c r="H3078" s="403"/>
      <c r="I3078" s="404"/>
      <c r="K3078" s="224">
        <f>+K3074+K3076</f>
        <v>7791</v>
      </c>
      <c r="L3078" s="117">
        <f>+L3074+L3076</f>
        <v>7791</v>
      </c>
    </row>
    <row r="3079" spans="1:16" ht="17.25" thickBot="1" x14ac:dyDescent="0.35">
      <c r="F3079" s="126"/>
      <c r="G3079" s="280"/>
      <c r="H3079" s="128"/>
      <c r="I3079" s="106"/>
      <c r="K3079" s="226"/>
      <c r="L3079" s="130">
        <f>L3078/I3031</f>
        <v>7791</v>
      </c>
      <c r="M3079" s="131">
        <f>(K3078-L3079)*I3031</f>
        <v>0</v>
      </c>
    </row>
    <row r="3080" spans="1:16" x14ac:dyDescent="0.3">
      <c r="F3080" s="126"/>
      <c r="G3080" s="280"/>
      <c r="H3080" s="128"/>
      <c r="I3080" s="106"/>
      <c r="K3080" s="227"/>
      <c r="L3080" s="129"/>
      <c r="M3080" s="132"/>
      <c r="N3080" s="133"/>
    </row>
    <row r="3081" spans="1:16" ht="17.25" thickBot="1" x14ac:dyDescent="0.35">
      <c r="B3081" s="405"/>
      <c r="C3081" s="405"/>
      <c r="D3081" s="405"/>
    </row>
    <row r="3082" spans="1:16" x14ac:dyDescent="0.3">
      <c r="B3082" s="406" t="s">
        <v>23</v>
      </c>
      <c r="C3082" s="406"/>
      <c r="D3082" s="406"/>
    </row>
    <row r="3083" spans="1:16" x14ac:dyDescent="0.3">
      <c r="B3083" s="281"/>
      <c r="C3083" s="281"/>
      <c r="D3083" s="281"/>
    </row>
    <row r="3085" spans="1:16" x14ac:dyDescent="0.3">
      <c r="B3085" s="103" t="s">
        <v>43</v>
      </c>
      <c r="C3085" s="104"/>
      <c r="D3085" s="422" t="s">
        <v>1</v>
      </c>
      <c r="E3085" s="422"/>
      <c r="F3085" s="422"/>
      <c r="G3085" s="422"/>
      <c r="H3085" s="104"/>
      <c r="I3085" s="105" t="s">
        <v>2</v>
      </c>
      <c r="J3085" s="134"/>
      <c r="K3085" s="105" t="s">
        <v>3</v>
      </c>
    </row>
    <row r="3086" spans="1:16" s="4" customFormat="1" ht="30.75" customHeight="1" x14ac:dyDescent="0.25">
      <c r="A3086" s="31"/>
      <c r="B3086" s="287">
        <f>CATALOGO!B100</f>
        <v>1410.05</v>
      </c>
      <c r="C3086" s="71"/>
      <c r="D3086" s="437" t="str">
        <f>CATALOGO!C100</f>
        <v>ESTUFA RURAL</v>
      </c>
      <c r="E3086" s="437"/>
      <c r="F3086" s="437"/>
      <c r="G3086" s="437"/>
      <c r="H3086" s="71"/>
      <c r="I3086" s="287">
        <f>CATALOGO!D100</f>
        <v>1</v>
      </c>
      <c r="J3086" s="107"/>
      <c r="K3086" s="222" t="str">
        <f>CATALOGO!G100</f>
        <v>Unidad</v>
      </c>
      <c r="L3086" s="71"/>
      <c r="M3086" s="71"/>
      <c r="N3086" s="102"/>
      <c r="O3086" s="37"/>
      <c r="P3086" s="37"/>
    </row>
    <row r="3087" spans="1:16" ht="17.25" thickBot="1" x14ac:dyDescent="0.35"/>
    <row r="3088" spans="1:16" ht="17.25" thickBot="1" x14ac:dyDescent="0.35">
      <c r="B3088" s="108" t="s">
        <v>4</v>
      </c>
      <c r="C3088" s="413" t="s">
        <v>5</v>
      </c>
      <c r="D3088" s="413"/>
      <c r="E3088" s="413"/>
      <c r="F3088" s="413"/>
      <c r="G3088" s="414"/>
    </row>
    <row r="3089" spans="2:16" x14ac:dyDescent="0.25">
      <c r="B3089" s="109" t="s">
        <v>6</v>
      </c>
      <c r="C3089" s="424" t="s">
        <v>1</v>
      </c>
      <c r="D3089" s="425"/>
      <c r="E3089" s="110" t="s">
        <v>192</v>
      </c>
      <c r="F3089" s="111" t="s">
        <v>2</v>
      </c>
      <c r="G3089" s="112" t="s">
        <v>3</v>
      </c>
      <c r="H3089" s="104"/>
      <c r="I3089" s="105" t="s">
        <v>7</v>
      </c>
      <c r="J3089" s="134"/>
      <c r="K3089" s="223" t="s">
        <v>8</v>
      </c>
      <c r="L3089" s="113" t="s">
        <v>193</v>
      </c>
      <c r="O3089" s="438"/>
      <c r="P3089" s="438"/>
    </row>
    <row r="3090" spans="2:16" ht="17.25" customHeight="1" x14ac:dyDescent="0.25">
      <c r="B3090" s="149">
        <v>1</v>
      </c>
      <c r="C3090" s="459" t="s">
        <v>274</v>
      </c>
      <c r="D3090" s="460"/>
      <c r="E3090" s="150">
        <v>10</v>
      </c>
      <c r="F3090" s="83">
        <f>ROUND(E3090/I3086,1)</f>
        <v>10</v>
      </c>
      <c r="G3090" s="74" t="str">
        <f>IF(C3090=0,0,VLOOKUP(C3090,Tabla1[],2,FALSE))</f>
        <v>Unidad</v>
      </c>
      <c r="I3090" s="115">
        <f>IF(C3090=0,0,VLOOKUP(C3090,Tabla1[],3,FALSE))</f>
        <v>8</v>
      </c>
      <c r="K3090" s="84">
        <f>F3090*I3090</f>
        <v>80</v>
      </c>
      <c r="L3090" s="116">
        <f t="shared" ref="L3090:L3098" si="84">E3090*I3090</f>
        <v>80</v>
      </c>
      <c r="O3090" s="44"/>
      <c r="P3090" s="45"/>
    </row>
    <row r="3091" spans="2:16" ht="17.25" customHeight="1" x14ac:dyDescent="0.25">
      <c r="B3091" s="149">
        <v>2</v>
      </c>
      <c r="C3091" s="459" t="s">
        <v>214</v>
      </c>
      <c r="D3091" s="460"/>
      <c r="E3091" s="150">
        <v>1</v>
      </c>
      <c r="F3091" s="83">
        <f>ROUND(E3091/I3086,1)</f>
        <v>1</v>
      </c>
      <c r="G3091" s="74" t="str">
        <f>IF(C3091=0,0,VLOOKUP(C3091,Tabla1[],2,FALSE))</f>
        <v>Bolsa</v>
      </c>
      <c r="I3091" s="115">
        <f>IF(C3091=0,0,VLOOKUP(C3091,Tabla1[],3,FALSE))</f>
        <v>50</v>
      </c>
      <c r="K3091" s="84">
        <f>F3091*I3091</f>
        <v>50</v>
      </c>
      <c r="L3091" s="116">
        <f t="shared" si="84"/>
        <v>50</v>
      </c>
      <c r="O3091" s="44"/>
      <c r="P3091" s="45"/>
    </row>
    <row r="3092" spans="2:16" ht="16.5" customHeight="1" x14ac:dyDescent="0.25">
      <c r="B3092" s="149">
        <v>3</v>
      </c>
      <c r="C3092" s="459" t="s">
        <v>234</v>
      </c>
      <c r="D3092" s="460"/>
      <c r="E3092" s="150">
        <f>I3086*110</f>
        <v>110</v>
      </c>
      <c r="F3092" s="83">
        <f>ROUND(E3092/I3086,1)</f>
        <v>110</v>
      </c>
      <c r="G3092" s="74" t="str">
        <f>IF(C3092=0,0,VLOOKUP(C3092,Tabla1[],2,FALSE))</f>
        <v>Unidad</v>
      </c>
      <c r="I3092" s="115">
        <f>IF(C3092=0,0,VLOOKUP(C3092,Tabla1[],3,FALSE))</f>
        <v>7</v>
      </c>
      <c r="K3092" s="84">
        <f t="shared" ref="K3092:K3098" si="85">+F3092*I3092</f>
        <v>770</v>
      </c>
      <c r="L3092" s="116">
        <f t="shared" si="84"/>
        <v>770</v>
      </c>
      <c r="O3092" s="44"/>
      <c r="P3092" s="46"/>
    </row>
    <row r="3093" spans="2:16" ht="16.5" customHeight="1" x14ac:dyDescent="0.25">
      <c r="B3093" s="149">
        <v>4</v>
      </c>
      <c r="C3093" s="459" t="s">
        <v>213</v>
      </c>
      <c r="D3093" s="460"/>
      <c r="E3093" s="150">
        <v>1</v>
      </c>
      <c r="F3093" s="83">
        <f>ROUND(E3093/I3086,1)</f>
        <v>1</v>
      </c>
      <c r="G3093" s="74" t="str">
        <f>IF(C3093=0,0,VLOOKUP(C3093,Tabla1[],2,FALSE))</f>
        <v>Saco</v>
      </c>
      <c r="I3093" s="115">
        <f>IF(C3093=0,0,VLOOKUP(C3093,Tabla1[],3,FALSE))</f>
        <v>80</v>
      </c>
      <c r="K3093" s="84">
        <f t="shared" si="85"/>
        <v>80</v>
      </c>
      <c r="L3093" s="116">
        <f t="shared" si="84"/>
        <v>80</v>
      </c>
      <c r="O3093" s="44"/>
      <c r="P3093" s="46"/>
    </row>
    <row r="3094" spans="2:16" ht="16.5" customHeight="1" x14ac:dyDescent="0.25">
      <c r="B3094" s="149">
        <v>5</v>
      </c>
      <c r="C3094" s="459" t="s">
        <v>72</v>
      </c>
      <c r="D3094" s="460"/>
      <c r="E3094" s="150">
        <f>I3086*0.02</f>
        <v>0.02</v>
      </c>
      <c r="F3094" s="83">
        <f>ROUND(E3094/I3086,2)</f>
        <v>0.02</v>
      </c>
      <c r="G3094" s="74" t="str">
        <f>IF(C3094=0,0,VLOOKUP(C3094,Tabla1[],2,FALSE))</f>
        <v>m³</v>
      </c>
      <c r="I3094" s="115">
        <f>IF(C3094=0,0,VLOOKUP(C3094,Tabla1[],3,FALSE))</f>
        <v>250</v>
      </c>
      <c r="K3094" s="84">
        <f t="shared" si="85"/>
        <v>5</v>
      </c>
      <c r="L3094" s="116">
        <f t="shared" si="84"/>
        <v>5</v>
      </c>
      <c r="O3094" s="44"/>
      <c r="P3094" s="46"/>
    </row>
    <row r="3095" spans="2:16" ht="16.5" customHeight="1" x14ac:dyDescent="0.25">
      <c r="B3095" s="149">
        <v>6</v>
      </c>
      <c r="C3095" s="459" t="s">
        <v>229</v>
      </c>
      <c r="D3095" s="460"/>
      <c r="E3095" s="150">
        <f>I3086*0.02</f>
        <v>0.02</v>
      </c>
      <c r="F3095" s="83">
        <f>ROUND(E3095/I3086,2)</f>
        <v>0.02</v>
      </c>
      <c r="G3095" s="74" t="str">
        <f>IF(C3095=0,0,VLOOKUP(C3095,Tabla1[],2,FALSE))</f>
        <v>m³</v>
      </c>
      <c r="I3095" s="115">
        <f>IF(C3095=0,0,VLOOKUP(C3095,Tabla1[],3,FALSE))</f>
        <v>250</v>
      </c>
      <c r="K3095" s="84">
        <f t="shared" si="85"/>
        <v>5</v>
      </c>
      <c r="L3095" s="116">
        <f t="shared" si="84"/>
        <v>5</v>
      </c>
      <c r="O3095" s="44"/>
      <c r="P3095" s="46"/>
    </row>
    <row r="3096" spans="2:16" x14ac:dyDescent="0.25">
      <c r="B3096" s="149">
        <v>7</v>
      </c>
      <c r="C3096" s="459" t="s">
        <v>102</v>
      </c>
      <c r="D3096" s="460"/>
      <c r="E3096" s="150">
        <f>I3086</f>
        <v>1</v>
      </c>
      <c r="F3096" s="83">
        <f>ROUND(E3096/I3086,1)</f>
        <v>1</v>
      </c>
      <c r="G3096" s="74" t="str">
        <f>IF(C3096=0,0,VLOOKUP(C3096,Tabla1[],2,FALSE))</f>
        <v>Unidad</v>
      </c>
      <c r="I3096" s="115">
        <f>IF(C3096=0,0,VLOOKUP(C3096,Tabla1[],3,FALSE))</f>
        <v>1730</v>
      </c>
      <c r="K3096" s="84">
        <f t="shared" si="85"/>
        <v>1730</v>
      </c>
      <c r="L3096" s="116">
        <f t="shared" si="84"/>
        <v>1730</v>
      </c>
      <c r="O3096" s="44"/>
      <c r="P3096" s="46"/>
    </row>
    <row r="3097" spans="2:16" ht="16.5" customHeight="1" x14ac:dyDescent="0.25">
      <c r="B3097" s="149"/>
      <c r="C3097" s="459"/>
      <c r="D3097" s="460"/>
      <c r="E3097" s="150"/>
      <c r="F3097" s="83"/>
      <c r="G3097" s="74"/>
      <c r="I3097" s="115">
        <f>IF(C3097=0,0,VLOOKUP(C3097,Tabla1[],3,FALSE))</f>
        <v>0</v>
      </c>
      <c r="K3097" s="84">
        <f t="shared" si="85"/>
        <v>0</v>
      </c>
      <c r="L3097" s="116">
        <f t="shared" si="84"/>
        <v>0</v>
      </c>
      <c r="O3097" s="44"/>
      <c r="P3097" s="45"/>
    </row>
    <row r="3098" spans="2:16" x14ac:dyDescent="0.3">
      <c r="B3098" s="149"/>
      <c r="C3098" s="459"/>
      <c r="D3098" s="460"/>
      <c r="E3098" s="150"/>
      <c r="F3098" s="83"/>
      <c r="G3098" s="74"/>
      <c r="I3098" s="115">
        <f>IF(C3098=0,0,VLOOKUP(C3098,Tabla1[],3,FALSE))</f>
        <v>0</v>
      </c>
      <c r="K3098" s="84">
        <f t="shared" si="85"/>
        <v>0</v>
      </c>
      <c r="L3098" s="116">
        <f t="shared" si="84"/>
        <v>0</v>
      </c>
      <c r="P3098" s="45"/>
    </row>
    <row r="3099" spans="2:16" ht="17.25" thickBot="1" x14ac:dyDescent="0.35"/>
    <row r="3100" spans="2:16" ht="17.25" thickBot="1" x14ac:dyDescent="0.3">
      <c r="F3100" s="402" t="s">
        <v>9</v>
      </c>
      <c r="G3100" s="403"/>
      <c r="H3100" s="403"/>
      <c r="I3100" s="404"/>
      <c r="K3100" s="224">
        <f>+SUM(K3090:K3098)</f>
        <v>2720</v>
      </c>
      <c r="L3100" s="117">
        <f>+SUM(L3090:L3098)</f>
        <v>2720</v>
      </c>
      <c r="O3100" s="38"/>
      <c r="P3100" s="38"/>
    </row>
    <row r="3101" spans="2:16" ht="17.25" thickBot="1" x14ac:dyDescent="0.35">
      <c r="O3101" s="42"/>
      <c r="P3101" s="43"/>
    </row>
    <row r="3102" spans="2:16" ht="17.25" thickBot="1" x14ac:dyDescent="0.35">
      <c r="B3102" s="108" t="s">
        <v>10</v>
      </c>
      <c r="C3102" s="413" t="s">
        <v>11</v>
      </c>
      <c r="D3102" s="413"/>
      <c r="E3102" s="413"/>
      <c r="F3102" s="413"/>
      <c r="G3102" s="414"/>
    </row>
    <row r="3103" spans="2:16" x14ac:dyDescent="0.3">
      <c r="B3103" s="112" t="s">
        <v>6</v>
      </c>
      <c r="C3103" s="415" t="s">
        <v>1</v>
      </c>
      <c r="D3103" s="416"/>
      <c r="E3103" s="110" t="s">
        <v>192</v>
      </c>
      <c r="F3103" s="118" t="s">
        <v>2</v>
      </c>
      <c r="G3103" s="112" t="s">
        <v>3</v>
      </c>
      <c r="H3103" s="104"/>
      <c r="I3103" s="105" t="s">
        <v>7</v>
      </c>
      <c r="J3103" s="134"/>
      <c r="K3103" s="105" t="s">
        <v>8</v>
      </c>
      <c r="L3103" s="113" t="s">
        <v>193</v>
      </c>
    </row>
    <row r="3104" spans="2:16" x14ac:dyDescent="0.3">
      <c r="B3104" s="120"/>
      <c r="C3104" s="409"/>
      <c r="D3104" s="409"/>
      <c r="E3104" s="114"/>
      <c r="F3104" s="83"/>
      <c r="G3104" s="74"/>
      <c r="I3104" s="115">
        <f>IF(C3104=0,0,VLOOKUP(C3104,Tabla3[],3,FALSE))</f>
        <v>0</v>
      </c>
      <c r="K3104" s="84">
        <f>F3104*I3104</f>
        <v>0</v>
      </c>
      <c r="L3104" s="116">
        <f>E3104*I3104</f>
        <v>0</v>
      </c>
    </row>
    <row r="3105" spans="2:12" x14ac:dyDescent="0.3">
      <c r="B3105" s="74"/>
      <c r="C3105" s="431"/>
      <c r="D3105" s="432"/>
      <c r="E3105" s="119"/>
      <c r="F3105" s="72"/>
      <c r="G3105" s="74"/>
      <c r="I3105" s="115">
        <f>IF(C3105=0,0,VLOOKUP(C3105,Tabla3[],3,FALSE))</f>
        <v>0</v>
      </c>
      <c r="K3105" s="84">
        <f>+F3105*I3105</f>
        <v>0</v>
      </c>
      <c r="L3105" s="116">
        <f>E3105*I3105</f>
        <v>0</v>
      </c>
    </row>
    <row r="3106" spans="2:12" x14ac:dyDescent="0.3">
      <c r="B3106" s="74"/>
      <c r="C3106" s="431"/>
      <c r="D3106" s="432"/>
      <c r="E3106" s="119"/>
      <c r="F3106" s="72"/>
      <c r="G3106" s="74"/>
      <c r="I3106" s="115">
        <f>IF(C3106=0,0,VLOOKUP(C3106,Tabla3[],3,FALSE))</f>
        <v>0</v>
      </c>
      <c r="K3106" s="84">
        <f>+F3106*I3106</f>
        <v>0</v>
      </c>
      <c r="L3106" s="116">
        <f>E3106*I3106</f>
        <v>0</v>
      </c>
    </row>
    <row r="3107" spans="2:12" x14ac:dyDescent="0.3">
      <c r="B3107" s="74"/>
      <c r="C3107" s="411"/>
      <c r="D3107" s="412"/>
      <c r="E3107" s="119"/>
      <c r="F3107" s="72"/>
      <c r="G3107" s="74"/>
      <c r="I3107" s="115">
        <f>IF(C3107=0,0,VLOOKUP(C3107,Tabla3[],3,FALSE))</f>
        <v>0</v>
      </c>
      <c r="K3107" s="84">
        <f>+F3107*I3107</f>
        <v>0</v>
      </c>
      <c r="L3107" s="116">
        <f>E3107*I3107</f>
        <v>0</v>
      </c>
    </row>
    <row r="3108" spans="2:12" ht="17.25" thickBot="1" x14ac:dyDescent="0.35"/>
    <row r="3109" spans="2:12" ht="17.25" thickBot="1" x14ac:dyDescent="0.35">
      <c r="F3109" s="402" t="s">
        <v>12</v>
      </c>
      <c r="G3109" s="403"/>
      <c r="H3109" s="403"/>
      <c r="I3109" s="404"/>
      <c r="K3109" s="224">
        <f>+SUM(K3104:K3107)</f>
        <v>0</v>
      </c>
      <c r="L3109" s="117">
        <f>+SUM(L3104:L3107)</f>
        <v>0</v>
      </c>
    </row>
    <row r="3110" spans="2:12" ht="17.25" thickBot="1" x14ac:dyDescent="0.35"/>
    <row r="3111" spans="2:12" ht="17.25" thickBot="1" x14ac:dyDescent="0.35">
      <c r="B3111" s="108" t="s">
        <v>13</v>
      </c>
      <c r="C3111" s="413" t="s">
        <v>14</v>
      </c>
      <c r="D3111" s="413"/>
      <c r="E3111" s="413"/>
      <c r="F3111" s="413"/>
      <c r="G3111" s="414"/>
    </row>
    <row r="3112" spans="2:12" x14ac:dyDescent="0.3">
      <c r="B3112" s="112" t="s">
        <v>6</v>
      </c>
      <c r="C3112" s="415" t="s">
        <v>1</v>
      </c>
      <c r="D3112" s="416"/>
      <c r="E3112" s="110" t="s">
        <v>192</v>
      </c>
      <c r="F3112" s="118" t="s">
        <v>2</v>
      </c>
      <c r="G3112" s="112" t="s">
        <v>3</v>
      </c>
      <c r="H3112" s="104"/>
      <c r="I3112" s="105" t="s">
        <v>7</v>
      </c>
      <c r="J3112" s="134"/>
      <c r="K3112" s="105" t="s">
        <v>8</v>
      </c>
      <c r="L3112" s="113" t="s">
        <v>193</v>
      </c>
    </row>
    <row r="3113" spans="2:12" x14ac:dyDescent="0.3">
      <c r="B3113" s="120">
        <v>1</v>
      </c>
      <c r="C3113" s="409" t="s">
        <v>275</v>
      </c>
      <c r="D3113" s="409"/>
      <c r="E3113" s="114">
        <f>I3086</f>
        <v>1</v>
      </c>
      <c r="F3113" s="83">
        <f>ROUND(E3113/I3086,2)</f>
        <v>1</v>
      </c>
      <c r="G3113" s="74" t="str">
        <f>IF(C3113=0,0,VLOOKUP(C3113,Tabla2[],2,FALSE))</f>
        <v>Unidad</v>
      </c>
      <c r="I3113" s="115">
        <f>IF(C3113=0,0,VLOOKUP(C3113,Tabla2[],3,FALSE))</f>
        <v>500</v>
      </c>
      <c r="K3113" s="84">
        <f>+F3113*I3113</f>
        <v>500</v>
      </c>
      <c r="L3113" s="116">
        <f>E3113*I3113</f>
        <v>500</v>
      </c>
    </row>
    <row r="3114" spans="2:12" x14ac:dyDescent="0.3">
      <c r="B3114" s="120"/>
      <c r="C3114" s="409"/>
      <c r="D3114" s="409"/>
      <c r="E3114" s="114"/>
      <c r="F3114" s="83"/>
      <c r="G3114" s="74"/>
      <c r="I3114" s="115">
        <f>IF(C3114=0,0,VLOOKUP(C3114,Tabla2[],3,FALSE))</f>
        <v>0</v>
      </c>
      <c r="K3114" s="84">
        <f>+F3114*I3114</f>
        <v>0</v>
      </c>
      <c r="L3114" s="116">
        <f>E3114*I3114</f>
        <v>0</v>
      </c>
    </row>
    <row r="3115" spans="2:12" ht="17.25" thickBot="1" x14ac:dyDescent="0.35">
      <c r="B3115" s="121"/>
      <c r="C3115" s="417"/>
      <c r="D3115" s="418"/>
      <c r="E3115" s="122"/>
      <c r="F3115" s="123"/>
      <c r="G3115" s="74"/>
      <c r="I3115" s="115">
        <f>IF(C3115=0,0,VLOOKUP(C3115,Tabla2[],3,FALSE))</f>
        <v>0</v>
      </c>
      <c r="K3115" s="84">
        <f>+F3115*I3115</f>
        <v>0</v>
      </c>
      <c r="L3115" s="116">
        <f>E3115*I3115</f>
        <v>0</v>
      </c>
    </row>
    <row r="3116" spans="2:12" ht="17.25" thickBot="1" x14ac:dyDescent="0.35">
      <c r="B3116" s="419" t="s">
        <v>15</v>
      </c>
      <c r="C3116" s="420"/>
      <c r="D3116" s="420"/>
      <c r="E3116" s="420"/>
      <c r="F3116" s="420"/>
      <c r="G3116" s="421"/>
      <c r="I3116" s="84">
        <v>0</v>
      </c>
      <c r="K3116" s="84">
        <v>0</v>
      </c>
      <c r="L3116" s="116">
        <f>E3116*I3116</f>
        <v>0</v>
      </c>
    </row>
    <row r="3117" spans="2:12" ht="17.25" thickBot="1" x14ac:dyDescent="0.35"/>
    <row r="3118" spans="2:12" ht="17.25" thickBot="1" x14ac:dyDescent="0.35">
      <c r="F3118" s="402" t="s">
        <v>16</v>
      </c>
      <c r="G3118" s="403"/>
      <c r="H3118" s="403"/>
      <c r="I3118" s="404"/>
      <c r="K3118" s="224">
        <f>+SUM(K3113:K3116)</f>
        <v>500</v>
      </c>
      <c r="L3118" s="117">
        <f>+SUM(L3113:L3116)</f>
        <v>500</v>
      </c>
    </row>
    <row r="3119" spans="2:12" ht="17.25" thickBot="1" x14ac:dyDescent="0.35"/>
    <row r="3120" spans="2:12" ht="17.25" thickBot="1" x14ac:dyDescent="0.35">
      <c r="B3120" s="108" t="s">
        <v>17</v>
      </c>
      <c r="C3120" s="413" t="s">
        <v>18</v>
      </c>
      <c r="D3120" s="413"/>
      <c r="E3120" s="413"/>
      <c r="F3120" s="413"/>
      <c r="G3120" s="414"/>
    </row>
    <row r="3121" spans="2:16" x14ac:dyDescent="0.3">
      <c r="B3121" s="112" t="s">
        <v>6</v>
      </c>
      <c r="C3121" s="415" t="s">
        <v>1</v>
      </c>
      <c r="D3121" s="416"/>
      <c r="E3121" s="124"/>
      <c r="F3121" s="118" t="s">
        <v>2</v>
      </c>
      <c r="G3121" s="112" t="s">
        <v>3</v>
      </c>
      <c r="H3121" s="104"/>
      <c r="I3121" s="105" t="s">
        <v>7</v>
      </c>
      <c r="J3121" s="134"/>
      <c r="K3121" s="105" t="s">
        <v>8</v>
      </c>
      <c r="L3121" s="113" t="s">
        <v>193</v>
      </c>
    </row>
    <row r="3122" spans="2:16" x14ac:dyDescent="0.3">
      <c r="B3122" s="74"/>
      <c r="C3122" s="411"/>
      <c r="D3122" s="412"/>
      <c r="E3122" s="125"/>
      <c r="F3122" s="72"/>
      <c r="G3122" s="74"/>
      <c r="I3122" s="84">
        <v>0</v>
      </c>
      <c r="K3122" s="84">
        <f>+F3122*I3122</f>
        <v>0</v>
      </c>
      <c r="L3122" s="116">
        <f>E3122*I3122</f>
        <v>0</v>
      </c>
    </row>
    <row r="3123" spans="2:16" x14ac:dyDescent="0.3">
      <c r="B3123" s="74"/>
      <c r="C3123" s="411"/>
      <c r="D3123" s="412"/>
      <c r="E3123" s="125"/>
      <c r="F3123" s="72"/>
      <c r="G3123" s="74"/>
      <c r="I3123" s="84">
        <v>0</v>
      </c>
      <c r="K3123" s="84">
        <f>+F3123*I3123</f>
        <v>0</v>
      </c>
      <c r="L3123" s="116">
        <f>E3123*I3123</f>
        <v>0</v>
      </c>
    </row>
    <row r="3124" spans="2:16" x14ac:dyDescent="0.3">
      <c r="B3124" s="74"/>
      <c r="C3124" s="411"/>
      <c r="D3124" s="412"/>
      <c r="E3124" s="125"/>
      <c r="F3124" s="72"/>
      <c r="G3124" s="74"/>
      <c r="I3124" s="84">
        <v>0</v>
      </c>
      <c r="K3124" s="84">
        <f>+F3124*I3124</f>
        <v>0</v>
      </c>
      <c r="L3124" s="116">
        <f>E3124*I3124</f>
        <v>0</v>
      </c>
    </row>
    <row r="3125" spans="2:16" ht="17.25" thickBot="1" x14ac:dyDescent="0.35">
      <c r="L3125" s="116"/>
    </row>
    <row r="3126" spans="2:16" ht="17.25" thickBot="1" x14ac:dyDescent="0.35">
      <c r="F3126" s="402" t="s">
        <v>19</v>
      </c>
      <c r="G3126" s="403"/>
      <c r="H3126" s="403"/>
      <c r="I3126" s="404"/>
      <c r="K3126" s="224">
        <f>+SUM(K3122:K3124)</f>
        <v>0</v>
      </c>
      <c r="L3126" s="117">
        <f>+SUM(L3121:L3124)</f>
        <v>0</v>
      </c>
    </row>
    <row r="3127" spans="2:16" ht="15" customHeight="1" x14ac:dyDescent="0.3">
      <c r="F3127" s="126"/>
      <c r="G3127" s="280"/>
      <c r="H3127" s="128"/>
      <c r="I3127" s="106"/>
      <c r="K3127" s="225"/>
    </row>
    <row r="3128" spans="2:16" ht="15" customHeight="1" thickBot="1" x14ac:dyDescent="0.35"/>
    <row r="3129" spans="2:16" ht="17.25" thickBot="1" x14ac:dyDescent="0.35">
      <c r="F3129" s="402" t="s">
        <v>20</v>
      </c>
      <c r="G3129" s="403"/>
      <c r="H3129" s="403"/>
      <c r="I3129" s="404"/>
      <c r="K3129" s="224">
        <f>(+K3100+K3109+K3118+K3126)</f>
        <v>3220</v>
      </c>
      <c r="L3129" s="117">
        <f>(+L3100+L3109+L3118+L3126)</f>
        <v>3220</v>
      </c>
      <c r="N3129" s="129"/>
      <c r="O3129" s="39"/>
      <c r="P3129" s="40"/>
    </row>
    <row r="3130" spans="2:16" ht="7.5" customHeight="1" thickBot="1" x14ac:dyDescent="0.35">
      <c r="N3130" s="129"/>
      <c r="O3130" s="41"/>
      <c r="P3130" s="40"/>
    </row>
    <row r="3131" spans="2:16" ht="17.25" thickBot="1" x14ac:dyDescent="0.35">
      <c r="F3131" s="402" t="s">
        <v>21</v>
      </c>
      <c r="G3131" s="403"/>
      <c r="H3131" s="403"/>
      <c r="I3131" s="404"/>
      <c r="K3131" s="224">
        <f>K3129*$N$2</f>
        <v>1288</v>
      </c>
      <c r="L3131" s="117">
        <f>L3129*$N$2</f>
        <v>1288</v>
      </c>
    </row>
    <row r="3132" spans="2:16" ht="7.5" customHeight="1" thickBot="1" x14ac:dyDescent="0.35"/>
    <row r="3133" spans="2:16" ht="17.25" thickBot="1" x14ac:dyDescent="0.35">
      <c r="F3133" s="402" t="s">
        <v>22</v>
      </c>
      <c r="G3133" s="403"/>
      <c r="H3133" s="403"/>
      <c r="I3133" s="404"/>
      <c r="K3133" s="224">
        <f>+K3129+K3131</f>
        <v>4508</v>
      </c>
      <c r="L3133" s="117">
        <f>+L3129+L3131</f>
        <v>4508</v>
      </c>
    </row>
    <row r="3134" spans="2:16" ht="17.25" thickBot="1" x14ac:dyDescent="0.35">
      <c r="F3134" s="126"/>
      <c r="G3134" s="280"/>
      <c r="H3134" s="128"/>
      <c r="I3134" s="106"/>
      <c r="K3134" s="226"/>
      <c r="L3134" s="130">
        <f>L3133/I3086</f>
        <v>4508</v>
      </c>
      <c r="M3134" s="131">
        <f>(K3133-L3134)*I3086</f>
        <v>0</v>
      </c>
    </row>
    <row r="3135" spans="2:16" x14ac:dyDescent="0.3">
      <c r="F3135" s="126"/>
      <c r="G3135" s="280"/>
      <c r="H3135" s="128"/>
      <c r="I3135" s="106"/>
      <c r="K3135" s="227"/>
      <c r="L3135" s="129"/>
      <c r="M3135" s="132"/>
      <c r="N3135" s="133"/>
    </row>
    <row r="3136" spans="2:16" ht="17.25" thickBot="1" x14ac:dyDescent="0.35">
      <c r="B3136" s="405"/>
      <c r="C3136" s="405"/>
      <c r="D3136" s="405"/>
    </row>
    <row r="3137" spans="1:16" x14ac:dyDescent="0.3">
      <c r="B3137" s="406" t="s">
        <v>23</v>
      </c>
      <c r="C3137" s="406"/>
      <c r="D3137" s="406"/>
    </row>
    <row r="3138" spans="1:16" x14ac:dyDescent="0.3">
      <c r="B3138" s="281"/>
      <c r="C3138" s="281"/>
      <c r="D3138" s="281"/>
    </row>
    <row r="3140" spans="1:16" x14ac:dyDescent="0.3">
      <c r="B3140" s="103" t="s">
        <v>43</v>
      </c>
      <c r="C3140" s="104"/>
      <c r="D3140" s="422" t="s">
        <v>1</v>
      </c>
      <c r="E3140" s="422"/>
      <c r="F3140" s="422"/>
      <c r="G3140" s="422"/>
      <c r="H3140" s="104"/>
      <c r="I3140" s="105" t="s">
        <v>2</v>
      </c>
      <c r="J3140" s="134"/>
      <c r="K3140" s="105" t="s">
        <v>3</v>
      </c>
    </row>
    <row r="3141" spans="1:16" s="4" customFormat="1" ht="30.75" customHeight="1" x14ac:dyDescent="0.25">
      <c r="A3141" s="31"/>
      <c r="B3141" s="287">
        <f>CATALOGO!B103</f>
        <v>101.07</v>
      </c>
      <c r="C3141" s="71"/>
      <c r="D3141" s="437" t="str">
        <f>CATALOGO!C103</f>
        <v>PREPARACIÓN DE ÁREA DE TRABAJO EN REMOZAMIENTO</v>
      </c>
      <c r="E3141" s="437"/>
      <c r="F3141" s="437"/>
      <c r="G3141" s="437"/>
      <c r="H3141" s="71"/>
      <c r="I3141" s="287">
        <f>CATALOGO!D103</f>
        <v>29</v>
      </c>
      <c r="J3141" s="107"/>
      <c r="K3141" s="222" t="str">
        <f>CATALOGO!G103</f>
        <v>m²</v>
      </c>
      <c r="L3141" s="71"/>
      <c r="M3141" s="71"/>
      <c r="N3141" s="102"/>
      <c r="O3141" s="37"/>
      <c r="P3141" s="37"/>
    </row>
    <row r="3142" spans="1:16" ht="17.25" thickBot="1" x14ac:dyDescent="0.35"/>
    <row r="3143" spans="1:16" ht="17.25" thickBot="1" x14ac:dyDescent="0.35">
      <c r="B3143" s="108" t="s">
        <v>4</v>
      </c>
      <c r="C3143" s="413" t="s">
        <v>5</v>
      </c>
      <c r="D3143" s="413"/>
      <c r="E3143" s="413"/>
      <c r="F3143" s="413"/>
      <c r="G3143" s="414"/>
    </row>
    <row r="3144" spans="1:16" x14ac:dyDescent="0.25">
      <c r="B3144" s="109" t="s">
        <v>6</v>
      </c>
      <c r="C3144" s="424" t="s">
        <v>1</v>
      </c>
      <c r="D3144" s="425"/>
      <c r="E3144" s="110" t="s">
        <v>192</v>
      </c>
      <c r="F3144" s="111" t="s">
        <v>2</v>
      </c>
      <c r="G3144" s="112" t="s">
        <v>3</v>
      </c>
      <c r="H3144" s="104"/>
      <c r="I3144" s="105" t="s">
        <v>7</v>
      </c>
      <c r="J3144" s="134"/>
      <c r="K3144" s="223" t="s">
        <v>8</v>
      </c>
      <c r="L3144" s="113" t="s">
        <v>193</v>
      </c>
      <c r="O3144" s="438"/>
      <c r="P3144" s="438"/>
    </row>
    <row r="3145" spans="1:16" ht="16.5" customHeight="1" x14ac:dyDescent="0.25">
      <c r="B3145" s="120"/>
      <c r="C3145" s="407"/>
      <c r="D3145" s="408"/>
      <c r="E3145" s="114"/>
      <c r="F3145" s="83"/>
      <c r="G3145" s="74"/>
      <c r="I3145" s="115">
        <f>IF(C3145=0,0,VLOOKUP(C3145,Tabla1[],3,FALSE))</f>
        <v>0</v>
      </c>
      <c r="K3145" s="84">
        <f>F3145*I3145</f>
        <v>0</v>
      </c>
      <c r="L3145" s="116">
        <f t="shared" ref="L3145:L3154" si="86">E3145*I3145</f>
        <v>0</v>
      </c>
      <c r="O3145" s="44"/>
      <c r="P3145" s="45"/>
    </row>
    <row r="3146" spans="1:16" x14ac:dyDescent="0.25">
      <c r="B3146" s="120"/>
      <c r="C3146" s="407"/>
      <c r="D3146" s="408"/>
      <c r="E3146" s="114"/>
      <c r="F3146" s="83"/>
      <c r="G3146" s="74"/>
      <c r="I3146" s="115">
        <f>IF(C3146=0,0,VLOOKUP(C3146,Tabla1[],3,FALSE))</f>
        <v>0</v>
      </c>
      <c r="K3146" s="84">
        <f>+F3146*I3146</f>
        <v>0</v>
      </c>
      <c r="L3146" s="116">
        <f t="shared" si="86"/>
        <v>0</v>
      </c>
      <c r="O3146" s="44"/>
      <c r="P3146" s="47"/>
    </row>
    <row r="3147" spans="1:16" x14ac:dyDescent="0.3">
      <c r="B3147" s="120"/>
      <c r="C3147" s="407"/>
      <c r="D3147" s="408"/>
      <c r="E3147" s="114"/>
      <c r="F3147" s="83"/>
      <c r="G3147" s="74"/>
      <c r="I3147" s="115">
        <f>IF(C3147=0,0,VLOOKUP(C3147,Tabla1[],3,FALSE))</f>
        <v>0</v>
      </c>
      <c r="K3147" s="84">
        <f>+F3147*I3147</f>
        <v>0</v>
      </c>
      <c r="L3147" s="116">
        <f t="shared" si="86"/>
        <v>0</v>
      </c>
      <c r="O3147" s="48"/>
      <c r="P3147" s="49"/>
    </row>
    <row r="3148" spans="1:16" ht="16.5" customHeight="1" x14ac:dyDescent="0.25">
      <c r="B3148" s="120"/>
      <c r="C3148" s="407"/>
      <c r="D3148" s="408"/>
      <c r="E3148" s="114"/>
      <c r="F3148" s="83"/>
      <c r="G3148" s="74"/>
      <c r="I3148" s="115">
        <f>IF(C3148=0,0,VLOOKUP(C3148,Tabla1[],3,FALSE))</f>
        <v>0</v>
      </c>
      <c r="K3148" s="84">
        <f>F3148*I3148</f>
        <v>0</v>
      </c>
      <c r="L3148" s="116">
        <f t="shared" si="86"/>
        <v>0</v>
      </c>
      <c r="O3148" s="44"/>
      <c r="P3148" s="45"/>
    </row>
    <row r="3149" spans="1:16" ht="16.5" customHeight="1" x14ac:dyDescent="0.25">
      <c r="B3149" s="120"/>
      <c r="C3149" s="407"/>
      <c r="D3149" s="408"/>
      <c r="E3149" s="114"/>
      <c r="F3149" s="83"/>
      <c r="G3149" s="74"/>
      <c r="I3149" s="115">
        <f>IF(C3149=0,0,VLOOKUP(C3149,Tabla1[],3,FALSE))</f>
        <v>0</v>
      </c>
      <c r="K3149" s="84">
        <f t="shared" ref="K3149:K3154" si="87">+F3149*I3149</f>
        <v>0</v>
      </c>
      <c r="L3149" s="116">
        <f t="shared" si="86"/>
        <v>0</v>
      </c>
      <c r="O3149" s="44"/>
      <c r="P3149" s="46"/>
    </row>
    <row r="3150" spans="1:16" x14ac:dyDescent="0.25">
      <c r="B3150" s="120"/>
      <c r="C3150" s="407"/>
      <c r="D3150" s="408"/>
      <c r="E3150" s="114"/>
      <c r="F3150" s="83"/>
      <c r="G3150" s="74"/>
      <c r="I3150" s="115">
        <f>IF(C3150=0,0,VLOOKUP(C3150,Tabla1[],3,FALSE))</f>
        <v>0</v>
      </c>
      <c r="K3150" s="84">
        <f t="shared" si="87"/>
        <v>0</v>
      </c>
      <c r="L3150" s="116">
        <f t="shared" si="86"/>
        <v>0</v>
      </c>
      <c r="O3150" s="44"/>
      <c r="P3150" s="46"/>
    </row>
    <row r="3151" spans="1:16" x14ac:dyDescent="0.3">
      <c r="B3151" s="120"/>
      <c r="C3151" s="407"/>
      <c r="D3151" s="408"/>
      <c r="E3151" s="114"/>
      <c r="F3151" s="83"/>
      <c r="G3151" s="74"/>
      <c r="I3151" s="115">
        <f>IF(C3151=0,0,VLOOKUP(C3151,Tabla1[],3,FALSE))</f>
        <v>0</v>
      </c>
      <c r="K3151" s="84">
        <f t="shared" si="87"/>
        <v>0</v>
      </c>
      <c r="L3151" s="116">
        <f t="shared" si="86"/>
        <v>0</v>
      </c>
      <c r="O3151" s="48"/>
      <c r="P3151" s="49"/>
    </row>
    <row r="3152" spans="1:16" x14ac:dyDescent="0.3">
      <c r="B3152" s="120"/>
      <c r="C3152" s="430"/>
      <c r="D3152" s="429"/>
      <c r="E3152" s="114"/>
      <c r="F3152" s="83"/>
      <c r="G3152" s="74"/>
      <c r="I3152" s="115">
        <f>IF(C3152=0,0,VLOOKUP(C3152,Tabla1[],3,FALSE))</f>
        <v>0</v>
      </c>
      <c r="K3152" s="84">
        <f t="shared" si="87"/>
        <v>0</v>
      </c>
      <c r="L3152" s="116">
        <f t="shared" si="86"/>
        <v>0</v>
      </c>
      <c r="O3152" s="48"/>
      <c r="P3152" s="49"/>
    </row>
    <row r="3153" spans="2:16" x14ac:dyDescent="0.3">
      <c r="B3153" s="120"/>
      <c r="C3153" s="430"/>
      <c r="D3153" s="429"/>
      <c r="E3153" s="114"/>
      <c r="F3153" s="83"/>
      <c r="G3153" s="74"/>
      <c r="I3153" s="115">
        <f>IF(C3153=0,0,VLOOKUP(C3153,Tabla1[],3,FALSE))</f>
        <v>0</v>
      </c>
      <c r="K3153" s="84">
        <f t="shared" si="87"/>
        <v>0</v>
      </c>
      <c r="L3153" s="116">
        <f t="shared" si="86"/>
        <v>0</v>
      </c>
      <c r="O3153" s="48"/>
      <c r="P3153" s="49"/>
    </row>
    <row r="3154" spans="2:16" x14ac:dyDescent="0.3">
      <c r="B3154" s="120"/>
      <c r="C3154" s="430"/>
      <c r="D3154" s="429"/>
      <c r="E3154" s="114"/>
      <c r="F3154" s="83"/>
      <c r="G3154" s="74"/>
      <c r="I3154" s="115">
        <f>IF(C3154=0,0,VLOOKUP(C3154,Tabla1[],3,FALSE))</f>
        <v>0</v>
      </c>
      <c r="K3154" s="84">
        <f t="shared" si="87"/>
        <v>0</v>
      </c>
      <c r="L3154" s="116">
        <f t="shared" si="86"/>
        <v>0</v>
      </c>
      <c r="O3154" s="48"/>
      <c r="P3154" s="49"/>
    </row>
    <row r="3155" spans="2:16" ht="17.25" thickBot="1" x14ac:dyDescent="0.35"/>
    <row r="3156" spans="2:16" ht="17.25" thickBot="1" x14ac:dyDescent="0.3">
      <c r="F3156" s="402" t="s">
        <v>9</v>
      </c>
      <c r="G3156" s="403"/>
      <c r="H3156" s="403"/>
      <c r="I3156" s="404"/>
      <c r="K3156" s="224">
        <f>+SUM(K3145:K3154)</f>
        <v>0</v>
      </c>
      <c r="L3156" s="117">
        <f>+SUM(L3145:L3154)</f>
        <v>0</v>
      </c>
      <c r="O3156" s="38"/>
      <c r="P3156" s="38"/>
    </row>
    <row r="3157" spans="2:16" ht="17.25" thickBot="1" x14ac:dyDescent="0.35">
      <c r="O3157" s="42"/>
      <c r="P3157" s="43"/>
    </row>
    <row r="3158" spans="2:16" ht="17.25" thickBot="1" x14ac:dyDescent="0.35">
      <c r="B3158" s="108" t="s">
        <v>10</v>
      </c>
      <c r="C3158" s="413" t="s">
        <v>11</v>
      </c>
      <c r="D3158" s="413"/>
      <c r="E3158" s="413"/>
      <c r="F3158" s="413"/>
      <c r="G3158" s="414"/>
    </row>
    <row r="3159" spans="2:16" x14ac:dyDescent="0.3">
      <c r="B3159" s="112" t="s">
        <v>6</v>
      </c>
      <c r="C3159" s="415" t="s">
        <v>1</v>
      </c>
      <c r="D3159" s="416"/>
      <c r="E3159" s="110" t="s">
        <v>192</v>
      </c>
      <c r="F3159" s="118" t="s">
        <v>2</v>
      </c>
      <c r="G3159" s="112" t="s">
        <v>3</v>
      </c>
      <c r="H3159" s="104"/>
      <c r="I3159" s="105" t="s">
        <v>7</v>
      </c>
      <c r="J3159" s="134"/>
      <c r="K3159" s="105" t="s">
        <v>8</v>
      </c>
      <c r="L3159" s="113" t="s">
        <v>193</v>
      </c>
    </row>
    <row r="3160" spans="2:16" x14ac:dyDescent="0.3">
      <c r="B3160" s="120">
        <v>1</v>
      </c>
      <c r="C3160" s="409" t="s">
        <v>189</v>
      </c>
      <c r="D3160" s="409"/>
      <c r="E3160" s="114">
        <f>I3141*0.05</f>
        <v>1.4500000000000002</v>
      </c>
      <c r="F3160" s="83">
        <f>ROUND(E3160/I3141,2)</f>
        <v>0.05</v>
      </c>
      <c r="G3160" s="74" t="str">
        <f>IF(C3160=0,0,VLOOKUP(C3160,Tabla3[],2,FALSE))</f>
        <v>Viaje</v>
      </c>
      <c r="I3160" s="115">
        <f>IF(C3160=0,0,VLOOKUP(C3160,Tabla3[],3,FALSE))</f>
        <v>200</v>
      </c>
      <c r="K3160" s="84">
        <f>F3160*I3160</f>
        <v>10</v>
      </c>
      <c r="L3160" s="116">
        <f>E3160*I3160</f>
        <v>290.00000000000006</v>
      </c>
    </row>
    <row r="3161" spans="2:16" x14ac:dyDescent="0.3">
      <c r="B3161" s="74"/>
      <c r="C3161" s="431"/>
      <c r="D3161" s="432"/>
      <c r="E3161" s="119"/>
      <c r="F3161" s="72"/>
      <c r="G3161" s="74"/>
      <c r="I3161" s="115">
        <f>IF(C3161=0,0,VLOOKUP(C3161,Tabla3[],3,FALSE))</f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431"/>
      <c r="D3162" s="432"/>
      <c r="E3162" s="119"/>
      <c r="F3162" s="72"/>
      <c r="G3162" s="74"/>
      <c r="I3162" s="115">
        <f>IF(C3162=0,0,VLOOKUP(C3162,Tabla3[],3,FALSE))</f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411"/>
      <c r="D3163" s="412"/>
      <c r="E3163" s="119"/>
      <c r="F3163" s="72"/>
      <c r="G3163" s="74"/>
      <c r="I3163" s="115">
        <f>IF(C3163=0,0,VLOOKUP(C3163,Tabla3[],3,FALSE))</f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/>
    <row r="3165" spans="2:16" ht="17.25" thickBot="1" x14ac:dyDescent="0.35">
      <c r="F3165" s="402" t="s">
        <v>12</v>
      </c>
      <c r="G3165" s="403"/>
      <c r="H3165" s="403"/>
      <c r="I3165" s="404"/>
      <c r="K3165" s="224">
        <f>+SUM(K3160:K3163)</f>
        <v>10</v>
      </c>
      <c r="L3165" s="117">
        <f>+SUM(L3160:L3163)</f>
        <v>290.00000000000006</v>
      </c>
    </row>
    <row r="3166" spans="2:16" ht="17.25" thickBot="1" x14ac:dyDescent="0.35"/>
    <row r="3167" spans="2:16" ht="17.25" thickBot="1" x14ac:dyDescent="0.35">
      <c r="B3167" s="108" t="s">
        <v>13</v>
      </c>
      <c r="C3167" s="413" t="s">
        <v>14</v>
      </c>
      <c r="D3167" s="413"/>
      <c r="E3167" s="413"/>
      <c r="F3167" s="413"/>
      <c r="G3167" s="414"/>
    </row>
    <row r="3168" spans="2:16" x14ac:dyDescent="0.3">
      <c r="B3168" s="112" t="s">
        <v>6</v>
      </c>
      <c r="C3168" s="415" t="s">
        <v>1</v>
      </c>
      <c r="D3168" s="416"/>
      <c r="E3168" s="110" t="s">
        <v>192</v>
      </c>
      <c r="F3168" s="118" t="s">
        <v>2</v>
      </c>
      <c r="G3168" s="112" t="s">
        <v>3</v>
      </c>
      <c r="H3168" s="104"/>
      <c r="I3168" s="105" t="s">
        <v>7</v>
      </c>
      <c r="J3168" s="134"/>
      <c r="K3168" s="105" t="s">
        <v>8</v>
      </c>
      <c r="L3168" s="113" t="s">
        <v>193</v>
      </c>
    </row>
    <row r="3169" spans="2:12" x14ac:dyDescent="0.3">
      <c r="B3169" s="120"/>
      <c r="C3169" s="409"/>
      <c r="D3169" s="409"/>
      <c r="E3169" s="114"/>
      <c r="F3169" s="83"/>
      <c r="G3169" s="74"/>
      <c r="I3169" s="115">
        <f>IF(C3169=0,0,VLOOKUP(C3169,Tabla3[],3,FALSE))</f>
        <v>0</v>
      </c>
      <c r="K3169" s="84">
        <f>+F3169*I3169</f>
        <v>0</v>
      </c>
      <c r="L3169" s="116">
        <f>E3169*I3169</f>
        <v>0</v>
      </c>
    </row>
    <row r="3170" spans="2:12" x14ac:dyDescent="0.3">
      <c r="B3170" s="120"/>
      <c r="C3170" s="409"/>
      <c r="D3170" s="409"/>
      <c r="E3170" s="114"/>
      <c r="F3170" s="83"/>
      <c r="G3170" s="74"/>
      <c r="I3170" s="115">
        <f>IF(C3170=0,0,VLOOKUP(C3170,Tabla3[],3,FALSE))</f>
        <v>0</v>
      </c>
      <c r="K3170" s="84">
        <f>+F3170*I3170</f>
        <v>0</v>
      </c>
      <c r="L3170" s="116">
        <f>E3170*I3170</f>
        <v>0</v>
      </c>
    </row>
    <row r="3171" spans="2:12" ht="17.25" thickBot="1" x14ac:dyDescent="0.35">
      <c r="B3171" s="121"/>
      <c r="C3171" s="417"/>
      <c r="D3171" s="418"/>
      <c r="E3171" s="122"/>
      <c r="F3171" s="123"/>
      <c r="G3171" s="74"/>
      <c r="I3171" s="115">
        <f>IF(C3171=0,0,VLOOKUP(C3171,Tabla3[],3,FALSE))</f>
        <v>0</v>
      </c>
      <c r="K3171" s="84">
        <f>+F3171*I3171</f>
        <v>0</v>
      </c>
      <c r="L3171" s="116">
        <f>E3171*I3171</f>
        <v>0</v>
      </c>
    </row>
    <row r="3172" spans="2:12" ht="17.25" thickBot="1" x14ac:dyDescent="0.35">
      <c r="B3172" s="419" t="s">
        <v>15</v>
      </c>
      <c r="C3172" s="420"/>
      <c r="D3172" s="420"/>
      <c r="E3172" s="420"/>
      <c r="F3172" s="420"/>
      <c r="G3172" s="421"/>
      <c r="I3172" s="115">
        <f>IF(C3172=0,0,VLOOKUP(C3172,Tabla3[],3,FALSE))</f>
        <v>0</v>
      </c>
      <c r="K3172" s="84">
        <v>0</v>
      </c>
      <c r="L3172" s="116">
        <f>E3172*I3172</f>
        <v>0</v>
      </c>
    </row>
    <row r="3173" spans="2:12" ht="17.25" thickBot="1" x14ac:dyDescent="0.35"/>
    <row r="3174" spans="2:12" ht="17.25" thickBot="1" x14ac:dyDescent="0.35">
      <c r="F3174" s="402" t="s">
        <v>16</v>
      </c>
      <c r="G3174" s="403"/>
      <c r="H3174" s="403"/>
      <c r="I3174" s="404"/>
      <c r="K3174" s="224">
        <f>+SUM(K3169:K3172)</f>
        <v>0</v>
      </c>
      <c r="L3174" s="117">
        <f>+SUM(L3169:L3172)</f>
        <v>0</v>
      </c>
    </row>
    <row r="3175" spans="2:12" ht="17.25" thickBot="1" x14ac:dyDescent="0.35"/>
    <row r="3176" spans="2:12" ht="17.25" thickBot="1" x14ac:dyDescent="0.35">
      <c r="B3176" s="108" t="s">
        <v>17</v>
      </c>
      <c r="C3176" s="413" t="s">
        <v>18</v>
      </c>
      <c r="D3176" s="413"/>
      <c r="E3176" s="413"/>
      <c r="F3176" s="413"/>
      <c r="G3176" s="414"/>
    </row>
    <row r="3177" spans="2:12" x14ac:dyDescent="0.3">
      <c r="B3177" s="112" t="s">
        <v>6</v>
      </c>
      <c r="C3177" s="415" t="s">
        <v>1</v>
      </c>
      <c r="D3177" s="416"/>
      <c r="E3177" s="124"/>
      <c r="F3177" s="118" t="s">
        <v>2</v>
      </c>
      <c r="G3177" s="112" t="s">
        <v>3</v>
      </c>
      <c r="H3177" s="104"/>
      <c r="I3177" s="105" t="s">
        <v>7</v>
      </c>
      <c r="J3177" s="134"/>
      <c r="K3177" s="105" t="s">
        <v>8</v>
      </c>
      <c r="L3177" s="113" t="s">
        <v>193</v>
      </c>
    </row>
    <row r="3178" spans="2:12" x14ac:dyDescent="0.3">
      <c r="B3178" s="74"/>
      <c r="C3178" s="411"/>
      <c r="D3178" s="412"/>
      <c r="E3178" s="125"/>
      <c r="F3178" s="72"/>
      <c r="G3178" s="74"/>
      <c r="I3178" s="84">
        <v>0</v>
      </c>
      <c r="K3178" s="84">
        <f>+F3178*I3178</f>
        <v>0</v>
      </c>
      <c r="L3178" s="116">
        <f>E3178*I3178</f>
        <v>0</v>
      </c>
    </row>
    <row r="3179" spans="2:12" x14ac:dyDescent="0.3">
      <c r="B3179" s="74"/>
      <c r="C3179" s="411"/>
      <c r="D3179" s="412"/>
      <c r="E3179" s="125"/>
      <c r="F3179" s="72"/>
      <c r="G3179" s="74"/>
      <c r="I3179" s="84">
        <v>0</v>
      </c>
      <c r="K3179" s="84">
        <f>+F3179*I3179</f>
        <v>0</v>
      </c>
      <c r="L3179" s="116">
        <f>E3179*I3179</f>
        <v>0</v>
      </c>
    </row>
    <row r="3180" spans="2:12" x14ac:dyDescent="0.3">
      <c r="B3180" s="74"/>
      <c r="C3180" s="411"/>
      <c r="D3180" s="412"/>
      <c r="E3180" s="125"/>
      <c r="F3180" s="72"/>
      <c r="G3180" s="74"/>
      <c r="I3180" s="84">
        <v>0</v>
      </c>
      <c r="K3180" s="84">
        <f>+F3180*I3180</f>
        <v>0</v>
      </c>
      <c r="L3180" s="116">
        <f>E3180*I3180</f>
        <v>0</v>
      </c>
    </row>
    <row r="3181" spans="2:12" ht="17.25" thickBot="1" x14ac:dyDescent="0.35">
      <c r="L3181" s="116"/>
    </row>
    <row r="3182" spans="2:12" ht="17.25" thickBot="1" x14ac:dyDescent="0.35">
      <c r="F3182" s="402" t="s">
        <v>19</v>
      </c>
      <c r="G3182" s="403"/>
      <c r="H3182" s="403"/>
      <c r="I3182" s="404"/>
      <c r="K3182" s="224">
        <f>+SUM(K3178:K3180)</f>
        <v>0</v>
      </c>
      <c r="L3182" s="117">
        <f>+SUM(L3177:L3180)</f>
        <v>0</v>
      </c>
    </row>
    <row r="3183" spans="2:12" ht="15" customHeight="1" x14ac:dyDescent="0.3">
      <c r="F3183" s="126"/>
      <c r="G3183" s="280"/>
      <c r="H3183" s="128"/>
      <c r="I3183" s="106"/>
      <c r="K3183" s="225"/>
    </row>
    <row r="3184" spans="2:12" ht="15" customHeight="1" thickBot="1" x14ac:dyDescent="0.35"/>
    <row r="3185" spans="1:16" ht="17.25" thickBot="1" x14ac:dyDescent="0.35">
      <c r="F3185" s="402" t="s">
        <v>20</v>
      </c>
      <c r="G3185" s="403"/>
      <c r="H3185" s="403"/>
      <c r="I3185" s="404"/>
      <c r="K3185" s="224">
        <f>(+K3156+K3165+K3174+K3182)</f>
        <v>10</v>
      </c>
      <c r="L3185" s="117">
        <f>(+L3156+L3165+L3174+L3182)</f>
        <v>290.00000000000006</v>
      </c>
      <c r="N3185" s="129"/>
      <c r="O3185" s="39"/>
      <c r="P3185" s="40"/>
    </row>
    <row r="3186" spans="1:16" ht="7.5" customHeight="1" thickBot="1" x14ac:dyDescent="0.35">
      <c r="N3186" s="129"/>
      <c r="O3186" s="41"/>
      <c r="P3186" s="40"/>
    </row>
    <row r="3187" spans="1:16" ht="17.25" thickBot="1" x14ac:dyDescent="0.35">
      <c r="F3187" s="402" t="s">
        <v>21</v>
      </c>
      <c r="G3187" s="403"/>
      <c r="H3187" s="403"/>
      <c r="I3187" s="404"/>
      <c r="K3187" s="224">
        <f>K3185*$N$2</f>
        <v>4</v>
      </c>
      <c r="L3187" s="117">
        <f>L3185*$N$2</f>
        <v>116.00000000000003</v>
      </c>
    </row>
    <row r="3188" spans="1:16" ht="7.5" customHeight="1" thickBot="1" x14ac:dyDescent="0.35"/>
    <row r="3189" spans="1:16" ht="17.25" thickBot="1" x14ac:dyDescent="0.35">
      <c r="F3189" s="402" t="s">
        <v>22</v>
      </c>
      <c r="G3189" s="403"/>
      <c r="H3189" s="403"/>
      <c r="I3189" s="404"/>
      <c r="K3189" s="224">
        <f>+K3185+K3187</f>
        <v>14</v>
      </c>
      <c r="L3189" s="117">
        <f>+L3185+L3187</f>
        <v>406.00000000000011</v>
      </c>
    </row>
    <row r="3190" spans="1:16" ht="17.25" thickBot="1" x14ac:dyDescent="0.35">
      <c r="F3190" s="126"/>
      <c r="G3190" s="280"/>
      <c r="H3190" s="128"/>
      <c r="I3190" s="106"/>
      <c r="K3190" s="226"/>
      <c r="L3190" s="130">
        <f>L3189/I3141</f>
        <v>14.000000000000004</v>
      </c>
      <c r="M3190" s="131">
        <f>(K3189-L3190)*I3141</f>
        <v>-1.0302869668521453E-13</v>
      </c>
    </row>
    <row r="3191" spans="1:16" x14ac:dyDescent="0.3">
      <c r="F3191" s="126"/>
      <c r="G3191" s="280"/>
      <c r="H3191" s="128"/>
      <c r="I3191" s="106"/>
      <c r="K3191" s="227"/>
      <c r="L3191" s="129"/>
      <c r="M3191" s="132"/>
      <c r="N3191" s="133"/>
    </row>
    <row r="3192" spans="1:16" ht="17.25" thickBot="1" x14ac:dyDescent="0.35">
      <c r="B3192" s="405"/>
      <c r="C3192" s="405"/>
      <c r="D3192" s="405"/>
    </row>
    <row r="3193" spans="1:16" x14ac:dyDescent="0.3">
      <c r="B3193" s="406" t="s">
        <v>23</v>
      </c>
      <c r="C3193" s="406"/>
      <c r="D3193" s="406"/>
    </row>
    <row r="3194" spans="1:16" x14ac:dyDescent="0.3">
      <c r="B3194" s="281"/>
      <c r="C3194" s="281"/>
      <c r="D3194" s="281"/>
    </row>
    <row r="3196" spans="1:16" x14ac:dyDescent="0.3">
      <c r="B3196" s="103" t="s">
        <v>43</v>
      </c>
      <c r="C3196" s="104"/>
      <c r="D3196" s="422" t="s">
        <v>1</v>
      </c>
      <c r="E3196" s="422"/>
      <c r="F3196" s="422"/>
      <c r="G3196" s="422"/>
      <c r="H3196" s="104"/>
      <c r="I3196" s="105" t="s">
        <v>2</v>
      </c>
      <c r="J3196" s="134"/>
      <c r="K3196" s="105" t="s">
        <v>3</v>
      </c>
    </row>
    <row r="3197" spans="1:16" s="4" customFormat="1" ht="30.75" customHeight="1" x14ac:dyDescent="0.25">
      <c r="A3197" s="31"/>
      <c r="B3197" s="287">
        <f>CATALOGO!B107</f>
        <v>115.02</v>
      </c>
      <c r="C3197" s="71"/>
      <c r="D3197" s="437" t="str">
        <f>CATALOGO!C107</f>
        <v>DESMONTAJE DE PUERTA DE METAL (UNA HOJA)</v>
      </c>
      <c r="E3197" s="437"/>
      <c r="F3197" s="437"/>
      <c r="G3197" s="437"/>
      <c r="H3197" s="71"/>
      <c r="I3197" s="287">
        <f>CATALOGO!D107</f>
        <v>3</v>
      </c>
      <c r="J3197" s="107"/>
      <c r="K3197" s="222" t="str">
        <f>CATALOGO!G107</f>
        <v>Unidad</v>
      </c>
      <c r="L3197" s="71"/>
      <c r="M3197" s="71"/>
      <c r="N3197" s="102"/>
      <c r="O3197" s="37"/>
      <c r="P3197" s="37"/>
    </row>
    <row r="3198" spans="1:16" ht="17.25" thickBot="1" x14ac:dyDescent="0.35"/>
    <row r="3199" spans="1:16" ht="17.25" thickBot="1" x14ac:dyDescent="0.35">
      <c r="B3199" s="108" t="s">
        <v>4</v>
      </c>
      <c r="C3199" s="413" t="s">
        <v>5</v>
      </c>
      <c r="D3199" s="413"/>
      <c r="E3199" s="413"/>
      <c r="F3199" s="413"/>
      <c r="G3199" s="414"/>
    </row>
    <row r="3200" spans="1:16" x14ac:dyDescent="0.25">
      <c r="B3200" s="109" t="s">
        <v>6</v>
      </c>
      <c r="C3200" s="424" t="s">
        <v>1</v>
      </c>
      <c r="D3200" s="425"/>
      <c r="E3200" s="110" t="s">
        <v>192</v>
      </c>
      <c r="F3200" s="111" t="s">
        <v>2</v>
      </c>
      <c r="G3200" s="112" t="s">
        <v>3</v>
      </c>
      <c r="H3200" s="104"/>
      <c r="I3200" s="105" t="s">
        <v>7</v>
      </c>
      <c r="J3200" s="134"/>
      <c r="K3200" s="223" t="s">
        <v>8</v>
      </c>
      <c r="L3200" s="113" t="s">
        <v>193</v>
      </c>
      <c r="O3200" s="438"/>
      <c r="P3200" s="438"/>
    </row>
    <row r="3201" spans="2:16" ht="16.5" customHeight="1" x14ac:dyDescent="0.25">
      <c r="B3201" s="120"/>
      <c r="C3201" s="407"/>
      <c r="D3201" s="408"/>
      <c r="E3201" s="114"/>
      <c r="F3201" s="83"/>
      <c r="G3201" s="74"/>
      <c r="I3201" s="115">
        <f>IF(C3201=0,0,VLOOKUP(C3201,Tabla1[],3,FALSE))</f>
        <v>0</v>
      </c>
      <c r="K3201" s="84">
        <f>F3201*I3201</f>
        <v>0</v>
      </c>
      <c r="L3201" s="116">
        <f t="shared" ref="L3201:L3210" si="88">E3201*I3201</f>
        <v>0</v>
      </c>
      <c r="O3201" s="44"/>
      <c r="P3201" s="45"/>
    </row>
    <row r="3202" spans="2:16" x14ac:dyDescent="0.25">
      <c r="B3202" s="120"/>
      <c r="C3202" s="407"/>
      <c r="D3202" s="408"/>
      <c r="E3202" s="114"/>
      <c r="F3202" s="83"/>
      <c r="G3202" s="74"/>
      <c r="I3202" s="115">
        <f>IF(C3202=0,0,VLOOKUP(C3202,Tabla1[],3,FALSE))</f>
        <v>0</v>
      </c>
      <c r="K3202" s="84">
        <f>+F3202*I3202</f>
        <v>0</v>
      </c>
      <c r="L3202" s="116">
        <f t="shared" si="88"/>
        <v>0</v>
      </c>
      <c r="O3202" s="44"/>
      <c r="P3202" s="47"/>
    </row>
    <row r="3203" spans="2:16" x14ac:dyDescent="0.3">
      <c r="B3203" s="120"/>
      <c r="C3203" s="407"/>
      <c r="D3203" s="408"/>
      <c r="E3203" s="114"/>
      <c r="F3203" s="83"/>
      <c r="G3203" s="74"/>
      <c r="I3203" s="115">
        <f>IF(C3203=0,0,VLOOKUP(C3203,Tabla1[],3,FALSE))</f>
        <v>0</v>
      </c>
      <c r="K3203" s="84">
        <f>+F3203*I3203</f>
        <v>0</v>
      </c>
      <c r="L3203" s="116">
        <f t="shared" si="88"/>
        <v>0</v>
      </c>
      <c r="O3203" s="48"/>
      <c r="P3203" s="49"/>
    </row>
    <row r="3204" spans="2:16" ht="16.5" customHeight="1" x14ac:dyDescent="0.25">
      <c r="B3204" s="120"/>
      <c r="C3204" s="407"/>
      <c r="D3204" s="408"/>
      <c r="E3204" s="114"/>
      <c r="F3204" s="83"/>
      <c r="G3204" s="74"/>
      <c r="I3204" s="115">
        <f>IF(C3204=0,0,VLOOKUP(C3204,Tabla1[],3,FALSE))</f>
        <v>0</v>
      </c>
      <c r="K3204" s="84">
        <f>F3204*I3204</f>
        <v>0</v>
      </c>
      <c r="L3204" s="116">
        <f t="shared" si="88"/>
        <v>0</v>
      </c>
      <c r="O3204" s="44"/>
      <c r="P3204" s="45"/>
    </row>
    <row r="3205" spans="2:16" ht="16.5" customHeight="1" x14ac:dyDescent="0.25">
      <c r="B3205" s="120"/>
      <c r="C3205" s="407"/>
      <c r="D3205" s="408"/>
      <c r="E3205" s="114"/>
      <c r="F3205" s="83"/>
      <c r="G3205" s="74"/>
      <c r="I3205" s="115">
        <f>IF(C3205=0,0,VLOOKUP(C3205,Tabla1[],3,FALSE))</f>
        <v>0</v>
      </c>
      <c r="K3205" s="84">
        <f t="shared" ref="K3205:K3210" si="89">+F3205*I3205</f>
        <v>0</v>
      </c>
      <c r="L3205" s="116">
        <f t="shared" si="88"/>
        <v>0</v>
      </c>
      <c r="O3205" s="44"/>
      <c r="P3205" s="46"/>
    </row>
    <row r="3206" spans="2:16" x14ac:dyDescent="0.25">
      <c r="B3206" s="120"/>
      <c r="C3206" s="407"/>
      <c r="D3206" s="408"/>
      <c r="E3206" s="114"/>
      <c r="F3206" s="83"/>
      <c r="G3206" s="74"/>
      <c r="I3206" s="115">
        <f>IF(C3206=0,0,VLOOKUP(C3206,Tabla1[],3,FALSE))</f>
        <v>0</v>
      </c>
      <c r="K3206" s="84">
        <f t="shared" si="89"/>
        <v>0</v>
      </c>
      <c r="L3206" s="116">
        <f t="shared" si="88"/>
        <v>0</v>
      </c>
      <c r="O3206" s="44"/>
      <c r="P3206" s="46"/>
    </row>
    <row r="3207" spans="2:16" x14ac:dyDescent="0.3">
      <c r="B3207" s="120"/>
      <c r="C3207" s="407"/>
      <c r="D3207" s="408"/>
      <c r="E3207" s="114"/>
      <c r="F3207" s="83"/>
      <c r="G3207" s="74"/>
      <c r="I3207" s="115">
        <f>IF(C3207=0,0,VLOOKUP(C3207,Tabla1[],3,FALSE))</f>
        <v>0</v>
      </c>
      <c r="K3207" s="84">
        <f t="shared" si="89"/>
        <v>0</v>
      </c>
      <c r="L3207" s="116">
        <f t="shared" si="88"/>
        <v>0</v>
      </c>
      <c r="O3207" s="48"/>
      <c r="P3207" s="49"/>
    </row>
    <row r="3208" spans="2:16" x14ac:dyDescent="0.3">
      <c r="B3208" s="120"/>
      <c r="C3208" s="430"/>
      <c r="D3208" s="429"/>
      <c r="E3208" s="114"/>
      <c r="F3208" s="83"/>
      <c r="G3208" s="74"/>
      <c r="I3208" s="115">
        <f>IF(C3208=0,0,VLOOKUP(C3208,Tabla1[],3,FALSE))</f>
        <v>0</v>
      </c>
      <c r="K3208" s="84">
        <f t="shared" si="89"/>
        <v>0</v>
      </c>
      <c r="L3208" s="116">
        <f t="shared" si="88"/>
        <v>0</v>
      </c>
      <c r="O3208" s="48"/>
      <c r="P3208" s="49"/>
    </row>
    <row r="3209" spans="2:16" x14ac:dyDescent="0.3">
      <c r="B3209" s="120"/>
      <c r="C3209" s="430"/>
      <c r="D3209" s="429"/>
      <c r="E3209" s="114"/>
      <c r="F3209" s="83"/>
      <c r="G3209" s="74"/>
      <c r="I3209" s="115">
        <f>IF(C3209=0,0,VLOOKUP(C3209,Tabla1[],3,FALSE))</f>
        <v>0</v>
      </c>
      <c r="K3209" s="84">
        <f t="shared" si="89"/>
        <v>0</v>
      </c>
      <c r="L3209" s="116">
        <f t="shared" si="88"/>
        <v>0</v>
      </c>
      <c r="O3209" s="48"/>
      <c r="P3209" s="49"/>
    </row>
    <row r="3210" spans="2:16" x14ac:dyDescent="0.3">
      <c r="B3210" s="120"/>
      <c r="C3210" s="430"/>
      <c r="D3210" s="429"/>
      <c r="E3210" s="114"/>
      <c r="F3210" s="83"/>
      <c r="G3210" s="74"/>
      <c r="I3210" s="115">
        <f>IF(C3210=0,0,VLOOKUP(C3210,Tabla1[],3,FALSE))</f>
        <v>0</v>
      </c>
      <c r="K3210" s="84">
        <f t="shared" si="89"/>
        <v>0</v>
      </c>
      <c r="L3210" s="116">
        <f t="shared" si="88"/>
        <v>0</v>
      </c>
      <c r="O3210" s="48"/>
      <c r="P3210" s="49"/>
    </row>
    <row r="3211" spans="2:16" ht="17.25" thickBot="1" x14ac:dyDescent="0.35"/>
    <row r="3212" spans="2:16" ht="17.25" thickBot="1" x14ac:dyDescent="0.3">
      <c r="F3212" s="402" t="s">
        <v>9</v>
      </c>
      <c r="G3212" s="403"/>
      <c r="H3212" s="403"/>
      <c r="I3212" s="404"/>
      <c r="K3212" s="224">
        <f>+SUM(K3201:K3210)</f>
        <v>0</v>
      </c>
      <c r="L3212" s="117">
        <f>+SUM(L3201:L3210)</f>
        <v>0</v>
      </c>
      <c r="O3212" s="38"/>
      <c r="P3212" s="38"/>
    </row>
    <row r="3213" spans="2:16" ht="17.25" thickBot="1" x14ac:dyDescent="0.35">
      <c r="O3213" s="42"/>
      <c r="P3213" s="43"/>
    </row>
    <row r="3214" spans="2:16" ht="17.25" thickBot="1" x14ac:dyDescent="0.35">
      <c r="B3214" s="108" t="s">
        <v>10</v>
      </c>
      <c r="C3214" s="413" t="s">
        <v>11</v>
      </c>
      <c r="D3214" s="413"/>
      <c r="E3214" s="413"/>
      <c r="F3214" s="413"/>
      <c r="G3214" s="414"/>
    </row>
    <row r="3215" spans="2:16" x14ac:dyDescent="0.3">
      <c r="B3215" s="112" t="s">
        <v>6</v>
      </c>
      <c r="C3215" s="415" t="s">
        <v>1</v>
      </c>
      <c r="D3215" s="416"/>
      <c r="E3215" s="110" t="s">
        <v>192</v>
      </c>
      <c r="F3215" s="118" t="s">
        <v>2</v>
      </c>
      <c r="G3215" s="112" t="s">
        <v>3</v>
      </c>
      <c r="H3215" s="104"/>
      <c r="I3215" s="105" t="s">
        <v>7</v>
      </c>
      <c r="J3215" s="134"/>
      <c r="K3215" s="105" t="s">
        <v>8</v>
      </c>
      <c r="L3215" s="113" t="s">
        <v>193</v>
      </c>
    </row>
    <row r="3216" spans="2:16" x14ac:dyDescent="0.3">
      <c r="B3216" s="120"/>
      <c r="C3216" s="409"/>
      <c r="D3216" s="409"/>
      <c r="E3216" s="114"/>
      <c r="F3216" s="83"/>
      <c r="G3216" s="74"/>
      <c r="I3216" s="115">
        <f>IF(C3216=0,0,VLOOKUP(C3216,Tabla1[],3,FALSE))</f>
        <v>0</v>
      </c>
      <c r="K3216" s="84">
        <f>F3216*I3216</f>
        <v>0</v>
      </c>
      <c r="L3216" s="116">
        <f>E3216*I3216</f>
        <v>0</v>
      </c>
    </row>
    <row r="3217" spans="2:12" x14ac:dyDescent="0.3">
      <c r="B3217" s="74"/>
      <c r="C3217" s="431"/>
      <c r="D3217" s="432"/>
      <c r="E3217" s="119"/>
      <c r="F3217" s="72"/>
      <c r="G3217" s="74"/>
      <c r="I3217" s="115">
        <f>IF(C3217=0,0,VLOOKUP(C3217,Tabla1[],3,FALSE))</f>
        <v>0</v>
      </c>
      <c r="K3217" s="84">
        <f>+F3217*I3217</f>
        <v>0</v>
      </c>
      <c r="L3217" s="116">
        <f>E3217*I3217</f>
        <v>0</v>
      </c>
    </row>
    <row r="3218" spans="2:12" x14ac:dyDescent="0.3">
      <c r="B3218" s="74"/>
      <c r="C3218" s="431"/>
      <c r="D3218" s="432"/>
      <c r="E3218" s="119"/>
      <c r="F3218" s="72"/>
      <c r="G3218" s="74"/>
      <c r="I3218" s="115">
        <f>IF(C3218=0,0,VLOOKUP(C3218,Tabla1[],3,FALSE))</f>
        <v>0</v>
      </c>
      <c r="K3218" s="84">
        <f>+F3218*I3218</f>
        <v>0</v>
      </c>
      <c r="L3218" s="116">
        <f>E3218*I3218</f>
        <v>0</v>
      </c>
    </row>
    <row r="3219" spans="2:12" x14ac:dyDescent="0.3">
      <c r="B3219" s="74"/>
      <c r="C3219" s="411"/>
      <c r="D3219" s="412"/>
      <c r="E3219" s="119"/>
      <c r="F3219" s="72"/>
      <c r="G3219" s="74"/>
      <c r="I3219" s="115">
        <f>IF(C3219=0,0,VLOOKUP(C3219,Tabla1[],3,FALSE))</f>
        <v>0</v>
      </c>
      <c r="K3219" s="84">
        <f>+F3219*I3219</f>
        <v>0</v>
      </c>
      <c r="L3219" s="116">
        <f>E3219*I3219</f>
        <v>0</v>
      </c>
    </row>
    <row r="3220" spans="2:12" ht="17.25" thickBot="1" x14ac:dyDescent="0.35"/>
    <row r="3221" spans="2:12" ht="17.25" thickBot="1" x14ac:dyDescent="0.35">
      <c r="F3221" s="402" t="s">
        <v>12</v>
      </c>
      <c r="G3221" s="403"/>
      <c r="H3221" s="403"/>
      <c r="I3221" s="404"/>
      <c r="K3221" s="224">
        <f>+SUM(K3216:K3219)</f>
        <v>0</v>
      </c>
      <c r="L3221" s="117">
        <f>+SUM(L3216:L3219)</f>
        <v>0</v>
      </c>
    </row>
    <row r="3222" spans="2:12" ht="17.25" thickBot="1" x14ac:dyDescent="0.35"/>
    <row r="3223" spans="2:12" ht="17.25" thickBot="1" x14ac:dyDescent="0.35">
      <c r="B3223" s="108" t="s">
        <v>13</v>
      </c>
      <c r="C3223" s="413" t="s">
        <v>14</v>
      </c>
      <c r="D3223" s="413"/>
      <c r="E3223" s="413"/>
      <c r="F3223" s="413"/>
      <c r="G3223" s="414"/>
    </row>
    <row r="3224" spans="2:12" x14ac:dyDescent="0.3">
      <c r="B3224" s="112" t="s">
        <v>6</v>
      </c>
      <c r="C3224" s="415" t="s">
        <v>1</v>
      </c>
      <c r="D3224" s="416"/>
      <c r="E3224" s="110" t="s">
        <v>192</v>
      </c>
      <c r="F3224" s="118" t="s">
        <v>2</v>
      </c>
      <c r="G3224" s="112" t="s">
        <v>3</v>
      </c>
      <c r="H3224" s="104"/>
      <c r="I3224" s="105" t="s">
        <v>7</v>
      </c>
      <c r="J3224" s="134"/>
      <c r="K3224" s="105" t="s">
        <v>8</v>
      </c>
      <c r="L3224" s="113" t="s">
        <v>193</v>
      </c>
    </row>
    <row r="3225" spans="2:12" x14ac:dyDescent="0.3">
      <c r="B3225" s="120">
        <v>1</v>
      </c>
      <c r="C3225" s="409" t="s">
        <v>393</v>
      </c>
      <c r="D3225" s="409"/>
      <c r="E3225" s="114">
        <f>I3197</f>
        <v>3</v>
      </c>
      <c r="F3225" s="83">
        <f>ROUND(E3225/I3197,2)</f>
        <v>1</v>
      </c>
      <c r="G3225" s="74" t="str">
        <f>IF(C3225=0,0,VLOOKUP(C3225,Tabla2[],2,FALSE))</f>
        <v>Unidad</v>
      </c>
      <c r="I3225" s="115">
        <f>IF(C3225=0,0,VLOOKUP(C3225,Tabla2[],3,FALSE))</f>
        <v>220</v>
      </c>
      <c r="K3225" s="84">
        <f>+F3225*I3225</f>
        <v>220</v>
      </c>
      <c r="L3225" s="116">
        <f>E3225*I3225</f>
        <v>660</v>
      </c>
    </row>
    <row r="3226" spans="2:12" x14ac:dyDescent="0.3">
      <c r="B3226" s="120"/>
      <c r="C3226" s="409"/>
      <c r="D3226" s="409"/>
      <c r="E3226" s="114"/>
      <c r="F3226" s="83"/>
      <c r="G3226" s="74"/>
      <c r="I3226" s="115">
        <f>IF(C3226=0,0,VLOOKUP(C3226,Tabla2[],3,FALSE))</f>
        <v>0</v>
      </c>
      <c r="K3226" s="84">
        <f>+F3226*I3226</f>
        <v>0</v>
      </c>
      <c r="L3226" s="116">
        <f>E3226*I3226</f>
        <v>0</v>
      </c>
    </row>
    <row r="3227" spans="2:12" ht="17.25" thickBot="1" x14ac:dyDescent="0.35">
      <c r="B3227" s="121"/>
      <c r="C3227" s="417"/>
      <c r="D3227" s="418"/>
      <c r="E3227" s="122"/>
      <c r="F3227" s="123"/>
      <c r="G3227" s="74"/>
      <c r="I3227" s="115">
        <f>IF(C3227=0,0,VLOOKUP(C3227,Tabla2[],3,FALSE))</f>
        <v>0</v>
      </c>
      <c r="K3227" s="84">
        <f>+F3227*I3227</f>
        <v>0</v>
      </c>
      <c r="L3227" s="116">
        <f>E3227*I3227</f>
        <v>0</v>
      </c>
    </row>
    <row r="3228" spans="2:12" ht="17.25" thickBot="1" x14ac:dyDescent="0.35">
      <c r="B3228" s="419" t="s">
        <v>15</v>
      </c>
      <c r="C3228" s="420"/>
      <c r="D3228" s="420"/>
      <c r="E3228" s="420"/>
      <c r="F3228" s="420"/>
      <c r="G3228" s="421"/>
      <c r="I3228" s="115">
        <f>IF(C3228=0,0,VLOOKUP(C3228,Tabla2[],3,FALSE))</f>
        <v>0</v>
      </c>
      <c r="K3228" s="84">
        <v>0</v>
      </c>
      <c r="L3228" s="116">
        <f>E3228*I3228</f>
        <v>0</v>
      </c>
    </row>
    <row r="3229" spans="2:12" ht="17.25" thickBot="1" x14ac:dyDescent="0.35"/>
    <row r="3230" spans="2:12" ht="17.25" thickBot="1" x14ac:dyDescent="0.35">
      <c r="F3230" s="402" t="s">
        <v>16</v>
      </c>
      <c r="G3230" s="403"/>
      <c r="H3230" s="403"/>
      <c r="I3230" s="404"/>
      <c r="K3230" s="224">
        <f>+SUM(K3225:K3228)</f>
        <v>220</v>
      </c>
      <c r="L3230" s="117">
        <f>+SUM(L3225:L3228)</f>
        <v>660</v>
      </c>
    </row>
    <row r="3231" spans="2:12" ht="17.25" thickBot="1" x14ac:dyDescent="0.35"/>
    <row r="3232" spans="2:12" ht="17.25" thickBot="1" x14ac:dyDescent="0.35">
      <c r="B3232" s="108" t="s">
        <v>17</v>
      </c>
      <c r="C3232" s="413" t="s">
        <v>18</v>
      </c>
      <c r="D3232" s="413"/>
      <c r="E3232" s="413"/>
      <c r="F3232" s="413"/>
      <c r="G3232" s="414"/>
    </row>
    <row r="3233" spans="2:16" x14ac:dyDescent="0.3">
      <c r="B3233" s="112" t="s">
        <v>6</v>
      </c>
      <c r="C3233" s="415" t="s">
        <v>1</v>
      </c>
      <c r="D3233" s="416"/>
      <c r="E3233" s="124"/>
      <c r="F3233" s="118" t="s">
        <v>2</v>
      </c>
      <c r="G3233" s="112" t="s">
        <v>3</v>
      </c>
      <c r="H3233" s="104"/>
      <c r="I3233" s="105" t="s">
        <v>7</v>
      </c>
      <c r="J3233" s="134"/>
      <c r="K3233" s="105" t="s">
        <v>8</v>
      </c>
      <c r="L3233" s="113" t="s">
        <v>193</v>
      </c>
    </row>
    <row r="3234" spans="2:16" x14ac:dyDescent="0.3">
      <c r="B3234" s="74"/>
      <c r="C3234" s="411"/>
      <c r="D3234" s="412"/>
      <c r="E3234" s="125"/>
      <c r="F3234" s="72"/>
      <c r="G3234" s="74"/>
      <c r="I3234" s="84">
        <v>0</v>
      </c>
      <c r="K3234" s="84">
        <f>+F3234*I3234</f>
        <v>0</v>
      </c>
      <c r="L3234" s="116">
        <f>E3234*I3234</f>
        <v>0</v>
      </c>
    </row>
    <row r="3235" spans="2:16" x14ac:dyDescent="0.3">
      <c r="B3235" s="74"/>
      <c r="C3235" s="411"/>
      <c r="D3235" s="412"/>
      <c r="E3235" s="125"/>
      <c r="F3235" s="72"/>
      <c r="G3235" s="74"/>
      <c r="I3235" s="84">
        <v>0</v>
      </c>
      <c r="K3235" s="84">
        <f>+F3235*I3235</f>
        <v>0</v>
      </c>
      <c r="L3235" s="116">
        <f>E3235*I3235</f>
        <v>0</v>
      </c>
    </row>
    <row r="3236" spans="2:16" x14ac:dyDescent="0.3">
      <c r="B3236" s="74"/>
      <c r="C3236" s="411"/>
      <c r="D3236" s="412"/>
      <c r="E3236" s="125"/>
      <c r="F3236" s="72"/>
      <c r="G3236" s="74"/>
      <c r="I3236" s="84">
        <v>0</v>
      </c>
      <c r="K3236" s="84">
        <f>+F3236*I3236</f>
        <v>0</v>
      </c>
      <c r="L3236" s="116">
        <f>E3236*I3236</f>
        <v>0</v>
      </c>
    </row>
    <row r="3237" spans="2:16" ht="17.25" thickBot="1" x14ac:dyDescent="0.35">
      <c r="L3237" s="116"/>
    </row>
    <row r="3238" spans="2:16" ht="17.25" thickBot="1" x14ac:dyDescent="0.35">
      <c r="F3238" s="402" t="s">
        <v>19</v>
      </c>
      <c r="G3238" s="403"/>
      <c r="H3238" s="403"/>
      <c r="I3238" s="404"/>
      <c r="K3238" s="224">
        <f>+SUM(K3234:K3236)</f>
        <v>0</v>
      </c>
      <c r="L3238" s="117">
        <f>+SUM(L3233:L3236)</f>
        <v>0</v>
      </c>
    </row>
    <row r="3239" spans="2:16" ht="15" customHeight="1" x14ac:dyDescent="0.3">
      <c r="F3239" s="126"/>
      <c r="G3239" s="280"/>
      <c r="H3239" s="128"/>
      <c r="I3239" s="106"/>
      <c r="K3239" s="225"/>
    </row>
    <row r="3240" spans="2:16" ht="15" customHeight="1" thickBot="1" x14ac:dyDescent="0.35"/>
    <row r="3241" spans="2:16" ht="17.25" thickBot="1" x14ac:dyDescent="0.35">
      <c r="F3241" s="402" t="s">
        <v>20</v>
      </c>
      <c r="G3241" s="403"/>
      <c r="H3241" s="403"/>
      <c r="I3241" s="404"/>
      <c r="K3241" s="224">
        <f>(+K3212+K3221+K3230+K3238)</f>
        <v>220</v>
      </c>
      <c r="L3241" s="117">
        <f>(+L3212+L3221+L3230+L3238)</f>
        <v>660</v>
      </c>
      <c r="N3241" s="129"/>
      <c r="O3241" s="39"/>
      <c r="P3241" s="40"/>
    </row>
    <row r="3242" spans="2:16" ht="7.5" customHeight="1" thickBot="1" x14ac:dyDescent="0.35">
      <c r="N3242" s="129"/>
      <c r="O3242" s="41"/>
      <c r="P3242" s="40"/>
    </row>
    <row r="3243" spans="2:16" ht="17.25" thickBot="1" x14ac:dyDescent="0.35">
      <c r="F3243" s="402" t="s">
        <v>21</v>
      </c>
      <c r="G3243" s="403"/>
      <c r="H3243" s="403"/>
      <c r="I3243" s="404"/>
      <c r="K3243" s="224">
        <f>K3241*$N$2</f>
        <v>88</v>
      </c>
      <c r="L3243" s="117">
        <f>L3241*$N$2</f>
        <v>264</v>
      </c>
    </row>
    <row r="3244" spans="2:16" ht="7.5" customHeight="1" thickBot="1" x14ac:dyDescent="0.35"/>
    <row r="3245" spans="2:16" ht="17.25" thickBot="1" x14ac:dyDescent="0.35">
      <c r="F3245" s="402" t="s">
        <v>22</v>
      </c>
      <c r="G3245" s="403"/>
      <c r="H3245" s="403"/>
      <c r="I3245" s="404"/>
      <c r="K3245" s="224">
        <f>+K3241+K3243</f>
        <v>308</v>
      </c>
      <c r="L3245" s="117">
        <f>+L3241+L3243</f>
        <v>924</v>
      </c>
    </row>
    <row r="3246" spans="2:16" ht="17.25" thickBot="1" x14ac:dyDescent="0.35">
      <c r="F3246" s="126"/>
      <c r="G3246" s="280"/>
      <c r="H3246" s="128"/>
      <c r="I3246" s="106"/>
      <c r="K3246" s="226"/>
      <c r="L3246" s="130">
        <f>L3245/I3197</f>
        <v>308</v>
      </c>
      <c r="M3246" s="131">
        <f>(K3245-L3246)*I3197</f>
        <v>0</v>
      </c>
    </row>
    <row r="3247" spans="2:16" x14ac:dyDescent="0.3">
      <c r="F3247" s="126"/>
      <c r="G3247" s="280"/>
      <c r="H3247" s="128"/>
      <c r="I3247" s="106"/>
      <c r="K3247" s="227"/>
      <c r="L3247" s="129"/>
      <c r="M3247" s="132"/>
      <c r="N3247" s="133"/>
    </row>
    <row r="3248" spans="2:16" ht="17.25" thickBot="1" x14ac:dyDescent="0.35">
      <c r="B3248" s="405"/>
      <c r="C3248" s="405"/>
      <c r="D3248" s="405"/>
    </row>
    <row r="3249" spans="1:16" x14ac:dyDescent="0.3">
      <c r="B3249" s="406" t="s">
        <v>23</v>
      </c>
      <c r="C3249" s="406"/>
      <c r="D3249" s="406"/>
    </row>
    <row r="3252" spans="1:16" x14ac:dyDescent="0.3">
      <c r="B3252" s="103" t="s">
        <v>43</v>
      </c>
      <c r="C3252" s="104"/>
      <c r="D3252" s="422" t="s">
        <v>1</v>
      </c>
      <c r="E3252" s="422"/>
      <c r="F3252" s="422"/>
      <c r="G3252" s="422"/>
      <c r="H3252" s="104"/>
      <c r="I3252" s="105" t="s">
        <v>2</v>
      </c>
      <c r="J3252" s="134"/>
      <c r="K3252" s="105" t="s">
        <v>3</v>
      </c>
    </row>
    <row r="3253" spans="1:16" s="4" customFormat="1" ht="30.75" customHeight="1" x14ac:dyDescent="0.25">
      <c r="A3253" s="31"/>
      <c r="B3253" s="287">
        <f>CATALOGO!B109</f>
        <v>508.01</v>
      </c>
      <c r="C3253" s="71"/>
      <c r="D3253" s="437" t="str">
        <f>CATALOGO!C109</f>
        <v>CUBIERTA TIPO PANEL SÁDWICH (T=1.5", LÁMINA CAL 26)</v>
      </c>
      <c r="E3253" s="437"/>
      <c r="F3253" s="437"/>
      <c r="G3253" s="437"/>
      <c r="H3253" s="71"/>
      <c r="I3253" s="287">
        <f>CATALOGO!D109</f>
        <v>21</v>
      </c>
      <c r="J3253" s="107"/>
      <c r="K3253" s="222" t="str">
        <f>CATALOGO!G109</f>
        <v>m²</v>
      </c>
      <c r="L3253" s="71"/>
      <c r="M3253" s="71"/>
      <c r="N3253" s="102"/>
      <c r="O3253" s="37"/>
      <c r="P3253" s="37"/>
    </row>
    <row r="3254" spans="1:16" ht="17.25" thickBot="1" x14ac:dyDescent="0.35"/>
    <row r="3255" spans="1:16" ht="17.25" thickBot="1" x14ac:dyDescent="0.35">
      <c r="B3255" s="108" t="s">
        <v>4</v>
      </c>
      <c r="C3255" s="413" t="s">
        <v>5</v>
      </c>
      <c r="D3255" s="413"/>
      <c r="E3255" s="413"/>
      <c r="F3255" s="413"/>
      <c r="G3255" s="414"/>
    </row>
    <row r="3256" spans="1:16" x14ac:dyDescent="0.25">
      <c r="B3256" s="109" t="s">
        <v>6</v>
      </c>
      <c r="C3256" s="424" t="s">
        <v>1</v>
      </c>
      <c r="D3256" s="425"/>
      <c r="E3256" s="110" t="s">
        <v>192</v>
      </c>
      <c r="F3256" s="111" t="s">
        <v>2</v>
      </c>
      <c r="G3256" s="112" t="s">
        <v>3</v>
      </c>
      <c r="H3256" s="104"/>
      <c r="I3256" s="105" t="s">
        <v>7</v>
      </c>
      <c r="J3256" s="134"/>
      <c r="K3256" s="223" t="s">
        <v>8</v>
      </c>
      <c r="L3256" s="113" t="s">
        <v>193</v>
      </c>
      <c r="O3256" s="438"/>
      <c r="P3256" s="438"/>
    </row>
    <row r="3257" spans="1:16" ht="16.5" customHeight="1" x14ac:dyDescent="0.25">
      <c r="B3257" s="120">
        <v>1</v>
      </c>
      <c r="C3257" s="407" t="s">
        <v>594</v>
      </c>
      <c r="D3257" s="408"/>
      <c r="E3257" s="114">
        <f>I3253*0.9</f>
        <v>18.900000000000002</v>
      </c>
      <c r="F3257" s="83">
        <f>ROUND(E3257/I3253,2)</f>
        <v>0.9</v>
      </c>
      <c r="G3257" s="74" t="str">
        <f>IF(C3257=0,0,VLOOKUP(C3257,Tabla1[],2,FALSE))</f>
        <v>m²</v>
      </c>
      <c r="I3257" s="115">
        <f>IF(C3257=0,0,VLOOKUP(C3257,Tabla1[],3,FALSE))</f>
        <v>250</v>
      </c>
      <c r="K3257" s="84">
        <f>F3257*I3257</f>
        <v>225</v>
      </c>
      <c r="L3257" s="116">
        <f t="shared" ref="L3257:L3266" si="90">E3257*I3257</f>
        <v>4725.0000000000009</v>
      </c>
      <c r="O3257" s="44"/>
      <c r="P3257" s="45"/>
    </row>
    <row r="3258" spans="1:16" x14ac:dyDescent="0.25">
      <c r="B3258" s="120">
        <v>2</v>
      </c>
      <c r="C3258" s="407" t="s">
        <v>595</v>
      </c>
      <c r="D3258" s="408"/>
      <c r="E3258" s="114">
        <f>I3253*0.52</f>
        <v>10.92</v>
      </c>
      <c r="F3258" s="83">
        <f>ROUND(E3258/I3253,2)</f>
        <v>0.52</v>
      </c>
      <c r="G3258" s="74" t="str">
        <f>IF(C3258=0,0,VLOOKUP(C3258,Tabla1[],2,FALSE))</f>
        <v>ml</v>
      </c>
      <c r="I3258" s="115">
        <f>IF(C3258=0,0,VLOOKUP(C3258,Tabla1[],3,FALSE))</f>
        <v>45</v>
      </c>
      <c r="K3258" s="84">
        <f>+F3258*I3258</f>
        <v>23.400000000000002</v>
      </c>
      <c r="L3258" s="116">
        <f t="shared" si="90"/>
        <v>491.4</v>
      </c>
      <c r="O3258" s="44"/>
      <c r="P3258" s="47"/>
    </row>
    <row r="3259" spans="1:16" x14ac:dyDescent="0.3">
      <c r="B3259" s="120">
        <v>3</v>
      </c>
      <c r="C3259" s="407" t="s">
        <v>596</v>
      </c>
      <c r="D3259" s="408"/>
      <c r="E3259" s="114">
        <f>I3253*0.08</f>
        <v>1.68</v>
      </c>
      <c r="F3259" s="83">
        <f>ROUND(E3259/I3253,2)</f>
        <v>0.08</v>
      </c>
      <c r="G3259" s="74" t="str">
        <f>IF(C3259=0,0,VLOOKUP(C3259,Tabla1[],2,FALSE))</f>
        <v>Unidad</v>
      </c>
      <c r="I3259" s="115">
        <f>IF(C3259=0,0,VLOOKUP(C3259,Tabla1[],3,FALSE))</f>
        <v>20</v>
      </c>
      <c r="K3259" s="84">
        <f>+F3259*I3259</f>
        <v>1.6</v>
      </c>
      <c r="L3259" s="116">
        <f t="shared" si="90"/>
        <v>33.6</v>
      </c>
      <c r="O3259" s="48"/>
      <c r="P3259" s="49"/>
    </row>
    <row r="3260" spans="1:16" ht="16.5" customHeight="1" x14ac:dyDescent="0.25">
      <c r="B3260" s="120"/>
      <c r="C3260" s="407"/>
      <c r="D3260" s="408"/>
      <c r="E3260" s="114"/>
      <c r="F3260" s="83"/>
      <c r="G3260" s="74"/>
      <c r="I3260" s="115">
        <f>IF(C3260=0,0,VLOOKUP(C3260,Tabla1[],3,FALSE))</f>
        <v>0</v>
      </c>
      <c r="K3260" s="84">
        <f>F3260*I3260</f>
        <v>0</v>
      </c>
      <c r="L3260" s="116">
        <f t="shared" si="90"/>
        <v>0</v>
      </c>
      <c r="O3260" s="44"/>
      <c r="P3260" s="45"/>
    </row>
    <row r="3261" spans="1:16" ht="16.5" customHeight="1" x14ac:dyDescent="0.25">
      <c r="B3261" s="120"/>
      <c r="C3261" s="407"/>
      <c r="D3261" s="408"/>
      <c r="E3261" s="114"/>
      <c r="F3261" s="83"/>
      <c r="G3261" s="74"/>
      <c r="I3261" s="115">
        <f>IF(C3261=0,0,VLOOKUP(C3261,Tabla1[],3,FALSE))</f>
        <v>0</v>
      </c>
      <c r="K3261" s="84">
        <f t="shared" ref="K3261:K3266" si="91">+F3261*I3261</f>
        <v>0</v>
      </c>
      <c r="L3261" s="116">
        <f t="shared" si="90"/>
        <v>0</v>
      </c>
      <c r="O3261" s="44"/>
      <c r="P3261" s="46"/>
    </row>
    <row r="3262" spans="1:16" x14ac:dyDescent="0.25">
      <c r="B3262" s="120"/>
      <c r="C3262" s="407"/>
      <c r="D3262" s="408"/>
      <c r="E3262" s="114"/>
      <c r="F3262" s="83"/>
      <c r="G3262" s="74"/>
      <c r="I3262" s="115">
        <f>IF(C3262=0,0,VLOOKUP(C3262,Tabla1[],3,FALSE))</f>
        <v>0</v>
      </c>
      <c r="K3262" s="84">
        <f t="shared" si="91"/>
        <v>0</v>
      </c>
      <c r="L3262" s="116">
        <f t="shared" si="90"/>
        <v>0</v>
      </c>
      <c r="O3262" s="44"/>
      <c r="P3262" s="46"/>
    </row>
    <row r="3263" spans="1:16" x14ac:dyDescent="0.3">
      <c r="B3263" s="120"/>
      <c r="C3263" s="407"/>
      <c r="D3263" s="408"/>
      <c r="E3263" s="114"/>
      <c r="F3263" s="83"/>
      <c r="G3263" s="74"/>
      <c r="I3263" s="115">
        <f>IF(C3263=0,0,VLOOKUP(C3263,Tabla1[],3,FALSE))</f>
        <v>0</v>
      </c>
      <c r="K3263" s="84">
        <f t="shared" si="91"/>
        <v>0</v>
      </c>
      <c r="L3263" s="116">
        <f t="shared" si="90"/>
        <v>0</v>
      </c>
      <c r="O3263" s="48"/>
      <c r="P3263" s="49"/>
    </row>
    <row r="3264" spans="1:16" x14ac:dyDescent="0.3">
      <c r="B3264" s="120"/>
      <c r="C3264" s="430"/>
      <c r="D3264" s="429"/>
      <c r="E3264" s="114"/>
      <c r="F3264" s="83"/>
      <c r="G3264" s="74"/>
      <c r="I3264" s="115">
        <f>IF(C3264=0,0,VLOOKUP(C3264,Tabla1[],3,FALSE))</f>
        <v>0</v>
      </c>
      <c r="K3264" s="84">
        <f t="shared" si="91"/>
        <v>0</v>
      </c>
      <c r="L3264" s="116">
        <f t="shared" si="90"/>
        <v>0</v>
      </c>
      <c r="O3264" s="48"/>
      <c r="P3264" s="49"/>
    </row>
    <row r="3265" spans="2:16" x14ac:dyDescent="0.3">
      <c r="B3265" s="120"/>
      <c r="C3265" s="430"/>
      <c r="D3265" s="429"/>
      <c r="E3265" s="114"/>
      <c r="F3265" s="83"/>
      <c r="G3265" s="74"/>
      <c r="I3265" s="115">
        <f>IF(C3265=0,0,VLOOKUP(C3265,Tabla1[],3,FALSE))</f>
        <v>0</v>
      </c>
      <c r="K3265" s="84">
        <f t="shared" si="91"/>
        <v>0</v>
      </c>
      <c r="L3265" s="116">
        <f t="shared" si="90"/>
        <v>0</v>
      </c>
      <c r="O3265" s="48"/>
      <c r="P3265" s="49"/>
    </row>
    <row r="3266" spans="2:16" x14ac:dyDescent="0.3">
      <c r="B3266" s="120"/>
      <c r="C3266" s="430"/>
      <c r="D3266" s="429"/>
      <c r="E3266" s="114"/>
      <c r="F3266" s="83"/>
      <c r="G3266" s="74"/>
      <c r="I3266" s="115">
        <f>IF(C3266=0,0,VLOOKUP(C3266,Tabla1[],3,FALSE))</f>
        <v>0</v>
      </c>
      <c r="K3266" s="84">
        <f t="shared" si="91"/>
        <v>0</v>
      </c>
      <c r="L3266" s="116">
        <f t="shared" si="90"/>
        <v>0</v>
      </c>
      <c r="O3266" s="48"/>
      <c r="P3266" s="49"/>
    </row>
    <row r="3267" spans="2:16" ht="17.25" thickBot="1" x14ac:dyDescent="0.35"/>
    <row r="3268" spans="2:16" ht="17.25" thickBot="1" x14ac:dyDescent="0.3">
      <c r="F3268" s="402" t="s">
        <v>9</v>
      </c>
      <c r="G3268" s="403"/>
      <c r="H3268" s="403"/>
      <c r="I3268" s="404"/>
      <c r="K3268" s="224">
        <f>+SUM(K3257:K3266)</f>
        <v>250</v>
      </c>
      <c r="L3268" s="117">
        <f>+SUM(L3257:L3266)</f>
        <v>5250.0000000000009</v>
      </c>
      <c r="O3268" s="38"/>
      <c r="P3268" s="38"/>
    </row>
    <row r="3269" spans="2:16" ht="17.25" thickBot="1" x14ac:dyDescent="0.35">
      <c r="O3269" s="42"/>
      <c r="P3269" s="43"/>
    </row>
    <row r="3270" spans="2:16" ht="17.25" thickBot="1" x14ac:dyDescent="0.35">
      <c r="B3270" s="108" t="s">
        <v>10</v>
      </c>
      <c r="C3270" s="413" t="s">
        <v>11</v>
      </c>
      <c r="D3270" s="413"/>
      <c r="E3270" s="413"/>
      <c r="F3270" s="413"/>
      <c r="G3270" s="414"/>
    </row>
    <row r="3271" spans="2:16" x14ac:dyDescent="0.3">
      <c r="B3271" s="112" t="s">
        <v>6</v>
      </c>
      <c r="C3271" s="415" t="s">
        <v>1</v>
      </c>
      <c r="D3271" s="416"/>
      <c r="E3271" s="110" t="s">
        <v>192</v>
      </c>
      <c r="F3271" s="118" t="s">
        <v>2</v>
      </c>
      <c r="G3271" s="112" t="s">
        <v>3</v>
      </c>
      <c r="H3271" s="104"/>
      <c r="I3271" s="105" t="s">
        <v>7</v>
      </c>
      <c r="J3271" s="134"/>
      <c r="K3271" s="105" t="s">
        <v>8</v>
      </c>
      <c r="L3271" s="113" t="s">
        <v>193</v>
      </c>
    </row>
    <row r="3272" spans="2:16" x14ac:dyDescent="0.3">
      <c r="B3272" s="120"/>
      <c r="C3272" s="409"/>
      <c r="D3272" s="409"/>
      <c r="E3272" s="114"/>
      <c r="F3272" s="83"/>
      <c r="G3272" s="74"/>
      <c r="I3272" s="115">
        <f>IF(C3272=0,0,VLOOKUP(C3272,Tabla1[],3,FALSE))</f>
        <v>0</v>
      </c>
      <c r="K3272" s="84">
        <f>F3272*I3272</f>
        <v>0</v>
      </c>
      <c r="L3272" s="116">
        <f>E3272*I3272</f>
        <v>0</v>
      </c>
    </row>
    <row r="3273" spans="2:16" x14ac:dyDescent="0.3">
      <c r="B3273" s="74"/>
      <c r="C3273" s="431"/>
      <c r="D3273" s="432"/>
      <c r="E3273" s="119"/>
      <c r="F3273" s="72"/>
      <c r="G3273" s="74"/>
      <c r="I3273" s="115">
        <f>IF(C3273=0,0,VLOOKUP(C3273,Tabla1[],3,FALSE))</f>
        <v>0</v>
      </c>
      <c r="K3273" s="84">
        <f>+F3273*I3273</f>
        <v>0</v>
      </c>
      <c r="L3273" s="116">
        <f>E3273*I3273</f>
        <v>0</v>
      </c>
    </row>
    <row r="3274" spans="2:16" x14ac:dyDescent="0.3">
      <c r="B3274" s="74"/>
      <c r="C3274" s="431"/>
      <c r="D3274" s="432"/>
      <c r="E3274" s="119"/>
      <c r="F3274" s="72"/>
      <c r="G3274" s="74"/>
      <c r="I3274" s="115">
        <f>IF(C3274=0,0,VLOOKUP(C3274,Tabla1[],3,FALSE))</f>
        <v>0</v>
      </c>
      <c r="K3274" s="84">
        <f>+F3274*I3274</f>
        <v>0</v>
      </c>
      <c r="L3274" s="116">
        <f>E3274*I3274</f>
        <v>0</v>
      </c>
    </row>
    <row r="3275" spans="2:16" x14ac:dyDescent="0.3">
      <c r="B3275" s="74"/>
      <c r="C3275" s="411"/>
      <c r="D3275" s="412"/>
      <c r="E3275" s="119"/>
      <c r="F3275" s="72"/>
      <c r="G3275" s="74"/>
      <c r="I3275" s="115">
        <f>IF(C3275=0,0,VLOOKUP(C3275,Tabla1[],3,FALSE))</f>
        <v>0</v>
      </c>
      <c r="K3275" s="84">
        <f>+F3275*I3275</f>
        <v>0</v>
      </c>
      <c r="L3275" s="116">
        <f>E3275*I3275</f>
        <v>0</v>
      </c>
    </row>
    <row r="3276" spans="2:16" ht="17.25" thickBot="1" x14ac:dyDescent="0.35"/>
    <row r="3277" spans="2:16" ht="17.25" thickBot="1" x14ac:dyDescent="0.35">
      <c r="F3277" s="402" t="s">
        <v>12</v>
      </c>
      <c r="G3277" s="403"/>
      <c r="H3277" s="403"/>
      <c r="I3277" s="404"/>
      <c r="K3277" s="224">
        <f>+SUM(K3272:K3275)</f>
        <v>0</v>
      </c>
      <c r="L3277" s="117">
        <f>+SUM(L3272:L3275)</f>
        <v>0</v>
      </c>
    </row>
    <row r="3278" spans="2:16" ht="17.25" thickBot="1" x14ac:dyDescent="0.35"/>
    <row r="3279" spans="2:16" ht="17.25" thickBot="1" x14ac:dyDescent="0.35">
      <c r="B3279" s="108" t="s">
        <v>13</v>
      </c>
      <c r="C3279" s="413" t="s">
        <v>14</v>
      </c>
      <c r="D3279" s="413"/>
      <c r="E3279" s="413"/>
      <c r="F3279" s="413"/>
      <c r="G3279" s="414"/>
    </row>
    <row r="3280" spans="2:16" x14ac:dyDescent="0.3">
      <c r="B3280" s="112" t="s">
        <v>6</v>
      </c>
      <c r="C3280" s="415" t="s">
        <v>1</v>
      </c>
      <c r="D3280" s="416"/>
      <c r="E3280" s="110" t="s">
        <v>192</v>
      </c>
      <c r="F3280" s="118" t="s">
        <v>2</v>
      </c>
      <c r="G3280" s="112" t="s">
        <v>3</v>
      </c>
      <c r="H3280" s="104"/>
      <c r="I3280" s="105" t="s">
        <v>7</v>
      </c>
      <c r="J3280" s="134"/>
      <c r="K3280" s="105" t="s">
        <v>8</v>
      </c>
      <c r="L3280" s="113" t="s">
        <v>193</v>
      </c>
    </row>
    <row r="3281" spans="2:12" x14ac:dyDescent="0.3">
      <c r="B3281" s="120">
        <v>1</v>
      </c>
      <c r="C3281" s="409" t="s">
        <v>597</v>
      </c>
      <c r="D3281" s="409"/>
      <c r="E3281" s="114">
        <f>I3253</f>
        <v>21</v>
      </c>
      <c r="F3281" s="83">
        <f>ROUND(E3281/I3253,2)</f>
        <v>1</v>
      </c>
      <c r="G3281" s="74" t="str">
        <f>IF(C3281=0,0,VLOOKUP(C3281,Tabla2[],2,FALSE))</f>
        <v>m²</v>
      </c>
      <c r="I3281" s="115">
        <f>IF(C3281=0,0,VLOOKUP(C3281,Tabla2[],3,FALSE))</f>
        <v>100</v>
      </c>
      <c r="K3281" s="84">
        <f>+F3281*I3281</f>
        <v>100</v>
      </c>
      <c r="L3281" s="116">
        <f>E3281*I3281</f>
        <v>2100</v>
      </c>
    </row>
    <row r="3282" spans="2:12" x14ac:dyDescent="0.3">
      <c r="B3282" s="120"/>
      <c r="C3282" s="409"/>
      <c r="D3282" s="409"/>
      <c r="E3282" s="114"/>
      <c r="F3282" s="83"/>
      <c r="G3282" s="74"/>
      <c r="I3282" s="115">
        <f>IF(C3282=0,0,VLOOKUP(C3282,Tabla2[],3,FALSE))</f>
        <v>0</v>
      </c>
      <c r="K3282" s="84">
        <f>+F3282*I3282</f>
        <v>0</v>
      </c>
      <c r="L3282" s="116">
        <f>E3282*I3282</f>
        <v>0</v>
      </c>
    </row>
    <row r="3283" spans="2:12" ht="17.25" thickBot="1" x14ac:dyDescent="0.35">
      <c r="B3283" s="121"/>
      <c r="C3283" s="417"/>
      <c r="D3283" s="418"/>
      <c r="E3283" s="122"/>
      <c r="F3283" s="123"/>
      <c r="G3283" s="74"/>
      <c r="I3283" s="115">
        <f>IF(C3283=0,0,VLOOKUP(C3283,Tabla2[],3,FALSE))</f>
        <v>0</v>
      </c>
      <c r="K3283" s="84">
        <f>+F3283*I3283</f>
        <v>0</v>
      </c>
      <c r="L3283" s="116">
        <f>E3283*I3283</f>
        <v>0</v>
      </c>
    </row>
    <row r="3284" spans="2:12" ht="17.25" thickBot="1" x14ac:dyDescent="0.35">
      <c r="B3284" s="419" t="s">
        <v>15</v>
      </c>
      <c r="C3284" s="420"/>
      <c r="D3284" s="420"/>
      <c r="E3284" s="420"/>
      <c r="F3284" s="420"/>
      <c r="G3284" s="421"/>
      <c r="I3284" s="115">
        <f>IF(C3284=0,0,VLOOKUP(C3284,Tabla2[],3,FALSE))</f>
        <v>0</v>
      </c>
      <c r="K3284" s="84">
        <v>0</v>
      </c>
      <c r="L3284" s="116">
        <f>E3284*I3284</f>
        <v>0</v>
      </c>
    </row>
    <row r="3285" spans="2:12" ht="17.25" thickBot="1" x14ac:dyDescent="0.35"/>
    <row r="3286" spans="2:12" ht="17.25" thickBot="1" x14ac:dyDescent="0.35">
      <c r="F3286" s="402" t="s">
        <v>16</v>
      </c>
      <c r="G3286" s="403"/>
      <c r="H3286" s="403"/>
      <c r="I3286" s="404"/>
      <c r="K3286" s="224">
        <f>+SUM(K3281:K3284)</f>
        <v>100</v>
      </c>
      <c r="L3286" s="117">
        <f>+SUM(L3281:L3284)</f>
        <v>2100</v>
      </c>
    </row>
    <row r="3287" spans="2:12" ht="17.25" thickBot="1" x14ac:dyDescent="0.35"/>
    <row r="3288" spans="2:12" ht="17.25" thickBot="1" x14ac:dyDescent="0.35">
      <c r="B3288" s="108" t="s">
        <v>17</v>
      </c>
      <c r="C3288" s="413" t="s">
        <v>18</v>
      </c>
      <c r="D3288" s="413"/>
      <c r="E3288" s="413"/>
      <c r="F3288" s="413"/>
      <c r="G3288" s="414"/>
    </row>
    <row r="3289" spans="2:12" x14ac:dyDescent="0.3">
      <c r="B3289" s="112" t="s">
        <v>6</v>
      </c>
      <c r="C3289" s="415" t="s">
        <v>1</v>
      </c>
      <c r="D3289" s="416"/>
      <c r="E3289" s="124"/>
      <c r="F3289" s="118" t="s">
        <v>2</v>
      </c>
      <c r="G3289" s="112" t="s">
        <v>3</v>
      </c>
      <c r="H3289" s="104"/>
      <c r="I3289" s="105" t="s">
        <v>7</v>
      </c>
      <c r="J3289" s="134"/>
      <c r="K3289" s="105" t="s">
        <v>8</v>
      </c>
      <c r="L3289" s="113" t="s">
        <v>193</v>
      </c>
    </row>
    <row r="3290" spans="2:12" x14ac:dyDescent="0.3">
      <c r="B3290" s="74"/>
      <c r="C3290" s="411"/>
      <c r="D3290" s="412"/>
      <c r="E3290" s="125"/>
      <c r="F3290" s="72"/>
      <c r="G3290" s="74"/>
      <c r="I3290" s="84">
        <v>0</v>
      </c>
      <c r="K3290" s="84">
        <f>+F3290*I3290</f>
        <v>0</v>
      </c>
      <c r="L3290" s="116">
        <f>E3290*I3290</f>
        <v>0</v>
      </c>
    </row>
    <row r="3291" spans="2:12" x14ac:dyDescent="0.3">
      <c r="B3291" s="74"/>
      <c r="C3291" s="411"/>
      <c r="D3291" s="412"/>
      <c r="E3291" s="125"/>
      <c r="F3291" s="72"/>
      <c r="G3291" s="74"/>
      <c r="I3291" s="84">
        <v>0</v>
      </c>
      <c r="K3291" s="84">
        <f>+F3291*I3291</f>
        <v>0</v>
      </c>
      <c r="L3291" s="116">
        <f>E3291*I3291</f>
        <v>0</v>
      </c>
    </row>
    <row r="3292" spans="2:12" x14ac:dyDescent="0.3">
      <c r="B3292" s="74"/>
      <c r="C3292" s="411"/>
      <c r="D3292" s="412"/>
      <c r="E3292" s="125"/>
      <c r="F3292" s="72"/>
      <c r="G3292" s="74"/>
      <c r="I3292" s="84">
        <v>0</v>
      </c>
      <c r="K3292" s="84">
        <f>+F3292*I3292</f>
        <v>0</v>
      </c>
      <c r="L3292" s="116">
        <f>E3292*I3292</f>
        <v>0</v>
      </c>
    </row>
    <row r="3293" spans="2:12" ht="17.25" thickBot="1" x14ac:dyDescent="0.35">
      <c r="L3293" s="116"/>
    </row>
    <row r="3294" spans="2:12" ht="17.25" thickBot="1" x14ac:dyDescent="0.35">
      <c r="F3294" s="402" t="s">
        <v>19</v>
      </c>
      <c r="G3294" s="403"/>
      <c r="H3294" s="403"/>
      <c r="I3294" s="404"/>
      <c r="K3294" s="224">
        <f>+SUM(K3290:K3292)</f>
        <v>0</v>
      </c>
      <c r="L3294" s="117">
        <f>+SUM(L3289:L3292)</f>
        <v>0</v>
      </c>
    </row>
    <row r="3295" spans="2:12" ht="15" customHeight="1" x14ac:dyDescent="0.3">
      <c r="F3295" s="126"/>
      <c r="G3295" s="280"/>
      <c r="H3295" s="128"/>
      <c r="I3295" s="106"/>
      <c r="K3295" s="225"/>
    </row>
    <row r="3296" spans="2:12" ht="15" customHeight="1" thickBot="1" x14ac:dyDescent="0.35"/>
    <row r="3297" spans="1:16" ht="17.25" thickBot="1" x14ac:dyDescent="0.35">
      <c r="F3297" s="402" t="s">
        <v>20</v>
      </c>
      <c r="G3297" s="403"/>
      <c r="H3297" s="403"/>
      <c r="I3297" s="404"/>
      <c r="K3297" s="224">
        <f>(+K3268+K3277+K3286+K3294)</f>
        <v>350</v>
      </c>
      <c r="L3297" s="117">
        <f>(+L3268+L3277+L3286+L3294)</f>
        <v>7350.0000000000009</v>
      </c>
      <c r="N3297" s="129"/>
      <c r="O3297" s="39"/>
      <c r="P3297" s="40"/>
    </row>
    <row r="3298" spans="1:16" ht="7.5" customHeight="1" thickBot="1" x14ac:dyDescent="0.35">
      <c r="N3298" s="129"/>
      <c r="O3298" s="41"/>
      <c r="P3298" s="40"/>
    </row>
    <row r="3299" spans="1:16" ht="17.25" thickBot="1" x14ac:dyDescent="0.35">
      <c r="F3299" s="402" t="s">
        <v>21</v>
      </c>
      <c r="G3299" s="403"/>
      <c r="H3299" s="403"/>
      <c r="I3299" s="404"/>
      <c r="K3299" s="224">
        <f>K3297*$N$2</f>
        <v>140</v>
      </c>
      <c r="L3299" s="117">
        <f>L3297*$N$2</f>
        <v>2940.0000000000005</v>
      </c>
    </row>
    <row r="3300" spans="1:16" ht="7.5" customHeight="1" thickBot="1" x14ac:dyDescent="0.35"/>
    <row r="3301" spans="1:16" ht="17.25" thickBot="1" x14ac:dyDescent="0.35">
      <c r="F3301" s="402" t="s">
        <v>22</v>
      </c>
      <c r="G3301" s="403"/>
      <c r="H3301" s="403"/>
      <c r="I3301" s="404"/>
      <c r="K3301" s="224">
        <f>+K3297+K3299</f>
        <v>490</v>
      </c>
      <c r="L3301" s="117">
        <f>+L3297+L3299</f>
        <v>10290.000000000002</v>
      </c>
    </row>
    <row r="3302" spans="1:16" ht="17.25" thickBot="1" x14ac:dyDescent="0.35">
      <c r="F3302" s="126"/>
      <c r="G3302" s="280"/>
      <c r="H3302" s="128"/>
      <c r="I3302" s="106"/>
      <c r="K3302" s="226"/>
      <c r="L3302" s="130">
        <f>L3301/I3253</f>
        <v>490.00000000000011</v>
      </c>
      <c r="M3302" s="131">
        <f>(K3301-L3302)*I3253</f>
        <v>-2.3874235921539366E-12</v>
      </c>
    </row>
    <row r="3303" spans="1:16" x14ac:dyDescent="0.3">
      <c r="F3303" s="126"/>
      <c r="G3303" s="280"/>
      <c r="H3303" s="128"/>
      <c r="I3303" s="106"/>
      <c r="K3303" s="227"/>
      <c r="L3303" s="129"/>
      <c r="M3303" s="132"/>
      <c r="N3303" s="133"/>
    </row>
    <row r="3304" spans="1:16" ht="17.25" thickBot="1" x14ac:dyDescent="0.35">
      <c r="B3304" s="405"/>
      <c r="C3304" s="405"/>
      <c r="D3304" s="405"/>
    </row>
    <row r="3305" spans="1:16" x14ac:dyDescent="0.3">
      <c r="B3305" s="406" t="s">
        <v>23</v>
      </c>
      <c r="C3305" s="406"/>
      <c r="D3305" s="406"/>
    </row>
    <row r="3308" spans="1:16" x14ac:dyDescent="0.3">
      <c r="B3308" s="103" t="s">
        <v>43</v>
      </c>
      <c r="C3308" s="104"/>
      <c r="D3308" s="422" t="s">
        <v>1</v>
      </c>
      <c r="E3308" s="422"/>
      <c r="F3308" s="422"/>
      <c r="G3308" s="422"/>
      <c r="H3308" s="104"/>
      <c r="I3308" s="105" t="s">
        <v>2</v>
      </c>
      <c r="J3308" s="134"/>
      <c r="K3308" s="105" t="s">
        <v>3</v>
      </c>
    </row>
    <row r="3309" spans="1:16" s="4" customFormat="1" ht="30.75" customHeight="1" x14ac:dyDescent="0.25">
      <c r="A3309" s="31"/>
      <c r="B3309" s="287">
        <f>CATALOGO!B111</f>
        <v>605.01</v>
      </c>
      <c r="C3309" s="71"/>
      <c r="D3309" s="437" t="str">
        <f>CATALOGO!C111</f>
        <v>PISO CERÁMICO</v>
      </c>
      <c r="E3309" s="437"/>
      <c r="F3309" s="437"/>
      <c r="G3309" s="437"/>
      <c r="H3309" s="71"/>
      <c r="I3309" s="287">
        <f>CATALOGO!D111</f>
        <v>29</v>
      </c>
      <c r="J3309" s="107"/>
      <c r="K3309" s="222" t="str">
        <f>CATALOGO!G111</f>
        <v>m²</v>
      </c>
      <c r="L3309" s="71"/>
      <c r="M3309" s="71"/>
      <c r="N3309" s="102"/>
      <c r="O3309" s="37"/>
      <c r="P3309" s="37"/>
    </row>
    <row r="3310" spans="1:16" ht="17.25" thickBot="1" x14ac:dyDescent="0.35"/>
    <row r="3311" spans="1:16" ht="17.25" thickBot="1" x14ac:dyDescent="0.35">
      <c r="B3311" s="108" t="s">
        <v>4</v>
      </c>
      <c r="C3311" s="413" t="s">
        <v>5</v>
      </c>
      <c r="D3311" s="413"/>
      <c r="E3311" s="413"/>
      <c r="F3311" s="413"/>
      <c r="G3311" s="414"/>
    </row>
    <row r="3312" spans="1:16" x14ac:dyDescent="0.25">
      <c r="B3312" s="109" t="s">
        <v>6</v>
      </c>
      <c r="C3312" s="424" t="s">
        <v>1</v>
      </c>
      <c r="D3312" s="425"/>
      <c r="E3312" s="110" t="s">
        <v>192</v>
      </c>
      <c r="F3312" s="111" t="s">
        <v>2</v>
      </c>
      <c r="G3312" s="112" t="s">
        <v>3</v>
      </c>
      <c r="H3312" s="104"/>
      <c r="I3312" s="105" t="s">
        <v>7</v>
      </c>
      <c r="J3312" s="134"/>
      <c r="K3312" s="223" t="s">
        <v>8</v>
      </c>
      <c r="L3312" s="113" t="s">
        <v>193</v>
      </c>
      <c r="O3312" s="438"/>
      <c r="P3312" s="438"/>
    </row>
    <row r="3313" spans="2:16" ht="16.5" customHeight="1" x14ac:dyDescent="0.25">
      <c r="B3313" s="120">
        <v>1</v>
      </c>
      <c r="C3313" s="428" t="s">
        <v>213</v>
      </c>
      <c r="D3313" s="429"/>
      <c r="E3313" s="114">
        <f>I3309*0.7</f>
        <v>20.299999999999997</v>
      </c>
      <c r="F3313" s="83">
        <f>ROUND(E3313/I3309,2)</f>
        <v>0.7</v>
      </c>
      <c r="G3313" s="74" t="str">
        <f>IF(C3313=0,0,VLOOKUP(C3313,Tabla1[],2,FALSE))</f>
        <v>Saco</v>
      </c>
      <c r="I3313" s="115">
        <f>IF(C3313=0,0,VLOOKUP(C3313,Tabla1[],3,FALSE))</f>
        <v>80</v>
      </c>
      <c r="K3313" s="84">
        <f>F3313*I3313</f>
        <v>56</v>
      </c>
      <c r="L3313" s="116">
        <f>E3313*I3313</f>
        <v>1623.9999999999998</v>
      </c>
      <c r="O3313" s="44"/>
      <c r="P3313" s="45"/>
    </row>
    <row r="3314" spans="2:16" x14ac:dyDescent="0.25">
      <c r="B3314" s="120">
        <v>2</v>
      </c>
      <c r="C3314" s="430" t="s">
        <v>72</v>
      </c>
      <c r="D3314" s="429"/>
      <c r="E3314" s="114">
        <f>I3309*0.02</f>
        <v>0.57999999999999996</v>
      </c>
      <c r="F3314" s="83">
        <f>ROUND(E3314/I3309,2)</f>
        <v>0.02</v>
      </c>
      <c r="G3314" s="74" t="str">
        <f>IF(C3314=0,0,VLOOKUP(C3314,Tabla1[],2,FALSE))</f>
        <v>m³</v>
      </c>
      <c r="I3314" s="115">
        <f>IF(C3314=0,0,VLOOKUP(C3314,Tabla1[],3,FALSE))</f>
        <v>250</v>
      </c>
      <c r="K3314" s="84">
        <f>+F3314*I3314</f>
        <v>5</v>
      </c>
      <c r="L3314" s="116">
        <f>E3314*I3314</f>
        <v>145</v>
      </c>
      <c r="O3314" s="44"/>
      <c r="P3314" s="47"/>
    </row>
    <row r="3315" spans="2:16" x14ac:dyDescent="0.3">
      <c r="B3315" s="120">
        <v>3</v>
      </c>
      <c r="C3315" s="430" t="s">
        <v>214</v>
      </c>
      <c r="D3315" s="429"/>
      <c r="E3315" s="114">
        <f>I3309*0.02</f>
        <v>0.57999999999999996</v>
      </c>
      <c r="F3315" s="83">
        <f>ROUND(E3315/I3309,2)</f>
        <v>0.02</v>
      </c>
      <c r="G3315" s="74" t="str">
        <f>IF(C3315=0,0,VLOOKUP(C3315,Tabla1[],2,FALSE))</f>
        <v>Bolsa</v>
      </c>
      <c r="I3315" s="115">
        <f>IF(C3315=0,0,VLOOKUP(C3315,Tabla1[],3,FALSE))</f>
        <v>50</v>
      </c>
      <c r="K3315" s="84">
        <f>+F3315*I3315</f>
        <v>1</v>
      </c>
      <c r="L3315" s="116">
        <f>E3315*I3315</f>
        <v>28.999999999999996</v>
      </c>
      <c r="O3315" s="48"/>
      <c r="P3315" s="49"/>
    </row>
    <row r="3316" spans="2:16" ht="16.5" customHeight="1" x14ac:dyDescent="0.25">
      <c r="B3316" s="120">
        <v>4</v>
      </c>
      <c r="C3316" s="407" t="s">
        <v>598</v>
      </c>
      <c r="D3316" s="408"/>
      <c r="E3316" s="114">
        <f>I3309*0.7</f>
        <v>20.299999999999997</v>
      </c>
      <c r="F3316" s="83">
        <f>ROUND(E3316/I3309,2)</f>
        <v>0.7</v>
      </c>
      <c r="G3316" s="74" t="str">
        <f>IF(C3316=0,0,VLOOKUP(C3316,Tabla1[],2,FALSE))</f>
        <v>m²</v>
      </c>
      <c r="I3316" s="115">
        <f>IF(C3316=0,0,VLOOKUP(C3316,Tabla1[],3,FALSE))</f>
        <v>90</v>
      </c>
      <c r="K3316" s="84">
        <f>+F3316*I3316</f>
        <v>62.999999999999993</v>
      </c>
      <c r="L3316" s="116">
        <f>E3316*I3316</f>
        <v>1826.9999999999998</v>
      </c>
      <c r="O3316" s="44"/>
      <c r="P3316" s="45"/>
    </row>
    <row r="3317" spans="2:16" x14ac:dyDescent="0.3">
      <c r="B3317" s="120"/>
      <c r="C3317" s="430"/>
      <c r="D3317" s="429"/>
      <c r="E3317" s="114"/>
      <c r="F3317" s="83"/>
      <c r="G3317" s="74"/>
      <c r="I3317" s="115">
        <f>IF(C3317=0,0,VLOOKUP(C3317,Tabla1[],3,FALSE))</f>
        <v>0</v>
      </c>
      <c r="K3317" s="84">
        <f>+F3317*I3317</f>
        <v>0</v>
      </c>
      <c r="L3317" s="116">
        <f>E3317*I3317</f>
        <v>0</v>
      </c>
      <c r="O3317" s="48"/>
      <c r="P3317" s="49"/>
    </row>
    <row r="3318" spans="2:16" ht="17.25" thickBot="1" x14ac:dyDescent="0.35"/>
    <row r="3319" spans="2:16" ht="17.25" thickBot="1" x14ac:dyDescent="0.3">
      <c r="F3319" s="402" t="s">
        <v>9</v>
      </c>
      <c r="G3319" s="403"/>
      <c r="H3319" s="403"/>
      <c r="I3319" s="404"/>
      <c r="K3319" s="224">
        <f>+SUM(K3313:K3317)</f>
        <v>125</v>
      </c>
      <c r="L3319" s="117">
        <f>+SUM(L3313:L3317)</f>
        <v>3624.9999999999995</v>
      </c>
      <c r="O3319" s="38"/>
      <c r="P3319" s="38"/>
    </row>
    <row r="3320" spans="2:16" ht="17.25" thickBot="1" x14ac:dyDescent="0.35">
      <c r="O3320" s="42"/>
      <c r="P3320" s="43"/>
    </row>
    <row r="3321" spans="2:16" ht="17.25" thickBot="1" x14ac:dyDescent="0.35">
      <c r="B3321" s="108" t="s">
        <v>10</v>
      </c>
      <c r="C3321" s="413" t="s">
        <v>11</v>
      </c>
      <c r="D3321" s="413"/>
      <c r="E3321" s="413"/>
      <c r="F3321" s="413"/>
      <c r="G3321" s="414"/>
    </row>
    <row r="3322" spans="2:16" x14ac:dyDescent="0.3">
      <c r="B3322" s="112" t="s">
        <v>6</v>
      </c>
      <c r="C3322" s="415" t="s">
        <v>1</v>
      </c>
      <c r="D3322" s="416"/>
      <c r="E3322" s="110" t="s">
        <v>192</v>
      </c>
      <c r="F3322" s="118" t="s">
        <v>2</v>
      </c>
      <c r="G3322" s="112" t="s">
        <v>3</v>
      </c>
      <c r="H3322" s="104"/>
      <c r="I3322" s="105" t="s">
        <v>7</v>
      </c>
      <c r="J3322" s="134"/>
      <c r="K3322" s="105" t="s">
        <v>8</v>
      </c>
      <c r="L3322" s="113" t="s">
        <v>193</v>
      </c>
    </row>
    <row r="3323" spans="2:16" x14ac:dyDescent="0.3">
      <c r="B3323" s="120"/>
      <c r="C3323" s="409"/>
      <c r="D3323" s="409"/>
      <c r="E3323" s="114"/>
      <c r="F3323" s="83"/>
      <c r="G3323" s="74"/>
      <c r="I3323" s="115">
        <f>IF(C3323=0,0,VLOOKUP(C3323,Tabla3[],3,FALSE))</f>
        <v>0</v>
      </c>
      <c r="K3323" s="84">
        <f>F3323*I3323</f>
        <v>0</v>
      </c>
      <c r="L3323" s="116">
        <f>E3323*I3323</f>
        <v>0</v>
      </c>
    </row>
    <row r="3324" spans="2:16" x14ac:dyDescent="0.3">
      <c r="B3324" s="74"/>
      <c r="C3324" s="431"/>
      <c r="D3324" s="432"/>
      <c r="E3324" s="119"/>
      <c r="F3324" s="72"/>
      <c r="G3324" s="74"/>
      <c r="I3324" s="115">
        <f>IF(C3324=0,0,VLOOKUP(C3324,Tabla3[],3,FALSE))</f>
        <v>0</v>
      </c>
      <c r="K3324" s="84">
        <f>+F3324*I3324</f>
        <v>0</v>
      </c>
      <c r="L3324" s="116">
        <f>E3324*I3324</f>
        <v>0</v>
      </c>
    </row>
    <row r="3325" spans="2:16" x14ac:dyDescent="0.3">
      <c r="B3325" s="74"/>
      <c r="C3325" s="431"/>
      <c r="D3325" s="432"/>
      <c r="E3325" s="119"/>
      <c r="F3325" s="72"/>
      <c r="G3325" s="74"/>
      <c r="I3325" s="115">
        <f>IF(C3325=0,0,VLOOKUP(C3325,Tabla3[],3,FALSE))</f>
        <v>0</v>
      </c>
      <c r="K3325" s="84">
        <f>+F3325*I3325</f>
        <v>0</v>
      </c>
      <c r="L3325" s="116">
        <f>E3325*I3325</f>
        <v>0</v>
      </c>
    </row>
    <row r="3326" spans="2:16" x14ac:dyDescent="0.3">
      <c r="B3326" s="74"/>
      <c r="C3326" s="411"/>
      <c r="D3326" s="412"/>
      <c r="E3326" s="119"/>
      <c r="F3326" s="72"/>
      <c r="G3326" s="74"/>
      <c r="I3326" s="115">
        <f>IF(C3326=0,0,VLOOKUP(C3326,Tabla3[],3,FALSE))</f>
        <v>0</v>
      </c>
      <c r="K3326" s="84">
        <f>+F3326*I3326</f>
        <v>0</v>
      </c>
      <c r="L3326" s="116">
        <f>E3326*I3326</f>
        <v>0</v>
      </c>
    </row>
    <row r="3327" spans="2:16" ht="17.25" thickBot="1" x14ac:dyDescent="0.35"/>
    <row r="3328" spans="2:16" ht="17.25" thickBot="1" x14ac:dyDescent="0.35">
      <c r="F3328" s="402" t="s">
        <v>12</v>
      </c>
      <c r="G3328" s="403"/>
      <c r="H3328" s="403"/>
      <c r="I3328" s="404"/>
      <c r="K3328" s="224">
        <f>+SUM(K3323:K3326)</f>
        <v>0</v>
      </c>
      <c r="L3328" s="117">
        <f>+SUM(L3323:L3326)</f>
        <v>0</v>
      </c>
    </row>
    <row r="3329" spans="2:12" ht="17.25" thickBot="1" x14ac:dyDescent="0.35"/>
    <row r="3330" spans="2:12" ht="17.25" thickBot="1" x14ac:dyDescent="0.35">
      <c r="B3330" s="108" t="s">
        <v>13</v>
      </c>
      <c r="C3330" s="413" t="s">
        <v>14</v>
      </c>
      <c r="D3330" s="413"/>
      <c r="E3330" s="413"/>
      <c r="F3330" s="413"/>
      <c r="G3330" s="414"/>
    </row>
    <row r="3331" spans="2:12" x14ac:dyDescent="0.3">
      <c r="B3331" s="112" t="s">
        <v>6</v>
      </c>
      <c r="C3331" s="415" t="s">
        <v>1</v>
      </c>
      <c r="D3331" s="416"/>
      <c r="E3331" s="110" t="s">
        <v>192</v>
      </c>
      <c r="F3331" s="118" t="s">
        <v>2</v>
      </c>
      <c r="G3331" s="112" t="s">
        <v>3</v>
      </c>
      <c r="H3331" s="104"/>
      <c r="I3331" s="105" t="s">
        <v>7</v>
      </c>
      <c r="J3331" s="134"/>
      <c r="K3331" s="105" t="s">
        <v>8</v>
      </c>
      <c r="L3331" s="113" t="s">
        <v>193</v>
      </c>
    </row>
    <row r="3332" spans="2:12" x14ac:dyDescent="0.3">
      <c r="B3332" s="120">
        <v>1</v>
      </c>
      <c r="C3332" s="409" t="s">
        <v>215</v>
      </c>
      <c r="D3332" s="409"/>
      <c r="E3332" s="114">
        <f>I3309</f>
        <v>29</v>
      </c>
      <c r="F3332" s="83">
        <f>ROUND(E3332/I3309,2)</f>
        <v>1</v>
      </c>
      <c r="G3332" s="74" t="str">
        <f>IF(C3332=0,0,VLOOKUP(C3332,Tabla2[],2,FALSE))</f>
        <v>m²</v>
      </c>
      <c r="I3332" s="115">
        <f>IF(C3332=0,0,VLOOKUP(C3332,Tabla2[],3,FALSE))</f>
        <v>100</v>
      </c>
      <c r="K3332" s="84">
        <f>+F3332*I3332</f>
        <v>100</v>
      </c>
      <c r="L3332" s="116">
        <f>E3332*I3332</f>
        <v>2900</v>
      </c>
    </row>
    <row r="3333" spans="2:12" x14ac:dyDescent="0.3">
      <c r="B3333" s="120"/>
      <c r="C3333" s="409"/>
      <c r="D3333" s="409"/>
      <c r="E3333" s="114"/>
      <c r="F3333" s="83"/>
      <c r="G3333" s="74"/>
      <c r="I3333" s="115">
        <f>IF(C3333=0,0,VLOOKUP(C3333,Tabla2[],3,FALSE))</f>
        <v>0</v>
      </c>
      <c r="K3333" s="84">
        <f>+F3333*I3333</f>
        <v>0</v>
      </c>
      <c r="L3333" s="116">
        <f>E3333*I3333</f>
        <v>0</v>
      </c>
    </row>
    <row r="3334" spans="2:12" ht="17.25" thickBot="1" x14ac:dyDescent="0.35">
      <c r="B3334" s="121"/>
      <c r="C3334" s="417"/>
      <c r="D3334" s="418"/>
      <c r="E3334" s="122"/>
      <c r="F3334" s="123"/>
      <c r="G3334" s="74"/>
      <c r="I3334" s="115">
        <f>IF(C3334=0,0,VLOOKUP(C3334,Tabla2[],3,FALSE))</f>
        <v>0</v>
      </c>
      <c r="K3334" s="84">
        <f>+F3334*I3334</f>
        <v>0</v>
      </c>
      <c r="L3334" s="116">
        <f>E3334*I3334</f>
        <v>0</v>
      </c>
    </row>
    <row r="3335" spans="2:12" ht="17.25" thickBot="1" x14ac:dyDescent="0.35">
      <c r="B3335" s="419" t="s">
        <v>15</v>
      </c>
      <c r="C3335" s="420"/>
      <c r="D3335" s="420"/>
      <c r="E3335" s="420"/>
      <c r="F3335" s="420"/>
      <c r="G3335" s="421"/>
      <c r="I3335" s="115">
        <f>IF(C3335=0,0,VLOOKUP(C3335,Tabla2[],3,FALSE))</f>
        <v>0</v>
      </c>
      <c r="K3335" s="84">
        <v>0</v>
      </c>
      <c r="L3335" s="116">
        <f>E3335*I3335</f>
        <v>0</v>
      </c>
    </row>
    <row r="3336" spans="2:12" ht="17.25" thickBot="1" x14ac:dyDescent="0.35"/>
    <row r="3337" spans="2:12" ht="17.25" thickBot="1" x14ac:dyDescent="0.35">
      <c r="F3337" s="402" t="s">
        <v>16</v>
      </c>
      <c r="G3337" s="403"/>
      <c r="H3337" s="403"/>
      <c r="I3337" s="404"/>
      <c r="K3337" s="224">
        <f>+SUM(K3332:K3335)</f>
        <v>100</v>
      </c>
      <c r="L3337" s="117">
        <f>+SUM(L3332:L3335)</f>
        <v>2900</v>
      </c>
    </row>
    <row r="3338" spans="2:12" ht="17.25" thickBot="1" x14ac:dyDescent="0.35"/>
    <row r="3339" spans="2:12" ht="17.25" thickBot="1" x14ac:dyDescent="0.35">
      <c r="B3339" s="108" t="s">
        <v>17</v>
      </c>
      <c r="C3339" s="413" t="s">
        <v>18</v>
      </c>
      <c r="D3339" s="413"/>
      <c r="E3339" s="413"/>
      <c r="F3339" s="413"/>
      <c r="G3339" s="414"/>
    </row>
    <row r="3340" spans="2:12" x14ac:dyDescent="0.3">
      <c r="B3340" s="112" t="s">
        <v>6</v>
      </c>
      <c r="C3340" s="415" t="s">
        <v>1</v>
      </c>
      <c r="D3340" s="416"/>
      <c r="E3340" s="124"/>
      <c r="F3340" s="118" t="s">
        <v>2</v>
      </c>
      <c r="G3340" s="112" t="s">
        <v>3</v>
      </c>
      <c r="H3340" s="104"/>
      <c r="I3340" s="105" t="s">
        <v>7</v>
      </c>
      <c r="J3340" s="134"/>
      <c r="K3340" s="105" t="s">
        <v>8</v>
      </c>
      <c r="L3340" s="113" t="s">
        <v>193</v>
      </c>
    </row>
    <row r="3341" spans="2:12" x14ac:dyDescent="0.3">
      <c r="B3341" s="74"/>
      <c r="C3341" s="411"/>
      <c r="D3341" s="412"/>
      <c r="E3341" s="125"/>
      <c r="F3341" s="72"/>
      <c r="G3341" s="74"/>
      <c r="I3341" s="84">
        <v>0</v>
      </c>
      <c r="K3341" s="84">
        <f>+F3341*I3341</f>
        <v>0</v>
      </c>
      <c r="L3341" s="116">
        <f>E3341*I3341</f>
        <v>0</v>
      </c>
    </row>
    <row r="3342" spans="2:12" x14ac:dyDescent="0.3">
      <c r="B3342" s="74"/>
      <c r="C3342" s="411"/>
      <c r="D3342" s="412"/>
      <c r="E3342" s="125"/>
      <c r="F3342" s="72"/>
      <c r="G3342" s="74"/>
      <c r="I3342" s="84">
        <v>0</v>
      </c>
      <c r="K3342" s="84">
        <f>+F3342*I3342</f>
        <v>0</v>
      </c>
      <c r="L3342" s="116">
        <f>E3342*I3342</f>
        <v>0</v>
      </c>
    </row>
    <row r="3343" spans="2:12" x14ac:dyDescent="0.3">
      <c r="B3343" s="74"/>
      <c r="C3343" s="411"/>
      <c r="D3343" s="412"/>
      <c r="E3343" s="125"/>
      <c r="F3343" s="72"/>
      <c r="G3343" s="74"/>
      <c r="I3343" s="84">
        <v>0</v>
      </c>
      <c r="K3343" s="84">
        <f>+F3343*I3343</f>
        <v>0</v>
      </c>
      <c r="L3343" s="116">
        <f>E3343*I3343</f>
        <v>0</v>
      </c>
    </row>
    <row r="3344" spans="2:12" ht="17.25" thickBot="1" x14ac:dyDescent="0.35">
      <c r="L3344" s="116"/>
    </row>
    <row r="3345" spans="1:16" ht="17.25" thickBot="1" x14ac:dyDescent="0.35">
      <c r="F3345" s="402" t="s">
        <v>19</v>
      </c>
      <c r="G3345" s="403"/>
      <c r="H3345" s="403"/>
      <c r="I3345" s="404"/>
      <c r="K3345" s="224">
        <f>+SUM(K3341:K3343)</f>
        <v>0</v>
      </c>
      <c r="L3345" s="117">
        <f>+SUM(L3340:L3343)</f>
        <v>0</v>
      </c>
    </row>
    <row r="3346" spans="1:16" ht="15" customHeight="1" x14ac:dyDescent="0.3">
      <c r="F3346" s="126"/>
      <c r="G3346" s="280"/>
      <c r="H3346" s="128"/>
      <c r="I3346" s="106"/>
      <c r="K3346" s="225"/>
    </row>
    <row r="3347" spans="1:16" ht="15" customHeight="1" thickBot="1" x14ac:dyDescent="0.35"/>
    <row r="3348" spans="1:16" ht="17.25" thickBot="1" x14ac:dyDescent="0.35">
      <c r="F3348" s="402" t="s">
        <v>20</v>
      </c>
      <c r="G3348" s="403"/>
      <c r="H3348" s="403"/>
      <c r="I3348" s="404"/>
      <c r="K3348" s="224">
        <f>(+K3319+K3328+K3337+K3345)</f>
        <v>225</v>
      </c>
      <c r="L3348" s="117">
        <f>(+L3319+L3328+L3337+L3345)</f>
        <v>6525</v>
      </c>
      <c r="N3348" s="129"/>
      <c r="O3348" s="39"/>
      <c r="P3348" s="40"/>
    </row>
    <row r="3349" spans="1:16" ht="7.5" customHeight="1" thickBot="1" x14ac:dyDescent="0.35">
      <c r="N3349" s="129"/>
      <c r="O3349" s="41"/>
      <c r="P3349" s="40"/>
    </row>
    <row r="3350" spans="1:16" ht="17.25" thickBot="1" x14ac:dyDescent="0.35">
      <c r="F3350" s="402" t="s">
        <v>21</v>
      </c>
      <c r="G3350" s="403"/>
      <c r="H3350" s="403"/>
      <c r="I3350" s="404"/>
      <c r="K3350" s="224">
        <f>K3348*$N$2</f>
        <v>90</v>
      </c>
      <c r="L3350" s="117">
        <f>L3348*$N$2</f>
        <v>2610</v>
      </c>
    </row>
    <row r="3351" spans="1:16" ht="7.5" customHeight="1" thickBot="1" x14ac:dyDescent="0.35"/>
    <row r="3352" spans="1:16" ht="17.25" thickBot="1" x14ac:dyDescent="0.35">
      <c r="F3352" s="402" t="s">
        <v>22</v>
      </c>
      <c r="G3352" s="403"/>
      <c r="H3352" s="403"/>
      <c r="I3352" s="404"/>
      <c r="K3352" s="224">
        <f>+K3348+K3350</f>
        <v>315</v>
      </c>
      <c r="L3352" s="117">
        <f>+L3348+L3350</f>
        <v>9135</v>
      </c>
    </row>
    <row r="3353" spans="1:16" ht="17.25" thickBot="1" x14ac:dyDescent="0.35">
      <c r="F3353" s="126"/>
      <c r="G3353" s="280"/>
      <c r="H3353" s="128"/>
      <c r="I3353" s="106"/>
      <c r="K3353" s="226"/>
      <c r="L3353" s="130">
        <f>L3352/I3309</f>
        <v>315</v>
      </c>
      <c r="M3353" s="131">
        <f>(K3352-L3353)*I3309</f>
        <v>0</v>
      </c>
    </row>
    <row r="3354" spans="1:16" x14ac:dyDescent="0.3">
      <c r="F3354" s="126"/>
      <c r="G3354" s="280"/>
      <c r="H3354" s="128"/>
      <c r="I3354" s="106"/>
      <c r="K3354" s="227"/>
      <c r="L3354" s="129"/>
      <c r="M3354" s="132"/>
      <c r="N3354" s="133"/>
    </row>
    <row r="3355" spans="1:16" ht="17.25" thickBot="1" x14ac:dyDescent="0.35">
      <c r="B3355" s="405"/>
      <c r="C3355" s="405"/>
      <c r="D3355" s="405"/>
    </row>
    <row r="3356" spans="1:16" x14ac:dyDescent="0.3">
      <c r="B3356" s="406" t="s">
        <v>23</v>
      </c>
      <c r="C3356" s="406"/>
      <c r="D3356" s="406"/>
    </row>
    <row r="3357" spans="1:16" x14ac:dyDescent="0.3">
      <c r="B3357" s="281"/>
      <c r="C3357" s="281"/>
      <c r="D3357" s="281"/>
    </row>
    <row r="3359" spans="1:16" x14ac:dyDescent="0.3">
      <c r="B3359" s="103" t="s">
        <v>43</v>
      </c>
      <c r="C3359" s="104"/>
      <c r="D3359" s="422" t="s">
        <v>1</v>
      </c>
      <c r="E3359" s="422"/>
      <c r="F3359" s="422"/>
      <c r="G3359" s="422"/>
      <c r="H3359" s="104"/>
      <c r="I3359" s="105" t="s">
        <v>2</v>
      </c>
      <c r="J3359" s="134"/>
      <c r="K3359" s="105" t="s">
        <v>3</v>
      </c>
    </row>
    <row r="3360" spans="1:16" s="4" customFormat="1" ht="30.75" customHeight="1" x14ac:dyDescent="0.25">
      <c r="A3360" s="31"/>
      <c r="B3360" s="287">
        <f>CATALOGO!B112</f>
        <v>605.08000000000004</v>
      </c>
      <c r="C3360" s="71"/>
      <c r="D3360" s="437" t="str">
        <f>CATALOGO!C112</f>
        <v>PISO CERÁMICO ANTIDESLIZANTE</v>
      </c>
      <c r="E3360" s="437"/>
      <c r="F3360" s="437"/>
      <c r="G3360" s="437"/>
      <c r="H3360" s="71"/>
      <c r="I3360" s="287">
        <f>CATALOGO!D112</f>
        <v>8</v>
      </c>
      <c r="J3360" s="107"/>
      <c r="K3360" s="222" t="str">
        <f>CATALOGO!G112</f>
        <v>m²</v>
      </c>
      <c r="L3360" s="71"/>
      <c r="M3360" s="71"/>
      <c r="N3360" s="102"/>
      <c r="O3360" s="37"/>
      <c r="P3360" s="37"/>
    </row>
    <row r="3361" spans="2:16" ht="17.25" thickBot="1" x14ac:dyDescent="0.35"/>
    <row r="3362" spans="2:16" ht="17.25" thickBot="1" x14ac:dyDescent="0.35">
      <c r="B3362" s="108" t="s">
        <v>4</v>
      </c>
      <c r="C3362" s="413" t="s">
        <v>5</v>
      </c>
      <c r="D3362" s="413"/>
      <c r="E3362" s="413"/>
      <c r="F3362" s="413"/>
      <c r="G3362" s="414"/>
    </row>
    <row r="3363" spans="2:16" x14ac:dyDescent="0.25">
      <c r="B3363" s="109" t="s">
        <v>6</v>
      </c>
      <c r="C3363" s="424" t="s">
        <v>1</v>
      </c>
      <c r="D3363" s="425"/>
      <c r="E3363" s="110" t="s">
        <v>192</v>
      </c>
      <c r="F3363" s="111" t="s">
        <v>2</v>
      </c>
      <c r="G3363" s="112" t="s">
        <v>3</v>
      </c>
      <c r="H3363" s="104"/>
      <c r="I3363" s="105" t="s">
        <v>7</v>
      </c>
      <c r="J3363" s="134"/>
      <c r="K3363" s="223" t="s">
        <v>8</v>
      </c>
      <c r="L3363" s="113" t="s">
        <v>193</v>
      </c>
      <c r="O3363" s="438"/>
      <c r="P3363" s="438"/>
    </row>
    <row r="3364" spans="2:16" ht="16.5" customHeight="1" x14ac:dyDescent="0.25">
      <c r="B3364" s="120">
        <v>1</v>
      </c>
      <c r="C3364" s="428" t="s">
        <v>213</v>
      </c>
      <c r="D3364" s="429"/>
      <c r="E3364" s="114">
        <f>I3360*0.7</f>
        <v>5.6</v>
      </c>
      <c r="F3364" s="83">
        <f>ROUND(E3364/I3360,2)</f>
        <v>0.7</v>
      </c>
      <c r="G3364" s="74" t="str">
        <f>IF(C3364=0,0,VLOOKUP(C3364,Tabla1[],2,FALSE))</f>
        <v>Saco</v>
      </c>
      <c r="I3364" s="115">
        <f>IF(C3364=0,0,VLOOKUP(C3364,Tabla1[],3,FALSE))</f>
        <v>80</v>
      </c>
      <c r="K3364" s="84">
        <f>F3364*I3364</f>
        <v>56</v>
      </c>
      <c r="L3364" s="116">
        <f>E3364*I3364</f>
        <v>448</v>
      </c>
      <c r="O3364" s="44"/>
      <c r="P3364" s="45"/>
    </row>
    <row r="3365" spans="2:16" x14ac:dyDescent="0.25">
      <c r="B3365" s="120">
        <v>2</v>
      </c>
      <c r="C3365" s="430" t="s">
        <v>72</v>
      </c>
      <c r="D3365" s="429"/>
      <c r="E3365" s="114">
        <f>I3360*0.02</f>
        <v>0.16</v>
      </c>
      <c r="F3365" s="83">
        <f>ROUND(E3365/I3360,2)</f>
        <v>0.02</v>
      </c>
      <c r="G3365" s="74" t="str">
        <f>IF(C3365=0,0,VLOOKUP(C3365,Tabla1[],2,FALSE))</f>
        <v>m³</v>
      </c>
      <c r="I3365" s="115">
        <f>IF(C3365=0,0,VLOOKUP(C3365,Tabla1[],3,FALSE))</f>
        <v>250</v>
      </c>
      <c r="K3365" s="84">
        <f>+F3365*I3365</f>
        <v>5</v>
      </c>
      <c r="L3365" s="116">
        <f>E3365*I3365</f>
        <v>40</v>
      </c>
      <c r="O3365" s="44"/>
      <c r="P3365" s="47"/>
    </row>
    <row r="3366" spans="2:16" x14ac:dyDescent="0.3">
      <c r="B3366" s="120">
        <v>3</v>
      </c>
      <c r="C3366" s="430" t="s">
        <v>214</v>
      </c>
      <c r="D3366" s="429"/>
      <c r="E3366" s="114">
        <f>I3360*0.03</f>
        <v>0.24</v>
      </c>
      <c r="F3366" s="83">
        <f>ROUND(E3366/I3360,2)</f>
        <v>0.03</v>
      </c>
      <c r="G3366" s="74" t="str">
        <f>IF(C3366=0,0,VLOOKUP(C3366,Tabla1[],2,FALSE))</f>
        <v>Bolsa</v>
      </c>
      <c r="I3366" s="115">
        <f>IF(C3366=0,0,VLOOKUP(C3366,Tabla1[],3,FALSE))</f>
        <v>50</v>
      </c>
      <c r="K3366" s="84">
        <f>+F3366*I3366</f>
        <v>1.5</v>
      </c>
      <c r="L3366" s="116">
        <f>E3366*I3366</f>
        <v>12</v>
      </c>
      <c r="O3366" s="48"/>
      <c r="P3366" s="49"/>
    </row>
    <row r="3367" spans="2:16" ht="16.5" customHeight="1" x14ac:dyDescent="0.25">
      <c r="B3367" s="120">
        <v>4</v>
      </c>
      <c r="C3367" s="407" t="s">
        <v>599</v>
      </c>
      <c r="D3367" s="408"/>
      <c r="E3367" s="114">
        <f>I3360*0.7</f>
        <v>5.6</v>
      </c>
      <c r="F3367" s="83">
        <f>ROUND(E3367/I3360,2)</f>
        <v>0.7</v>
      </c>
      <c r="G3367" s="74" t="str">
        <f>IF(C3367=0,0,VLOOKUP(C3367,Tabla1[],2,FALSE))</f>
        <v>m²</v>
      </c>
      <c r="I3367" s="115">
        <f>IF(C3367=0,0,VLOOKUP(C3367,Tabla1[],3,FALSE))</f>
        <v>125</v>
      </c>
      <c r="K3367" s="84">
        <f>+F3367*I3367</f>
        <v>87.5</v>
      </c>
      <c r="L3367" s="116">
        <f>E3367*I3367</f>
        <v>700</v>
      </c>
      <c r="O3367" s="44"/>
      <c r="P3367" s="45"/>
    </row>
    <row r="3368" spans="2:16" x14ac:dyDescent="0.3">
      <c r="B3368" s="120"/>
      <c r="C3368" s="430"/>
      <c r="D3368" s="429"/>
      <c r="E3368" s="114"/>
      <c r="F3368" s="83"/>
      <c r="G3368" s="74"/>
      <c r="I3368" s="115">
        <f>IF(C3368=0,0,VLOOKUP(C3368,Tabla1[],3,FALSE))</f>
        <v>0</v>
      </c>
      <c r="K3368" s="84">
        <f>+F3368*I3368</f>
        <v>0</v>
      </c>
      <c r="L3368" s="116">
        <f>E3368*I3368</f>
        <v>0</v>
      </c>
      <c r="O3368" s="48"/>
      <c r="P3368" s="49"/>
    </row>
    <row r="3369" spans="2:16" ht="17.25" thickBot="1" x14ac:dyDescent="0.35"/>
    <row r="3370" spans="2:16" ht="17.25" thickBot="1" x14ac:dyDescent="0.3">
      <c r="F3370" s="402" t="s">
        <v>9</v>
      </c>
      <c r="G3370" s="403"/>
      <c r="H3370" s="403"/>
      <c r="I3370" s="404"/>
      <c r="K3370" s="224">
        <f>+SUM(K3364:K3368)</f>
        <v>150</v>
      </c>
      <c r="L3370" s="117">
        <f>+SUM(L3364:L3368)</f>
        <v>1200</v>
      </c>
      <c r="O3370" s="38"/>
      <c r="P3370" s="38"/>
    </row>
    <row r="3371" spans="2:16" ht="17.25" thickBot="1" x14ac:dyDescent="0.35">
      <c r="O3371" s="42"/>
      <c r="P3371" s="43"/>
    </row>
    <row r="3372" spans="2:16" ht="17.25" thickBot="1" x14ac:dyDescent="0.35">
      <c r="B3372" s="108" t="s">
        <v>10</v>
      </c>
      <c r="C3372" s="413" t="s">
        <v>11</v>
      </c>
      <c r="D3372" s="413"/>
      <c r="E3372" s="413"/>
      <c r="F3372" s="413"/>
      <c r="G3372" s="414"/>
    </row>
    <row r="3373" spans="2:16" x14ac:dyDescent="0.3">
      <c r="B3373" s="112" t="s">
        <v>6</v>
      </c>
      <c r="C3373" s="415" t="s">
        <v>1</v>
      </c>
      <c r="D3373" s="416"/>
      <c r="E3373" s="110" t="s">
        <v>192</v>
      </c>
      <c r="F3373" s="118" t="s">
        <v>2</v>
      </c>
      <c r="G3373" s="112" t="s">
        <v>3</v>
      </c>
      <c r="H3373" s="104"/>
      <c r="I3373" s="105" t="s">
        <v>7</v>
      </c>
      <c r="J3373" s="134"/>
      <c r="K3373" s="105" t="s">
        <v>8</v>
      </c>
      <c r="L3373" s="113" t="s">
        <v>193</v>
      </c>
    </row>
    <row r="3374" spans="2:16" x14ac:dyDescent="0.3">
      <c r="B3374" s="120"/>
      <c r="C3374" s="409"/>
      <c r="D3374" s="409"/>
      <c r="E3374" s="114"/>
      <c r="F3374" s="83"/>
      <c r="G3374" s="74"/>
      <c r="I3374" s="115">
        <f>IF(C3374=0,0,VLOOKUP(C3374,Tabla3[],3,FALSE))</f>
        <v>0</v>
      </c>
      <c r="K3374" s="84">
        <f>F3374*I3374</f>
        <v>0</v>
      </c>
      <c r="L3374" s="116">
        <f>E3374*I3374</f>
        <v>0</v>
      </c>
    </row>
    <row r="3375" spans="2:16" x14ac:dyDescent="0.3">
      <c r="B3375" s="74"/>
      <c r="C3375" s="431"/>
      <c r="D3375" s="432"/>
      <c r="E3375" s="119"/>
      <c r="F3375" s="72"/>
      <c r="G3375" s="74"/>
      <c r="I3375" s="115">
        <f>IF(C3375=0,0,VLOOKUP(C3375,Tabla3[],3,FALSE))</f>
        <v>0</v>
      </c>
      <c r="K3375" s="84">
        <f>+F3375*I3375</f>
        <v>0</v>
      </c>
      <c r="L3375" s="116">
        <f>E3375*I3375</f>
        <v>0</v>
      </c>
    </row>
    <row r="3376" spans="2:16" x14ac:dyDescent="0.3">
      <c r="B3376" s="74"/>
      <c r="C3376" s="431"/>
      <c r="D3376" s="432"/>
      <c r="E3376" s="119"/>
      <c r="F3376" s="72"/>
      <c r="G3376" s="74"/>
      <c r="I3376" s="115">
        <f>IF(C3376=0,0,VLOOKUP(C3376,Tabla3[],3,FALSE))</f>
        <v>0</v>
      </c>
      <c r="K3376" s="84">
        <f>+F3376*I3376</f>
        <v>0</v>
      </c>
      <c r="L3376" s="116">
        <f>E3376*I3376</f>
        <v>0</v>
      </c>
    </row>
    <row r="3377" spans="2:12" x14ac:dyDescent="0.3">
      <c r="B3377" s="74"/>
      <c r="C3377" s="411"/>
      <c r="D3377" s="412"/>
      <c r="E3377" s="119"/>
      <c r="F3377" s="72"/>
      <c r="G3377" s="74"/>
      <c r="I3377" s="115">
        <f>IF(C3377=0,0,VLOOKUP(C3377,Tabla3[],3,FALSE))</f>
        <v>0</v>
      </c>
      <c r="K3377" s="84">
        <f>+F3377*I3377</f>
        <v>0</v>
      </c>
      <c r="L3377" s="116">
        <f>E3377*I3377</f>
        <v>0</v>
      </c>
    </row>
    <row r="3378" spans="2:12" ht="17.25" thickBot="1" x14ac:dyDescent="0.35"/>
    <row r="3379" spans="2:12" ht="17.25" thickBot="1" x14ac:dyDescent="0.35">
      <c r="F3379" s="402" t="s">
        <v>12</v>
      </c>
      <c r="G3379" s="403"/>
      <c r="H3379" s="403"/>
      <c r="I3379" s="404"/>
      <c r="K3379" s="224">
        <f>+SUM(K3374:K3377)</f>
        <v>0</v>
      </c>
      <c r="L3379" s="117">
        <f>+SUM(L3374:L3377)</f>
        <v>0</v>
      </c>
    </row>
    <row r="3380" spans="2:12" ht="17.25" thickBot="1" x14ac:dyDescent="0.35"/>
    <row r="3381" spans="2:12" ht="17.25" thickBot="1" x14ac:dyDescent="0.35">
      <c r="B3381" s="108" t="s">
        <v>13</v>
      </c>
      <c r="C3381" s="413" t="s">
        <v>14</v>
      </c>
      <c r="D3381" s="413"/>
      <c r="E3381" s="413"/>
      <c r="F3381" s="413"/>
      <c r="G3381" s="414"/>
    </row>
    <row r="3382" spans="2:12" x14ac:dyDescent="0.3">
      <c r="B3382" s="112" t="s">
        <v>6</v>
      </c>
      <c r="C3382" s="415" t="s">
        <v>1</v>
      </c>
      <c r="D3382" s="416"/>
      <c r="E3382" s="110" t="s">
        <v>192</v>
      </c>
      <c r="F3382" s="118" t="s">
        <v>2</v>
      </c>
      <c r="G3382" s="112" t="s">
        <v>3</v>
      </c>
      <c r="H3382" s="104"/>
      <c r="I3382" s="105" t="s">
        <v>7</v>
      </c>
      <c r="J3382" s="134"/>
      <c r="K3382" s="105" t="s">
        <v>8</v>
      </c>
      <c r="L3382" s="113" t="s">
        <v>193</v>
      </c>
    </row>
    <row r="3383" spans="2:12" x14ac:dyDescent="0.3">
      <c r="B3383" s="120">
        <v>1</v>
      </c>
      <c r="C3383" s="409" t="s">
        <v>215</v>
      </c>
      <c r="D3383" s="409"/>
      <c r="E3383" s="114">
        <f>I3360</f>
        <v>8</v>
      </c>
      <c r="F3383" s="83">
        <f>ROUND(E3383/I3360,2)</f>
        <v>1</v>
      </c>
      <c r="G3383" s="74" t="str">
        <f>IF(C3383=0,0,VLOOKUP(C3383,Tabla2[],2,FALSE))</f>
        <v>m²</v>
      </c>
      <c r="I3383" s="115">
        <f>IF(C3383=0,0,VLOOKUP(C3383,Tabla2[],3,FALSE))</f>
        <v>100</v>
      </c>
      <c r="K3383" s="84">
        <f>+F3383*I3383</f>
        <v>100</v>
      </c>
      <c r="L3383" s="116">
        <f>E3383*I3383</f>
        <v>800</v>
      </c>
    </row>
    <row r="3384" spans="2:12" x14ac:dyDescent="0.3">
      <c r="B3384" s="120"/>
      <c r="C3384" s="409"/>
      <c r="D3384" s="409"/>
      <c r="E3384" s="114"/>
      <c r="F3384" s="83"/>
      <c r="G3384" s="74"/>
      <c r="I3384" s="115">
        <f>IF(C3384=0,0,VLOOKUP(C3384,Tabla2[],3,FALSE))</f>
        <v>0</v>
      </c>
      <c r="K3384" s="84">
        <f>+F3384*I3384</f>
        <v>0</v>
      </c>
      <c r="L3384" s="116">
        <f>E3384*I3384</f>
        <v>0</v>
      </c>
    </row>
    <row r="3385" spans="2:12" ht="17.25" thickBot="1" x14ac:dyDescent="0.35">
      <c r="B3385" s="121"/>
      <c r="C3385" s="417"/>
      <c r="D3385" s="418"/>
      <c r="E3385" s="122"/>
      <c r="F3385" s="123"/>
      <c r="G3385" s="74"/>
      <c r="I3385" s="115">
        <f>IF(C3385=0,0,VLOOKUP(C3385,Tabla2[],3,FALSE))</f>
        <v>0</v>
      </c>
      <c r="K3385" s="84">
        <f>+F3385*I3385</f>
        <v>0</v>
      </c>
      <c r="L3385" s="116">
        <f>E3385*I3385</f>
        <v>0</v>
      </c>
    </row>
    <row r="3386" spans="2:12" ht="17.25" thickBot="1" x14ac:dyDescent="0.35">
      <c r="B3386" s="419" t="s">
        <v>15</v>
      </c>
      <c r="C3386" s="420"/>
      <c r="D3386" s="420"/>
      <c r="E3386" s="420"/>
      <c r="F3386" s="420"/>
      <c r="G3386" s="421"/>
      <c r="I3386" s="115">
        <f>IF(C3386=0,0,VLOOKUP(C3386,Tabla2[],3,FALSE))</f>
        <v>0</v>
      </c>
      <c r="K3386" s="84">
        <v>0</v>
      </c>
      <c r="L3386" s="116">
        <f>E3386*I3386</f>
        <v>0</v>
      </c>
    </row>
    <row r="3387" spans="2:12" ht="17.25" thickBot="1" x14ac:dyDescent="0.35"/>
    <row r="3388" spans="2:12" ht="17.25" thickBot="1" x14ac:dyDescent="0.35">
      <c r="F3388" s="402" t="s">
        <v>16</v>
      </c>
      <c r="G3388" s="403"/>
      <c r="H3388" s="403"/>
      <c r="I3388" s="404"/>
      <c r="K3388" s="224">
        <f>+SUM(K3383:K3386)</f>
        <v>100</v>
      </c>
      <c r="L3388" s="117">
        <f>+SUM(L3383:L3386)</f>
        <v>800</v>
      </c>
    </row>
    <row r="3389" spans="2:12" ht="17.25" thickBot="1" x14ac:dyDescent="0.35"/>
    <row r="3390" spans="2:12" ht="17.25" thickBot="1" x14ac:dyDescent="0.35">
      <c r="B3390" s="108" t="s">
        <v>17</v>
      </c>
      <c r="C3390" s="413" t="s">
        <v>18</v>
      </c>
      <c r="D3390" s="413"/>
      <c r="E3390" s="413"/>
      <c r="F3390" s="413"/>
      <c r="G3390" s="414"/>
    </row>
    <row r="3391" spans="2:12" x14ac:dyDescent="0.3">
      <c r="B3391" s="112" t="s">
        <v>6</v>
      </c>
      <c r="C3391" s="415" t="s">
        <v>1</v>
      </c>
      <c r="D3391" s="416"/>
      <c r="E3391" s="124"/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2:12" x14ac:dyDescent="0.3">
      <c r="B3392" s="74"/>
      <c r="C3392" s="411"/>
      <c r="D3392" s="412"/>
      <c r="E3392" s="125"/>
      <c r="F3392" s="72"/>
      <c r="G3392" s="74"/>
      <c r="I3392" s="84">
        <v>0</v>
      </c>
      <c r="K3392" s="84">
        <f>+F3392*I3392</f>
        <v>0</v>
      </c>
      <c r="L3392" s="116">
        <f>E3392*I3392</f>
        <v>0</v>
      </c>
    </row>
    <row r="3393" spans="2:16" x14ac:dyDescent="0.3">
      <c r="B3393" s="74"/>
      <c r="C3393" s="411"/>
      <c r="D3393" s="412"/>
      <c r="E3393" s="125"/>
      <c r="F3393" s="72"/>
      <c r="G3393" s="74"/>
      <c r="I3393" s="84">
        <v>0</v>
      </c>
      <c r="K3393" s="84">
        <f>+F3393*I3393</f>
        <v>0</v>
      </c>
      <c r="L3393" s="116">
        <f>E3393*I3393</f>
        <v>0</v>
      </c>
    </row>
    <row r="3394" spans="2:16" x14ac:dyDescent="0.3">
      <c r="B3394" s="74"/>
      <c r="C3394" s="411"/>
      <c r="D3394" s="412"/>
      <c r="E3394" s="125"/>
      <c r="F3394" s="72"/>
      <c r="G3394" s="74"/>
      <c r="I3394" s="84">
        <v>0</v>
      </c>
      <c r="K3394" s="84">
        <f>+F3394*I3394</f>
        <v>0</v>
      </c>
      <c r="L3394" s="116">
        <f>E3394*I3394</f>
        <v>0</v>
      </c>
    </row>
    <row r="3395" spans="2:16" ht="17.25" thickBot="1" x14ac:dyDescent="0.35">
      <c r="L3395" s="116"/>
    </row>
    <row r="3396" spans="2:16" ht="17.25" thickBot="1" x14ac:dyDescent="0.35">
      <c r="F3396" s="402" t="s">
        <v>19</v>
      </c>
      <c r="G3396" s="403"/>
      <c r="H3396" s="403"/>
      <c r="I3396" s="404"/>
      <c r="K3396" s="224">
        <f>+SUM(K3392:K3394)</f>
        <v>0</v>
      </c>
      <c r="L3396" s="117">
        <f>+SUM(L3391:L3394)</f>
        <v>0</v>
      </c>
    </row>
    <row r="3397" spans="2:16" ht="15" customHeight="1" x14ac:dyDescent="0.3">
      <c r="F3397" s="126"/>
      <c r="G3397" s="280"/>
      <c r="H3397" s="128"/>
      <c r="I3397" s="106"/>
      <c r="K3397" s="225"/>
    </row>
    <row r="3398" spans="2:16" ht="15" customHeight="1" thickBot="1" x14ac:dyDescent="0.35"/>
    <row r="3399" spans="2:16" ht="17.25" thickBot="1" x14ac:dyDescent="0.35">
      <c r="F3399" s="402" t="s">
        <v>20</v>
      </c>
      <c r="G3399" s="403"/>
      <c r="H3399" s="403"/>
      <c r="I3399" s="404"/>
      <c r="K3399" s="224">
        <f>(+K3370+K3379+K3388+K3396)</f>
        <v>250</v>
      </c>
      <c r="L3399" s="117">
        <f>(+L3370+L3379+L3388+L3396)</f>
        <v>2000</v>
      </c>
      <c r="N3399" s="129"/>
      <c r="O3399" s="39"/>
      <c r="P3399" s="40"/>
    </row>
    <row r="3400" spans="2:16" ht="7.5" customHeight="1" thickBot="1" x14ac:dyDescent="0.35">
      <c r="N3400" s="129"/>
      <c r="O3400" s="41"/>
      <c r="P3400" s="40"/>
    </row>
    <row r="3401" spans="2:16" ht="17.25" thickBot="1" x14ac:dyDescent="0.35">
      <c r="F3401" s="402" t="s">
        <v>21</v>
      </c>
      <c r="G3401" s="403"/>
      <c r="H3401" s="403"/>
      <c r="I3401" s="404"/>
      <c r="K3401" s="224">
        <f>K3399*$N$2</f>
        <v>100</v>
      </c>
      <c r="L3401" s="117">
        <f>L3399*$N$2</f>
        <v>800</v>
      </c>
    </row>
    <row r="3402" spans="2:16" ht="7.5" customHeight="1" thickBot="1" x14ac:dyDescent="0.35"/>
    <row r="3403" spans="2:16" ht="17.25" thickBot="1" x14ac:dyDescent="0.35">
      <c r="F3403" s="402" t="s">
        <v>22</v>
      </c>
      <c r="G3403" s="403"/>
      <c r="H3403" s="403"/>
      <c r="I3403" s="404"/>
      <c r="K3403" s="224">
        <f>+K3399+K3401</f>
        <v>350</v>
      </c>
      <c r="L3403" s="117">
        <f>+L3399+L3401</f>
        <v>2800</v>
      </c>
    </row>
    <row r="3404" spans="2:16" ht="17.25" thickBot="1" x14ac:dyDescent="0.35">
      <c r="F3404" s="126"/>
      <c r="G3404" s="280"/>
      <c r="H3404" s="128"/>
      <c r="I3404" s="106"/>
      <c r="K3404" s="226"/>
      <c r="L3404" s="130">
        <f>L3403/I3360</f>
        <v>350</v>
      </c>
      <c r="M3404" s="131">
        <f>(K3403-L3404)*I3360</f>
        <v>0</v>
      </c>
    </row>
    <row r="3405" spans="2:16" x14ac:dyDescent="0.3">
      <c r="F3405" s="126"/>
      <c r="G3405" s="280"/>
      <c r="H3405" s="128"/>
      <c r="I3405" s="106"/>
      <c r="K3405" s="227"/>
      <c r="L3405" s="129"/>
      <c r="M3405" s="132"/>
      <c r="N3405" s="133"/>
    </row>
    <row r="3406" spans="2:16" ht="17.25" thickBot="1" x14ac:dyDescent="0.35">
      <c r="B3406" s="405"/>
      <c r="C3406" s="405"/>
      <c r="D3406" s="405"/>
    </row>
    <row r="3407" spans="2:16" x14ac:dyDescent="0.3">
      <c r="B3407" s="406" t="s">
        <v>23</v>
      </c>
      <c r="C3407" s="406"/>
      <c r="D3407" s="406"/>
    </row>
    <row r="3408" spans="2:16" x14ac:dyDescent="0.3">
      <c r="B3408" s="281"/>
      <c r="C3408" s="281"/>
      <c r="D3408" s="281"/>
    </row>
    <row r="3409" spans="1:16" x14ac:dyDescent="0.3">
      <c r="B3409" s="281"/>
      <c r="C3409" s="281"/>
      <c r="D3409" s="281"/>
    </row>
    <row r="3410" spans="1:16" x14ac:dyDescent="0.3">
      <c r="B3410" s="103" t="s">
        <v>43</v>
      </c>
      <c r="C3410" s="104"/>
      <c r="D3410" s="422" t="s">
        <v>1</v>
      </c>
      <c r="E3410" s="422"/>
      <c r="F3410" s="422"/>
      <c r="G3410" s="422"/>
      <c r="H3410" s="104"/>
      <c r="I3410" s="105" t="s">
        <v>2</v>
      </c>
      <c r="J3410" s="134"/>
      <c r="K3410" s="105" t="s">
        <v>3</v>
      </c>
    </row>
    <row r="3411" spans="1:16" s="4" customFormat="1" ht="30.75" customHeight="1" x14ac:dyDescent="0.25">
      <c r="A3411" s="31"/>
      <c r="B3411" s="287">
        <f>CATALOGO!B113</f>
        <v>611.01</v>
      </c>
      <c r="C3411" s="71"/>
      <c r="D3411" s="436" t="str">
        <f>CATALOGO!C113</f>
        <v>PINTURA DE MUROS</v>
      </c>
      <c r="E3411" s="436"/>
      <c r="F3411" s="436"/>
      <c r="G3411" s="436"/>
      <c r="H3411" s="71"/>
      <c r="I3411" s="287">
        <f>CATALOGO!D113</f>
        <v>130</v>
      </c>
      <c r="J3411" s="107"/>
      <c r="K3411" s="222" t="str">
        <f>CATALOGO!G113</f>
        <v>m²</v>
      </c>
      <c r="L3411" s="71"/>
      <c r="M3411" s="71"/>
      <c r="N3411" s="71"/>
      <c r="O3411" s="37"/>
      <c r="P3411" s="37"/>
    </row>
    <row r="3412" spans="1:16" ht="17.25" thickBot="1" x14ac:dyDescent="0.35"/>
    <row r="3413" spans="1:16" ht="17.25" thickBot="1" x14ac:dyDescent="0.35">
      <c r="B3413" s="108" t="s">
        <v>4</v>
      </c>
      <c r="C3413" s="413" t="s">
        <v>5</v>
      </c>
      <c r="D3413" s="413"/>
      <c r="E3413" s="413"/>
      <c r="F3413" s="413"/>
      <c r="G3413" s="414"/>
    </row>
    <row r="3414" spans="1:16" x14ac:dyDescent="0.25">
      <c r="B3414" s="109" t="s">
        <v>6</v>
      </c>
      <c r="C3414" s="424" t="s">
        <v>1</v>
      </c>
      <c r="D3414" s="425"/>
      <c r="E3414" s="110" t="s">
        <v>192</v>
      </c>
      <c r="F3414" s="111" t="s">
        <v>2</v>
      </c>
      <c r="G3414" s="112" t="s">
        <v>3</v>
      </c>
      <c r="H3414" s="104"/>
      <c r="I3414" s="105" t="s">
        <v>7</v>
      </c>
      <c r="J3414" s="134"/>
      <c r="K3414" s="223" t="s">
        <v>8</v>
      </c>
      <c r="L3414" s="113" t="s">
        <v>193</v>
      </c>
      <c r="O3414" s="438"/>
      <c r="P3414" s="438"/>
    </row>
    <row r="3415" spans="1:16" ht="17.25" customHeight="1" x14ac:dyDescent="0.25">
      <c r="B3415" s="120">
        <v>1</v>
      </c>
      <c r="C3415" s="428" t="s">
        <v>77</v>
      </c>
      <c r="D3415" s="429"/>
      <c r="E3415" s="114">
        <f>I3411*0.04</f>
        <v>5.2</v>
      </c>
      <c r="F3415" s="83">
        <f>ROUND(E3415/I3411,2)</f>
        <v>0.04</v>
      </c>
      <c r="G3415" s="74" t="str">
        <f>IF(C3415=0,0,VLOOKUP(C3415,Tabla1[],2,FALSE))</f>
        <v>Unidad</v>
      </c>
      <c r="I3415" s="115">
        <f>IF(C3415=0,0,VLOOKUP(C3415,Tabla1[],3,FALSE))</f>
        <v>25</v>
      </c>
      <c r="K3415" s="84">
        <f>F3415*I3415</f>
        <v>1</v>
      </c>
      <c r="L3415" s="116">
        <f t="shared" ref="L3415:L3424" si="92">E3415*I3415</f>
        <v>130</v>
      </c>
      <c r="O3415" s="44"/>
      <c r="P3415" s="45"/>
    </row>
    <row r="3416" spans="1:16" x14ac:dyDescent="0.3">
      <c r="B3416" s="120">
        <v>2</v>
      </c>
      <c r="C3416" s="428" t="s">
        <v>78</v>
      </c>
      <c r="D3416" s="429"/>
      <c r="E3416" s="114">
        <f>I3411*0.02</f>
        <v>2.6</v>
      </c>
      <c r="F3416" s="83">
        <f>ROUND(E3416/I3411,2)</f>
        <v>0.02</v>
      </c>
      <c r="G3416" s="74" t="str">
        <f>IF(C3416=0,0,VLOOKUP(C3416,Tabla1[],2,FALSE))</f>
        <v>Unidad</v>
      </c>
      <c r="I3416" s="115">
        <f>IF(C3416=0,0,VLOOKUP(C3416,Tabla1[],3,FALSE))</f>
        <v>50</v>
      </c>
      <c r="K3416" s="84">
        <f t="shared" ref="K3416:K3424" si="93">+F3416*I3416</f>
        <v>1</v>
      </c>
      <c r="L3416" s="116">
        <f t="shared" si="92"/>
        <v>130</v>
      </c>
      <c r="P3416" s="45"/>
    </row>
    <row r="3417" spans="1:16" x14ac:dyDescent="0.3">
      <c r="B3417" s="120">
        <v>3</v>
      </c>
      <c r="C3417" s="428" t="s">
        <v>219</v>
      </c>
      <c r="D3417" s="429"/>
      <c r="E3417" s="114">
        <f>I3411*0.01</f>
        <v>1.3</v>
      </c>
      <c r="F3417" s="83">
        <f>ROUND(E3417/I3411,2)</f>
        <v>0.01</v>
      </c>
      <c r="G3417" s="74" t="str">
        <f>IF(C3417=0,0,VLOOKUP(C3417,Tabla1[],2,FALSE))</f>
        <v>Cubeta</v>
      </c>
      <c r="I3417" s="115">
        <f>IF(C3417=0,0,VLOOKUP(C3417,Tabla1[],3,FALSE))</f>
        <v>1500</v>
      </c>
      <c r="K3417" s="84">
        <f t="shared" si="93"/>
        <v>15</v>
      </c>
      <c r="L3417" s="116">
        <f t="shared" si="92"/>
        <v>1950</v>
      </c>
      <c r="O3417" s="48"/>
      <c r="P3417" s="49"/>
    </row>
    <row r="3418" spans="1:16" x14ac:dyDescent="0.3">
      <c r="B3418" s="120">
        <v>4</v>
      </c>
      <c r="C3418" s="428" t="s">
        <v>220</v>
      </c>
      <c r="D3418" s="429"/>
      <c r="E3418" s="114">
        <f>I3411*0.02</f>
        <v>2.6</v>
      </c>
      <c r="F3418" s="83">
        <f>ROUND(E3418/I3411,2)</f>
        <v>0.02</v>
      </c>
      <c r="G3418" s="74" t="str">
        <f>IF(C3418=0,0,VLOOKUP(C3418,Tabla1[],2,FALSE))</f>
        <v>Unidad</v>
      </c>
      <c r="I3418" s="115">
        <f>IF(C3418=0,0,VLOOKUP(C3418,Tabla1[],3,FALSE))</f>
        <v>50</v>
      </c>
      <c r="K3418" s="84">
        <f t="shared" si="93"/>
        <v>1</v>
      </c>
      <c r="L3418" s="116">
        <f t="shared" si="92"/>
        <v>130</v>
      </c>
      <c r="O3418" s="48"/>
      <c r="P3418" s="49"/>
    </row>
    <row r="3419" spans="1:16" x14ac:dyDescent="0.3">
      <c r="B3419" s="120">
        <v>5</v>
      </c>
      <c r="C3419" s="428" t="s">
        <v>183</v>
      </c>
      <c r="D3419" s="429"/>
      <c r="E3419" s="114">
        <f>I3411*0.08</f>
        <v>10.4</v>
      </c>
      <c r="F3419" s="83">
        <f>ROUND(E3419/I3411,2)</f>
        <v>0.08</v>
      </c>
      <c r="G3419" s="74" t="str">
        <f>IF(C3419=0,0,VLOOKUP(C3419,Tabla1[],2,FALSE))</f>
        <v>Libra</v>
      </c>
      <c r="I3419" s="115">
        <f>IF(C3419=0,0,VLOOKUP(C3419,Tabla1[],3,FALSE))</f>
        <v>25</v>
      </c>
      <c r="K3419" s="84">
        <f t="shared" si="93"/>
        <v>2</v>
      </c>
      <c r="L3419" s="116">
        <f t="shared" si="92"/>
        <v>260</v>
      </c>
      <c r="O3419" s="48"/>
      <c r="P3419" s="49"/>
    </row>
    <row r="3420" spans="1:16" x14ac:dyDescent="0.3">
      <c r="B3420" s="120">
        <v>6</v>
      </c>
      <c r="C3420" s="429" t="s">
        <v>79</v>
      </c>
      <c r="D3420" s="409"/>
      <c r="E3420" s="114">
        <f>I3411*0.04</f>
        <v>5.2</v>
      </c>
      <c r="F3420" s="83">
        <f>ROUND(E3420/I3411,2)</f>
        <v>0.04</v>
      </c>
      <c r="G3420" s="74" t="str">
        <f>IF(C3420=0,0,VLOOKUP(C3420,Tabla1[],2,FALSE))</f>
        <v>Unidad</v>
      </c>
      <c r="I3420" s="115">
        <f>IF(C3420=0,0,VLOOKUP(C3420,Tabla1[],3,FALSE))</f>
        <v>100</v>
      </c>
      <c r="K3420" s="84">
        <f t="shared" si="93"/>
        <v>4</v>
      </c>
      <c r="L3420" s="116">
        <f t="shared" si="92"/>
        <v>520</v>
      </c>
      <c r="O3420" s="48"/>
      <c r="P3420" s="49"/>
    </row>
    <row r="3421" spans="1:16" x14ac:dyDescent="0.3">
      <c r="B3421" s="120">
        <v>7</v>
      </c>
      <c r="C3421" s="429" t="s">
        <v>222</v>
      </c>
      <c r="D3421" s="409"/>
      <c r="E3421" s="114">
        <f>I3411*0.02</f>
        <v>2.6</v>
      </c>
      <c r="F3421" s="83">
        <f>ROUND(E3421/I3411,2)</f>
        <v>0.02</v>
      </c>
      <c r="G3421" s="74" t="str">
        <f>IF(C3421=0,0,VLOOKUP(C3421,Tabla1[],2,FALSE))</f>
        <v>Unidad</v>
      </c>
      <c r="I3421" s="115">
        <f>IF(C3421=0,0,VLOOKUP(C3421,Tabla1[],3,FALSE))</f>
        <v>50</v>
      </c>
      <c r="K3421" s="84">
        <f t="shared" si="93"/>
        <v>1</v>
      </c>
      <c r="L3421" s="116">
        <f t="shared" si="92"/>
        <v>130</v>
      </c>
      <c r="O3421" s="48"/>
      <c r="P3421" s="49"/>
    </row>
    <row r="3422" spans="1:16" x14ac:dyDescent="0.3">
      <c r="B3422" s="120"/>
      <c r="C3422" s="428"/>
      <c r="D3422" s="429"/>
      <c r="E3422" s="114"/>
      <c r="F3422" s="83"/>
      <c r="G3422" s="74"/>
      <c r="I3422" s="115">
        <f>IF(C3422=0,0,VLOOKUP(C3422,Tabla1[],3,FALSE))</f>
        <v>0</v>
      </c>
      <c r="K3422" s="84">
        <f t="shared" si="93"/>
        <v>0</v>
      </c>
      <c r="L3422" s="116">
        <f t="shared" si="92"/>
        <v>0</v>
      </c>
      <c r="O3422" s="48"/>
      <c r="P3422" s="49"/>
    </row>
    <row r="3423" spans="1:16" x14ac:dyDescent="0.3">
      <c r="B3423" s="120"/>
      <c r="C3423" s="428"/>
      <c r="D3423" s="429"/>
      <c r="E3423" s="114"/>
      <c r="F3423" s="83"/>
      <c r="G3423" s="74"/>
      <c r="I3423" s="115">
        <f>IF(C3423=0,0,VLOOKUP(C3423,Tabla1[],3,FALSE))</f>
        <v>0</v>
      </c>
      <c r="K3423" s="84">
        <f t="shared" si="93"/>
        <v>0</v>
      </c>
      <c r="L3423" s="116">
        <f t="shared" si="92"/>
        <v>0</v>
      </c>
      <c r="O3423" s="48"/>
      <c r="P3423" s="49"/>
    </row>
    <row r="3424" spans="1:16" x14ac:dyDescent="0.3">
      <c r="B3424" s="120"/>
      <c r="C3424" s="430"/>
      <c r="D3424" s="429"/>
      <c r="E3424" s="114"/>
      <c r="F3424" s="83"/>
      <c r="G3424" s="74"/>
      <c r="I3424" s="115">
        <f>IF(C3424=0,0,VLOOKUP(C3424,Tabla1[],3,FALSE))</f>
        <v>0</v>
      </c>
      <c r="K3424" s="84">
        <f t="shared" si="93"/>
        <v>0</v>
      </c>
      <c r="L3424" s="116">
        <f t="shared" si="92"/>
        <v>0</v>
      </c>
      <c r="O3424" s="48"/>
      <c r="P3424" s="43"/>
    </row>
    <row r="3425" spans="2:16" ht="17.25" thickBot="1" x14ac:dyDescent="0.35"/>
    <row r="3426" spans="2:16" ht="17.25" thickBot="1" x14ac:dyDescent="0.3">
      <c r="F3426" s="402" t="s">
        <v>9</v>
      </c>
      <c r="G3426" s="403"/>
      <c r="H3426" s="403"/>
      <c r="I3426" s="404"/>
      <c r="K3426" s="224">
        <f>+SUM(K3415:K3424)</f>
        <v>25</v>
      </c>
      <c r="L3426" s="117">
        <f>+SUM(L3415:L3424)</f>
        <v>3250</v>
      </c>
      <c r="O3426" s="38"/>
      <c r="P3426" s="38"/>
    </row>
    <row r="3427" spans="2:16" ht="17.25" thickBot="1" x14ac:dyDescent="0.35">
      <c r="O3427" s="42"/>
      <c r="P3427" s="43"/>
    </row>
    <row r="3428" spans="2:16" ht="17.25" thickBot="1" x14ac:dyDescent="0.35">
      <c r="B3428" s="108" t="s">
        <v>10</v>
      </c>
      <c r="C3428" s="413" t="s">
        <v>11</v>
      </c>
      <c r="D3428" s="413"/>
      <c r="E3428" s="413"/>
      <c r="F3428" s="413"/>
      <c r="G3428" s="414"/>
    </row>
    <row r="3429" spans="2:16" x14ac:dyDescent="0.3">
      <c r="B3429" s="112" t="s">
        <v>6</v>
      </c>
      <c r="C3429" s="415" t="s">
        <v>1</v>
      </c>
      <c r="D3429" s="416"/>
      <c r="E3429" s="110" t="s">
        <v>192</v>
      </c>
      <c r="F3429" s="118" t="s">
        <v>2</v>
      </c>
      <c r="G3429" s="112" t="s">
        <v>3</v>
      </c>
      <c r="H3429" s="104"/>
      <c r="I3429" s="105" t="s">
        <v>7</v>
      </c>
      <c r="J3429" s="134"/>
      <c r="K3429" s="105" t="s">
        <v>8</v>
      </c>
      <c r="L3429" s="113" t="s">
        <v>193</v>
      </c>
    </row>
    <row r="3430" spans="2:16" x14ac:dyDescent="0.3">
      <c r="B3430" s="120"/>
      <c r="C3430" s="409"/>
      <c r="D3430" s="409"/>
      <c r="E3430" s="114"/>
      <c r="F3430" s="83"/>
      <c r="G3430" s="74"/>
      <c r="I3430" s="115">
        <f>IF(C3430=0,0,VLOOKUP(C3430,Tabla3[],3,FALSE))</f>
        <v>0</v>
      </c>
      <c r="K3430" s="84">
        <f>F3430*I3430</f>
        <v>0</v>
      </c>
      <c r="L3430" s="116">
        <f>E3430*I3430</f>
        <v>0</v>
      </c>
    </row>
    <row r="3431" spans="2:16" x14ac:dyDescent="0.3">
      <c r="B3431" s="74"/>
      <c r="C3431" s="431"/>
      <c r="D3431" s="432"/>
      <c r="E3431" s="119"/>
      <c r="F3431" s="72"/>
      <c r="G3431" s="74"/>
      <c r="I3431" s="115">
        <f>IF(C3431=0,0,VLOOKUP(C3431,Tabla3[],3,FALSE))</f>
        <v>0</v>
      </c>
      <c r="K3431" s="84">
        <f>+F3431*I3431</f>
        <v>0</v>
      </c>
      <c r="L3431" s="116">
        <f>E3431*I3431</f>
        <v>0</v>
      </c>
    </row>
    <row r="3432" spans="2:16" x14ac:dyDescent="0.3">
      <c r="B3432" s="74"/>
      <c r="C3432" s="431"/>
      <c r="D3432" s="432"/>
      <c r="E3432" s="119"/>
      <c r="F3432" s="72"/>
      <c r="G3432" s="74"/>
      <c r="I3432" s="115">
        <f>IF(C3432=0,0,VLOOKUP(C3432,Tabla3[],3,FALSE))</f>
        <v>0</v>
      </c>
      <c r="K3432" s="84">
        <f>+F3432*I3432</f>
        <v>0</v>
      </c>
      <c r="L3432" s="116">
        <f>E3432*I3432</f>
        <v>0</v>
      </c>
    </row>
    <row r="3433" spans="2:16" x14ac:dyDescent="0.3">
      <c r="B3433" s="74"/>
      <c r="C3433" s="411"/>
      <c r="D3433" s="412"/>
      <c r="E3433" s="119"/>
      <c r="F3433" s="72"/>
      <c r="G3433" s="74"/>
      <c r="I3433" s="115">
        <f>IF(C3433=0,0,VLOOKUP(C3433,Tabla3[],3,FALSE))</f>
        <v>0</v>
      </c>
      <c r="K3433" s="84">
        <f>+F3433*I3433</f>
        <v>0</v>
      </c>
      <c r="L3433" s="116">
        <f>E3433*I3433</f>
        <v>0</v>
      </c>
    </row>
    <row r="3434" spans="2:16" ht="17.25" thickBot="1" x14ac:dyDescent="0.35"/>
    <row r="3435" spans="2:16" ht="17.25" thickBot="1" x14ac:dyDescent="0.35">
      <c r="F3435" s="402" t="s">
        <v>12</v>
      </c>
      <c r="G3435" s="403"/>
      <c r="H3435" s="403"/>
      <c r="I3435" s="404"/>
      <c r="K3435" s="224">
        <f>+SUM(K3430:K3433)</f>
        <v>0</v>
      </c>
      <c r="L3435" s="117">
        <f>+SUM(L3430:L3433)</f>
        <v>0</v>
      </c>
    </row>
    <row r="3436" spans="2:16" ht="17.25" thickBot="1" x14ac:dyDescent="0.35"/>
    <row r="3437" spans="2:16" ht="17.25" thickBot="1" x14ac:dyDescent="0.35">
      <c r="B3437" s="108" t="s">
        <v>13</v>
      </c>
      <c r="C3437" s="413" t="s">
        <v>14</v>
      </c>
      <c r="D3437" s="413"/>
      <c r="E3437" s="413"/>
      <c r="F3437" s="413"/>
      <c r="G3437" s="414"/>
    </row>
    <row r="3438" spans="2:16" x14ac:dyDescent="0.3">
      <c r="B3438" s="112" t="s">
        <v>6</v>
      </c>
      <c r="C3438" s="415" t="s">
        <v>1</v>
      </c>
      <c r="D3438" s="416"/>
      <c r="E3438" s="110" t="s">
        <v>192</v>
      </c>
      <c r="F3438" s="118" t="s">
        <v>2</v>
      </c>
      <c r="G3438" s="112" t="s">
        <v>3</v>
      </c>
      <c r="H3438" s="104"/>
      <c r="I3438" s="105" t="s">
        <v>7</v>
      </c>
      <c r="J3438" s="134"/>
      <c r="K3438" s="105" t="s">
        <v>8</v>
      </c>
      <c r="L3438" s="113" t="s">
        <v>193</v>
      </c>
    </row>
    <row r="3439" spans="2:16" x14ac:dyDescent="0.3">
      <c r="B3439" s="120">
        <v>1</v>
      </c>
      <c r="C3439" s="409" t="s">
        <v>186</v>
      </c>
      <c r="D3439" s="409"/>
      <c r="E3439" s="114">
        <f>I3411</f>
        <v>130</v>
      </c>
      <c r="F3439" s="83">
        <f>ROUND(E3439/I3411,2)</f>
        <v>1</v>
      </c>
      <c r="G3439" s="74" t="str">
        <f>IF(C3439=0,0,VLOOKUP(C3439,Tabla2[],2,FALSE))</f>
        <v>m²</v>
      </c>
      <c r="I3439" s="115">
        <f>IF(C3439=0,0,VLOOKUP(C3439,Tabla2[],3,FALSE))</f>
        <v>10</v>
      </c>
      <c r="K3439" s="84">
        <f>+F3439*I3439</f>
        <v>10</v>
      </c>
      <c r="L3439" s="116">
        <f>E3439*I3439</f>
        <v>1300</v>
      </c>
    </row>
    <row r="3440" spans="2:16" x14ac:dyDescent="0.3">
      <c r="B3440" s="120"/>
      <c r="C3440" s="409"/>
      <c r="D3440" s="409"/>
      <c r="E3440" s="114"/>
      <c r="F3440" s="83"/>
      <c r="G3440" s="74"/>
      <c r="I3440" s="115">
        <f>IF(C3440=0,0,VLOOKUP(C3440,Tabla2[],3,FALSE))</f>
        <v>0</v>
      </c>
      <c r="K3440" s="84">
        <f>+F3440*I3440</f>
        <v>0</v>
      </c>
      <c r="L3440" s="116">
        <f>E3440*I3440</f>
        <v>0</v>
      </c>
    </row>
    <row r="3441" spans="2:16" ht="17.25" thickBot="1" x14ac:dyDescent="0.35">
      <c r="B3441" s="121"/>
      <c r="C3441" s="417"/>
      <c r="D3441" s="418"/>
      <c r="E3441" s="122"/>
      <c r="F3441" s="123"/>
      <c r="G3441" s="74"/>
      <c r="I3441" s="115">
        <f>IF(C3441=0,0,VLOOKUP(C3441,Tabla2[],3,FALSE))</f>
        <v>0</v>
      </c>
      <c r="K3441" s="84">
        <f>+F3441*I3441</f>
        <v>0</v>
      </c>
      <c r="L3441" s="116">
        <f>E3441*I3441</f>
        <v>0</v>
      </c>
    </row>
    <row r="3442" spans="2:16" ht="17.25" thickBot="1" x14ac:dyDescent="0.35">
      <c r="B3442" s="419" t="s">
        <v>15</v>
      </c>
      <c r="C3442" s="420"/>
      <c r="D3442" s="420"/>
      <c r="E3442" s="420"/>
      <c r="F3442" s="420"/>
      <c r="G3442" s="421"/>
      <c r="I3442" s="84">
        <v>0</v>
      </c>
      <c r="K3442" s="84">
        <v>0</v>
      </c>
      <c r="L3442" s="116">
        <f>E3442*I3442</f>
        <v>0</v>
      </c>
    </row>
    <row r="3443" spans="2:16" ht="17.25" thickBot="1" x14ac:dyDescent="0.35"/>
    <row r="3444" spans="2:16" ht="17.25" thickBot="1" x14ac:dyDescent="0.35">
      <c r="F3444" s="402" t="s">
        <v>16</v>
      </c>
      <c r="G3444" s="403"/>
      <c r="H3444" s="403"/>
      <c r="I3444" s="404"/>
      <c r="K3444" s="224">
        <f>+SUM(K3439:K3442)</f>
        <v>10</v>
      </c>
      <c r="L3444" s="117">
        <f>+SUM(L3439:L3442)</f>
        <v>1300</v>
      </c>
    </row>
    <row r="3445" spans="2:16" ht="17.25" thickBot="1" x14ac:dyDescent="0.35"/>
    <row r="3446" spans="2:16" ht="17.25" thickBot="1" x14ac:dyDescent="0.35">
      <c r="B3446" s="108" t="s">
        <v>17</v>
      </c>
      <c r="C3446" s="413" t="s">
        <v>18</v>
      </c>
      <c r="D3446" s="413"/>
      <c r="E3446" s="413"/>
      <c r="F3446" s="413"/>
      <c r="G3446" s="414"/>
    </row>
    <row r="3447" spans="2:16" x14ac:dyDescent="0.3">
      <c r="B3447" s="112" t="s">
        <v>6</v>
      </c>
      <c r="C3447" s="415" t="s">
        <v>1</v>
      </c>
      <c r="D3447" s="416"/>
      <c r="E3447" s="124"/>
      <c r="F3447" s="118" t="s">
        <v>2</v>
      </c>
      <c r="G3447" s="112" t="s">
        <v>3</v>
      </c>
      <c r="H3447" s="104"/>
      <c r="I3447" s="105" t="s">
        <v>7</v>
      </c>
      <c r="J3447" s="134"/>
      <c r="K3447" s="105" t="s">
        <v>8</v>
      </c>
      <c r="L3447" s="113" t="s">
        <v>193</v>
      </c>
    </row>
    <row r="3448" spans="2:16" x14ac:dyDescent="0.3">
      <c r="B3448" s="74"/>
      <c r="C3448" s="411"/>
      <c r="D3448" s="412"/>
      <c r="E3448" s="125"/>
      <c r="F3448" s="72"/>
      <c r="G3448" s="74"/>
      <c r="I3448" s="84"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411"/>
      <c r="D3449" s="412"/>
      <c r="E3449" s="125"/>
      <c r="F3449" s="72"/>
      <c r="G3449" s="74"/>
      <c r="I3449" s="84"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411"/>
      <c r="D3450" s="412"/>
      <c r="E3450" s="125"/>
      <c r="F3450" s="72"/>
      <c r="G3450" s="74"/>
      <c r="I3450" s="84"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>
      <c r="L3451" s="116"/>
    </row>
    <row r="3452" spans="2:16" ht="17.25" thickBot="1" x14ac:dyDescent="0.35">
      <c r="F3452" s="402" t="s">
        <v>19</v>
      </c>
      <c r="G3452" s="403"/>
      <c r="H3452" s="403"/>
      <c r="I3452" s="404"/>
      <c r="K3452" s="224">
        <f>+SUM(K3448:K3450)</f>
        <v>0</v>
      </c>
      <c r="L3452" s="117">
        <f>+SUM(L3447:L3450)</f>
        <v>0</v>
      </c>
    </row>
    <row r="3453" spans="2:16" ht="15" customHeight="1" x14ac:dyDescent="0.3">
      <c r="F3453" s="126"/>
      <c r="G3453" s="280"/>
      <c r="H3453" s="128"/>
      <c r="I3453" s="106"/>
      <c r="K3453" s="225"/>
    </row>
    <row r="3454" spans="2:16" ht="15" customHeight="1" thickBot="1" x14ac:dyDescent="0.35"/>
    <row r="3455" spans="2:16" ht="17.25" thickBot="1" x14ac:dyDescent="0.35">
      <c r="F3455" s="402" t="s">
        <v>20</v>
      </c>
      <c r="G3455" s="403"/>
      <c r="H3455" s="403"/>
      <c r="I3455" s="404"/>
      <c r="K3455" s="224">
        <f>(+K3426+K3435+K3444+K3452)</f>
        <v>35</v>
      </c>
      <c r="L3455" s="117">
        <f>(+L3426+L3435+L3444+L3452)</f>
        <v>4550</v>
      </c>
      <c r="N3455" s="129"/>
      <c r="O3455" s="39"/>
      <c r="P3455" s="40"/>
    </row>
    <row r="3456" spans="2:16" ht="7.5" customHeight="1" thickBot="1" x14ac:dyDescent="0.35">
      <c r="N3456" s="129"/>
      <c r="O3456" s="41"/>
      <c r="P3456" s="40"/>
    </row>
    <row r="3457" spans="1:16" ht="17.25" thickBot="1" x14ac:dyDescent="0.35">
      <c r="F3457" s="402" t="s">
        <v>21</v>
      </c>
      <c r="G3457" s="403"/>
      <c r="H3457" s="403"/>
      <c r="I3457" s="404"/>
      <c r="K3457" s="224">
        <f>K3455*$N$2</f>
        <v>14</v>
      </c>
      <c r="L3457" s="117">
        <f>L3455*$N$2</f>
        <v>1820</v>
      </c>
    </row>
    <row r="3458" spans="1:16" ht="7.5" customHeight="1" thickBot="1" x14ac:dyDescent="0.35"/>
    <row r="3459" spans="1:16" ht="17.25" thickBot="1" x14ac:dyDescent="0.35">
      <c r="F3459" s="402" t="s">
        <v>22</v>
      </c>
      <c r="G3459" s="403"/>
      <c r="H3459" s="403"/>
      <c r="I3459" s="404"/>
      <c r="K3459" s="224">
        <f>+K3455+K3457</f>
        <v>49</v>
      </c>
      <c r="L3459" s="117">
        <f>+L3455+L3457</f>
        <v>6370</v>
      </c>
    </row>
    <row r="3460" spans="1:16" ht="17.25" thickBot="1" x14ac:dyDescent="0.35">
      <c r="F3460" s="126"/>
      <c r="G3460" s="280"/>
      <c r="H3460" s="128"/>
      <c r="I3460" s="106"/>
      <c r="K3460" s="226"/>
      <c r="L3460" s="130">
        <f>L3459/I3411</f>
        <v>49</v>
      </c>
      <c r="M3460" s="131">
        <f>(K3459-L3460)*I3411</f>
        <v>0</v>
      </c>
    </row>
    <row r="3461" spans="1:16" x14ac:dyDescent="0.3">
      <c r="F3461" s="126"/>
      <c r="G3461" s="280"/>
      <c r="H3461" s="128"/>
      <c r="I3461" s="106"/>
      <c r="K3461" s="227"/>
      <c r="L3461" s="129"/>
      <c r="M3461" s="132"/>
      <c r="N3461" s="133"/>
    </row>
    <row r="3462" spans="1:16" ht="17.25" thickBot="1" x14ac:dyDescent="0.35">
      <c r="B3462" s="405"/>
      <c r="C3462" s="405"/>
      <c r="D3462" s="405"/>
    </row>
    <row r="3463" spans="1:16" x14ac:dyDescent="0.3">
      <c r="B3463" s="406" t="s">
        <v>23</v>
      </c>
      <c r="C3463" s="406"/>
      <c r="D3463" s="406"/>
    </row>
    <row r="3464" spans="1:16" x14ac:dyDescent="0.3">
      <c r="B3464" s="281"/>
      <c r="C3464" s="281"/>
      <c r="D3464" s="281"/>
    </row>
    <row r="3465" spans="1:16" x14ac:dyDescent="0.3">
      <c r="B3465" s="281"/>
      <c r="C3465" s="281"/>
      <c r="D3465" s="281"/>
    </row>
    <row r="3466" spans="1:16" x14ac:dyDescent="0.3">
      <c r="B3466" s="103" t="s">
        <v>43</v>
      </c>
      <c r="C3466" s="104"/>
      <c r="D3466" s="422" t="s">
        <v>1</v>
      </c>
      <c r="E3466" s="422"/>
      <c r="F3466" s="422"/>
      <c r="G3466" s="422"/>
      <c r="H3466" s="104"/>
      <c r="I3466" s="105" t="s">
        <v>2</v>
      </c>
      <c r="J3466" s="134"/>
      <c r="K3466" s="105" t="s">
        <v>3</v>
      </c>
    </row>
    <row r="3467" spans="1:16" s="4" customFormat="1" ht="30.75" customHeight="1" x14ac:dyDescent="0.25">
      <c r="A3467" s="31"/>
      <c r="B3467" s="287">
        <f>CATALOGO!B115</f>
        <v>701.02</v>
      </c>
      <c r="C3467" s="71"/>
      <c r="D3467" s="436" t="str">
        <f>CATALOGO!C115</f>
        <v>PUERTA METAL + CHAPA (1 hoja)</v>
      </c>
      <c r="E3467" s="436"/>
      <c r="F3467" s="436"/>
      <c r="G3467" s="436"/>
      <c r="H3467" s="71"/>
      <c r="I3467" s="287">
        <f>CATALOGO!D115</f>
        <v>3</v>
      </c>
      <c r="J3467" s="107"/>
      <c r="K3467" s="222" t="str">
        <f>CATALOGO!G115</f>
        <v>Unidad</v>
      </c>
      <c r="L3467" s="71"/>
      <c r="M3467" s="71"/>
      <c r="N3467" s="71"/>
      <c r="O3467" s="37"/>
      <c r="P3467" s="37"/>
    </row>
    <row r="3468" spans="1:16" ht="17.25" thickBot="1" x14ac:dyDescent="0.35"/>
    <row r="3469" spans="1:16" ht="17.25" thickBot="1" x14ac:dyDescent="0.35">
      <c r="B3469" s="108" t="s">
        <v>4</v>
      </c>
      <c r="C3469" s="413" t="s">
        <v>5</v>
      </c>
      <c r="D3469" s="413"/>
      <c r="E3469" s="413"/>
      <c r="F3469" s="413"/>
      <c r="G3469" s="414"/>
    </row>
    <row r="3470" spans="1:16" x14ac:dyDescent="0.25">
      <c r="B3470" s="109" t="s">
        <v>6</v>
      </c>
      <c r="C3470" s="424" t="s">
        <v>1</v>
      </c>
      <c r="D3470" s="425"/>
      <c r="E3470" s="110" t="s">
        <v>192</v>
      </c>
      <c r="F3470" s="111" t="s">
        <v>2</v>
      </c>
      <c r="G3470" s="112" t="s">
        <v>3</v>
      </c>
      <c r="H3470" s="104"/>
      <c r="I3470" s="105" t="s">
        <v>7</v>
      </c>
      <c r="J3470" s="134"/>
      <c r="K3470" s="223" t="s">
        <v>8</v>
      </c>
      <c r="L3470" s="113" t="s">
        <v>193</v>
      </c>
      <c r="O3470" s="438"/>
      <c r="P3470" s="438"/>
    </row>
    <row r="3471" spans="1:16" ht="17.25" customHeight="1" x14ac:dyDescent="0.25">
      <c r="B3471" s="120"/>
      <c r="C3471" s="428"/>
      <c r="D3471" s="429"/>
      <c r="E3471" s="114"/>
      <c r="F3471" s="83"/>
      <c r="G3471" s="74"/>
      <c r="I3471" s="115">
        <f>IF(C3471=0,0,VLOOKUP(C3471,Tabla1[],3,FALSE))</f>
        <v>0</v>
      </c>
      <c r="K3471" s="84">
        <f>F3471*I3471</f>
        <v>0</v>
      </c>
      <c r="L3471" s="116">
        <f t="shared" ref="L3471:L3480" si="94">E3471*I3471</f>
        <v>0</v>
      </c>
      <c r="O3471" s="44"/>
      <c r="P3471" s="45"/>
    </row>
    <row r="3472" spans="1:16" x14ac:dyDescent="0.3">
      <c r="B3472" s="120"/>
      <c r="C3472" s="428"/>
      <c r="D3472" s="429"/>
      <c r="E3472" s="114"/>
      <c r="F3472" s="83"/>
      <c r="G3472" s="74"/>
      <c r="I3472" s="115">
        <f>IF(C3472=0,0,VLOOKUP(C3472,Tabla1[],3,FALSE))</f>
        <v>0</v>
      </c>
      <c r="K3472" s="84">
        <f t="shared" ref="K3472:K3480" si="95">+F3472*I3472</f>
        <v>0</v>
      </c>
      <c r="L3472" s="116">
        <f t="shared" si="94"/>
        <v>0</v>
      </c>
      <c r="P3472" s="45"/>
    </row>
    <row r="3473" spans="2:16" x14ac:dyDescent="0.3">
      <c r="B3473" s="120"/>
      <c r="C3473" s="428"/>
      <c r="D3473" s="429"/>
      <c r="E3473" s="114"/>
      <c r="F3473" s="83"/>
      <c r="G3473" s="74"/>
      <c r="I3473" s="115">
        <f>IF(C3473=0,0,VLOOKUP(C3473,Tabla1[],3,FALSE))</f>
        <v>0</v>
      </c>
      <c r="K3473" s="84">
        <f t="shared" si="95"/>
        <v>0</v>
      </c>
      <c r="L3473" s="116">
        <f t="shared" si="94"/>
        <v>0</v>
      </c>
      <c r="O3473" s="48"/>
      <c r="P3473" s="49"/>
    </row>
    <row r="3474" spans="2:16" x14ac:dyDescent="0.3">
      <c r="B3474" s="120"/>
      <c r="C3474" s="428"/>
      <c r="D3474" s="429"/>
      <c r="E3474" s="114"/>
      <c r="F3474" s="83"/>
      <c r="G3474" s="74"/>
      <c r="I3474" s="115">
        <f>IF(C3474=0,0,VLOOKUP(C3474,Tabla1[],3,FALSE))</f>
        <v>0</v>
      </c>
      <c r="K3474" s="84">
        <f t="shared" si="95"/>
        <v>0</v>
      </c>
      <c r="L3474" s="116">
        <f t="shared" si="94"/>
        <v>0</v>
      </c>
      <c r="O3474" s="48"/>
      <c r="P3474" s="49"/>
    </row>
    <row r="3475" spans="2:16" x14ac:dyDescent="0.3">
      <c r="B3475" s="120"/>
      <c r="C3475" s="428"/>
      <c r="D3475" s="429"/>
      <c r="E3475" s="114"/>
      <c r="F3475" s="83"/>
      <c r="G3475" s="74"/>
      <c r="I3475" s="115">
        <f>IF(C3475=0,0,VLOOKUP(C3475,Tabla1[],3,FALSE))</f>
        <v>0</v>
      </c>
      <c r="K3475" s="84">
        <f t="shared" si="95"/>
        <v>0</v>
      </c>
      <c r="L3475" s="116">
        <f t="shared" si="94"/>
        <v>0</v>
      </c>
      <c r="O3475" s="48"/>
      <c r="P3475" s="49"/>
    </row>
    <row r="3476" spans="2:16" x14ac:dyDescent="0.3">
      <c r="B3476" s="120"/>
      <c r="C3476" s="429"/>
      <c r="D3476" s="409"/>
      <c r="E3476" s="114"/>
      <c r="F3476" s="83"/>
      <c r="G3476" s="74"/>
      <c r="I3476" s="115">
        <f>IF(C3476=0,0,VLOOKUP(C3476,Tabla1[],3,FALSE))</f>
        <v>0</v>
      </c>
      <c r="K3476" s="84">
        <f t="shared" si="95"/>
        <v>0</v>
      </c>
      <c r="L3476" s="116">
        <f t="shared" si="94"/>
        <v>0</v>
      </c>
      <c r="O3476" s="48"/>
      <c r="P3476" s="49"/>
    </row>
    <row r="3477" spans="2:16" x14ac:dyDescent="0.3">
      <c r="B3477" s="120"/>
      <c r="C3477" s="429"/>
      <c r="D3477" s="409"/>
      <c r="E3477" s="114"/>
      <c r="F3477" s="83"/>
      <c r="G3477" s="74"/>
      <c r="I3477" s="115">
        <f>IF(C3477=0,0,VLOOKUP(C3477,Tabla1[],3,FALSE))</f>
        <v>0</v>
      </c>
      <c r="K3477" s="84">
        <f t="shared" si="95"/>
        <v>0</v>
      </c>
      <c r="L3477" s="116">
        <f t="shared" si="94"/>
        <v>0</v>
      </c>
      <c r="O3477" s="48"/>
      <c r="P3477" s="49"/>
    </row>
    <row r="3478" spans="2:16" x14ac:dyDescent="0.3">
      <c r="B3478" s="120"/>
      <c r="C3478" s="428"/>
      <c r="D3478" s="429"/>
      <c r="E3478" s="114"/>
      <c r="F3478" s="83"/>
      <c r="G3478" s="74"/>
      <c r="I3478" s="115">
        <f>IF(C3478=0,0,VLOOKUP(C3478,Tabla1[],3,FALSE))</f>
        <v>0</v>
      </c>
      <c r="K3478" s="84">
        <f t="shared" si="95"/>
        <v>0</v>
      </c>
      <c r="L3478" s="116">
        <f t="shared" si="94"/>
        <v>0</v>
      </c>
      <c r="O3478" s="48"/>
      <c r="P3478" s="49"/>
    </row>
    <row r="3479" spans="2:16" x14ac:dyDescent="0.3">
      <c r="B3479" s="120"/>
      <c r="C3479" s="428"/>
      <c r="D3479" s="429"/>
      <c r="E3479" s="114"/>
      <c r="F3479" s="83"/>
      <c r="G3479" s="74"/>
      <c r="I3479" s="115">
        <f>IF(C3479=0,0,VLOOKUP(C3479,Tabla1[],3,FALSE))</f>
        <v>0</v>
      </c>
      <c r="K3479" s="84">
        <f t="shared" si="95"/>
        <v>0</v>
      </c>
      <c r="L3479" s="116">
        <f t="shared" si="94"/>
        <v>0</v>
      </c>
      <c r="O3479" s="48"/>
      <c r="P3479" s="49"/>
    </row>
    <row r="3480" spans="2:16" x14ac:dyDescent="0.3">
      <c r="B3480" s="120"/>
      <c r="C3480" s="430"/>
      <c r="D3480" s="429"/>
      <c r="E3480" s="114"/>
      <c r="F3480" s="83"/>
      <c r="G3480" s="74"/>
      <c r="I3480" s="115">
        <f>IF(C3480=0,0,VLOOKUP(C3480,Tabla1[],3,FALSE))</f>
        <v>0</v>
      </c>
      <c r="K3480" s="84">
        <f t="shared" si="95"/>
        <v>0</v>
      </c>
      <c r="L3480" s="116">
        <f t="shared" si="94"/>
        <v>0</v>
      </c>
      <c r="O3480" s="48"/>
      <c r="P3480" s="43"/>
    </row>
    <row r="3481" spans="2:16" ht="17.25" thickBot="1" x14ac:dyDescent="0.35"/>
    <row r="3482" spans="2:16" ht="17.25" thickBot="1" x14ac:dyDescent="0.3">
      <c r="F3482" s="402" t="s">
        <v>9</v>
      </c>
      <c r="G3482" s="403"/>
      <c r="H3482" s="403"/>
      <c r="I3482" s="404"/>
      <c r="K3482" s="224">
        <f>+SUM(K3471:K3480)</f>
        <v>0</v>
      </c>
      <c r="L3482" s="117">
        <f>+SUM(L3471:L3480)</f>
        <v>0</v>
      </c>
      <c r="O3482" s="38"/>
      <c r="P3482" s="38"/>
    </row>
    <row r="3483" spans="2:16" ht="17.25" thickBot="1" x14ac:dyDescent="0.35">
      <c r="O3483" s="42"/>
      <c r="P3483" s="43"/>
    </row>
    <row r="3484" spans="2:16" ht="17.25" thickBot="1" x14ac:dyDescent="0.35">
      <c r="B3484" s="108" t="s">
        <v>10</v>
      </c>
      <c r="C3484" s="413" t="s">
        <v>11</v>
      </c>
      <c r="D3484" s="413"/>
      <c r="E3484" s="413"/>
      <c r="F3484" s="413"/>
      <c r="G3484" s="414"/>
    </row>
    <row r="3485" spans="2:16" x14ac:dyDescent="0.3">
      <c r="B3485" s="112" t="s">
        <v>6</v>
      </c>
      <c r="C3485" s="415" t="s">
        <v>1</v>
      </c>
      <c r="D3485" s="416"/>
      <c r="E3485" s="110" t="s">
        <v>192</v>
      </c>
      <c r="F3485" s="118" t="s">
        <v>2</v>
      </c>
      <c r="G3485" s="112" t="s">
        <v>3</v>
      </c>
      <c r="H3485" s="104"/>
      <c r="I3485" s="105" t="s">
        <v>7</v>
      </c>
      <c r="J3485" s="134"/>
      <c r="K3485" s="105" t="s">
        <v>8</v>
      </c>
      <c r="L3485" s="113" t="s">
        <v>193</v>
      </c>
    </row>
    <row r="3486" spans="2:16" x14ac:dyDescent="0.3">
      <c r="B3486" s="120"/>
      <c r="C3486" s="409"/>
      <c r="D3486" s="409"/>
      <c r="E3486" s="114"/>
      <c r="F3486" s="83"/>
      <c r="G3486" s="74"/>
      <c r="I3486" s="115">
        <f>IF(C3486=0,0,VLOOKUP(C3486,Tabla3[],3,FALSE))</f>
        <v>0</v>
      </c>
      <c r="K3486" s="84">
        <f>F3486*I3486</f>
        <v>0</v>
      </c>
      <c r="L3486" s="116">
        <f>E3486*I3486</f>
        <v>0</v>
      </c>
    </row>
    <row r="3487" spans="2:16" x14ac:dyDescent="0.3">
      <c r="B3487" s="74"/>
      <c r="C3487" s="431"/>
      <c r="D3487" s="432"/>
      <c r="E3487" s="119"/>
      <c r="F3487" s="72"/>
      <c r="G3487" s="74"/>
      <c r="I3487" s="115">
        <f>IF(C3487=0,0,VLOOKUP(C3487,Tabla3[],3,FALSE))</f>
        <v>0</v>
      </c>
      <c r="K3487" s="84">
        <f>+F3487*I3487</f>
        <v>0</v>
      </c>
      <c r="L3487" s="116">
        <f>E3487*I3487</f>
        <v>0</v>
      </c>
    </row>
    <row r="3488" spans="2:16" x14ac:dyDescent="0.3">
      <c r="B3488" s="74"/>
      <c r="C3488" s="431"/>
      <c r="D3488" s="432"/>
      <c r="E3488" s="119"/>
      <c r="F3488" s="72"/>
      <c r="G3488" s="74"/>
      <c r="I3488" s="115">
        <f>IF(C3488=0,0,VLOOKUP(C3488,Tabla3[],3,FALSE))</f>
        <v>0</v>
      </c>
      <c r="K3488" s="84">
        <f>+F3488*I3488</f>
        <v>0</v>
      </c>
      <c r="L3488" s="116">
        <f>E3488*I3488</f>
        <v>0</v>
      </c>
    </row>
    <row r="3489" spans="2:12" x14ac:dyDescent="0.3">
      <c r="B3489" s="74"/>
      <c r="C3489" s="411"/>
      <c r="D3489" s="412"/>
      <c r="E3489" s="119"/>
      <c r="F3489" s="72"/>
      <c r="G3489" s="74"/>
      <c r="I3489" s="115">
        <f>IF(C3489=0,0,VLOOKUP(C3489,Tabla3[],3,FALSE))</f>
        <v>0</v>
      </c>
      <c r="K3489" s="84">
        <f>+F3489*I3489</f>
        <v>0</v>
      </c>
      <c r="L3489" s="116">
        <f>E3489*I3489</f>
        <v>0</v>
      </c>
    </row>
    <row r="3490" spans="2:12" ht="17.25" thickBot="1" x14ac:dyDescent="0.35"/>
    <row r="3491" spans="2:12" ht="17.25" thickBot="1" x14ac:dyDescent="0.35">
      <c r="F3491" s="402" t="s">
        <v>12</v>
      </c>
      <c r="G3491" s="403"/>
      <c r="H3491" s="403"/>
      <c r="I3491" s="404"/>
      <c r="K3491" s="224">
        <f>+SUM(K3486:K3489)</f>
        <v>0</v>
      </c>
      <c r="L3491" s="117">
        <f>+SUM(L3486:L3489)</f>
        <v>0</v>
      </c>
    </row>
    <row r="3492" spans="2:12" ht="17.25" thickBot="1" x14ac:dyDescent="0.35"/>
    <row r="3493" spans="2:12" ht="17.25" thickBot="1" x14ac:dyDescent="0.35">
      <c r="B3493" s="108" t="s">
        <v>13</v>
      </c>
      <c r="C3493" s="413" t="s">
        <v>14</v>
      </c>
      <c r="D3493" s="413"/>
      <c r="E3493" s="413"/>
      <c r="F3493" s="413"/>
      <c r="G3493" s="414"/>
    </row>
    <row r="3494" spans="2:12" x14ac:dyDescent="0.3">
      <c r="B3494" s="112" t="s">
        <v>6</v>
      </c>
      <c r="C3494" s="415" t="s">
        <v>1</v>
      </c>
      <c r="D3494" s="416"/>
      <c r="E3494" s="110" t="s">
        <v>192</v>
      </c>
      <c r="F3494" s="118" t="s">
        <v>2</v>
      </c>
      <c r="G3494" s="112" t="s">
        <v>3</v>
      </c>
      <c r="H3494" s="104"/>
      <c r="I3494" s="105" t="s">
        <v>7</v>
      </c>
      <c r="J3494" s="134"/>
      <c r="K3494" s="105" t="s">
        <v>8</v>
      </c>
      <c r="L3494" s="113" t="s">
        <v>193</v>
      </c>
    </row>
    <row r="3495" spans="2:12" x14ac:dyDescent="0.3">
      <c r="B3495" s="120">
        <v>1</v>
      </c>
      <c r="C3495" s="434" t="s">
        <v>223</v>
      </c>
      <c r="D3495" s="434"/>
      <c r="E3495" s="114">
        <f>I3467</f>
        <v>3</v>
      </c>
      <c r="F3495" s="83">
        <f>ROUND(E3495/I3467,2)</f>
        <v>1</v>
      </c>
      <c r="G3495" s="74" t="str">
        <f>IF(C3495=0,0,VLOOKUP(C3495,Tabla2[],2,FALSE))</f>
        <v>Unidad</v>
      </c>
      <c r="I3495" s="115">
        <f>IF(C3495=0,0,VLOOKUP(C3495,Tabla2[],3,FALSE))</f>
        <v>1845</v>
      </c>
      <c r="K3495" s="84">
        <f>+F3495*I3495</f>
        <v>1845</v>
      </c>
      <c r="L3495" s="116">
        <f>E3495*I3495</f>
        <v>5535</v>
      </c>
    </row>
    <row r="3496" spans="2:12" x14ac:dyDescent="0.3">
      <c r="B3496" s="120"/>
      <c r="C3496" s="409"/>
      <c r="D3496" s="409"/>
      <c r="E3496" s="114"/>
      <c r="F3496" s="83"/>
      <c r="G3496" s="74"/>
      <c r="I3496" s="115">
        <f>IF(C3496=0,0,VLOOKUP(C3496,Tabla2[],3,FALSE))</f>
        <v>0</v>
      </c>
      <c r="K3496" s="84">
        <f>+F3496*I3496</f>
        <v>0</v>
      </c>
      <c r="L3496" s="116">
        <f>E3496*I3496</f>
        <v>0</v>
      </c>
    </row>
    <row r="3497" spans="2:12" ht="17.25" thickBot="1" x14ac:dyDescent="0.35">
      <c r="B3497" s="121"/>
      <c r="C3497" s="417"/>
      <c r="D3497" s="418"/>
      <c r="E3497" s="122"/>
      <c r="F3497" s="123"/>
      <c r="G3497" s="74"/>
      <c r="I3497" s="115">
        <f>IF(C3497=0,0,VLOOKUP(C3497,Tabla2[],3,FALSE))</f>
        <v>0</v>
      </c>
      <c r="K3497" s="84">
        <f>+F3497*I3497</f>
        <v>0</v>
      </c>
      <c r="L3497" s="116">
        <f>E3497*I3497</f>
        <v>0</v>
      </c>
    </row>
    <row r="3498" spans="2:12" ht="17.25" thickBot="1" x14ac:dyDescent="0.35">
      <c r="B3498" s="419" t="s">
        <v>15</v>
      </c>
      <c r="C3498" s="420"/>
      <c r="D3498" s="420"/>
      <c r="E3498" s="420"/>
      <c r="F3498" s="420"/>
      <c r="G3498" s="421"/>
      <c r="I3498" s="84">
        <v>0</v>
      </c>
      <c r="K3498" s="84">
        <v>0</v>
      </c>
      <c r="L3498" s="116">
        <f>E3498*I3498</f>
        <v>0</v>
      </c>
    </row>
    <row r="3499" spans="2:12" ht="17.25" thickBot="1" x14ac:dyDescent="0.35"/>
    <row r="3500" spans="2:12" ht="17.25" thickBot="1" x14ac:dyDescent="0.35">
      <c r="F3500" s="402" t="s">
        <v>16</v>
      </c>
      <c r="G3500" s="403"/>
      <c r="H3500" s="403"/>
      <c r="I3500" s="404"/>
      <c r="K3500" s="224">
        <f>+SUM(K3495:K3498)</f>
        <v>1845</v>
      </c>
      <c r="L3500" s="117">
        <f>+SUM(L3495:L3498)</f>
        <v>5535</v>
      </c>
    </row>
    <row r="3501" spans="2:12" ht="17.25" thickBot="1" x14ac:dyDescent="0.35"/>
    <row r="3502" spans="2:12" ht="17.25" thickBot="1" x14ac:dyDescent="0.35">
      <c r="B3502" s="108" t="s">
        <v>17</v>
      </c>
      <c r="C3502" s="413" t="s">
        <v>18</v>
      </c>
      <c r="D3502" s="413"/>
      <c r="E3502" s="413"/>
      <c r="F3502" s="413"/>
      <c r="G3502" s="414"/>
    </row>
    <row r="3503" spans="2:12" x14ac:dyDescent="0.3">
      <c r="B3503" s="112" t="s">
        <v>6</v>
      </c>
      <c r="C3503" s="415" t="s">
        <v>1</v>
      </c>
      <c r="D3503" s="416"/>
      <c r="E3503" s="124"/>
      <c r="F3503" s="118" t="s">
        <v>2</v>
      </c>
      <c r="G3503" s="112" t="s">
        <v>3</v>
      </c>
      <c r="H3503" s="104"/>
      <c r="I3503" s="105" t="s">
        <v>7</v>
      </c>
      <c r="J3503" s="134"/>
      <c r="K3503" s="105" t="s">
        <v>8</v>
      </c>
      <c r="L3503" s="113" t="s">
        <v>193</v>
      </c>
    </row>
    <row r="3504" spans="2:12" x14ac:dyDescent="0.3">
      <c r="B3504" s="74"/>
      <c r="C3504" s="411"/>
      <c r="D3504" s="412"/>
      <c r="E3504" s="125"/>
      <c r="F3504" s="72"/>
      <c r="G3504" s="74"/>
      <c r="I3504" s="84">
        <v>0</v>
      </c>
      <c r="K3504" s="84">
        <f>+F3504*I3504</f>
        <v>0</v>
      </c>
      <c r="L3504" s="116">
        <f>E3504*I3504</f>
        <v>0</v>
      </c>
    </row>
    <row r="3505" spans="2:16" x14ac:dyDescent="0.3">
      <c r="B3505" s="74"/>
      <c r="C3505" s="411"/>
      <c r="D3505" s="412"/>
      <c r="E3505" s="125"/>
      <c r="F3505" s="72"/>
      <c r="G3505" s="74"/>
      <c r="I3505" s="84">
        <v>0</v>
      </c>
      <c r="K3505" s="84">
        <f>+F3505*I3505</f>
        <v>0</v>
      </c>
      <c r="L3505" s="116">
        <f>E3505*I3505</f>
        <v>0</v>
      </c>
    </row>
    <row r="3506" spans="2:16" x14ac:dyDescent="0.3">
      <c r="B3506" s="74"/>
      <c r="C3506" s="411"/>
      <c r="D3506" s="412"/>
      <c r="E3506" s="125"/>
      <c r="F3506" s="72"/>
      <c r="G3506" s="74"/>
      <c r="I3506" s="84">
        <v>0</v>
      </c>
      <c r="K3506" s="84">
        <f>+F3506*I3506</f>
        <v>0</v>
      </c>
      <c r="L3506" s="116">
        <f>E3506*I3506</f>
        <v>0</v>
      </c>
    </row>
    <row r="3507" spans="2:16" ht="17.25" thickBot="1" x14ac:dyDescent="0.35">
      <c r="L3507" s="116"/>
    </row>
    <row r="3508" spans="2:16" ht="17.25" thickBot="1" x14ac:dyDescent="0.35">
      <c r="F3508" s="402" t="s">
        <v>19</v>
      </c>
      <c r="G3508" s="403"/>
      <c r="H3508" s="403"/>
      <c r="I3508" s="404"/>
      <c r="K3508" s="224">
        <f>+SUM(K3504:K3506)</f>
        <v>0</v>
      </c>
      <c r="L3508" s="117">
        <f>+SUM(L3503:L3506)</f>
        <v>0</v>
      </c>
    </row>
    <row r="3509" spans="2:16" ht="15" customHeight="1" x14ac:dyDescent="0.3">
      <c r="F3509" s="126"/>
      <c r="G3509" s="280"/>
      <c r="H3509" s="128"/>
      <c r="I3509" s="106"/>
      <c r="K3509" s="225"/>
    </row>
    <row r="3510" spans="2:16" ht="15" customHeight="1" thickBot="1" x14ac:dyDescent="0.35"/>
    <row r="3511" spans="2:16" ht="17.25" thickBot="1" x14ac:dyDescent="0.35">
      <c r="F3511" s="402" t="s">
        <v>20</v>
      </c>
      <c r="G3511" s="403"/>
      <c r="H3511" s="403"/>
      <c r="I3511" s="404"/>
      <c r="K3511" s="224">
        <f>(+K3482+K3491+K3500+K3508)</f>
        <v>1845</v>
      </c>
      <c r="L3511" s="117">
        <f>(+L3482+L3491+L3500+L3508)</f>
        <v>5535</v>
      </c>
      <c r="N3511" s="129"/>
      <c r="O3511" s="39"/>
      <c r="P3511" s="40"/>
    </row>
    <row r="3512" spans="2:16" ht="7.5" customHeight="1" thickBot="1" x14ac:dyDescent="0.35">
      <c r="N3512" s="129"/>
      <c r="O3512" s="41"/>
      <c r="P3512" s="40"/>
    </row>
    <row r="3513" spans="2:16" ht="17.25" thickBot="1" x14ac:dyDescent="0.35">
      <c r="F3513" s="402" t="s">
        <v>21</v>
      </c>
      <c r="G3513" s="403"/>
      <c r="H3513" s="403"/>
      <c r="I3513" s="404"/>
      <c r="K3513" s="224">
        <f>K3511*$N$2</f>
        <v>738</v>
      </c>
      <c r="L3513" s="117">
        <f>L3511*$N$2</f>
        <v>2214</v>
      </c>
    </row>
    <row r="3514" spans="2:16" ht="7.5" customHeight="1" thickBot="1" x14ac:dyDescent="0.35"/>
    <row r="3515" spans="2:16" ht="17.25" thickBot="1" x14ac:dyDescent="0.35">
      <c r="F3515" s="402" t="s">
        <v>22</v>
      </c>
      <c r="G3515" s="403"/>
      <c r="H3515" s="403"/>
      <c r="I3515" s="404"/>
      <c r="K3515" s="224">
        <f>+K3511+K3513</f>
        <v>2583</v>
      </c>
      <c r="L3515" s="117">
        <f>+L3511+L3513</f>
        <v>7749</v>
      </c>
    </row>
    <row r="3516" spans="2:16" ht="17.25" thickBot="1" x14ac:dyDescent="0.35">
      <c r="F3516" s="126"/>
      <c r="G3516" s="280"/>
      <c r="H3516" s="128"/>
      <c r="I3516" s="106"/>
      <c r="K3516" s="226"/>
      <c r="L3516" s="130">
        <f>L3515/I3467</f>
        <v>2583</v>
      </c>
      <c r="M3516" s="131">
        <f>(K3515-L3516)*I3467</f>
        <v>0</v>
      </c>
    </row>
    <row r="3517" spans="2:16" x14ac:dyDescent="0.3">
      <c r="F3517" s="126"/>
      <c r="G3517" s="280"/>
      <c r="H3517" s="128"/>
      <c r="I3517" s="106"/>
      <c r="K3517" s="227"/>
      <c r="L3517" s="129"/>
      <c r="M3517" s="132"/>
      <c r="N3517" s="133"/>
    </row>
    <row r="3518" spans="2:16" ht="17.25" thickBot="1" x14ac:dyDescent="0.35">
      <c r="B3518" s="405"/>
      <c r="C3518" s="405"/>
      <c r="D3518" s="405"/>
    </row>
    <row r="3519" spans="2:16" x14ac:dyDescent="0.3">
      <c r="B3519" s="406" t="s">
        <v>23</v>
      </c>
      <c r="C3519" s="406"/>
      <c r="D3519" s="406"/>
    </row>
    <row r="3520" spans="2:16" x14ac:dyDescent="0.3">
      <c r="B3520" s="281"/>
      <c r="C3520" s="281"/>
      <c r="D3520" s="281"/>
    </row>
    <row r="3521" spans="1:16" x14ac:dyDescent="0.3">
      <c r="B3521" s="281"/>
      <c r="C3521" s="281"/>
      <c r="D3521" s="281"/>
    </row>
    <row r="3522" spans="1:16" x14ac:dyDescent="0.3">
      <c r="B3522" s="103" t="s">
        <v>43</v>
      </c>
      <c r="C3522" s="104"/>
      <c r="D3522" s="422" t="s">
        <v>1</v>
      </c>
      <c r="E3522" s="422"/>
      <c r="F3522" s="422"/>
      <c r="G3522" s="422"/>
      <c r="H3522" s="104"/>
      <c r="I3522" s="105" t="s">
        <v>2</v>
      </c>
      <c r="J3522" s="134"/>
      <c r="K3522" s="105" t="s">
        <v>3</v>
      </c>
    </row>
    <row r="3523" spans="1:16" s="4" customFormat="1" ht="30.75" customHeight="1" x14ac:dyDescent="0.25">
      <c r="A3523" s="31"/>
      <c r="B3523" s="287">
        <f>CATALOGO!B117</f>
        <v>806.06</v>
      </c>
      <c r="C3523" s="71"/>
      <c r="D3523" s="436" t="str">
        <f>CATALOGO!C117</f>
        <v>REMOZAMIENTO DE VENTANA DE METAL + VIDRIOS</v>
      </c>
      <c r="E3523" s="436"/>
      <c r="F3523" s="436"/>
      <c r="G3523" s="436"/>
      <c r="H3523" s="71"/>
      <c r="I3523" s="287">
        <f>CATALOGO!D117</f>
        <v>10</v>
      </c>
      <c r="J3523" s="107"/>
      <c r="K3523" s="222" t="str">
        <f>CATALOGO!G117</f>
        <v>m²</v>
      </c>
      <c r="L3523" s="71"/>
      <c r="M3523" s="71"/>
      <c r="N3523" s="71"/>
      <c r="O3523" s="37"/>
      <c r="P3523" s="37"/>
    </row>
    <row r="3524" spans="1:16" ht="17.25" thickBot="1" x14ac:dyDescent="0.35"/>
    <row r="3525" spans="1:16" ht="17.25" thickBot="1" x14ac:dyDescent="0.35">
      <c r="B3525" s="108" t="s">
        <v>4</v>
      </c>
      <c r="C3525" s="413" t="s">
        <v>5</v>
      </c>
      <c r="D3525" s="413"/>
      <c r="E3525" s="413"/>
      <c r="F3525" s="413"/>
      <c r="G3525" s="414"/>
    </row>
    <row r="3526" spans="1:16" x14ac:dyDescent="0.25">
      <c r="B3526" s="109" t="s">
        <v>6</v>
      </c>
      <c r="C3526" s="424" t="s">
        <v>1</v>
      </c>
      <c r="D3526" s="425"/>
      <c r="E3526" s="110" t="s">
        <v>192</v>
      </c>
      <c r="F3526" s="111" t="s">
        <v>2</v>
      </c>
      <c r="G3526" s="112" t="s">
        <v>3</v>
      </c>
      <c r="H3526" s="104"/>
      <c r="I3526" s="105" t="s">
        <v>7</v>
      </c>
      <c r="J3526" s="134"/>
      <c r="K3526" s="223" t="s">
        <v>8</v>
      </c>
      <c r="L3526" s="113" t="s">
        <v>193</v>
      </c>
      <c r="O3526" s="438"/>
      <c r="P3526" s="438"/>
    </row>
    <row r="3527" spans="1:16" ht="17.25" customHeight="1" x14ac:dyDescent="0.25">
      <c r="B3527" s="120"/>
      <c r="C3527" s="428"/>
      <c r="D3527" s="429"/>
      <c r="E3527" s="114"/>
      <c r="F3527" s="83"/>
      <c r="G3527" s="74"/>
      <c r="I3527" s="115">
        <f>IF(C3527=0,0,VLOOKUP(C3527,Tabla1[],3,FALSE))</f>
        <v>0</v>
      </c>
      <c r="K3527" s="84">
        <f>F3527*I3527</f>
        <v>0</v>
      </c>
      <c r="L3527" s="116">
        <f t="shared" ref="L3527:L3536" si="96">E3527*I3527</f>
        <v>0</v>
      </c>
      <c r="O3527" s="44"/>
      <c r="P3527" s="45"/>
    </row>
    <row r="3528" spans="1:16" x14ac:dyDescent="0.3">
      <c r="B3528" s="120"/>
      <c r="C3528" s="428"/>
      <c r="D3528" s="429"/>
      <c r="E3528" s="114"/>
      <c r="F3528" s="83"/>
      <c r="G3528" s="74"/>
      <c r="I3528" s="115">
        <f>IF(C3528=0,0,VLOOKUP(C3528,Tabla1[],3,FALSE))</f>
        <v>0</v>
      </c>
      <c r="K3528" s="84">
        <f t="shared" ref="K3528:K3536" si="97">+F3528*I3528</f>
        <v>0</v>
      </c>
      <c r="L3528" s="116">
        <f t="shared" si="96"/>
        <v>0</v>
      </c>
      <c r="P3528" s="45"/>
    </row>
    <row r="3529" spans="1:16" x14ac:dyDescent="0.3">
      <c r="B3529" s="120"/>
      <c r="C3529" s="428"/>
      <c r="D3529" s="429"/>
      <c r="E3529" s="114"/>
      <c r="F3529" s="83"/>
      <c r="G3529" s="74"/>
      <c r="I3529" s="115">
        <f>IF(C3529=0,0,VLOOKUP(C3529,Tabla1[],3,FALSE))</f>
        <v>0</v>
      </c>
      <c r="K3529" s="84">
        <f t="shared" si="97"/>
        <v>0</v>
      </c>
      <c r="L3529" s="116">
        <f t="shared" si="96"/>
        <v>0</v>
      </c>
      <c r="O3529" s="48"/>
      <c r="P3529" s="49"/>
    </row>
    <row r="3530" spans="1:16" x14ac:dyDescent="0.3">
      <c r="B3530" s="120"/>
      <c r="C3530" s="428"/>
      <c r="D3530" s="429"/>
      <c r="E3530" s="114"/>
      <c r="F3530" s="83"/>
      <c r="G3530" s="74"/>
      <c r="I3530" s="115">
        <f>IF(C3530=0,0,VLOOKUP(C3530,Tabla1[],3,FALSE))</f>
        <v>0</v>
      </c>
      <c r="K3530" s="84">
        <f t="shared" si="97"/>
        <v>0</v>
      </c>
      <c r="L3530" s="116">
        <f t="shared" si="96"/>
        <v>0</v>
      </c>
      <c r="O3530" s="48"/>
      <c r="P3530" s="49"/>
    </row>
    <row r="3531" spans="1:16" x14ac:dyDescent="0.3">
      <c r="B3531" s="120"/>
      <c r="C3531" s="428"/>
      <c r="D3531" s="429"/>
      <c r="E3531" s="114"/>
      <c r="F3531" s="83"/>
      <c r="G3531" s="74"/>
      <c r="I3531" s="115">
        <f>IF(C3531=0,0,VLOOKUP(C3531,Tabla1[],3,FALSE))</f>
        <v>0</v>
      </c>
      <c r="K3531" s="84">
        <f t="shared" si="97"/>
        <v>0</v>
      </c>
      <c r="L3531" s="116">
        <f t="shared" si="96"/>
        <v>0</v>
      </c>
      <c r="O3531" s="48"/>
      <c r="P3531" s="49"/>
    </row>
    <row r="3532" spans="1:16" x14ac:dyDescent="0.3">
      <c r="B3532" s="120"/>
      <c r="C3532" s="429"/>
      <c r="D3532" s="409"/>
      <c r="E3532" s="114"/>
      <c r="F3532" s="83"/>
      <c r="G3532" s="74"/>
      <c r="I3532" s="115">
        <f>IF(C3532=0,0,VLOOKUP(C3532,Tabla1[],3,FALSE))</f>
        <v>0</v>
      </c>
      <c r="K3532" s="84">
        <f t="shared" si="97"/>
        <v>0</v>
      </c>
      <c r="L3532" s="116">
        <f t="shared" si="96"/>
        <v>0</v>
      </c>
      <c r="O3532" s="48"/>
      <c r="P3532" s="49"/>
    </row>
    <row r="3533" spans="1:16" x14ac:dyDescent="0.3">
      <c r="B3533" s="120"/>
      <c r="C3533" s="429"/>
      <c r="D3533" s="409"/>
      <c r="E3533" s="114"/>
      <c r="F3533" s="83"/>
      <c r="G3533" s="74"/>
      <c r="I3533" s="115">
        <f>IF(C3533=0,0,VLOOKUP(C3533,Tabla1[],3,FALSE))</f>
        <v>0</v>
      </c>
      <c r="K3533" s="84">
        <f t="shared" si="97"/>
        <v>0</v>
      </c>
      <c r="L3533" s="116">
        <f t="shared" si="96"/>
        <v>0</v>
      </c>
      <c r="O3533" s="48"/>
      <c r="P3533" s="49"/>
    </row>
    <row r="3534" spans="1:16" x14ac:dyDescent="0.3">
      <c r="B3534" s="120"/>
      <c r="C3534" s="428"/>
      <c r="D3534" s="429"/>
      <c r="E3534" s="114"/>
      <c r="F3534" s="83"/>
      <c r="G3534" s="74"/>
      <c r="I3534" s="115">
        <f>IF(C3534=0,0,VLOOKUP(C3534,Tabla1[],3,FALSE))</f>
        <v>0</v>
      </c>
      <c r="K3534" s="84">
        <f t="shared" si="97"/>
        <v>0</v>
      </c>
      <c r="L3534" s="116">
        <f t="shared" si="96"/>
        <v>0</v>
      </c>
      <c r="O3534" s="48"/>
      <c r="P3534" s="49"/>
    </row>
    <row r="3535" spans="1:16" x14ac:dyDescent="0.3">
      <c r="B3535" s="120"/>
      <c r="C3535" s="428"/>
      <c r="D3535" s="429"/>
      <c r="E3535" s="114"/>
      <c r="F3535" s="83"/>
      <c r="G3535" s="74"/>
      <c r="I3535" s="115">
        <f>IF(C3535=0,0,VLOOKUP(C3535,Tabla1[],3,FALSE))</f>
        <v>0</v>
      </c>
      <c r="K3535" s="84">
        <f t="shared" si="97"/>
        <v>0</v>
      </c>
      <c r="L3535" s="116">
        <f t="shared" si="96"/>
        <v>0</v>
      </c>
      <c r="O3535" s="48"/>
      <c r="P3535" s="49"/>
    </row>
    <row r="3536" spans="1:16" x14ac:dyDescent="0.3">
      <c r="B3536" s="120"/>
      <c r="C3536" s="430"/>
      <c r="D3536" s="429"/>
      <c r="E3536" s="114"/>
      <c r="F3536" s="83"/>
      <c r="G3536" s="74"/>
      <c r="I3536" s="115">
        <f>IF(C3536=0,0,VLOOKUP(C3536,Tabla1[],3,FALSE))</f>
        <v>0</v>
      </c>
      <c r="K3536" s="84">
        <f t="shared" si="97"/>
        <v>0</v>
      </c>
      <c r="L3536" s="116">
        <f t="shared" si="96"/>
        <v>0</v>
      </c>
      <c r="O3536" s="48"/>
      <c r="P3536" s="43"/>
    </row>
    <row r="3537" spans="2:16" ht="17.25" thickBot="1" x14ac:dyDescent="0.35"/>
    <row r="3538" spans="2:16" ht="17.25" thickBot="1" x14ac:dyDescent="0.3">
      <c r="F3538" s="402" t="s">
        <v>9</v>
      </c>
      <c r="G3538" s="403"/>
      <c r="H3538" s="403"/>
      <c r="I3538" s="404"/>
      <c r="K3538" s="224">
        <f>+SUM(K3527:K3536)</f>
        <v>0</v>
      </c>
      <c r="L3538" s="117">
        <f>+SUM(L3527:L3536)</f>
        <v>0</v>
      </c>
      <c r="O3538" s="38"/>
      <c r="P3538" s="38"/>
    </row>
    <row r="3539" spans="2:16" ht="17.25" thickBot="1" x14ac:dyDescent="0.35">
      <c r="O3539" s="42"/>
      <c r="P3539" s="43"/>
    </row>
    <row r="3540" spans="2:16" ht="17.25" thickBot="1" x14ac:dyDescent="0.35">
      <c r="B3540" s="108" t="s">
        <v>10</v>
      </c>
      <c r="C3540" s="413" t="s">
        <v>11</v>
      </c>
      <c r="D3540" s="413"/>
      <c r="E3540" s="413"/>
      <c r="F3540" s="413"/>
      <c r="G3540" s="414"/>
    </row>
    <row r="3541" spans="2:16" x14ac:dyDescent="0.3">
      <c r="B3541" s="112" t="s">
        <v>6</v>
      </c>
      <c r="C3541" s="415" t="s">
        <v>1</v>
      </c>
      <c r="D3541" s="416"/>
      <c r="E3541" s="110" t="s">
        <v>192</v>
      </c>
      <c r="F3541" s="118" t="s">
        <v>2</v>
      </c>
      <c r="G3541" s="112" t="s">
        <v>3</v>
      </c>
      <c r="H3541" s="104"/>
      <c r="I3541" s="105" t="s">
        <v>7</v>
      </c>
      <c r="J3541" s="134"/>
      <c r="K3541" s="105" t="s">
        <v>8</v>
      </c>
      <c r="L3541" s="113" t="s">
        <v>193</v>
      </c>
    </row>
    <row r="3542" spans="2:16" x14ac:dyDescent="0.3">
      <c r="B3542" s="120"/>
      <c r="C3542" s="409"/>
      <c r="D3542" s="409"/>
      <c r="E3542" s="114"/>
      <c r="F3542" s="83"/>
      <c r="G3542" s="74"/>
      <c r="I3542" s="115">
        <f>IF(C3542=0,0,VLOOKUP(C3542,Tabla3[],3,FALSE))</f>
        <v>0</v>
      </c>
      <c r="K3542" s="84">
        <f>F3542*I3542</f>
        <v>0</v>
      </c>
      <c r="L3542" s="116">
        <f>E3542*I3542</f>
        <v>0</v>
      </c>
    </row>
    <row r="3543" spans="2:16" x14ac:dyDescent="0.3">
      <c r="B3543" s="74"/>
      <c r="C3543" s="431"/>
      <c r="D3543" s="432"/>
      <c r="E3543" s="119"/>
      <c r="F3543" s="72"/>
      <c r="G3543" s="74"/>
      <c r="I3543" s="115">
        <f>IF(C3543=0,0,VLOOKUP(C3543,Tabla3[],3,FALSE))</f>
        <v>0</v>
      </c>
      <c r="K3543" s="84">
        <f>+F3543*I3543</f>
        <v>0</v>
      </c>
      <c r="L3543" s="116">
        <f>E3543*I3543</f>
        <v>0</v>
      </c>
    </row>
    <row r="3544" spans="2:16" x14ac:dyDescent="0.3">
      <c r="B3544" s="74"/>
      <c r="C3544" s="431"/>
      <c r="D3544" s="432"/>
      <c r="E3544" s="119"/>
      <c r="F3544" s="72"/>
      <c r="G3544" s="74"/>
      <c r="I3544" s="115">
        <f>IF(C3544=0,0,VLOOKUP(C3544,Tabla3[],3,FALSE))</f>
        <v>0</v>
      </c>
      <c r="K3544" s="84">
        <f>+F3544*I3544</f>
        <v>0</v>
      </c>
      <c r="L3544" s="116">
        <f>E3544*I3544</f>
        <v>0</v>
      </c>
    </row>
    <row r="3545" spans="2:16" x14ac:dyDescent="0.3">
      <c r="B3545" s="74"/>
      <c r="C3545" s="411"/>
      <c r="D3545" s="412"/>
      <c r="E3545" s="119"/>
      <c r="F3545" s="72"/>
      <c r="G3545" s="74"/>
      <c r="I3545" s="115">
        <f>IF(C3545=0,0,VLOOKUP(C3545,Tabla3[],3,FALSE))</f>
        <v>0</v>
      </c>
      <c r="K3545" s="84">
        <f>+F3545*I3545</f>
        <v>0</v>
      </c>
      <c r="L3545" s="116">
        <f>E3545*I3545</f>
        <v>0</v>
      </c>
    </row>
    <row r="3546" spans="2:16" ht="17.25" thickBot="1" x14ac:dyDescent="0.35"/>
    <row r="3547" spans="2:16" ht="17.25" thickBot="1" x14ac:dyDescent="0.35">
      <c r="F3547" s="402" t="s">
        <v>12</v>
      </c>
      <c r="G3547" s="403"/>
      <c r="H3547" s="403"/>
      <c r="I3547" s="404"/>
      <c r="K3547" s="224">
        <f>+SUM(K3542:K3545)</f>
        <v>0</v>
      </c>
      <c r="L3547" s="117">
        <f>+SUM(L3542:L3545)</f>
        <v>0</v>
      </c>
    </row>
    <row r="3548" spans="2:16" ht="17.25" thickBot="1" x14ac:dyDescent="0.35"/>
    <row r="3549" spans="2:16" ht="17.25" thickBot="1" x14ac:dyDescent="0.35">
      <c r="B3549" s="108" t="s">
        <v>13</v>
      </c>
      <c r="C3549" s="413" t="s">
        <v>14</v>
      </c>
      <c r="D3549" s="413"/>
      <c r="E3549" s="413"/>
      <c r="F3549" s="413"/>
      <c r="G3549" s="414"/>
    </row>
    <row r="3550" spans="2:16" x14ac:dyDescent="0.3">
      <c r="B3550" s="112" t="s">
        <v>6</v>
      </c>
      <c r="C3550" s="415" t="s">
        <v>1</v>
      </c>
      <c r="D3550" s="416"/>
      <c r="E3550" s="110" t="s">
        <v>192</v>
      </c>
      <c r="F3550" s="118" t="s">
        <v>2</v>
      </c>
      <c r="G3550" s="112" t="s">
        <v>3</v>
      </c>
      <c r="H3550" s="104"/>
      <c r="I3550" s="105" t="s">
        <v>7</v>
      </c>
      <c r="J3550" s="134"/>
      <c r="K3550" s="105" t="s">
        <v>8</v>
      </c>
      <c r="L3550" s="113" t="s">
        <v>193</v>
      </c>
    </row>
    <row r="3551" spans="2:16" x14ac:dyDescent="0.3">
      <c r="B3551" s="120">
        <v>1</v>
      </c>
      <c r="C3551" s="434" t="s">
        <v>600</v>
      </c>
      <c r="D3551" s="434"/>
      <c r="E3551" s="114">
        <f>I3523</f>
        <v>10</v>
      </c>
      <c r="F3551" s="83">
        <f>ROUND(E3551/I3523,2)</f>
        <v>1</v>
      </c>
      <c r="G3551" s="74" t="str">
        <f>IF(C3551=0,0,VLOOKUP(C3551,Tabla2[],2,FALSE))</f>
        <v>m²</v>
      </c>
      <c r="I3551" s="115">
        <f>IF(C3551=0,0,VLOOKUP(C3551,Tabla2[],3,FALSE))</f>
        <v>500</v>
      </c>
      <c r="K3551" s="84">
        <f>+F3551*I3551</f>
        <v>500</v>
      </c>
      <c r="L3551" s="116">
        <f>E3551*I3551</f>
        <v>5000</v>
      </c>
    </row>
    <row r="3552" spans="2:16" x14ac:dyDescent="0.3">
      <c r="B3552" s="120"/>
      <c r="C3552" s="409"/>
      <c r="D3552" s="409"/>
      <c r="E3552" s="114"/>
      <c r="F3552" s="83"/>
      <c r="G3552" s="74"/>
      <c r="I3552" s="115">
        <f>IF(C3552=0,0,VLOOKUP(C3552,Tabla2[],3,FALSE))</f>
        <v>0</v>
      </c>
      <c r="K3552" s="84">
        <f>+F3552*I3552</f>
        <v>0</v>
      </c>
      <c r="L3552" s="116">
        <f>E3552*I3552</f>
        <v>0</v>
      </c>
    </row>
    <row r="3553" spans="2:16" ht="17.25" thickBot="1" x14ac:dyDescent="0.35">
      <c r="B3553" s="121"/>
      <c r="C3553" s="417"/>
      <c r="D3553" s="418"/>
      <c r="E3553" s="122"/>
      <c r="F3553" s="123"/>
      <c r="G3553" s="74"/>
      <c r="I3553" s="115">
        <f>IF(C3553=0,0,VLOOKUP(C3553,Tabla2[],3,FALSE))</f>
        <v>0</v>
      </c>
      <c r="K3553" s="84">
        <f>+F3553*I3553</f>
        <v>0</v>
      </c>
      <c r="L3553" s="116">
        <f>E3553*I3553</f>
        <v>0</v>
      </c>
    </row>
    <row r="3554" spans="2:16" ht="17.25" thickBot="1" x14ac:dyDescent="0.35">
      <c r="B3554" s="419" t="s">
        <v>15</v>
      </c>
      <c r="C3554" s="420"/>
      <c r="D3554" s="420"/>
      <c r="E3554" s="420"/>
      <c r="F3554" s="420"/>
      <c r="G3554" s="421"/>
      <c r="I3554" s="84">
        <v>0</v>
      </c>
      <c r="K3554" s="84">
        <v>0</v>
      </c>
      <c r="L3554" s="116">
        <f>E3554*I3554</f>
        <v>0</v>
      </c>
    </row>
    <row r="3555" spans="2:16" ht="17.25" thickBot="1" x14ac:dyDescent="0.35"/>
    <row r="3556" spans="2:16" ht="17.25" thickBot="1" x14ac:dyDescent="0.35">
      <c r="F3556" s="402" t="s">
        <v>16</v>
      </c>
      <c r="G3556" s="403"/>
      <c r="H3556" s="403"/>
      <c r="I3556" s="404"/>
      <c r="K3556" s="224">
        <f>+SUM(K3551:K3554)</f>
        <v>500</v>
      </c>
      <c r="L3556" s="117">
        <f>+SUM(L3551:L3554)</f>
        <v>5000</v>
      </c>
    </row>
    <row r="3557" spans="2:16" ht="17.25" thickBot="1" x14ac:dyDescent="0.35"/>
    <row r="3558" spans="2:16" ht="17.25" thickBot="1" x14ac:dyDescent="0.35">
      <c r="B3558" s="108" t="s">
        <v>17</v>
      </c>
      <c r="C3558" s="413" t="s">
        <v>18</v>
      </c>
      <c r="D3558" s="413"/>
      <c r="E3558" s="413"/>
      <c r="F3558" s="413"/>
      <c r="G3558" s="414"/>
    </row>
    <row r="3559" spans="2:16" x14ac:dyDescent="0.3">
      <c r="B3559" s="112" t="s">
        <v>6</v>
      </c>
      <c r="C3559" s="415" t="s">
        <v>1</v>
      </c>
      <c r="D3559" s="416"/>
      <c r="E3559" s="124"/>
      <c r="F3559" s="118" t="s">
        <v>2</v>
      </c>
      <c r="G3559" s="112" t="s">
        <v>3</v>
      </c>
      <c r="H3559" s="104"/>
      <c r="I3559" s="105" t="s">
        <v>7</v>
      </c>
      <c r="J3559" s="134"/>
      <c r="K3559" s="105" t="s">
        <v>8</v>
      </c>
      <c r="L3559" s="113" t="s">
        <v>193</v>
      </c>
    </row>
    <row r="3560" spans="2:16" x14ac:dyDescent="0.3">
      <c r="B3560" s="74"/>
      <c r="C3560" s="411"/>
      <c r="D3560" s="412"/>
      <c r="E3560" s="125"/>
      <c r="F3560" s="72"/>
      <c r="G3560" s="74"/>
      <c r="I3560" s="84">
        <v>0</v>
      </c>
      <c r="K3560" s="84">
        <f>+F3560*I3560</f>
        <v>0</v>
      </c>
      <c r="L3560" s="116">
        <f>E3560*I3560</f>
        <v>0</v>
      </c>
    </row>
    <row r="3561" spans="2:16" x14ac:dyDescent="0.3">
      <c r="B3561" s="74"/>
      <c r="C3561" s="411"/>
      <c r="D3561" s="412"/>
      <c r="E3561" s="125"/>
      <c r="F3561" s="72"/>
      <c r="G3561" s="74"/>
      <c r="I3561" s="84">
        <v>0</v>
      </c>
      <c r="K3561" s="84">
        <f>+F3561*I3561</f>
        <v>0</v>
      </c>
      <c r="L3561" s="116">
        <f>E3561*I3561</f>
        <v>0</v>
      </c>
    </row>
    <row r="3562" spans="2:16" x14ac:dyDescent="0.3">
      <c r="B3562" s="74"/>
      <c r="C3562" s="411"/>
      <c r="D3562" s="412"/>
      <c r="E3562" s="125"/>
      <c r="F3562" s="72"/>
      <c r="G3562" s="74"/>
      <c r="I3562" s="84">
        <v>0</v>
      </c>
      <c r="K3562" s="84">
        <f>+F3562*I3562</f>
        <v>0</v>
      </c>
      <c r="L3562" s="116">
        <f>E3562*I3562</f>
        <v>0</v>
      </c>
    </row>
    <row r="3563" spans="2:16" ht="17.25" thickBot="1" x14ac:dyDescent="0.35">
      <c r="L3563" s="116"/>
    </row>
    <row r="3564" spans="2:16" ht="17.25" thickBot="1" x14ac:dyDescent="0.35">
      <c r="F3564" s="402" t="s">
        <v>19</v>
      </c>
      <c r="G3564" s="403"/>
      <c r="H3564" s="403"/>
      <c r="I3564" s="404"/>
      <c r="K3564" s="224">
        <f>+SUM(K3560:K3562)</f>
        <v>0</v>
      </c>
      <c r="L3564" s="117">
        <f>+SUM(L3559:L3562)</f>
        <v>0</v>
      </c>
    </row>
    <row r="3565" spans="2:16" ht="15" customHeight="1" x14ac:dyDescent="0.3">
      <c r="F3565" s="126"/>
      <c r="G3565" s="280"/>
      <c r="H3565" s="128"/>
      <c r="I3565" s="106"/>
      <c r="K3565" s="225"/>
    </row>
    <row r="3566" spans="2:16" ht="15" customHeight="1" thickBot="1" x14ac:dyDescent="0.35"/>
    <row r="3567" spans="2:16" ht="17.25" thickBot="1" x14ac:dyDescent="0.35">
      <c r="F3567" s="402" t="s">
        <v>20</v>
      </c>
      <c r="G3567" s="403"/>
      <c r="H3567" s="403"/>
      <c r="I3567" s="404"/>
      <c r="K3567" s="224">
        <f>(+K3538+K3547+K3556+K3564)</f>
        <v>500</v>
      </c>
      <c r="L3567" s="117">
        <f>(+L3538+L3547+L3556+L3564)</f>
        <v>5000</v>
      </c>
      <c r="N3567" s="129"/>
      <c r="O3567" s="39"/>
      <c r="P3567" s="40"/>
    </row>
    <row r="3568" spans="2:16" ht="7.5" customHeight="1" thickBot="1" x14ac:dyDescent="0.35">
      <c r="N3568" s="129"/>
      <c r="O3568" s="41"/>
      <c r="P3568" s="40"/>
    </row>
    <row r="3569" spans="1:16" ht="17.25" thickBot="1" x14ac:dyDescent="0.35">
      <c r="F3569" s="402" t="s">
        <v>21</v>
      </c>
      <c r="G3569" s="403"/>
      <c r="H3569" s="403"/>
      <c r="I3569" s="404"/>
      <c r="K3569" s="224">
        <f>K3567*$N$2</f>
        <v>200</v>
      </c>
      <c r="L3569" s="117">
        <f>L3567*$N$2</f>
        <v>2000</v>
      </c>
    </row>
    <row r="3570" spans="1:16" ht="7.5" customHeight="1" thickBot="1" x14ac:dyDescent="0.35"/>
    <row r="3571" spans="1:16" ht="17.25" thickBot="1" x14ac:dyDescent="0.35">
      <c r="F3571" s="402" t="s">
        <v>22</v>
      </c>
      <c r="G3571" s="403"/>
      <c r="H3571" s="403"/>
      <c r="I3571" s="404"/>
      <c r="K3571" s="224">
        <f>+K3567+K3569</f>
        <v>700</v>
      </c>
      <c r="L3571" s="117">
        <f>+L3567+L3569</f>
        <v>7000</v>
      </c>
    </row>
    <row r="3572" spans="1:16" ht="17.25" thickBot="1" x14ac:dyDescent="0.35">
      <c r="F3572" s="126"/>
      <c r="G3572" s="280"/>
      <c r="H3572" s="128"/>
      <c r="I3572" s="106"/>
      <c r="K3572" s="226"/>
      <c r="L3572" s="130">
        <f>L3571/I3523</f>
        <v>700</v>
      </c>
      <c r="M3572" s="131">
        <f>(K3571-L3572)*I3523</f>
        <v>0</v>
      </c>
    </row>
    <row r="3573" spans="1:16" x14ac:dyDescent="0.3">
      <c r="F3573" s="126"/>
      <c r="G3573" s="280"/>
      <c r="H3573" s="128"/>
      <c r="I3573" s="106"/>
      <c r="K3573" s="227"/>
      <c r="L3573" s="129"/>
      <c r="M3573" s="132"/>
      <c r="N3573" s="133"/>
    </row>
    <row r="3574" spans="1:16" ht="17.25" thickBot="1" x14ac:dyDescent="0.35">
      <c r="B3574" s="405"/>
      <c r="C3574" s="405"/>
      <c r="D3574" s="405"/>
    </row>
    <row r="3575" spans="1:16" x14ac:dyDescent="0.3">
      <c r="B3575" s="406" t="s">
        <v>23</v>
      </c>
      <c r="C3575" s="406"/>
      <c r="D3575" s="406"/>
    </row>
    <row r="3576" spans="1:16" x14ac:dyDescent="0.3">
      <c r="B3576" s="281"/>
      <c r="C3576" s="281"/>
      <c r="D3576" s="281"/>
    </row>
    <row r="3577" spans="1:16" x14ac:dyDescent="0.3">
      <c r="B3577" s="281"/>
      <c r="C3577" s="281"/>
      <c r="D3577" s="281"/>
    </row>
    <row r="3578" spans="1:16" x14ac:dyDescent="0.3">
      <c r="B3578" s="103" t="s">
        <v>43</v>
      </c>
      <c r="C3578" s="104"/>
      <c r="D3578" s="422" t="s">
        <v>1</v>
      </c>
      <c r="E3578" s="422"/>
      <c r="F3578" s="422"/>
      <c r="G3578" s="422"/>
      <c r="H3578" s="104"/>
      <c r="I3578" s="105" t="s">
        <v>2</v>
      </c>
      <c r="J3578" s="134"/>
      <c r="K3578" s="105" t="s">
        <v>3</v>
      </c>
    </row>
    <row r="3579" spans="1:16" s="4" customFormat="1" ht="30.75" customHeight="1" x14ac:dyDescent="0.25">
      <c r="A3579" s="31"/>
      <c r="B3579" s="287">
        <f>CATALOGO!B118</f>
        <v>806.09</v>
      </c>
      <c r="C3579" s="71"/>
      <c r="D3579" s="436" t="str">
        <f>CATALOGO!C118</f>
        <v>REMOZAMIENTO DE BALCONES</v>
      </c>
      <c r="E3579" s="436"/>
      <c r="F3579" s="436"/>
      <c r="G3579" s="436"/>
      <c r="H3579" s="71"/>
      <c r="I3579" s="287">
        <f>CATALOGO!D118</f>
        <v>10</v>
      </c>
      <c r="J3579" s="107"/>
      <c r="K3579" s="222" t="str">
        <f>CATALOGO!G118</f>
        <v>m²</v>
      </c>
      <c r="L3579" s="71"/>
      <c r="M3579" s="71"/>
      <c r="N3579" s="71"/>
      <c r="O3579" s="37"/>
      <c r="P3579" s="37"/>
    </row>
    <row r="3580" spans="1:16" ht="17.25" thickBot="1" x14ac:dyDescent="0.35"/>
    <row r="3581" spans="1:16" ht="17.25" thickBot="1" x14ac:dyDescent="0.35">
      <c r="B3581" s="108" t="s">
        <v>4</v>
      </c>
      <c r="C3581" s="413" t="s">
        <v>5</v>
      </c>
      <c r="D3581" s="413"/>
      <c r="E3581" s="413"/>
      <c r="F3581" s="413"/>
      <c r="G3581" s="414"/>
    </row>
    <row r="3582" spans="1:16" x14ac:dyDescent="0.25">
      <c r="B3582" s="109" t="s">
        <v>6</v>
      </c>
      <c r="C3582" s="424" t="s">
        <v>1</v>
      </c>
      <c r="D3582" s="425"/>
      <c r="E3582" s="110" t="s">
        <v>192</v>
      </c>
      <c r="F3582" s="111" t="s">
        <v>2</v>
      </c>
      <c r="G3582" s="112" t="s">
        <v>3</v>
      </c>
      <c r="H3582" s="104"/>
      <c r="I3582" s="105" t="s">
        <v>7</v>
      </c>
      <c r="J3582" s="134"/>
      <c r="K3582" s="223" t="s">
        <v>8</v>
      </c>
      <c r="L3582" s="113" t="s">
        <v>193</v>
      </c>
      <c r="O3582" s="438"/>
      <c r="P3582" s="438"/>
    </row>
    <row r="3583" spans="1:16" ht="17.25" customHeight="1" x14ac:dyDescent="0.25">
      <c r="B3583" s="120"/>
      <c r="C3583" s="428"/>
      <c r="D3583" s="429"/>
      <c r="E3583" s="114"/>
      <c r="F3583" s="83"/>
      <c r="G3583" s="74"/>
      <c r="I3583" s="115">
        <f>IF(C3583=0,0,VLOOKUP(C3583,Tabla1[],3,FALSE))</f>
        <v>0</v>
      </c>
      <c r="K3583" s="84">
        <f>F3583*I3583</f>
        <v>0</v>
      </c>
      <c r="L3583" s="116">
        <f t="shared" ref="L3583:L3592" si="98">E3583*I3583</f>
        <v>0</v>
      </c>
      <c r="O3583" s="44"/>
      <c r="P3583" s="45"/>
    </row>
    <row r="3584" spans="1:16" x14ac:dyDescent="0.3">
      <c r="B3584" s="120"/>
      <c r="C3584" s="428"/>
      <c r="D3584" s="429"/>
      <c r="E3584" s="114"/>
      <c r="F3584" s="83"/>
      <c r="G3584" s="74"/>
      <c r="I3584" s="115">
        <f>IF(C3584=0,0,VLOOKUP(C3584,Tabla1[],3,FALSE))</f>
        <v>0</v>
      </c>
      <c r="K3584" s="84">
        <f t="shared" ref="K3584:K3592" si="99">+F3584*I3584</f>
        <v>0</v>
      </c>
      <c r="L3584" s="116">
        <f t="shared" si="98"/>
        <v>0</v>
      </c>
      <c r="P3584" s="45"/>
    </row>
    <row r="3585" spans="2:16" x14ac:dyDescent="0.3">
      <c r="B3585" s="120"/>
      <c r="C3585" s="428"/>
      <c r="D3585" s="429"/>
      <c r="E3585" s="114"/>
      <c r="F3585" s="83"/>
      <c r="G3585" s="74"/>
      <c r="I3585" s="115">
        <f>IF(C3585=0,0,VLOOKUP(C3585,Tabla1[],3,FALSE))</f>
        <v>0</v>
      </c>
      <c r="K3585" s="84">
        <f t="shared" si="99"/>
        <v>0</v>
      </c>
      <c r="L3585" s="116">
        <f t="shared" si="98"/>
        <v>0</v>
      </c>
      <c r="O3585" s="48"/>
      <c r="P3585" s="49"/>
    </row>
    <row r="3586" spans="2:16" x14ac:dyDescent="0.3">
      <c r="B3586" s="120"/>
      <c r="C3586" s="428"/>
      <c r="D3586" s="429"/>
      <c r="E3586" s="114"/>
      <c r="F3586" s="83"/>
      <c r="G3586" s="74"/>
      <c r="I3586" s="115">
        <f>IF(C3586=0,0,VLOOKUP(C3586,Tabla1[],3,FALSE))</f>
        <v>0</v>
      </c>
      <c r="K3586" s="84">
        <f t="shared" si="99"/>
        <v>0</v>
      </c>
      <c r="L3586" s="116">
        <f t="shared" si="98"/>
        <v>0</v>
      </c>
      <c r="O3586" s="48"/>
      <c r="P3586" s="49"/>
    </row>
    <row r="3587" spans="2:16" x14ac:dyDescent="0.3">
      <c r="B3587" s="120"/>
      <c r="C3587" s="428"/>
      <c r="D3587" s="429"/>
      <c r="E3587" s="114"/>
      <c r="F3587" s="83"/>
      <c r="G3587" s="74"/>
      <c r="I3587" s="115">
        <f>IF(C3587=0,0,VLOOKUP(C3587,Tabla1[],3,FALSE))</f>
        <v>0</v>
      </c>
      <c r="K3587" s="84">
        <f t="shared" si="99"/>
        <v>0</v>
      </c>
      <c r="L3587" s="116">
        <f t="shared" si="98"/>
        <v>0</v>
      </c>
      <c r="O3587" s="48"/>
      <c r="P3587" s="49"/>
    </row>
    <row r="3588" spans="2:16" x14ac:dyDescent="0.3">
      <c r="B3588" s="120"/>
      <c r="C3588" s="429"/>
      <c r="D3588" s="409"/>
      <c r="E3588" s="114"/>
      <c r="F3588" s="83"/>
      <c r="G3588" s="74"/>
      <c r="I3588" s="115">
        <f>IF(C3588=0,0,VLOOKUP(C3588,Tabla1[],3,FALSE))</f>
        <v>0</v>
      </c>
      <c r="K3588" s="84">
        <f t="shared" si="99"/>
        <v>0</v>
      </c>
      <c r="L3588" s="116">
        <f t="shared" si="98"/>
        <v>0</v>
      </c>
      <c r="O3588" s="48"/>
      <c r="P3588" s="49"/>
    </row>
    <row r="3589" spans="2:16" x14ac:dyDescent="0.3">
      <c r="B3589" s="120"/>
      <c r="C3589" s="429"/>
      <c r="D3589" s="409"/>
      <c r="E3589" s="114"/>
      <c r="F3589" s="83"/>
      <c r="G3589" s="74"/>
      <c r="I3589" s="115">
        <f>IF(C3589=0,0,VLOOKUP(C3589,Tabla1[],3,FALSE))</f>
        <v>0</v>
      </c>
      <c r="K3589" s="84">
        <f t="shared" si="99"/>
        <v>0</v>
      </c>
      <c r="L3589" s="116">
        <f t="shared" si="98"/>
        <v>0</v>
      </c>
      <c r="O3589" s="48"/>
      <c r="P3589" s="49"/>
    </row>
    <row r="3590" spans="2:16" x14ac:dyDescent="0.3">
      <c r="B3590" s="120"/>
      <c r="C3590" s="428"/>
      <c r="D3590" s="429"/>
      <c r="E3590" s="114"/>
      <c r="F3590" s="83"/>
      <c r="G3590" s="74"/>
      <c r="I3590" s="115">
        <f>IF(C3590=0,0,VLOOKUP(C3590,Tabla1[],3,FALSE))</f>
        <v>0</v>
      </c>
      <c r="K3590" s="84">
        <f t="shared" si="99"/>
        <v>0</v>
      </c>
      <c r="L3590" s="116">
        <f t="shared" si="98"/>
        <v>0</v>
      </c>
      <c r="O3590" s="48"/>
      <c r="P3590" s="49"/>
    </row>
    <row r="3591" spans="2:16" x14ac:dyDescent="0.3">
      <c r="B3591" s="120"/>
      <c r="C3591" s="428"/>
      <c r="D3591" s="429"/>
      <c r="E3591" s="114"/>
      <c r="F3591" s="83"/>
      <c r="G3591" s="74"/>
      <c r="I3591" s="115">
        <f>IF(C3591=0,0,VLOOKUP(C3591,Tabla1[],3,FALSE))</f>
        <v>0</v>
      </c>
      <c r="K3591" s="84">
        <f t="shared" si="99"/>
        <v>0</v>
      </c>
      <c r="L3591" s="116">
        <f t="shared" si="98"/>
        <v>0</v>
      </c>
      <c r="O3591" s="48"/>
      <c r="P3591" s="49"/>
    </row>
    <row r="3592" spans="2:16" x14ac:dyDescent="0.3">
      <c r="B3592" s="120"/>
      <c r="C3592" s="430"/>
      <c r="D3592" s="429"/>
      <c r="E3592" s="114"/>
      <c r="F3592" s="83"/>
      <c r="G3592" s="74"/>
      <c r="I3592" s="115">
        <f>IF(C3592=0,0,VLOOKUP(C3592,Tabla1[],3,FALSE))</f>
        <v>0</v>
      </c>
      <c r="K3592" s="84">
        <f t="shared" si="99"/>
        <v>0</v>
      </c>
      <c r="L3592" s="116">
        <f t="shared" si="98"/>
        <v>0</v>
      </c>
      <c r="O3592" s="48"/>
      <c r="P3592" s="43"/>
    </row>
    <row r="3593" spans="2:16" ht="17.25" thickBot="1" x14ac:dyDescent="0.35"/>
    <row r="3594" spans="2:16" ht="17.25" thickBot="1" x14ac:dyDescent="0.3">
      <c r="F3594" s="402" t="s">
        <v>9</v>
      </c>
      <c r="G3594" s="403"/>
      <c r="H3594" s="403"/>
      <c r="I3594" s="404"/>
      <c r="K3594" s="224">
        <f>+SUM(K3583:K3592)</f>
        <v>0</v>
      </c>
      <c r="L3594" s="117">
        <f>+SUM(L3583:L3592)</f>
        <v>0</v>
      </c>
      <c r="O3594" s="38"/>
      <c r="P3594" s="38"/>
    </row>
    <row r="3595" spans="2:16" ht="17.25" thickBot="1" x14ac:dyDescent="0.35">
      <c r="O3595" s="42"/>
      <c r="P3595" s="43"/>
    </row>
    <row r="3596" spans="2:16" ht="17.25" thickBot="1" x14ac:dyDescent="0.35">
      <c r="B3596" s="108" t="s">
        <v>10</v>
      </c>
      <c r="C3596" s="413" t="s">
        <v>11</v>
      </c>
      <c r="D3596" s="413"/>
      <c r="E3596" s="413"/>
      <c r="F3596" s="413"/>
      <c r="G3596" s="414"/>
    </row>
    <row r="3597" spans="2:16" x14ac:dyDescent="0.3">
      <c r="B3597" s="112" t="s">
        <v>6</v>
      </c>
      <c r="C3597" s="415" t="s">
        <v>1</v>
      </c>
      <c r="D3597" s="416"/>
      <c r="E3597" s="110" t="s">
        <v>192</v>
      </c>
      <c r="F3597" s="118" t="s">
        <v>2</v>
      </c>
      <c r="G3597" s="112" t="s">
        <v>3</v>
      </c>
      <c r="H3597" s="104"/>
      <c r="I3597" s="105" t="s">
        <v>7</v>
      </c>
      <c r="J3597" s="134"/>
      <c r="K3597" s="105" t="s">
        <v>8</v>
      </c>
      <c r="L3597" s="113" t="s">
        <v>193</v>
      </c>
    </row>
    <row r="3598" spans="2:16" x14ac:dyDescent="0.3">
      <c r="B3598" s="120"/>
      <c r="C3598" s="409"/>
      <c r="D3598" s="409"/>
      <c r="E3598" s="114"/>
      <c r="F3598" s="83"/>
      <c r="G3598" s="74"/>
      <c r="I3598" s="115">
        <f>IF(C3598=0,0,VLOOKUP(C3598,Tabla3[],3,FALSE))</f>
        <v>0</v>
      </c>
      <c r="K3598" s="84">
        <f>F3598*I3598</f>
        <v>0</v>
      </c>
      <c r="L3598" s="116">
        <f>E3598*I3598</f>
        <v>0</v>
      </c>
    </row>
    <row r="3599" spans="2:16" x14ac:dyDescent="0.3">
      <c r="B3599" s="74"/>
      <c r="C3599" s="431"/>
      <c r="D3599" s="432"/>
      <c r="E3599" s="119"/>
      <c r="F3599" s="72"/>
      <c r="G3599" s="74"/>
      <c r="I3599" s="115">
        <f>IF(C3599=0,0,VLOOKUP(C3599,Tabla3[],3,FALSE))</f>
        <v>0</v>
      </c>
      <c r="K3599" s="84">
        <f>+F3599*I3599</f>
        <v>0</v>
      </c>
      <c r="L3599" s="116">
        <f>E3599*I3599</f>
        <v>0</v>
      </c>
    </row>
    <row r="3600" spans="2:16" x14ac:dyDescent="0.3">
      <c r="B3600" s="74"/>
      <c r="C3600" s="431"/>
      <c r="D3600" s="432"/>
      <c r="E3600" s="119"/>
      <c r="F3600" s="72"/>
      <c r="G3600" s="74"/>
      <c r="I3600" s="115">
        <f>IF(C3600=0,0,VLOOKUP(C3600,Tabla3[],3,FALSE))</f>
        <v>0</v>
      </c>
      <c r="K3600" s="84">
        <f>+F3600*I3600</f>
        <v>0</v>
      </c>
      <c r="L3600" s="116">
        <f>E3600*I3600</f>
        <v>0</v>
      </c>
    </row>
    <row r="3601" spans="2:12" x14ac:dyDescent="0.3">
      <c r="B3601" s="74"/>
      <c r="C3601" s="411"/>
      <c r="D3601" s="412"/>
      <c r="E3601" s="119"/>
      <c r="F3601" s="72"/>
      <c r="G3601" s="74"/>
      <c r="I3601" s="115">
        <f>IF(C3601=0,0,VLOOKUP(C3601,Tabla3[],3,FALSE))</f>
        <v>0</v>
      </c>
      <c r="K3601" s="84">
        <f>+F3601*I3601</f>
        <v>0</v>
      </c>
      <c r="L3601" s="116">
        <f>E3601*I3601</f>
        <v>0</v>
      </c>
    </row>
    <row r="3602" spans="2:12" ht="17.25" thickBot="1" x14ac:dyDescent="0.35"/>
    <row r="3603" spans="2:12" ht="17.25" thickBot="1" x14ac:dyDescent="0.35">
      <c r="F3603" s="402" t="s">
        <v>12</v>
      </c>
      <c r="G3603" s="403"/>
      <c r="H3603" s="403"/>
      <c r="I3603" s="404"/>
      <c r="K3603" s="224">
        <f>+SUM(K3598:K3601)</f>
        <v>0</v>
      </c>
      <c r="L3603" s="117">
        <f>+SUM(L3598:L3601)</f>
        <v>0</v>
      </c>
    </row>
    <row r="3604" spans="2:12" ht="17.25" thickBot="1" x14ac:dyDescent="0.35"/>
    <row r="3605" spans="2:12" ht="17.25" thickBot="1" x14ac:dyDescent="0.35">
      <c r="B3605" s="108" t="s">
        <v>13</v>
      </c>
      <c r="C3605" s="413" t="s">
        <v>14</v>
      </c>
      <c r="D3605" s="413"/>
      <c r="E3605" s="413"/>
      <c r="F3605" s="413"/>
      <c r="G3605" s="414"/>
    </row>
    <row r="3606" spans="2:12" x14ac:dyDescent="0.3">
      <c r="B3606" s="112" t="s">
        <v>6</v>
      </c>
      <c r="C3606" s="415" t="s">
        <v>1</v>
      </c>
      <c r="D3606" s="416"/>
      <c r="E3606" s="110" t="s">
        <v>192</v>
      </c>
      <c r="F3606" s="118" t="s">
        <v>2</v>
      </c>
      <c r="G3606" s="112" t="s">
        <v>3</v>
      </c>
      <c r="H3606" s="104"/>
      <c r="I3606" s="105" t="s">
        <v>7</v>
      </c>
      <c r="J3606" s="134"/>
      <c r="K3606" s="105" t="s">
        <v>8</v>
      </c>
      <c r="L3606" s="113" t="s">
        <v>193</v>
      </c>
    </row>
    <row r="3607" spans="2:12" x14ac:dyDescent="0.3">
      <c r="B3607" s="120">
        <v>1</v>
      </c>
      <c r="C3607" s="434" t="s">
        <v>516</v>
      </c>
      <c r="D3607" s="434"/>
      <c r="E3607" s="114">
        <f>I3579</f>
        <v>10</v>
      </c>
      <c r="F3607" s="83">
        <f>ROUND(E3607/I3579,2)</f>
        <v>1</v>
      </c>
      <c r="G3607" s="74" t="str">
        <f>IF(C3607=0,0,VLOOKUP(C3607,Tabla2[],2,FALSE))</f>
        <v>m²</v>
      </c>
      <c r="I3607" s="115">
        <f>IF(C3607=0,0,VLOOKUP(C3607,Tabla2[],3,FALSE))</f>
        <v>185</v>
      </c>
      <c r="K3607" s="84">
        <f>+F3607*I3607</f>
        <v>185</v>
      </c>
      <c r="L3607" s="116">
        <f>E3607*I3607</f>
        <v>1850</v>
      </c>
    </row>
    <row r="3608" spans="2:12" x14ac:dyDescent="0.3">
      <c r="B3608" s="120"/>
      <c r="C3608" s="409"/>
      <c r="D3608" s="409"/>
      <c r="E3608" s="114"/>
      <c r="F3608" s="83"/>
      <c r="G3608" s="74"/>
      <c r="I3608" s="115">
        <f>IF(C3608=0,0,VLOOKUP(C3608,Tabla2[],3,FALSE))</f>
        <v>0</v>
      </c>
      <c r="K3608" s="84">
        <f>+F3608*I3608</f>
        <v>0</v>
      </c>
      <c r="L3608" s="116">
        <f>E3608*I3608</f>
        <v>0</v>
      </c>
    </row>
    <row r="3609" spans="2:12" ht="17.25" thickBot="1" x14ac:dyDescent="0.35">
      <c r="B3609" s="121"/>
      <c r="C3609" s="417"/>
      <c r="D3609" s="418"/>
      <c r="E3609" s="122"/>
      <c r="F3609" s="123"/>
      <c r="G3609" s="74"/>
      <c r="I3609" s="115">
        <f>IF(C3609=0,0,VLOOKUP(C3609,Tabla2[],3,FALSE))</f>
        <v>0</v>
      </c>
      <c r="K3609" s="84">
        <f>+F3609*I3609</f>
        <v>0</v>
      </c>
      <c r="L3609" s="116">
        <f>E3609*I3609</f>
        <v>0</v>
      </c>
    </row>
    <row r="3610" spans="2:12" ht="17.25" thickBot="1" x14ac:dyDescent="0.35">
      <c r="B3610" s="419" t="s">
        <v>15</v>
      </c>
      <c r="C3610" s="420"/>
      <c r="D3610" s="420"/>
      <c r="E3610" s="420"/>
      <c r="F3610" s="420"/>
      <c r="G3610" s="421"/>
      <c r="I3610" s="84">
        <v>0</v>
      </c>
      <c r="K3610" s="84">
        <v>0</v>
      </c>
      <c r="L3610" s="116">
        <f>E3610*I3610</f>
        <v>0</v>
      </c>
    </row>
    <row r="3611" spans="2:12" ht="17.25" thickBot="1" x14ac:dyDescent="0.35"/>
    <row r="3612" spans="2:12" ht="17.25" thickBot="1" x14ac:dyDescent="0.35">
      <c r="F3612" s="402" t="s">
        <v>16</v>
      </c>
      <c r="G3612" s="403"/>
      <c r="H3612" s="403"/>
      <c r="I3612" s="404"/>
      <c r="K3612" s="224">
        <f>+SUM(K3607:K3610)</f>
        <v>185</v>
      </c>
      <c r="L3612" s="117">
        <f>+SUM(L3607:L3610)</f>
        <v>1850</v>
      </c>
    </row>
    <row r="3613" spans="2:12" ht="17.25" thickBot="1" x14ac:dyDescent="0.35"/>
    <row r="3614" spans="2:12" ht="17.25" thickBot="1" x14ac:dyDescent="0.35">
      <c r="B3614" s="108" t="s">
        <v>17</v>
      </c>
      <c r="C3614" s="413" t="s">
        <v>18</v>
      </c>
      <c r="D3614" s="413"/>
      <c r="E3614" s="413"/>
      <c r="F3614" s="413"/>
      <c r="G3614" s="414"/>
    </row>
    <row r="3615" spans="2:12" x14ac:dyDescent="0.3">
      <c r="B3615" s="112" t="s">
        <v>6</v>
      </c>
      <c r="C3615" s="415" t="s">
        <v>1</v>
      </c>
      <c r="D3615" s="416"/>
      <c r="E3615" s="124"/>
      <c r="F3615" s="118" t="s">
        <v>2</v>
      </c>
      <c r="G3615" s="112" t="s">
        <v>3</v>
      </c>
      <c r="H3615" s="104"/>
      <c r="I3615" s="105" t="s">
        <v>7</v>
      </c>
      <c r="J3615" s="134"/>
      <c r="K3615" s="105" t="s">
        <v>8</v>
      </c>
      <c r="L3615" s="113" t="s">
        <v>193</v>
      </c>
    </row>
    <row r="3616" spans="2:12" x14ac:dyDescent="0.3">
      <c r="B3616" s="74"/>
      <c r="C3616" s="411"/>
      <c r="D3616" s="412"/>
      <c r="E3616" s="125"/>
      <c r="F3616" s="72"/>
      <c r="G3616" s="74"/>
      <c r="I3616" s="84">
        <v>0</v>
      </c>
      <c r="K3616" s="84">
        <f>+F3616*I3616</f>
        <v>0</v>
      </c>
      <c r="L3616" s="116">
        <f>E3616*I3616</f>
        <v>0</v>
      </c>
    </row>
    <row r="3617" spans="2:16" x14ac:dyDescent="0.3">
      <c r="B3617" s="74"/>
      <c r="C3617" s="411"/>
      <c r="D3617" s="412"/>
      <c r="E3617" s="125"/>
      <c r="F3617" s="72"/>
      <c r="G3617" s="74"/>
      <c r="I3617" s="84">
        <v>0</v>
      </c>
      <c r="K3617" s="84">
        <f>+F3617*I3617</f>
        <v>0</v>
      </c>
      <c r="L3617" s="116">
        <f>E3617*I3617</f>
        <v>0</v>
      </c>
    </row>
    <row r="3618" spans="2:16" x14ac:dyDescent="0.3">
      <c r="B3618" s="74"/>
      <c r="C3618" s="411"/>
      <c r="D3618" s="412"/>
      <c r="E3618" s="125"/>
      <c r="F3618" s="72"/>
      <c r="G3618" s="74"/>
      <c r="I3618" s="84">
        <v>0</v>
      </c>
      <c r="K3618" s="84">
        <f>+F3618*I3618</f>
        <v>0</v>
      </c>
      <c r="L3618" s="116">
        <f>E3618*I3618</f>
        <v>0</v>
      </c>
    </row>
    <row r="3619" spans="2:16" ht="17.25" thickBot="1" x14ac:dyDescent="0.35">
      <c r="L3619" s="116"/>
    </row>
    <row r="3620" spans="2:16" ht="17.25" thickBot="1" x14ac:dyDescent="0.35">
      <c r="F3620" s="402" t="s">
        <v>19</v>
      </c>
      <c r="G3620" s="403"/>
      <c r="H3620" s="403"/>
      <c r="I3620" s="404"/>
      <c r="K3620" s="224">
        <f>+SUM(K3616:K3618)</f>
        <v>0</v>
      </c>
      <c r="L3620" s="117">
        <f>+SUM(L3615:L3618)</f>
        <v>0</v>
      </c>
    </row>
    <row r="3621" spans="2:16" ht="15" customHeight="1" x14ac:dyDescent="0.3">
      <c r="F3621" s="126"/>
      <c r="G3621" s="280"/>
      <c r="H3621" s="128"/>
      <c r="I3621" s="106"/>
      <c r="K3621" s="225"/>
    </row>
    <row r="3622" spans="2:16" ht="15" customHeight="1" thickBot="1" x14ac:dyDescent="0.35"/>
    <row r="3623" spans="2:16" ht="17.25" thickBot="1" x14ac:dyDescent="0.35">
      <c r="F3623" s="402" t="s">
        <v>20</v>
      </c>
      <c r="G3623" s="403"/>
      <c r="H3623" s="403"/>
      <c r="I3623" s="404"/>
      <c r="K3623" s="224">
        <f>(+K3594+K3603+K3612+K3620)</f>
        <v>185</v>
      </c>
      <c r="L3623" s="117">
        <f>(+L3594+L3603+L3612+L3620)</f>
        <v>1850</v>
      </c>
      <c r="N3623" s="129"/>
      <c r="O3623" s="39"/>
      <c r="P3623" s="40"/>
    </row>
    <row r="3624" spans="2:16" ht="7.5" customHeight="1" thickBot="1" x14ac:dyDescent="0.35">
      <c r="N3624" s="129"/>
      <c r="O3624" s="41"/>
      <c r="P3624" s="40"/>
    </row>
    <row r="3625" spans="2:16" ht="17.25" thickBot="1" x14ac:dyDescent="0.35">
      <c r="F3625" s="402" t="s">
        <v>21</v>
      </c>
      <c r="G3625" s="403"/>
      <c r="H3625" s="403"/>
      <c r="I3625" s="404"/>
      <c r="K3625" s="224">
        <f>K3623*$N$2</f>
        <v>74</v>
      </c>
      <c r="L3625" s="117">
        <f>L3623*$N$2</f>
        <v>740</v>
      </c>
    </row>
    <row r="3626" spans="2:16" ht="7.5" customHeight="1" thickBot="1" x14ac:dyDescent="0.35"/>
    <row r="3627" spans="2:16" ht="17.25" thickBot="1" x14ac:dyDescent="0.35">
      <c r="F3627" s="402" t="s">
        <v>22</v>
      </c>
      <c r="G3627" s="403"/>
      <c r="H3627" s="403"/>
      <c r="I3627" s="404"/>
      <c r="K3627" s="224">
        <f>+K3623+K3625</f>
        <v>259</v>
      </c>
      <c r="L3627" s="117">
        <f>+L3623+L3625</f>
        <v>2590</v>
      </c>
    </row>
    <row r="3628" spans="2:16" ht="17.25" thickBot="1" x14ac:dyDescent="0.35">
      <c r="F3628" s="126"/>
      <c r="G3628" s="280"/>
      <c r="H3628" s="128"/>
      <c r="I3628" s="106"/>
      <c r="K3628" s="226"/>
      <c r="L3628" s="130">
        <f>L3627/I3579</f>
        <v>259</v>
      </c>
      <c r="M3628" s="131">
        <f>(K3627-L3628)*I3579</f>
        <v>0</v>
      </c>
    </row>
    <row r="3629" spans="2:16" x14ac:dyDescent="0.3">
      <c r="F3629" s="126"/>
      <c r="G3629" s="280"/>
      <c r="H3629" s="128"/>
      <c r="I3629" s="106"/>
      <c r="K3629" s="227"/>
      <c r="L3629" s="129"/>
      <c r="M3629" s="132"/>
      <c r="N3629" s="133"/>
    </row>
    <row r="3630" spans="2:16" ht="17.25" thickBot="1" x14ac:dyDescent="0.35">
      <c r="B3630" s="405"/>
      <c r="C3630" s="405"/>
      <c r="D3630" s="405"/>
    </row>
    <row r="3631" spans="2:16" x14ac:dyDescent="0.3">
      <c r="B3631" s="406" t="s">
        <v>23</v>
      </c>
      <c r="C3631" s="406"/>
      <c r="D3631" s="406"/>
    </row>
    <row r="3632" spans="2:16" x14ac:dyDescent="0.3">
      <c r="B3632" s="281"/>
      <c r="C3632" s="281"/>
      <c r="D3632" s="281"/>
    </row>
    <row r="3634" spans="1:16" x14ac:dyDescent="0.3">
      <c r="B3634" s="103" t="s">
        <v>43</v>
      </c>
      <c r="C3634" s="104"/>
      <c r="D3634" s="422" t="s">
        <v>1</v>
      </c>
      <c r="E3634" s="422"/>
      <c r="F3634" s="422"/>
      <c r="G3634" s="422"/>
      <c r="H3634" s="104"/>
      <c r="I3634" s="105" t="s">
        <v>2</v>
      </c>
      <c r="J3634" s="134"/>
      <c r="K3634" s="105" t="s">
        <v>3</v>
      </c>
    </row>
    <row r="3635" spans="1:16" s="4" customFormat="1" ht="30.75" customHeight="1" x14ac:dyDescent="0.25">
      <c r="A3635" s="31"/>
      <c r="B3635" s="287">
        <f>CATALOGO!B120</f>
        <v>1109.03</v>
      </c>
      <c r="C3635" s="71"/>
      <c r="D3635" s="436" t="str">
        <f>CATALOGO!C120</f>
        <v>LÁMPARA LED TIPO LISTON 2 TUBOS (18 WATS)</v>
      </c>
      <c r="E3635" s="436"/>
      <c r="F3635" s="436"/>
      <c r="G3635" s="436"/>
      <c r="H3635" s="71"/>
      <c r="I3635" s="287">
        <f>CATALOGO!D120</f>
        <v>3</v>
      </c>
      <c r="J3635" s="107"/>
      <c r="K3635" s="222" t="str">
        <f>CATALOGO!G120</f>
        <v>Unidad</v>
      </c>
      <c r="L3635" s="71"/>
      <c r="M3635" s="71"/>
      <c r="N3635" s="71"/>
      <c r="O3635" s="37"/>
      <c r="P3635" s="37"/>
    </row>
    <row r="3636" spans="1:16" ht="17.25" thickBot="1" x14ac:dyDescent="0.35"/>
    <row r="3637" spans="1:16" ht="17.25" thickBot="1" x14ac:dyDescent="0.35">
      <c r="B3637" s="108" t="s">
        <v>4</v>
      </c>
      <c r="C3637" s="413" t="s">
        <v>5</v>
      </c>
      <c r="D3637" s="413"/>
      <c r="E3637" s="413"/>
      <c r="F3637" s="413"/>
      <c r="G3637" s="414"/>
    </row>
    <row r="3638" spans="1:16" x14ac:dyDescent="0.25">
      <c r="B3638" s="109" t="s">
        <v>6</v>
      </c>
      <c r="C3638" s="424" t="s">
        <v>1</v>
      </c>
      <c r="D3638" s="425"/>
      <c r="E3638" s="110" t="s">
        <v>192</v>
      </c>
      <c r="F3638" s="111" t="s">
        <v>2</v>
      </c>
      <c r="G3638" s="112" t="s">
        <v>3</v>
      </c>
      <c r="H3638" s="104"/>
      <c r="I3638" s="105" t="s">
        <v>7</v>
      </c>
      <c r="J3638" s="134"/>
      <c r="K3638" s="223" t="s">
        <v>8</v>
      </c>
      <c r="L3638" s="113" t="s">
        <v>193</v>
      </c>
      <c r="O3638" s="438"/>
      <c r="P3638" s="438"/>
    </row>
    <row r="3639" spans="1:16" ht="17.25" customHeight="1" x14ac:dyDescent="0.25">
      <c r="B3639" s="120">
        <v>1</v>
      </c>
      <c r="C3639" s="407" t="s">
        <v>257</v>
      </c>
      <c r="D3639" s="408"/>
      <c r="E3639" s="114">
        <f>I3635</f>
        <v>3</v>
      </c>
      <c r="F3639" s="83">
        <f>ROUND(E3639/I3635,2)</f>
        <v>1</v>
      </c>
      <c r="G3639" s="74" t="str">
        <f>IF(C3639=0,0,VLOOKUP(C3639,Tabla1[],2,FALSE))</f>
        <v>Unidad</v>
      </c>
      <c r="I3639" s="115">
        <f>IF(C3639=0,0,VLOOKUP(C3639,Tabla1[],3,FALSE))</f>
        <v>75</v>
      </c>
      <c r="K3639" s="84">
        <f>F3639*I3639</f>
        <v>75</v>
      </c>
      <c r="L3639" s="116">
        <f t="shared" ref="L3639:L3644" si="100">E3639*I3639</f>
        <v>225</v>
      </c>
      <c r="O3639" s="44"/>
      <c r="P3639" s="45"/>
    </row>
    <row r="3640" spans="1:16" ht="17.25" customHeight="1" x14ac:dyDescent="0.25">
      <c r="B3640" s="120">
        <v>2</v>
      </c>
      <c r="C3640" s="407" t="s">
        <v>258</v>
      </c>
      <c r="D3640" s="408"/>
      <c r="E3640" s="114">
        <f>E3639*2</f>
        <v>6</v>
      </c>
      <c r="F3640" s="83">
        <f>ROUND(E3640/I3635,2)</f>
        <v>2</v>
      </c>
      <c r="G3640" s="74" t="str">
        <f>IF(C3640=0,0,VLOOKUP(C3640,Tabla1[],2,FALSE))</f>
        <v>Unidad</v>
      </c>
      <c r="I3640" s="115">
        <f>IF(C3640=0,0,VLOOKUP(C3640,Tabla1[],3,FALSE))</f>
        <v>40</v>
      </c>
      <c r="K3640" s="84">
        <f>F3640*I3640</f>
        <v>80</v>
      </c>
      <c r="L3640" s="116">
        <f t="shared" si="100"/>
        <v>240</v>
      </c>
      <c r="O3640" s="44"/>
      <c r="P3640" s="45"/>
    </row>
    <row r="3641" spans="1:16" x14ac:dyDescent="0.25">
      <c r="B3641" s="120">
        <v>3</v>
      </c>
      <c r="C3641" s="430" t="s">
        <v>249</v>
      </c>
      <c r="D3641" s="429"/>
      <c r="E3641" s="114">
        <f>I3635*45</f>
        <v>135</v>
      </c>
      <c r="F3641" s="83">
        <f>ROUND(E3641/I3635,1)</f>
        <v>45</v>
      </c>
      <c r="G3641" s="74" t="str">
        <f>IF(C3641=0,0,VLOOKUP(C3641,Tabla1[],2,FALSE))</f>
        <v>ml</v>
      </c>
      <c r="I3641" s="115">
        <f>IF(C3641=0,0,VLOOKUP(C3641,Tabla1[],3,FALSE))</f>
        <v>5</v>
      </c>
      <c r="K3641" s="84">
        <f>+F3641*I3641</f>
        <v>225</v>
      </c>
      <c r="L3641" s="116">
        <f t="shared" si="100"/>
        <v>675</v>
      </c>
      <c r="O3641" s="44"/>
      <c r="P3641" s="46"/>
    </row>
    <row r="3642" spans="1:16" x14ac:dyDescent="0.25">
      <c r="B3642" s="120">
        <v>4</v>
      </c>
      <c r="C3642" s="430" t="s">
        <v>254</v>
      </c>
      <c r="D3642" s="429"/>
      <c r="E3642" s="114">
        <f>I3635</f>
        <v>3</v>
      </c>
      <c r="F3642" s="83">
        <f>ROUND(E3642/I3635,1)</f>
        <v>1</v>
      </c>
      <c r="G3642" s="74" t="str">
        <f>IF(C3642=0,0,VLOOKUP(C3642,Tabla1[],2,FALSE))</f>
        <v>Unidad</v>
      </c>
      <c r="I3642" s="115">
        <f>IF(C3642=0,0,VLOOKUP(C3642,Tabla1[],3,FALSE))</f>
        <v>5</v>
      </c>
      <c r="K3642" s="84">
        <f>+F3642*I3642</f>
        <v>5</v>
      </c>
      <c r="L3642" s="116">
        <f t="shared" si="100"/>
        <v>15</v>
      </c>
      <c r="O3642" s="44"/>
      <c r="P3642" s="46"/>
    </row>
    <row r="3643" spans="1:16" x14ac:dyDescent="0.3">
      <c r="B3643" s="120">
        <v>5</v>
      </c>
      <c r="C3643" s="430" t="s">
        <v>253</v>
      </c>
      <c r="D3643" s="429"/>
      <c r="E3643" s="114">
        <f>I3635*2.5</f>
        <v>7.5</v>
      </c>
      <c r="F3643" s="83">
        <f>ROUND(E3643/I3635,2)</f>
        <v>2.5</v>
      </c>
      <c r="G3643" s="74" t="str">
        <f>IF(C3643=0,0,VLOOKUP(C3643,Tabla1[],2,FALSE))</f>
        <v>Unidad</v>
      </c>
      <c r="I3643" s="115">
        <f>IF(C3643=0,0,VLOOKUP(C3643,Tabla1[],3,FALSE))</f>
        <v>20</v>
      </c>
      <c r="K3643" s="84">
        <f>+F3643*I3643</f>
        <v>50</v>
      </c>
      <c r="L3643" s="116">
        <f t="shared" si="100"/>
        <v>150</v>
      </c>
      <c r="O3643" s="48"/>
      <c r="P3643" s="49"/>
    </row>
    <row r="3644" spans="1:16" x14ac:dyDescent="0.3">
      <c r="B3644" s="120">
        <v>6</v>
      </c>
      <c r="C3644" s="430" t="s">
        <v>259</v>
      </c>
      <c r="D3644" s="429"/>
      <c r="E3644" s="114">
        <f>I3635*6</f>
        <v>18</v>
      </c>
      <c r="F3644" s="83">
        <f>ROUND(E3644/I3635,2)</f>
        <v>6</v>
      </c>
      <c r="G3644" s="74" t="str">
        <f>IF(C3644=0,0,VLOOKUP(C3644,Tabla1[],2,FALSE))</f>
        <v>Unidad</v>
      </c>
      <c r="I3644" s="115">
        <f>IF(C3644=0,0,VLOOKUP(C3644,Tabla1[],3,FALSE))</f>
        <v>5</v>
      </c>
      <c r="K3644" s="84">
        <f>+F3644*I3644</f>
        <v>30</v>
      </c>
      <c r="L3644" s="116">
        <f t="shared" si="100"/>
        <v>90</v>
      </c>
      <c r="O3644" s="48"/>
      <c r="P3644" s="49"/>
    </row>
    <row r="3645" spans="1:16" ht="17.25" thickBot="1" x14ac:dyDescent="0.35"/>
    <row r="3646" spans="1:16" ht="17.25" thickBot="1" x14ac:dyDescent="0.3">
      <c r="F3646" s="402" t="s">
        <v>9</v>
      </c>
      <c r="G3646" s="403"/>
      <c r="H3646" s="403"/>
      <c r="I3646" s="404"/>
      <c r="K3646" s="224">
        <f>+SUM(K3639:K3644)</f>
        <v>465</v>
      </c>
      <c r="L3646" s="117">
        <f>+SUM(L3639:L3644)</f>
        <v>1395</v>
      </c>
      <c r="O3646" s="38"/>
      <c r="P3646" s="38"/>
    </row>
    <row r="3647" spans="1:16" ht="17.25" thickBot="1" x14ac:dyDescent="0.35">
      <c r="O3647" s="42"/>
      <c r="P3647" s="43"/>
    </row>
    <row r="3648" spans="1:16" ht="17.25" thickBot="1" x14ac:dyDescent="0.35">
      <c r="B3648" s="108" t="s">
        <v>10</v>
      </c>
      <c r="C3648" s="413" t="s">
        <v>11</v>
      </c>
      <c r="D3648" s="413"/>
      <c r="E3648" s="413"/>
      <c r="F3648" s="413"/>
      <c r="G3648" s="414"/>
    </row>
    <row r="3649" spans="2:12" x14ac:dyDescent="0.3">
      <c r="B3649" s="112" t="s">
        <v>6</v>
      </c>
      <c r="C3649" s="415" t="s">
        <v>1</v>
      </c>
      <c r="D3649" s="416"/>
      <c r="E3649" s="110" t="s">
        <v>192</v>
      </c>
      <c r="F3649" s="118" t="s">
        <v>2</v>
      </c>
      <c r="G3649" s="112" t="s">
        <v>3</v>
      </c>
      <c r="H3649" s="104"/>
      <c r="I3649" s="105" t="s">
        <v>7</v>
      </c>
      <c r="J3649" s="134"/>
      <c r="K3649" s="105" t="s">
        <v>8</v>
      </c>
      <c r="L3649" s="113" t="s">
        <v>193</v>
      </c>
    </row>
    <row r="3650" spans="2:12" x14ac:dyDescent="0.3">
      <c r="B3650" s="120"/>
      <c r="C3650" s="409"/>
      <c r="D3650" s="409"/>
      <c r="E3650" s="114"/>
      <c r="F3650" s="83"/>
      <c r="G3650" s="74"/>
      <c r="I3650" s="115">
        <f>IF(C3650=0,0,VLOOKUP(C3650,Tabla3[],3,FALSE))</f>
        <v>0</v>
      </c>
      <c r="K3650" s="84">
        <f>F3650*I3650</f>
        <v>0</v>
      </c>
      <c r="L3650" s="116">
        <f>E3650*I3650</f>
        <v>0</v>
      </c>
    </row>
    <row r="3651" spans="2:12" x14ac:dyDescent="0.3">
      <c r="B3651" s="74"/>
      <c r="C3651" s="431"/>
      <c r="D3651" s="432"/>
      <c r="E3651" s="119"/>
      <c r="F3651" s="72"/>
      <c r="G3651" s="74"/>
      <c r="I3651" s="115">
        <f>IF(C3651=0,0,VLOOKUP(C3651,Tabla3[],3,FALSE))</f>
        <v>0</v>
      </c>
      <c r="K3651" s="84">
        <f>+F3651*I3651</f>
        <v>0</v>
      </c>
      <c r="L3651" s="116">
        <f>E3651*I3651</f>
        <v>0</v>
      </c>
    </row>
    <row r="3652" spans="2:12" x14ac:dyDescent="0.3">
      <c r="B3652" s="74"/>
      <c r="C3652" s="431"/>
      <c r="D3652" s="432"/>
      <c r="E3652" s="119"/>
      <c r="F3652" s="72"/>
      <c r="G3652" s="74"/>
      <c r="I3652" s="115">
        <f>IF(C3652=0,0,VLOOKUP(C3652,Tabla3[],3,FALSE))</f>
        <v>0</v>
      </c>
      <c r="K3652" s="84">
        <f>+F3652*I3652</f>
        <v>0</v>
      </c>
      <c r="L3652" s="116">
        <f>E3652*I3652</f>
        <v>0</v>
      </c>
    </row>
    <row r="3653" spans="2:12" x14ac:dyDescent="0.3">
      <c r="B3653" s="74"/>
      <c r="C3653" s="411"/>
      <c r="D3653" s="412"/>
      <c r="E3653" s="119"/>
      <c r="F3653" s="72"/>
      <c r="G3653" s="74"/>
      <c r="I3653" s="115">
        <f>IF(C3653=0,0,VLOOKUP(C3653,Tabla3[],3,FALSE))</f>
        <v>0</v>
      </c>
      <c r="K3653" s="84">
        <f>+F3653*I3653</f>
        <v>0</v>
      </c>
      <c r="L3653" s="116">
        <f>E3653*I3653</f>
        <v>0</v>
      </c>
    </row>
    <row r="3654" spans="2:12" ht="17.25" thickBot="1" x14ac:dyDescent="0.35"/>
    <row r="3655" spans="2:12" ht="17.25" thickBot="1" x14ac:dyDescent="0.35">
      <c r="F3655" s="402" t="s">
        <v>12</v>
      </c>
      <c r="G3655" s="403"/>
      <c r="H3655" s="403"/>
      <c r="I3655" s="404"/>
      <c r="K3655" s="224">
        <f>+SUM(K3650:K3653)</f>
        <v>0</v>
      </c>
      <c r="L3655" s="117">
        <f>+SUM(L3650:L3653)</f>
        <v>0</v>
      </c>
    </row>
    <row r="3656" spans="2:12" ht="17.25" thickBot="1" x14ac:dyDescent="0.35"/>
    <row r="3657" spans="2:12" ht="17.25" thickBot="1" x14ac:dyDescent="0.35">
      <c r="B3657" s="108" t="s">
        <v>13</v>
      </c>
      <c r="C3657" s="413" t="s">
        <v>14</v>
      </c>
      <c r="D3657" s="413"/>
      <c r="E3657" s="413"/>
      <c r="F3657" s="413"/>
      <c r="G3657" s="414"/>
    </row>
    <row r="3658" spans="2:12" x14ac:dyDescent="0.3">
      <c r="B3658" s="112" t="s">
        <v>6</v>
      </c>
      <c r="C3658" s="415" t="s">
        <v>1</v>
      </c>
      <c r="D3658" s="416"/>
      <c r="E3658" s="110" t="s">
        <v>192</v>
      </c>
      <c r="F3658" s="118" t="s">
        <v>2</v>
      </c>
      <c r="G3658" s="112" t="s">
        <v>3</v>
      </c>
      <c r="H3658" s="104"/>
      <c r="I3658" s="105" t="s">
        <v>7</v>
      </c>
      <c r="J3658" s="134"/>
      <c r="K3658" s="105" t="s">
        <v>8</v>
      </c>
      <c r="L3658" s="113" t="s">
        <v>193</v>
      </c>
    </row>
    <row r="3659" spans="2:12" x14ac:dyDescent="0.3">
      <c r="B3659" s="120">
        <v>1</v>
      </c>
      <c r="C3659" s="409" t="s">
        <v>85</v>
      </c>
      <c r="D3659" s="409"/>
      <c r="E3659" s="114">
        <f>I3635</f>
        <v>3</v>
      </c>
      <c r="F3659" s="83">
        <f>ROUND(E3659/I3635,2)</f>
        <v>1</v>
      </c>
      <c r="G3659" s="74" t="str">
        <f>IF(C3659=0,0,VLOOKUP(C3659,Tabla2[],2,FALSE))</f>
        <v>Unidad</v>
      </c>
      <c r="I3659" s="115">
        <f>IF(C3659=0,0,VLOOKUP(C3659,Tabla2[],3,FALSE))</f>
        <v>120</v>
      </c>
      <c r="K3659" s="84">
        <f>+F3659*I3659</f>
        <v>120</v>
      </c>
      <c r="L3659" s="116">
        <f>E3659*I3659</f>
        <v>360</v>
      </c>
    </row>
    <row r="3660" spans="2:12" x14ac:dyDescent="0.3">
      <c r="B3660" s="120"/>
      <c r="C3660" s="409"/>
      <c r="D3660" s="409"/>
      <c r="E3660" s="114"/>
      <c r="F3660" s="83"/>
      <c r="G3660" s="74"/>
      <c r="I3660" s="115">
        <f>IF(C3660=0,0,VLOOKUP(C3660,Tabla2[],3,FALSE))</f>
        <v>0</v>
      </c>
      <c r="K3660" s="84">
        <f>+F3660*I3660</f>
        <v>0</v>
      </c>
      <c r="L3660" s="116">
        <f>E3660*I3660</f>
        <v>0</v>
      </c>
    </row>
    <row r="3661" spans="2:12" ht="17.25" thickBot="1" x14ac:dyDescent="0.35">
      <c r="B3661" s="121"/>
      <c r="C3661" s="417"/>
      <c r="D3661" s="418"/>
      <c r="E3661" s="122"/>
      <c r="F3661" s="123"/>
      <c r="G3661" s="74"/>
      <c r="I3661" s="115">
        <f>IF(C3661=0,0,VLOOKUP(C3661,Tabla2[],3,FALSE))</f>
        <v>0</v>
      </c>
      <c r="K3661" s="84">
        <f>+F3661*I3661</f>
        <v>0</v>
      </c>
      <c r="L3661" s="116">
        <f>E3661*I3661</f>
        <v>0</v>
      </c>
    </row>
    <row r="3662" spans="2:12" ht="17.25" thickBot="1" x14ac:dyDescent="0.35">
      <c r="B3662" s="419" t="s">
        <v>15</v>
      </c>
      <c r="C3662" s="420"/>
      <c r="D3662" s="420"/>
      <c r="E3662" s="420"/>
      <c r="F3662" s="420"/>
      <c r="G3662" s="421"/>
      <c r="I3662" s="84">
        <v>0</v>
      </c>
      <c r="K3662" s="84">
        <v>0</v>
      </c>
      <c r="L3662" s="116">
        <f>E3662*I3662</f>
        <v>0</v>
      </c>
    </row>
    <row r="3663" spans="2:12" ht="17.25" thickBot="1" x14ac:dyDescent="0.35"/>
    <row r="3664" spans="2:12" ht="17.25" thickBot="1" x14ac:dyDescent="0.35">
      <c r="F3664" s="402" t="s">
        <v>16</v>
      </c>
      <c r="G3664" s="403"/>
      <c r="H3664" s="403"/>
      <c r="I3664" s="404"/>
      <c r="K3664" s="224">
        <f>+SUM(K3659:K3662)</f>
        <v>120</v>
      </c>
      <c r="L3664" s="117">
        <f>+SUM(L3659:L3662)</f>
        <v>360</v>
      </c>
    </row>
    <row r="3665" spans="2:16" ht="17.25" thickBot="1" x14ac:dyDescent="0.35"/>
    <row r="3666" spans="2:16" ht="17.25" thickBot="1" x14ac:dyDescent="0.35">
      <c r="B3666" s="108" t="s">
        <v>17</v>
      </c>
      <c r="C3666" s="413" t="s">
        <v>18</v>
      </c>
      <c r="D3666" s="413"/>
      <c r="E3666" s="413"/>
      <c r="F3666" s="413"/>
      <c r="G3666" s="414"/>
    </row>
    <row r="3667" spans="2:16" x14ac:dyDescent="0.3">
      <c r="B3667" s="112" t="s">
        <v>6</v>
      </c>
      <c r="C3667" s="415" t="s">
        <v>1</v>
      </c>
      <c r="D3667" s="416"/>
      <c r="E3667" s="124"/>
      <c r="F3667" s="118" t="s">
        <v>2</v>
      </c>
      <c r="G3667" s="112" t="s">
        <v>3</v>
      </c>
      <c r="H3667" s="104"/>
      <c r="I3667" s="105" t="s">
        <v>7</v>
      </c>
      <c r="J3667" s="134"/>
      <c r="K3667" s="105" t="s">
        <v>8</v>
      </c>
      <c r="L3667" s="113" t="s">
        <v>193</v>
      </c>
    </row>
    <row r="3668" spans="2:16" x14ac:dyDescent="0.3">
      <c r="B3668" s="74"/>
      <c r="C3668" s="411"/>
      <c r="D3668" s="412"/>
      <c r="E3668" s="125"/>
      <c r="F3668" s="72"/>
      <c r="G3668" s="74"/>
      <c r="I3668" s="84">
        <v>0</v>
      </c>
      <c r="K3668" s="84">
        <f>+F3668*I3668</f>
        <v>0</v>
      </c>
      <c r="L3668" s="116">
        <f>E3668*I3668</f>
        <v>0</v>
      </c>
    </row>
    <row r="3669" spans="2:16" x14ac:dyDescent="0.3">
      <c r="B3669" s="74"/>
      <c r="C3669" s="411"/>
      <c r="D3669" s="412"/>
      <c r="E3669" s="125"/>
      <c r="F3669" s="72"/>
      <c r="G3669" s="74"/>
      <c r="I3669" s="84">
        <v>0</v>
      </c>
      <c r="K3669" s="84">
        <f>+F3669*I3669</f>
        <v>0</v>
      </c>
      <c r="L3669" s="116">
        <f>E3669*I3669</f>
        <v>0</v>
      </c>
    </row>
    <row r="3670" spans="2:16" x14ac:dyDescent="0.3">
      <c r="B3670" s="74"/>
      <c r="C3670" s="411"/>
      <c r="D3670" s="412"/>
      <c r="E3670" s="125"/>
      <c r="F3670" s="72"/>
      <c r="G3670" s="74"/>
      <c r="I3670" s="84">
        <v>0</v>
      </c>
      <c r="K3670" s="84">
        <f>+F3670*I3670</f>
        <v>0</v>
      </c>
      <c r="L3670" s="116">
        <f>E3670*I3670</f>
        <v>0</v>
      </c>
    </row>
    <row r="3671" spans="2:16" ht="17.25" thickBot="1" x14ac:dyDescent="0.35">
      <c r="L3671" s="116"/>
    </row>
    <row r="3672" spans="2:16" ht="17.25" thickBot="1" x14ac:dyDescent="0.35">
      <c r="F3672" s="402" t="s">
        <v>19</v>
      </c>
      <c r="G3672" s="403"/>
      <c r="H3672" s="403"/>
      <c r="I3672" s="404"/>
      <c r="K3672" s="224">
        <f>+SUM(K3668:K3670)</f>
        <v>0</v>
      </c>
      <c r="L3672" s="117">
        <f>+SUM(L3667:L3670)</f>
        <v>0</v>
      </c>
    </row>
    <row r="3673" spans="2:16" ht="15" customHeight="1" x14ac:dyDescent="0.3">
      <c r="F3673" s="126"/>
      <c r="G3673" s="280"/>
      <c r="H3673" s="128"/>
      <c r="I3673" s="106"/>
      <c r="K3673" s="225"/>
    </row>
    <row r="3674" spans="2:16" ht="15" customHeight="1" thickBot="1" x14ac:dyDescent="0.35"/>
    <row r="3675" spans="2:16" ht="17.25" thickBot="1" x14ac:dyDescent="0.35">
      <c r="F3675" s="402" t="s">
        <v>20</v>
      </c>
      <c r="G3675" s="403"/>
      <c r="H3675" s="403"/>
      <c r="I3675" s="404"/>
      <c r="K3675" s="224">
        <f>(+K3646+K3655+K3664+K3672)</f>
        <v>585</v>
      </c>
      <c r="L3675" s="117">
        <f>(+L3646+L3655+L3664+L3672)</f>
        <v>1755</v>
      </c>
      <c r="N3675" s="129"/>
      <c r="O3675" s="39"/>
      <c r="P3675" s="40"/>
    </row>
    <row r="3676" spans="2:16" ht="7.5" customHeight="1" thickBot="1" x14ac:dyDescent="0.35">
      <c r="N3676" s="129"/>
      <c r="O3676" s="41"/>
      <c r="P3676" s="40"/>
    </row>
    <row r="3677" spans="2:16" ht="17.25" thickBot="1" x14ac:dyDescent="0.35">
      <c r="F3677" s="402" t="s">
        <v>21</v>
      </c>
      <c r="G3677" s="403"/>
      <c r="H3677" s="403"/>
      <c r="I3677" s="404"/>
      <c r="K3677" s="224">
        <f>K3675*$N$2</f>
        <v>234</v>
      </c>
      <c r="L3677" s="117">
        <f>L3675*$N$2</f>
        <v>702</v>
      </c>
    </row>
    <row r="3678" spans="2:16" ht="7.5" customHeight="1" thickBot="1" x14ac:dyDescent="0.35"/>
    <row r="3679" spans="2:16" ht="17.25" thickBot="1" x14ac:dyDescent="0.35">
      <c r="F3679" s="402" t="s">
        <v>22</v>
      </c>
      <c r="G3679" s="403"/>
      <c r="H3679" s="403"/>
      <c r="I3679" s="404"/>
      <c r="K3679" s="224">
        <f>+K3675+K3677</f>
        <v>819</v>
      </c>
      <c r="L3679" s="117">
        <f>+L3675+L3677</f>
        <v>2457</v>
      </c>
    </row>
    <row r="3680" spans="2:16" ht="17.25" thickBot="1" x14ac:dyDescent="0.35">
      <c r="F3680" s="126"/>
      <c r="G3680" s="280"/>
      <c r="H3680" s="128"/>
      <c r="I3680" s="106"/>
      <c r="K3680" s="226"/>
      <c r="L3680" s="130">
        <f>L3679/I3635</f>
        <v>819</v>
      </c>
      <c r="M3680" s="131">
        <f>(K3679-L3680)*I3635</f>
        <v>0</v>
      </c>
    </row>
    <row r="3681" spans="1:16" x14ac:dyDescent="0.3">
      <c r="F3681" s="126"/>
      <c r="G3681" s="280"/>
      <c r="H3681" s="128"/>
      <c r="I3681" s="106"/>
      <c r="K3681" s="227"/>
      <c r="L3681" s="129"/>
      <c r="M3681" s="132"/>
      <c r="N3681" s="133"/>
    </row>
    <row r="3682" spans="1:16" ht="17.25" thickBot="1" x14ac:dyDescent="0.35">
      <c r="B3682" s="405"/>
      <c r="C3682" s="405"/>
      <c r="D3682" s="405"/>
    </row>
    <row r="3683" spans="1:16" x14ac:dyDescent="0.3">
      <c r="B3683" s="406" t="s">
        <v>23</v>
      </c>
      <c r="C3683" s="406"/>
      <c r="D3683" s="406"/>
    </row>
    <row r="3684" spans="1:16" x14ac:dyDescent="0.3">
      <c r="B3684" s="281"/>
      <c r="C3684" s="281"/>
      <c r="D3684" s="281"/>
    </row>
    <row r="3686" spans="1:16" x14ac:dyDescent="0.3">
      <c r="B3686" s="103" t="s">
        <v>43</v>
      </c>
      <c r="C3686" s="104"/>
      <c r="D3686" s="422" t="s">
        <v>1</v>
      </c>
      <c r="E3686" s="422"/>
      <c r="F3686" s="422"/>
      <c r="G3686" s="422"/>
      <c r="H3686" s="104"/>
      <c r="I3686" s="105" t="s">
        <v>2</v>
      </c>
      <c r="J3686" s="134"/>
      <c r="K3686" s="105" t="s">
        <v>3</v>
      </c>
    </row>
    <row r="3687" spans="1:16" s="4" customFormat="1" ht="30.75" customHeight="1" x14ac:dyDescent="0.25">
      <c r="A3687" s="31"/>
      <c r="B3687" s="287">
        <f>CATALOGO!B121</f>
        <v>1112.01</v>
      </c>
      <c r="C3687" s="71"/>
      <c r="D3687" s="437" t="str">
        <f>CATALOGO!C121</f>
        <v>TOMACORRIENTE DOBLE 120V</v>
      </c>
      <c r="E3687" s="437"/>
      <c r="F3687" s="437"/>
      <c r="G3687" s="437"/>
      <c r="H3687" s="71"/>
      <c r="I3687" s="287">
        <f>CATALOGO!D121</f>
        <v>1</v>
      </c>
      <c r="J3687" s="107"/>
      <c r="K3687" s="222" t="str">
        <f>CATALOGO!G121</f>
        <v>Unidad</v>
      </c>
      <c r="L3687" s="71"/>
      <c r="M3687" s="71"/>
      <c r="N3687" s="102"/>
      <c r="O3687" s="37"/>
      <c r="P3687" s="37"/>
    </row>
    <row r="3688" spans="1:16" ht="17.25" thickBot="1" x14ac:dyDescent="0.35"/>
    <row r="3689" spans="1:16" ht="17.25" thickBot="1" x14ac:dyDescent="0.35">
      <c r="B3689" s="108" t="s">
        <v>4</v>
      </c>
      <c r="C3689" s="413" t="s">
        <v>5</v>
      </c>
      <c r="D3689" s="413"/>
      <c r="E3689" s="413"/>
      <c r="F3689" s="413"/>
      <c r="G3689" s="414"/>
    </row>
    <row r="3690" spans="1:16" x14ac:dyDescent="0.25">
      <c r="B3690" s="109" t="s">
        <v>6</v>
      </c>
      <c r="C3690" s="424" t="s">
        <v>1</v>
      </c>
      <c r="D3690" s="425"/>
      <c r="E3690" s="110" t="s">
        <v>192</v>
      </c>
      <c r="F3690" s="111" t="s">
        <v>2</v>
      </c>
      <c r="G3690" s="112" t="s">
        <v>3</v>
      </c>
      <c r="H3690" s="104"/>
      <c r="I3690" s="105" t="s">
        <v>7</v>
      </c>
      <c r="J3690" s="134"/>
      <c r="K3690" s="223" t="s">
        <v>8</v>
      </c>
      <c r="L3690" s="113" t="s">
        <v>193</v>
      </c>
      <c r="O3690" s="438"/>
      <c r="P3690" s="438"/>
    </row>
    <row r="3691" spans="1:16" x14ac:dyDescent="0.25">
      <c r="B3691" s="120">
        <v>1</v>
      </c>
      <c r="C3691" s="407" t="s">
        <v>265</v>
      </c>
      <c r="D3691" s="408"/>
      <c r="E3691" s="114">
        <f>I3687</f>
        <v>1</v>
      </c>
      <c r="F3691" s="83">
        <f>ROUND(E3691/I3687,2)</f>
        <v>1</v>
      </c>
      <c r="G3691" s="74" t="str">
        <f>IF(C3691=0,0,VLOOKUP(C3691,Tabla1[],2,FALSE))</f>
        <v>Unidad</v>
      </c>
      <c r="I3691" s="115">
        <f>IF(C3691=0,0,VLOOKUP(C3691,Tabla1[],3,FALSE))</f>
        <v>40</v>
      </c>
      <c r="K3691" s="84">
        <f>F3691*I3691</f>
        <v>40</v>
      </c>
      <c r="L3691" s="116">
        <f>E3691*I3691</f>
        <v>40</v>
      </c>
      <c r="O3691" s="44"/>
      <c r="P3691" s="45"/>
    </row>
    <row r="3692" spans="1:16" x14ac:dyDescent="0.25">
      <c r="B3692" s="120">
        <v>2</v>
      </c>
      <c r="C3692" s="407" t="s">
        <v>86</v>
      </c>
      <c r="D3692" s="408"/>
      <c r="E3692" s="114">
        <f>I3687</f>
        <v>1</v>
      </c>
      <c r="F3692" s="83">
        <f>ROUND(E3692/I3687,2)</f>
        <v>1</v>
      </c>
      <c r="G3692" s="74" t="str">
        <f>IF(C3692=0,0,VLOOKUP(C3692,Tabla1[],2,FALSE))</f>
        <v>Unidad</v>
      </c>
      <c r="I3692" s="115">
        <f>IF(C3692=0,0,VLOOKUP(C3692,Tabla1[],3,FALSE))</f>
        <v>10</v>
      </c>
      <c r="K3692" s="84">
        <f>F3692*I3692</f>
        <v>10</v>
      </c>
      <c r="L3692" s="116">
        <f>E3692*I3692</f>
        <v>10</v>
      </c>
      <c r="O3692" s="44"/>
      <c r="P3692" s="45"/>
    </row>
    <row r="3693" spans="1:16" x14ac:dyDescent="0.25">
      <c r="B3693" s="120">
        <v>3</v>
      </c>
      <c r="C3693" s="428" t="s">
        <v>269</v>
      </c>
      <c r="D3693" s="429"/>
      <c r="E3693" s="114">
        <f>I3687</f>
        <v>1</v>
      </c>
      <c r="F3693" s="83">
        <f>ROUND(E3693/I3687,1)</f>
        <v>1</v>
      </c>
      <c r="G3693" s="74" t="str">
        <f>IF(C3693=0,0,VLOOKUP(C3693,Tabla1[],2,FALSE))</f>
        <v>Unidad</v>
      </c>
      <c r="I3693" s="115">
        <f>IF(C3693=0,0,VLOOKUP(C3693,Tabla1[],3,FALSE))</f>
        <v>40</v>
      </c>
      <c r="K3693" s="84">
        <f>+F3693*I3693</f>
        <v>40</v>
      </c>
      <c r="L3693" s="116">
        <f>E3693*I3693</f>
        <v>40</v>
      </c>
      <c r="O3693" s="44"/>
      <c r="P3693" s="46"/>
    </row>
    <row r="3694" spans="1:16" x14ac:dyDescent="0.3">
      <c r="B3694" s="120"/>
      <c r="C3694" s="428"/>
      <c r="D3694" s="429"/>
      <c r="E3694" s="114"/>
      <c r="F3694" s="83"/>
      <c r="G3694" s="74"/>
      <c r="I3694" s="115">
        <f>IF(C3694=0,0,VLOOKUP(C3694,Tabla1[],3,FALSE))</f>
        <v>0</v>
      </c>
      <c r="K3694" s="84">
        <f>+F3694*I3694</f>
        <v>0</v>
      </c>
      <c r="L3694" s="116">
        <f>E3694*I3694</f>
        <v>0</v>
      </c>
      <c r="P3694" s="45"/>
    </row>
    <row r="3695" spans="1:16" ht="17.25" thickBot="1" x14ac:dyDescent="0.35"/>
    <row r="3696" spans="1:16" ht="17.25" thickBot="1" x14ac:dyDescent="0.3">
      <c r="F3696" s="402" t="s">
        <v>9</v>
      </c>
      <c r="G3696" s="403"/>
      <c r="H3696" s="403"/>
      <c r="I3696" s="404"/>
      <c r="K3696" s="224">
        <f>+SUM(K3691:K3694)</f>
        <v>90</v>
      </c>
      <c r="L3696" s="117">
        <f>+SUM(L3691:L3694)</f>
        <v>90</v>
      </c>
      <c r="O3696" s="38"/>
      <c r="P3696" s="38"/>
    </row>
    <row r="3697" spans="2:16" ht="17.25" thickBot="1" x14ac:dyDescent="0.35">
      <c r="O3697" s="42"/>
      <c r="P3697" s="43"/>
    </row>
    <row r="3698" spans="2:16" ht="17.25" thickBot="1" x14ac:dyDescent="0.35">
      <c r="B3698" s="108" t="s">
        <v>10</v>
      </c>
      <c r="C3698" s="413" t="s">
        <v>11</v>
      </c>
      <c r="D3698" s="413"/>
      <c r="E3698" s="413"/>
      <c r="F3698" s="413"/>
      <c r="G3698" s="414"/>
    </row>
    <row r="3699" spans="2:16" x14ac:dyDescent="0.3">
      <c r="B3699" s="112" t="s">
        <v>6</v>
      </c>
      <c r="C3699" s="415" t="s">
        <v>1</v>
      </c>
      <c r="D3699" s="416"/>
      <c r="E3699" s="110" t="s">
        <v>192</v>
      </c>
      <c r="F3699" s="118" t="s">
        <v>2</v>
      </c>
      <c r="G3699" s="112" t="s">
        <v>3</v>
      </c>
      <c r="H3699" s="104"/>
      <c r="I3699" s="105" t="s">
        <v>7</v>
      </c>
      <c r="J3699" s="134"/>
      <c r="K3699" s="105" t="s">
        <v>8</v>
      </c>
      <c r="L3699" s="113" t="s">
        <v>193</v>
      </c>
    </row>
    <row r="3700" spans="2:16" x14ac:dyDescent="0.3">
      <c r="B3700" s="120"/>
      <c r="C3700" s="409"/>
      <c r="D3700" s="409"/>
      <c r="E3700" s="114"/>
      <c r="F3700" s="83"/>
      <c r="G3700" s="74"/>
      <c r="I3700" s="115">
        <f>IF(C3700=0,0,VLOOKUP(C3700,Tabla3[],3,FALSE))</f>
        <v>0</v>
      </c>
      <c r="K3700" s="84">
        <f>F3700*I3700</f>
        <v>0</v>
      </c>
      <c r="L3700" s="116">
        <f>E3700*I3700</f>
        <v>0</v>
      </c>
    </row>
    <row r="3701" spans="2:16" x14ac:dyDescent="0.3">
      <c r="B3701" s="74"/>
      <c r="C3701" s="431"/>
      <c r="D3701" s="432"/>
      <c r="E3701" s="119"/>
      <c r="F3701" s="72"/>
      <c r="G3701" s="74"/>
      <c r="I3701" s="115">
        <f>IF(C3701=0,0,VLOOKUP(C3701,Tabla3[],3,FALSE))</f>
        <v>0</v>
      </c>
      <c r="K3701" s="84">
        <f>+F3701*I3701</f>
        <v>0</v>
      </c>
      <c r="L3701" s="116">
        <f>E3701*I3701</f>
        <v>0</v>
      </c>
    </row>
    <row r="3702" spans="2:16" x14ac:dyDescent="0.3">
      <c r="B3702" s="74"/>
      <c r="C3702" s="431"/>
      <c r="D3702" s="432"/>
      <c r="E3702" s="119"/>
      <c r="F3702" s="72"/>
      <c r="G3702" s="74"/>
      <c r="I3702" s="115">
        <f>IF(C3702=0,0,VLOOKUP(C3702,Tabla3[],3,FALSE))</f>
        <v>0</v>
      </c>
      <c r="K3702" s="84">
        <f>+F3702*I3702</f>
        <v>0</v>
      </c>
      <c r="L3702" s="116">
        <f>E3702*I3702</f>
        <v>0</v>
      </c>
    </row>
    <row r="3703" spans="2:16" x14ac:dyDescent="0.3">
      <c r="B3703" s="74"/>
      <c r="C3703" s="411"/>
      <c r="D3703" s="412"/>
      <c r="E3703" s="119"/>
      <c r="F3703" s="72"/>
      <c r="G3703" s="74"/>
      <c r="I3703" s="115">
        <f>IF(C3703=0,0,VLOOKUP(C3703,Tabla3[],3,FALSE))</f>
        <v>0</v>
      </c>
      <c r="K3703" s="84">
        <f>+F3703*I3703</f>
        <v>0</v>
      </c>
      <c r="L3703" s="116">
        <f>E3703*I3703</f>
        <v>0</v>
      </c>
    </row>
    <row r="3704" spans="2:16" ht="17.25" thickBot="1" x14ac:dyDescent="0.35"/>
    <row r="3705" spans="2:16" ht="17.25" thickBot="1" x14ac:dyDescent="0.35">
      <c r="F3705" s="402" t="s">
        <v>12</v>
      </c>
      <c r="G3705" s="403"/>
      <c r="H3705" s="403"/>
      <c r="I3705" s="404"/>
      <c r="K3705" s="224">
        <f>+SUM(K3700:K3703)</f>
        <v>0</v>
      </c>
      <c r="L3705" s="117">
        <f>+SUM(L3700:L3703)</f>
        <v>0</v>
      </c>
    </row>
    <row r="3706" spans="2:16" ht="17.25" thickBot="1" x14ac:dyDescent="0.35"/>
    <row r="3707" spans="2:16" ht="17.25" thickBot="1" x14ac:dyDescent="0.35">
      <c r="B3707" s="108" t="s">
        <v>13</v>
      </c>
      <c r="C3707" s="413" t="s">
        <v>14</v>
      </c>
      <c r="D3707" s="413"/>
      <c r="E3707" s="413"/>
      <c r="F3707" s="413"/>
      <c r="G3707" s="414"/>
    </row>
    <row r="3708" spans="2:16" x14ac:dyDescent="0.3">
      <c r="B3708" s="112" t="s">
        <v>6</v>
      </c>
      <c r="C3708" s="415" t="s">
        <v>1</v>
      </c>
      <c r="D3708" s="416"/>
      <c r="E3708" s="110" t="s">
        <v>192</v>
      </c>
      <c r="F3708" s="118" t="s">
        <v>2</v>
      </c>
      <c r="G3708" s="112" t="s">
        <v>3</v>
      </c>
      <c r="H3708" s="104"/>
      <c r="I3708" s="105" t="s">
        <v>7</v>
      </c>
      <c r="J3708" s="134"/>
      <c r="K3708" s="105" t="s">
        <v>8</v>
      </c>
      <c r="L3708" s="113" t="s">
        <v>193</v>
      </c>
    </row>
    <row r="3709" spans="2:16" x14ac:dyDescent="0.3">
      <c r="B3709" s="120">
        <v>1</v>
      </c>
      <c r="C3709" s="409" t="s">
        <v>601</v>
      </c>
      <c r="D3709" s="409"/>
      <c r="E3709" s="114">
        <f>I3687</f>
        <v>1</v>
      </c>
      <c r="F3709" s="83">
        <f>ROUND(E3709/I3687,2)</f>
        <v>1</v>
      </c>
      <c r="G3709" s="74" t="str">
        <f>IF(C3709=0,0,VLOOKUP(C3709,Tabla2[],2,FALSE))</f>
        <v>Unidad</v>
      </c>
      <c r="I3709" s="115">
        <f>IF(C3709=0,0,VLOOKUP(C3709,Tabla2[],3,FALSE))</f>
        <v>105</v>
      </c>
      <c r="K3709" s="84">
        <f>+F3709*I3709</f>
        <v>105</v>
      </c>
      <c r="L3709" s="116">
        <f>E3709*I3709</f>
        <v>105</v>
      </c>
    </row>
    <row r="3710" spans="2:16" x14ac:dyDescent="0.3">
      <c r="B3710" s="120"/>
      <c r="C3710" s="409"/>
      <c r="D3710" s="409"/>
      <c r="E3710" s="114"/>
      <c r="F3710" s="83"/>
      <c r="G3710" s="74"/>
      <c r="I3710" s="115">
        <f>IF(C3710=0,0,VLOOKUP(C3710,Tabla2[],3,FALSE))</f>
        <v>0</v>
      </c>
      <c r="K3710" s="84">
        <f>+F3710*I3710</f>
        <v>0</v>
      </c>
      <c r="L3710" s="116">
        <f>E3710*I3710</f>
        <v>0</v>
      </c>
    </row>
    <row r="3711" spans="2:16" ht="17.25" thickBot="1" x14ac:dyDescent="0.35">
      <c r="B3711" s="121"/>
      <c r="C3711" s="417"/>
      <c r="D3711" s="418"/>
      <c r="E3711" s="122"/>
      <c r="F3711" s="123"/>
      <c r="G3711" s="74"/>
      <c r="I3711" s="115">
        <f>IF(C3711=0,0,VLOOKUP(C3711,Tabla2[],3,FALSE))</f>
        <v>0</v>
      </c>
      <c r="K3711" s="84">
        <f>+F3711*I3711</f>
        <v>0</v>
      </c>
      <c r="L3711" s="116">
        <f>E3711*I3711</f>
        <v>0</v>
      </c>
    </row>
    <row r="3712" spans="2:16" ht="17.25" thickBot="1" x14ac:dyDescent="0.35">
      <c r="B3712" s="419" t="s">
        <v>15</v>
      </c>
      <c r="C3712" s="420"/>
      <c r="D3712" s="420"/>
      <c r="E3712" s="420"/>
      <c r="F3712" s="420"/>
      <c r="G3712" s="421"/>
      <c r="I3712" s="84">
        <v>0</v>
      </c>
      <c r="K3712" s="84">
        <v>0</v>
      </c>
      <c r="L3712" s="116">
        <f>E3712*I3712</f>
        <v>0</v>
      </c>
    </row>
    <row r="3713" spans="2:16" ht="17.25" thickBot="1" x14ac:dyDescent="0.35"/>
    <row r="3714" spans="2:16" ht="17.25" thickBot="1" x14ac:dyDescent="0.35">
      <c r="F3714" s="402" t="s">
        <v>16</v>
      </c>
      <c r="G3714" s="403"/>
      <c r="H3714" s="403"/>
      <c r="I3714" s="404"/>
      <c r="K3714" s="224">
        <f>+SUM(K3709:K3712)</f>
        <v>105</v>
      </c>
      <c r="L3714" s="117">
        <f>+SUM(L3709:L3712)</f>
        <v>105</v>
      </c>
    </row>
    <row r="3715" spans="2:16" ht="17.25" thickBot="1" x14ac:dyDescent="0.35"/>
    <row r="3716" spans="2:16" ht="17.25" thickBot="1" x14ac:dyDescent="0.35">
      <c r="B3716" s="108" t="s">
        <v>17</v>
      </c>
      <c r="C3716" s="413" t="s">
        <v>18</v>
      </c>
      <c r="D3716" s="413"/>
      <c r="E3716" s="413"/>
      <c r="F3716" s="413"/>
      <c r="G3716" s="414"/>
    </row>
    <row r="3717" spans="2:16" x14ac:dyDescent="0.3">
      <c r="B3717" s="112" t="s">
        <v>6</v>
      </c>
      <c r="C3717" s="415" t="s">
        <v>1</v>
      </c>
      <c r="D3717" s="416"/>
      <c r="E3717" s="124"/>
      <c r="F3717" s="118" t="s">
        <v>2</v>
      </c>
      <c r="G3717" s="112" t="s">
        <v>3</v>
      </c>
      <c r="H3717" s="104"/>
      <c r="I3717" s="105" t="s">
        <v>7</v>
      </c>
      <c r="J3717" s="134"/>
      <c r="K3717" s="105" t="s">
        <v>8</v>
      </c>
      <c r="L3717" s="113" t="s">
        <v>193</v>
      </c>
    </row>
    <row r="3718" spans="2:16" x14ac:dyDescent="0.3">
      <c r="B3718" s="74"/>
      <c r="C3718" s="411"/>
      <c r="D3718" s="412"/>
      <c r="E3718" s="125"/>
      <c r="F3718" s="72"/>
      <c r="G3718" s="74"/>
      <c r="I3718" s="84">
        <v>0</v>
      </c>
      <c r="K3718" s="84">
        <f>+F3718*I3718</f>
        <v>0</v>
      </c>
      <c r="L3718" s="116">
        <f>E3718*I3718</f>
        <v>0</v>
      </c>
    </row>
    <row r="3719" spans="2:16" x14ac:dyDescent="0.3">
      <c r="B3719" s="74"/>
      <c r="C3719" s="411"/>
      <c r="D3719" s="412"/>
      <c r="E3719" s="125"/>
      <c r="F3719" s="72"/>
      <c r="G3719" s="74"/>
      <c r="I3719" s="84">
        <v>0</v>
      </c>
      <c r="K3719" s="84">
        <f>+F3719*I3719</f>
        <v>0</v>
      </c>
      <c r="L3719" s="116">
        <f>E3719*I3719</f>
        <v>0</v>
      </c>
    </row>
    <row r="3720" spans="2:16" x14ac:dyDescent="0.3">
      <c r="B3720" s="74"/>
      <c r="C3720" s="411"/>
      <c r="D3720" s="412"/>
      <c r="E3720" s="125"/>
      <c r="F3720" s="72"/>
      <c r="G3720" s="74"/>
      <c r="I3720" s="84">
        <v>0</v>
      </c>
      <c r="K3720" s="84">
        <f>+F3720*I3720</f>
        <v>0</v>
      </c>
      <c r="L3720" s="116">
        <f>E3720*I3720</f>
        <v>0</v>
      </c>
    </row>
    <row r="3721" spans="2:16" ht="17.25" thickBot="1" x14ac:dyDescent="0.35">
      <c r="L3721" s="116"/>
    </row>
    <row r="3722" spans="2:16" ht="17.25" thickBot="1" x14ac:dyDescent="0.35">
      <c r="F3722" s="402" t="s">
        <v>19</v>
      </c>
      <c r="G3722" s="403"/>
      <c r="H3722" s="403"/>
      <c r="I3722" s="404"/>
      <c r="K3722" s="224">
        <f>+SUM(K3718:K3720)</f>
        <v>0</v>
      </c>
      <c r="L3722" s="117">
        <f>+SUM(L3717:L3720)</f>
        <v>0</v>
      </c>
    </row>
    <row r="3723" spans="2:16" ht="15" customHeight="1" x14ac:dyDescent="0.3">
      <c r="F3723" s="126"/>
      <c r="G3723" s="280"/>
      <c r="H3723" s="128"/>
      <c r="I3723" s="106"/>
      <c r="K3723" s="225"/>
    </row>
    <row r="3724" spans="2:16" ht="15" customHeight="1" thickBot="1" x14ac:dyDescent="0.35"/>
    <row r="3725" spans="2:16" ht="17.25" thickBot="1" x14ac:dyDescent="0.35">
      <c r="F3725" s="402" t="s">
        <v>20</v>
      </c>
      <c r="G3725" s="403"/>
      <c r="H3725" s="403"/>
      <c r="I3725" s="404"/>
      <c r="K3725" s="224">
        <f>(+K3696+K3705+K3714+K3722)</f>
        <v>195</v>
      </c>
      <c r="L3725" s="117">
        <f>(+L3696+L3705+L3714+L3722)</f>
        <v>195</v>
      </c>
      <c r="N3725" s="129"/>
      <c r="O3725" s="39"/>
      <c r="P3725" s="40"/>
    </row>
    <row r="3726" spans="2:16" ht="7.5" customHeight="1" thickBot="1" x14ac:dyDescent="0.35">
      <c r="N3726" s="129"/>
      <c r="O3726" s="41"/>
      <c r="P3726" s="40"/>
    </row>
    <row r="3727" spans="2:16" ht="17.25" thickBot="1" x14ac:dyDescent="0.35">
      <c r="F3727" s="402" t="s">
        <v>21</v>
      </c>
      <c r="G3727" s="403"/>
      <c r="H3727" s="403"/>
      <c r="I3727" s="404"/>
      <c r="K3727" s="224">
        <f>K3725*$N$2</f>
        <v>78</v>
      </c>
      <c r="L3727" s="117">
        <f>L3725*$N$2</f>
        <v>78</v>
      </c>
    </row>
    <row r="3728" spans="2:16" ht="7.5" customHeight="1" thickBot="1" x14ac:dyDescent="0.35"/>
    <row r="3729" spans="1:16" ht="17.25" thickBot="1" x14ac:dyDescent="0.35">
      <c r="F3729" s="402" t="s">
        <v>22</v>
      </c>
      <c r="G3729" s="403"/>
      <c r="H3729" s="403"/>
      <c r="I3729" s="404"/>
      <c r="K3729" s="224">
        <f>+K3725+K3727</f>
        <v>273</v>
      </c>
      <c r="L3729" s="117">
        <f>+L3725+L3727</f>
        <v>273</v>
      </c>
    </row>
    <row r="3730" spans="1:16" ht="17.25" thickBot="1" x14ac:dyDescent="0.35">
      <c r="F3730" s="126"/>
      <c r="G3730" s="280"/>
      <c r="H3730" s="128"/>
      <c r="I3730" s="106"/>
      <c r="K3730" s="226"/>
      <c r="L3730" s="130">
        <f>L3729/I3687</f>
        <v>273</v>
      </c>
      <c r="M3730" s="131">
        <f>(K3729-L3730)*I3687</f>
        <v>0</v>
      </c>
    </row>
    <row r="3731" spans="1:16" x14ac:dyDescent="0.3">
      <c r="F3731" s="126"/>
      <c r="G3731" s="280"/>
      <c r="H3731" s="128"/>
      <c r="I3731" s="106"/>
      <c r="K3731" s="227"/>
      <c r="L3731" s="129"/>
      <c r="M3731" s="132"/>
      <c r="N3731" s="133"/>
    </row>
    <row r="3732" spans="1:16" ht="17.25" thickBot="1" x14ac:dyDescent="0.35">
      <c r="B3732" s="405"/>
      <c r="C3732" s="405"/>
      <c r="D3732" s="405"/>
    </row>
    <row r="3733" spans="1:16" x14ac:dyDescent="0.3">
      <c r="B3733" s="406" t="s">
        <v>23</v>
      </c>
      <c r="C3733" s="406"/>
      <c r="D3733" s="406"/>
    </row>
    <row r="3734" spans="1:16" x14ac:dyDescent="0.3">
      <c r="B3734" s="281"/>
      <c r="C3734" s="281"/>
      <c r="D3734" s="281"/>
    </row>
    <row r="3736" spans="1:16" x14ac:dyDescent="0.3">
      <c r="B3736" s="103" t="s">
        <v>43</v>
      </c>
      <c r="C3736" s="104"/>
      <c r="D3736" s="422" t="s">
        <v>1</v>
      </c>
      <c r="E3736" s="422"/>
      <c r="F3736" s="422"/>
      <c r="G3736" s="422"/>
      <c r="H3736" s="104"/>
      <c r="I3736" s="105" t="s">
        <v>2</v>
      </c>
      <c r="J3736" s="134"/>
      <c r="K3736" s="105" t="s">
        <v>3</v>
      </c>
    </row>
    <row r="3737" spans="1:16" s="58" customFormat="1" ht="30.75" customHeight="1" x14ac:dyDescent="0.25">
      <c r="A3737" s="56"/>
      <c r="B3737" s="287">
        <f>CATALOGO!B104</f>
        <v>111.03</v>
      </c>
      <c r="C3737" s="135"/>
      <c r="D3737" s="435" t="str">
        <f>CATALOGO!C104</f>
        <v>DEMOLICIÓN DE PISO CERÁMICO/PORCELANATO</v>
      </c>
      <c r="E3737" s="435"/>
      <c r="F3737" s="435"/>
      <c r="G3737" s="435"/>
      <c r="H3737" s="135"/>
      <c r="I3737" s="287">
        <f>CATALOGO!D104</f>
        <v>37</v>
      </c>
      <c r="J3737" s="107"/>
      <c r="K3737" s="222" t="str">
        <f>CATALOGO!G104</f>
        <v>m²</v>
      </c>
      <c r="L3737" s="135"/>
      <c r="M3737" s="135"/>
      <c r="N3737" s="135"/>
      <c r="O3737" s="57"/>
      <c r="P3737" s="57"/>
    </row>
    <row r="3738" spans="1:16" ht="17.25" thickBot="1" x14ac:dyDescent="0.35"/>
    <row r="3739" spans="1:16" ht="17.25" thickBot="1" x14ac:dyDescent="0.35">
      <c r="B3739" s="108" t="s">
        <v>4</v>
      </c>
      <c r="C3739" s="413" t="s">
        <v>5</v>
      </c>
      <c r="D3739" s="413"/>
      <c r="E3739" s="413"/>
      <c r="F3739" s="413"/>
      <c r="G3739" s="414"/>
    </row>
    <row r="3740" spans="1:16" x14ac:dyDescent="0.3">
      <c r="B3740" s="109" t="s">
        <v>6</v>
      </c>
      <c r="C3740" s="424" t="s">
        <v>1</v>
      </c>
      <c r="D3740" s="425"/>
      <c r="E3740" s="110" t="s">
        <v>192</v>
      </c>
      <c r="F3740" s="111" t="s">
        <v>2</v>
      </c>
      <c r="G3740" s="112" t="s">
        <v>3</v>
      </c>
      <c r="H3740" s="104"/>
      <c r="I3740" s="105" t="s">
        <v>7</v>
      </c>
      <c r="J3740" s="134"/>
      <c r="K3740" s="223" t="s">
        <v>8</v>
      </c>
      <c r="L3740" s="113" t="s">
        <v>193</v>
      </c>
    </row>
    <row r="3741" spans="1:16" x14ac:dyDescent="0.3">
      <c r="B3741" s="74"/>
      <c r="C3741" s="409"/>
      <c r="D3741" s="409"/>
      <c r="E3741" s="114"/>
      <c r="F3741" s="83"/>
      <c r="G3741" s="74"/>
      <c r="I3741" s="115">
        <f>IF(C3741=0,0,VLOOKUP(C3741,Tabla1[],3,FALSE))</f>
        <v>0</v>
      </c>
      <c r="K3741" s="84">
        <f>+F3741*I3741</f>
        <v>0</v>
      </c>
      <c r="L3741" s="116">
        <f>E3741*I3741</f>
        <v>0</v>
      </c>
    </row>
    <row r="3742" spans="1:16" x14ac:dyDescent="0.3">
      <c r="B3742" s="74"/>
      <c r="C3742" s="409"/>
      <c r="D3742" s="409"/>
      <c r="E3742" s="114"/>
      <c r="F3742" s="83"/>
      <c r="G3742" s="74"/>
      <c r="I3742" s="115">
        <f>IF(C3742=0,0,VLOOKUP(C3742,Tabla1[],3,FALSE))</f>
        <v>0</v>
      </c>
      <c r="K3742" s="84">
        <f t="shared" ref="K3742:K3750" si="101">+F3742*I3742</f>
        <v>0</v>
      </c>
      <c r="L3742" s="116">
        <f t="shared" ref="L3742:L3750" si="102">E3742*I3742</f>
        <v>0</v>
      </c>
    </row>
    <row r="3743" spans="1:16" x14ac:dyDescent="0.3">
      <c r="B3743" s="74"/>
      <c r="C3743" s="409"/>
      <c r="D3743" s="409"/>
      <c r="E3743" s="114"/>
      <c r="F3743" s="83"/>
      <c r="G3743" s="74"/>
      <c r="I3743" s="115">
        <f>IF(C3743=0,0,VLOOKUP(C3743,Tabla1[],3,FALSE))</f>
        <v>0</v>
      </c>
      <c r="K3743" s="84">
        <f t="shared" si="101"/>
        <v>0</v>
      </c>
      <c r="L3743" s="116">
        <f t="shared" si="102"/>
        <v>0</v>
      </c>
    </row>
    <row r="3744" spans="1:16" x14ac:dyDescent="0.3">
      <c r="B3744" s="74"/>
      <c r="C3744" s="409"/>
      <c r="D3744" s="409"/>
      <c r="E3744" s="114"/>
      <c r="F3744" s="83"/>
      <c r="G3744" s="74"/>
      <c r="I3744" s="115">
        <f>IF(C3744=0,0,VLOOKUP(C3744,Tabla1[],3,FALSE))</f>
        <v>0</v>
      </c>
      <c r="K3744" s="84">
        <f t="shared" si="101"/>
        <v>0</v>
      </c>
      <c r="L3744" s="116">
        <f t="shared" si="102"/>
        <v>0</v>
      </c>
    </row>
    <row r="3745" spans="2:12" x14ac:dyDescent="0.3">
      <c r="B3745" s="74"/>
      <c r="C3745" s="410"/>
      <c r="D3745" s="410"/>
      <c r="E3745" s="114"/>
      <c r="F3745" s="83"/>
      <c r="G3745" s="74"/>
      <c r="I3745" s="115">
        <f>IF(C3745=0,0,VLOOKUP(C3745,Tabla1[],3,FALSE))</f>
        <v>0</v>
      </c>
      <c r="K3745" s="84">
        <f t="shared" si="101"/>
        <v>0</v>
      </c>
      <c r="L3745" s="116">
        <f t="shared" si="102"/>
        <v>0</v>
      </c>
    </row>
    <row r="3746" spans="2:12" x14ac:dyDescent="0.3">
      <c r="B3746" s="74"/>
      <c r="C3746" s="410"/>
      <c r="D3746" s="410"/>
      <c r="E3746" s="114"/>
      <c r="F3746" s="72"/>
      <c r="G3746" s="74"/>
      <c r="I3746" s="115">
        <f>IF(C3746=0,0,VLOOKUP(C3746,Tabla1[],3,FALSE))</f>
        <v>0</v>
      </c>
      <c r="K3746" s="84">
        <f t="shared" si="101"/>
        <v>0</v>
      </c>
      <c r="L3746" s="116">
        <f t="shared" si="102"/>
        <v>0</v>
      </c>
    </row>
    <row r="3747" spans="2:12" x14ac:dyDescent="0.3">
      <c r="B3747" s="74"/>
      <c r="C3747" s="410"/>
      <c r="D3747" s="410"/>
      <c r="E3747" s="114"/>
      <c r="F3747" s="72"/>
      <c r="G3747" s="74"/>
      <c r="I3747" s="115">
        <f>IF(C3747=0,0,VLOOKUP(C3747,Tabla1[],3,FALSE))</f>
        <v>0</v>
      </c>
      <c r="K3747" s="84">
        <f t="shared" si="101"/>
        <v>0</v>
      </c>
      <c r="L3747" s="116">
        <f t="shared" si="102"/>
        <v>0</v>
      </c>
    </row>
    <row r="3748" spans="2:12" x14ac:dyDescent="0.3">
      <c r="B3748" s="74"/>
      <c r="C3748" s="410"/>
      <c r="D3748" s="410"/>
      <c r="E3748" s="114"/>
      <c r="F3748" s="72"/>
      <c r="G3748" s="74"/>
      <c r="I3748" s="115">
        <f>IF(C3748=0,0,VLOOKUP(C3748,Tabla1[],3,FALSE))</f>
        <v>0</v>
      </c>
      <c r="K3748" s="84">
        <f t="shared" si="101"/>
        <v>0</v>
      </c>
      <c r="L3748" s="116">
        <f t="shared" si="102"/>
        <v>0</v>
      </c>
    </row>
    <row r="3749" spans="2:12" x14ac:dyDescent="0.3">
      <c r="B3749" s="74"/>
      <c r="C3749" s="410"/>
      <c r="D3749" s="410"/>
      <c r="E3749" s="114"/>
      <c r="F3749" s="72"/>
      <c r="G3749" s="74"/>
      <c r="I3749" s="115">
        <f>IF(C3749=0,0,VLOOKUP(C3749,Tabla1[],3,FALSE))</f>
        <v>0</v>
      </c>
      <c r="K3749" s="84">
        <f t="shared" si="101"/>
        <v>0</v>
      </c>
      <c r="L3749" s="116">
        <f t="shared" si="102"/>
        <v>0</v>
      </c>
    </row>
    <row r="3750" spans="2:12" x14ac:dyDescent="0.3">
      <c r="B3750" s="74"/>
      <c r="C3750" s="410"/>
      <c r="D3750" s="410"/>
      <c r="E3750" s="114"/>
      <c r="F3750" s="72"/>
      <c r="G3750" s="74"/>
      <c r="I3750" s="115">
        <f>IF(C3750=0,0,VLOOKUP(C3750,Tabla1[],3,FALSE))</f>
        <v>0</v>
      </c>
      <c r="K3750" s="84">
        <f t="shared" si="101"/>
        <v>0</v>
      </c>
      <c r="L3750" s="116">
        <f t="shared" si="102"/>
        <v>0</v>
      </c>
    </row>
    <row r="3751" spans="2:12" ht="17.25" thickBot="1" x14ac:dyDescent="0.35"/>
    <row r="3752" spans="2:12" ht="17.25" thickBot="1" x14ac:dyDescent="0.35">
      <c r="F3752" s="402" t="s">
        <v>9</v>
      </c>
      <c r="G3752" s="403"/>
      <c r="H3752" s="403"/>
      <c r="I3752" s="404"/>
      <c r="K3752" s="224">
        <f>+SUM(K3741:K3750)</f>
        <v>0</v>
      </c>
      <c r="L3752" s="117">
        <f>+SUM(L3741:L3750)</f>
        <v>0</v>
      </c>
    </row>
    <row r="3753" spans="2:12" ht="17.25" thickBot="1" x14ac:dyDescent="0.35"/>
    <row r="3754" spans="2:12" ht="17.25" thickBot="1" x14ac:dyDescent="0.35">
      <c r="B3754" s="108" t="s">
        <v>10</v>
      </c>
      <c r="C3754" s="413" t="s">
        <v>11</v>
      </c>
      <c r="D3754" s="413"/>
      <c r="E3754" s="413"/>
      <c r="F3754" s="413"/>
      <c r="G3754" s="414"/>
    </row>
    <row r="3755" spans="2:12" x14ac:dyDescent="0.3">
      <c r="B3755" s="112" t="s">
        <v>6</v>
      </c>
      <c r="C3755" s="415" t="s">
        <v>1</v>
      </c>
      <c r="D3755" s="416"/>
      <c r="E3755" s="110" t="s">
        <v>192</v>
      </c>
      <c r="F3755" s="118" t="s">
        <v>2</v>
      </c>
      <c r="G3755" s="112" t="s">
        <v>3</v>
      </c>
      <c r="H3755" s="104"/>
      <c r="I3755" s="105" t="s">
        <v>7</v>
      </c>
      <c r="J3755" s="134"/>
      <c r="K3755" s="105" t="s">
        <v>8</v>
      </c>
      <c r="L3755" s="113" t="s">
        <v>193</v>
      </c>
    </row>
    <row r="3756" spans="2:12" x14ac:dyDescent="0.3">
      <c r="B3756" s="120"/>
      <c r="C3756" s="409"/>
      <c r="D3756" s="409"/>
      <c r="E3756" s="114"/>
      <c r="F3756" s="83"/>
      <c r="G3756" s="74"/>
      <c r="I3756" s="115"/>
      <c r="K3756" s="84"/>
      <c r="L3756" s="116">
        <f>E3756*I3756</f>
        <v>0</v>
      </c>
    </row>
    <row r="3757" spans="2:12" x14ac:dyDescent="0.3">
      <c r="B3757" s="74"/>
      <c r="C3757" s="282"/>
      <c r="D3757" s="283"/>
      <c r="E3757" s="119"/>
      <c r="F3757" s="72"/>
      <c r="G3757" s="74"/>
      <c r="I3757" s="115">
        <f>IF(C3757=0,0,VLOOKUP(C3757,Tabla3[],3,FALSE))</f>
        <v>0</v>
      </c>
      <c r="K3757" s="84">
        <f>+F3757*I3757</f>
        <v>0</v>
      </c>
      <c r="L3757" s="116">
        <f>E3757*I3757</f>
        <v>0</v>
      </c>
    </row>
    <row r="3758" spans="2:12" x14ac:dyDescent="0.3">
      <c r="B3758" s="74"/>
      <c r="C3758" s="282"/>
      <c r="D3758" s="283"/>
      <c r="E3758" s="119"/>
      <c r="F3758" s="72"/>
      <c r="G3758" s="74"/>
      <c r="I3758" s="115">
        <f>IF(C3758=0,0,VLOOKUP(C3758,Tabla3[],3,FALSE))</f>
        <v>0</v>
      </c>
      <c r="K3758" s="84">
        <f>+F3758*I3758</f>
        <v>0</v>
      </c>
      <c r="L3758" s="116">
        <f>E3758*I3758</f>
        <v>0</v>
      </c>
    </row>
    <row r="3759" spans="2:12" x14ac:dyDescent="0.3">
      <c r="B3759" s="74"/>
      <c r="C3759" s="411"/>
      <c r="D3759" s="412"/>
      <c r="E3759" s="119"/>
      <c r="F3759" s="72"/>
      <c r="G3759" s="74"/>
      <c r="I3759" s="115">
        <f>IF(C3759=0,0,VLOOKUP(C3759,Tabla3[],3,FALSE))</f>
        <v>0</v>
      </c>
      <c r="K3759" s="84">
        <f>+F3759*I3759</f>
        <v>0</v>
      </c>
      <c r="L3759" s="116">
        <f>E3759*I3759</f>
        <v>0</v>
      </c>
    </row>
    <row r="3760" spans="2:12" ht="17.25" thickBot="1" x14ac:dyDescent="0.35"/>
    <row r="3761" spans="2:12" ht="17.25" thickBot="1" x14ac:dyDescent="0.35">
      <c r="F3761" s="402" t="s">
        <v>12</v>
      </c>
      <c r="G3761" s="403"/>
      <c r="H3761" s="403"/>
      <c r="I3761" s="404"/>
      <c r="K3761" s="224">
        <f>+SUM(K3756:K3759)</f>
        <v>0</v>
      </c>
      <c r="L3761" s="117">
        <f>+SUM(L3756:L3759)</f>
        <v>0</v>
      </c>
    </row>
    <row r="3762" spans="2:12" ht="17.25" thickBot="1" x14ac:dyDescent="0.35"/>
    <row r="3763" spans="2:12" ht="17.25" thickBot="1" x14ac:dyDescent="0.35">
      <c r="B3763" s="108" t="s">
        <v>13</v>
      </c>
      <c r="C3763" s="413" t="s">
        <v>14</v>
      </c>
      <c r="D3763" s="413"/>
      <c r="E3763" s="413"/>
      <c r="F3763" s="413"/>
      <c r="G3763" s="414"/>
    </row>
    <row r="3764" spans="2:12" x14ac:dyDescent="0.3">
      <c r="B3764" s="112" t="s">
        <v>6</v>
      </c>
      <c r="C3764" s="415" t="s">
        <v>1</v>
      </c>
      <c r="D3764" s="416"/>
      <c r="E3764" s="110" t="s">
        <v>192</v>
      </c>
      <c r="F3764" s="118" t="s">
        <v>2</v>
      </c>
      <c r="G3764" s="112" t="s">
        <v>3</v>
      </c>
      <c r="H3764" s="104"/>
      <c r="I3764" s="105" t="s">
        <v>7</v>
      </c>
      <c r="J3764" s="134"/>
      <c r="K3764" s="105" t="s">
        <v>8</v>
      </c>
      <c r="L3764" s="113" t="s">
        <v>193</v>
      </c>
    </row>
    <row r="3765" spans="2:12" x14ac:dyDescent="0.3">
      <c r="B3765" s="120">
        <v>1</v>
      </c>
      <c r="C3765" s="409" t="s">
        <v>194</v>
      </c>
      <c r="D3765" s="409"/>
      <c r="E3765" s="114">
        <f>I3737</f>
        <v>37</v>
      </c>
      <c r="F3765" s="83">
        <f>ROUND(E3765/I3737,2)</f>
        <v>1</v>
      </c>
      <c r="G3765" s="74" t="str">
        <f>IF(C3765=0,0,VLOOKUP(C3765,Tabla2[],2,FALSE))</f>
        <v>m²</v>
      </c>
      <c r="I3765" s="115">
        <f>IF(C3765=0,0,VLOOKUP(C3765,Tabla2[],3,FALSE))</f>
        <v>90</v>
      </c>
      <c r="K3765" s="84">
        <f>+F3765*I3765</f>
        <v>90</v>
      </c>
      <c r="L3765" s="116">
        <f>E3765*I3765</f>
        <v>3330</v>
      </c>
    </row>
    <row r="3766" spans="2:12" x14ac:dyDescent="0.3">
      <c r="B3766" s="120"/>
      <c r="C3766" s="409"/>
      <c r="D3766" s="409"/>
      <c r="E3766" s="114"/>
      <c r="F3766" s="83"/>
      <c r="G3766" s="74"/>
      <c r="I3766" s="115">
        <f>IF(C3766=0,0,VLOOKUP(C3766,Tabla2[],3,FALSE))</f>
        <v>0</v>
      </c>
      <c r="K3766" s="84">
        <f>+F3766*I3766</f>
        <v>0</v>
      </c>
      <c r="L3766" s="116">
        <f>E3766*I3766</f>
        <v>0</v>
      </c>
    </row>
    <row r="3767" spans="2:12" ht="17.25" thickBot="1" x14ac:dyDescent="0.35">
      <c r="B3767" s="121"/>
      <c r="C3767" s="417"/>
      <c r="D3767" s="418"/>
      <c r="E3767" s="122"/>
      <c r="F3767" s="123"/>
      <c r="G3767" s="74"/>
      <c r="I3767" s="115">
        <f>IF(C3767=0,0,VLOOKUP(C3767,Tabla2[],3,FALSE))</f>
        <v>0</v>
      </c>
      <c r="K3767" s="84">
        <f>+F3767*I3767</f>
        <v>0</v>
      </c>
      <c r="L3767" s="116">
        <f>E3767*I3767</f>
        <v>0</v>
      </c>
    </row>
    <row r="3768" spans="2:12" ht="17.25" thickBot="1" x14ac:dyDescent="0.35">
      <c r="B3768" s="419" t="s">
        <v>15</v>
      </c>
      <c r="C3768" s="420"/>
      <c r="D3768" s="420"/>
      <c r="E3768" s="420"/>
      <c r="F3768" s="420"/>
      <c r="G3768" s="421"/>
      <c r="I3768" s="84">
        <v>0</v>
      </c>
      <c r="K3768" s="84">
        <v>0</v>
      </c>
      <c r="L3768" s="116">
        <f>E3768*I3768</f>
        <v>0</v>
      </c>
    </row>
    <row r="3769" spans="2:12" ht="17.25" thickBot="1" x14ac:dyDescent="0.35"/>
    <row r="3770" spans="2:12" ht="17.25" thickBot="1" x14ac:dyDescent="0.35">
      <c r="F3770" s="402" t="s">
        <v>16</v>
      </c>
      <c r="G3770" s="403"/>
      <c r="H3770" s="403"/>
      <c r="I3770" s="404"/>
      <c r="K3770" s="224">
        <f>+SUM(K3765:K3768)</f>
        <v>90</v>
      </c>
      <c r="L3770" s="117">
        <f>+SUM(L3765:L3768)</f>
        <v>3330</v>
      </c>
    </row>
    <row r="3771" spans="2:12" ht="17.25" thickBot="1" x14ac:dyDescent="0.35"/>
    <row r="3772" spans="2:12" ht="17.25" thickBot="1" x14ac:dyDescent="0.35">
      <c r="B3772" s="108" t="s">
        <v>17</v>
      </c>
      <c r="C3772" s="413" t="s">
        <v>18</v>
      </c>
      <c r="D3772" s="413"/>
      <c r="E3772" s="413"/>
      <c r="F3772" s="413"/>
      <c r="G3772" s="414"/>
    </row>
    <row r="3773" spans="2:12" x14ac:dyDescent="0.3">
      <c r="B3773" s="112" t="s">
        <v>6</v>
      </c>
      <c r="C3773" s="415" t="s">
        <v>1</v>
      </c>
      <c r="D3773" s="416"/>
      <c r="E3773" s="124"/>
      <c r="F3773" s="118" t="s">
        <v>2</v>
      </c>
      <c r="G3773" s="112" t="s">
        <v>3</v>
      </c>
      <c r="H3773" s="104"/>
      <c r="I3773" s="105" t="s">
        <v>7</v>
      </c>
      <c r="J3773" s="134"/>
      <c r="K3773" s="105" t="s">
        <v>8</v>
      </c>
      <c r="L3773" s="113" t="s">
        <v>193</v>
      </c>
    </row>
    <row r="3774" spans="2:12" x14ac:dyDescent="0.3">
      <c r="B3774" s="74"/>
      <c r="C3774" s="411"/>
      <c r="D3774" s="412"/>
      <c r="E3774" s="125"/>
      <c r="F3774" s="72"/>
      <c r="G3774" s="74"/>
      <c r="I3774" s="84">
        <v>0</v>
      </c>
      <c r="K3774" s="84">
        <f>+F3774*I3774</f>
        <v>0</v>
      </c>
      <c r="L3774" s="116">
        <f>E3774*I3774</f>
        <v>0</v>
      </c>
    </row>
    <row r="3775" spans="2:12" x14ac:dyDescent="0.3">
      <c r="B3775" s="74"/>
      <c r="C3775" s="411"/>
      <c r="D3775" s="412"/>
      <c r="E3775" s="125"/>
      <c r="F3775" s="72"/>
      <c r="G3775" s="74"/>
      <c r="I3775" s="84">
        <v>0</v>
      </c>
      <c r="K3775" s="84">
        <f>+F3775*I3775</f>
        <v>0</v>
      </c>
      <c r="L3775" s="116">
        <f>E3775*I3775</f>
        <v>0</v>
      </c>
    </row>
    <row r="3776" spans="2:12" x14ac:dyDescent="0.3">
      <c r="B3776" s="74"/>
      <c r="C3776" s="411"/>
      <c r="D3776" s="412"/>
      <c r="E3776" s="125"/>
      <c r="F3776" s="72"/>
      <c r="G3776" s="74"/>
      <c r="I3776" s="84">
        <v>0</v>
      </c>
      <c r="K3776" s="84">
        <f>+F3776*I3776</f>
        <v>0</v>
      </c>
      <c r="L3776" s="116">
        <f>E3776*I3776</f>
        <v>0</v>
      </c>
    </row>
    <row r="3777" spans="2:16" ht="17.25" thickBot="1" x14ac:dyDescent="0.35">
      <c r="L3777" s="116"/>
    </row>
    <row r="3778" spans="2:16" ht="17.25" thickBot="1" x14ac:dyDescent="0.35">
      <c r="F3778" s="402" t="s">
        <v>19</v>
      </c>
      <c r="G3778" s="403"/>
      <c r="H3778" s="403"/>
      <c r="I3778" s="404"/>
      <c r="K3778" s="224">
        <f>+SUM(K3774:K3776)</f>
        <v>0</v>
      </c>
      <c r="L3778" s="117">
        <f>+SUM(L3773:L3776)</f>
        <v>0</v>
      </c>
    </row>
    <row r="3779" spans="2:16" ht="15" customHeight="1" x14ac:dyDescent="0.3">
      <c r="F3779" s="126"/>
      <c r="G3779" s="280"/>
      <c r="H3779" s="128"/>
      <c r="I3779" s="106"/>
      <c r="K3779" s="225"/>
    </row>
    <row r="3780" spans="2:16" ht="15" customHeight="1" thickBot="1" x14ac:dyDescent="0.35"/>
    <row r="3781" spans="2:16" ht="17.25" thickBot="1" x14ac:dyDescent="0.35">
      <c r="F3781" s="402" t="s">
        <v>20</v>
      </c>
      <c r="G3781" s="403"/>
      <c r="H3781" s="403"/>
      <c r="I3781" s="404"/>
      <c r="K3781" s="224">
        <f>(+K3752+K3761+K3770+K3778)</f>
        <v>90</v>
      </c>
      <c r="L3781" s="117">
        <f>(+L3752+L3761+L3770+L3778)</f>
        <v>3330</v>
      </c>
      <c r="N3781" s="129"/>
      <c r="O3781" s="39"/>
      <c r="P3781" s="40"/>
    </row>
    <row r="3782" spans="2:16" ht="7.5" customHeight="1" thickBot="1" x14ac:dyDescent="0.35">
      <c r="N3782" s="129"/>
      <c r="O3782" s="41"/>
      <c r="P3782" s="40"/>
    </row>
    <row r="3783" spans="2:16" ht="17.25" thickBot="1" x14ac:dyDescent="0.35">
      <c r="F3783" s="402" t="s">
        <v>21</v>
      </c>
      <c r="G3783" s="403"/>
      <c r="H3783" s="403"/>
      <c r="I3783" s="404"/>
      <c r="K3783" s="224">
        <f>K3781*$N$2</f>
        <v>36</v>
      </c>
      <c r="L3783" s="117">
        <f>L3781*$N$2</f>
        <v>1332</v>
      </c>
    </row>
    <row r="3784" spans="2:16" ht="7.5" customHeight="1" thickBot="1" x14ac:dyDescent="0.35"/>
    <row r="3785" spans="2:16" ht="17.25" thickBot="1" x14ac:dyDescent="0.35">
      <c r="F3785" s="402" t="s">
        <v>22</v>
      </c>
      <c r="G3785" s="403"/>
      <c r="H3785" s="403"/>
      <c r="I3785" s="404"/>
      <c r="K3785" s="224">
        <f>+K3781+K3783</f>
        <v>126</v>
      </c>
      <c r="L3785" s="117">
        <f>+L3781+L3783</f>
        <v>4662</v>
      </c>
    </row>
    <row r="3786" spans="2:16" ht="17.25" thickBot="1" x14ac:dyDescent="0.35">
      <c r="F3786" s="126"/>
      <c r="G3786" s="280"/>
      <c r="H3786" s="128"/>
      <c r="I3786" s="106"/>
      <c r="K3786" s="226"/>
      <c r="L3786" s="130">
        <f>L3785/I3737</f>
        <v>126</v>
      </c>
      <c r="M3786" s="131">
        <f>(K3785-L3786)*I3737</f>
        <v>0</v>
      </c>
    </row>
    <row r="3787" spans="2:16" x14ac:dyDescent="0.3">
      <c r="F3787" s="126"/>
      <c r="G3787" s="280"/>
      <c r="H3787" s="128"/>
      <c r="I3787" s="106"/>
      <c r="K3787" s="227"/>
      <c r="L3787" s="129"/>
      <c r="M3787" s="132"/>
      <c r="N3787" s="133"/>
    </row>
    <row r="3788" spans="2:16" ht="17.25" thickBot="1" x14ac:dyDescent="0.35">
      <c r="B3788" s="405"/>
      <c r="C3788" s="405"/>
      <c r="D3788" s="405"/>
    </row>
    <row r="3789" spans="2:16" x14ac:dyDescent="0.3">
      <c r="B3789" s="406" t="s">
        <v>23</v>
      </c>
      <c r="C3789" s="406"/>
      <c r="D3789" s="406"/>
    </row>
    <row r="3790" spans="2:16" x14ac:dyDescent="0.3">
      <c r="B3790" s="281"/>
      <c r="C3790" s="281"/>
      <c r="D3790" s="281"/>
    </row>
    <row r="3792" spans="2:16" x14ac:dyDescent="0.3">
      <c r="B3792" s="103" t="s">
        <v>43</v>
      </c>
      <c r="C3792" s="104"/>
      <c r="D3792" s="422" t="s">
        <v>1</v>
      </c>
      <c r="E3792" s="422"/>
      <c r="F3792" s="422"/>
      <c r="G3792" s="422"/>
      <c r="H3792" s="104"/>
      <c r="I3792" s="105" t="s">
        <v>2</v>
      </c>
      <c r="J3792" s="134"/>
      <c r="K3792" s="105" t="s">
        <v>3</v>
      </c>
    </row>
    <row r="3793" spans="1:16" s="58" customFormat="1" ht="30.75" customHeight="1" x14ac:dyDescent="0.25">
      <c r="A3793" s="56"/>
      <c r="B3793" s="287">
        <f>CATALOGO!B105</f>
        <v>114.03</v>
      </c>
      <c r="C3793" s="135"/>
      <c r="D3793" s="435" t="str">
        <f>CATALOGO!C105</f>
        <v>DESMONTAJE DE CUBIERTA DE TECHO</v>
      </c>
      <c r="E3793" s="435"/>
      <c r="F3793" s="435"/>
      <c r="G3793" s="435"/>
      <c r="H3793" s="135"/>
      <c r="I3793" s="287">
        <f>CATALOGO!D105</f>
        <v>21</v>
      </c>
      <c r="J3793" s="107"/>
      <c r="K3793" s="222" t="str">
        <f>CATALOGO!G105</f>
        <v>m²</v>
      </c>
      <c r="L3793" s="135"/>
      <c r="M3793" s="135"/>
      <c r="N3793" s="135"/>
      <c r="O3793" s="57"/>
      <c r="P3793" s="57"/>
    </row>
    <row r="3794" spans="1:16" ht="17.25" thickBot="1" x14ac:dyDescent="0.35"/>
    <row r="3795" spans="1:16" ht="17.25" thickBot="1" x14ac:dyDescent="0.35">
      <c r="B3795" s="108" t="s">
        <v>4</v>
      </c>
      <c r="C3795" s="413" t="s">
        <v>5</v>
      </c>
      <c r="D3795" s="413"/>
      <c r="E3795" s="413"/>
      <c r="F3795" s="413"/>
      <c r="G3795" s="414"/>
    </row>
    <row r="3796" spans="1:16" x14ac:dyDescent="0.3">
      <c r="B3796" s="109" t="s">
        <v>6</v>
      </c>
      <c r="C3796" s="424" t="s">
        <v>1</v>
      </c>
      <c r="D3796" s="425"/>
      <c r="E3796" s="110" t="s">
        <v>192</v>
      </c>
      <c r="F3796" s="111" t="s">
        <v>2</v>
      </c>
      <c r="G3796" s="112" t="s">
        <v>3</v>
      </c>
      <c r="H3796" s="104"/>
      <c r="I3796" s="105" t="s">
        <v>7</v>
      </c>
      <c r="J3796" s="134"/>
      <c r="K3796" s="223" t="s">
        <v>8</v>
      </c>
      <c r="L3796" s="113" t="s">
        <v>193</v>
      </c>
    </row>
    <row r="3797" spans="1:16" x14ac:dyDescent="0.3">
      <c r="B3797" s="74"/>
      <c r="C3797" s="409"/>
      <c r="D3797" s="409"/>
      <c r="E3797" s="114"/>
      <c r="F3797" s="83"/>
      <c r="G3797" s="74"/>
      <c r="I3797" s="115">
        <f>IF(C3797=0,0,VLOOKUP(C3797,Tabla1[],3,FALSE))</f>
        <v>0</v>
      </c>
      <c r="K3797" s="84">
        <f>+F3797*I3797</f>
        <v>0</v>
      </c>
      <c r="L3797" s="116">
        <f>E3797*I3797</f>
        <v>0</v>
      </c>
    </row>
    <row r="3798" spans="1:16" x14ac:dyDescent="0.3">
      <c r="B3798" s="74"/>
      <c r="C3798" s="409"/>
      <c r="D3798" s="409"/>
      <c r="E3798" s="114"/>
      <c r="F3798" s="83"/>
      <c r="G3798" s="74"/>
      <c r="I3798" s="115">
        <f>IF(C3798=0,0,VLOOKUP(C3798,Tabla1[],3,FALSE))</f>
        <v>0</v>
      </c>
      <c r="K3798" s="84">
        <f>+F3798*I3798</f>
        <v>0</v>
      </c>
      <c r="L3798" s="116">
        <f>E3798*I3798</f>
        <v>0</v>
      </c>
    </row>
    <row r="3799" spans="1:16" x14ac:dyDescent="0.3">
      <c r="B3799" s="74"/>
      <c r="C3799" s="409"/>
      <c r="D3799" s="409"/>
      <c r="E3799" s="114"/>
      <c r="F3799" s="83"/>
      <c r="G3799" s="74"/>
      <c r="I3799" s="115">
        <f>IF(C3799=0,0,VLOOKUP(C3799,Tabla1[],3,FALSE))</f>
        <v>0</v>
      </c>
      <c r="K3799" s="84">
        <f>+F3799*I3799</f>
        <v>0</v>
      </c>
      <c r="L3799" s="116">
        <f>E3799*I3799</f>
        <v>0</v>
      </c>
    </row>
    <row r="3800" spans="1:16" x14ac:dyDescent="0.3">
      <c r="B3800" s="74"/>
      <c r="C3800" s="409"/>
      <c r="D3800" s="409"/>
      <c r="E3800" s="114"/>
      <c r="F3800" s="83"/>
      <c r="G3800" s="74"/>
      <c r="I3800" s="115">
        <f>IF(C3800=0,0,VLOOKUP(C3800,Tabla1[],3,FALSE))</f>
        <v>0</v>
      </c>
      <c r="K3800" s="84">
        <f>+F3800*I3800</f>
        <v>0</v>
      </c>
      <c r="L3800" s="116">
        <f>E3800*I3800</f>
        <v>0</v>
      </c>
    </row>
    <row r="3801" spans="1:16" x14ac:dyDescent="0.3">
      <c r="B3801" s="74"/>
      <c r="C3801" s="410"/>
      <c r="D3801" s="410"/>
      <c r="E3801" s="114"/>
      <c r="F3801" s="72"/>
      <c r="G3801" s="74"/>
      <c r="I3801" s="115">
        <f>IF(C3801=0,0,VLOOKUP(C3801,Tabla1[],3,FALSE))</f>
        <v>0</v>
      </c>
      <c r="K3801" s="84">
        <f>+F3801*I3801</f>
        <v>0</v>
      </c>
      <c r="L3801" s="116">
        <f>E3801*I3801</f>
        <v>0</v>
      </c>
    </row>
    <row r="3802" spans="1:16" ht="17.25" thickBot="1" x14ac:dyDescent="0.35"/>
    <row r="3803" spans="1:16" ht="17.25" thickBot="1" x14ac:dyDescent="0.35">
      <c r="F3803" s="402" t="s">
        <v>9</v>
      </c>
      <c r="G3803" s="403"/>
      <c r="H3803" s="403"/>
      <c r="I3803" s="404"/>
      <c r="K3803" s="224">
        <f>+SUM(K3797:K3801)</f>
        <v>0</v>
      </c>
      <c r="L3803" s="117">
        <f>+SUM(L3797:L3801)</f>
        <v>0</v>
      </c>
    </row>
    <row r="3804" spans="1:16" ht="17.25" thickBot="1" x14ac:dyDescent="0.35"/>
    <row r="3805" spans="1:16" ht="17.25" thickBot="1" x14ac:dyDescent="0.35">
      <c r="B3805" s="108" t="s">
        <v>10</v>
      </c>
      <c r="C3805" s="413" t="s">
        <v>11</v>
      </c>
      <c r="D3805" s="413"/>
      <c r="E3805" s="413"/>
      <c r="F3805" s="413"/>
      <c r="G3805" s="414"/>
    </row>
    <row r="3806" spans="1:16" x14ac:dyDescent="0.3">
      <c r="B3806" s="112" t="s">
        <v>6</v>
      </c>
      <c r="C3806" s="415" t="s">
        <v>1</v>
      </c>
      <c r="D3806" s="416"/>
      <c r="E3806" s="110" t="s">
        <v>192</v>
      </c>
      <c r="F3806" s="118" t="s">
        <v>2</v>
      </c>
      <c r="G3806" s="112" t="s">
        <v>3</v>
      </c>
      <c r="H3806" s="104"/>
      <c r="I3806" s="105" t="s">
        <v>7</v>
      </c>
      <c r="J3806" s="134"/>
      <c r="K3806" s="105" t="s">
        <v>8</v>
      </c>
      <c r="L3806" s="113" t="s">
        <v>193</v>
      </c>
    </row>
    <row r="3807" spans="1:16" x14ac:dyDescent="0.3">
      <c r="B3807" s="120"/>
      <c r="C3807" s="409"/>
      <c r="D3807" s="409"/>
      <c r="E3807" s="114"/>
      <c r="F3807" s="83"/>
      <c r="G3807" s="74"/>
      <c r="I3807" s="115"/>
      <c r="K3807" s="84"/>
      <c r="L3807" s="116">
        <f>E3807*I3807</f>
        <v>0</v>
      </c>
    </row>
    <row r="3808" spans="1:16" x14ac:dyDescent="0.3">
      <c r="B3808" s="74"/>
      <c r="C3808" s="282"/>
      <c r="D3808" s="283"/>
      <c r="E3808" s="119"/>
      <c r="F3808" s="72"/>
      <c r="G3808" s="74"/>
      <c r="I3808" s="115">
        <f>IF(C3808=0,0,VLOOKUP(C3808,Tabla3[],3,FALSE))</f>
        <v>0</v>
      </c>
      <c r="K3808" s="84">
        <f>+F3808*I3808</f>
        <v>0</v>
      </c>
      <c r="L3808" s="116">
        <f>E3808*I3808</f>
        <v>0</v>
      </c>
    </row>
    <row r="3809" spans="2:12" x14ac:dyDescent="0.3">
      <c r="B3809" s="74"/>
      <c r="C3809" s="282"/>
      <c r="D3809" s="283"/>
      <c r="E3809" s="119"/>
      <c r="F3809" s="72"/>
      <c r="G3809" s="74"/>
      <c r="I3809" s="115">
        <f>IF(C3809=0,0,VLOOKUP(C3809,Tabla3[],3,FALSE))</f>
        <v>0</v>
      </c>
      <c r="K3809" s="84">
        <f>+F3809*I3809</f>
        <v>0</v>
      </c>
      <c r="L3809" s="116">
        <f>E3809*I3809</f>
        <v>0</v>
      </c>
    </row>
    <row r="3810" spans="2:12" x14ac:dyDescent="0.3">
      <c r="B3810" s="74"/>
      <c r="C3810" s="411"/>
      <c r="D3810" s="412"/>
      <c r="E3810" s="119"/>
      <c r="F3810" s="72"/>
      <c r="G3810" s="74"/>
      <c r="I3810" s="115">
        <f>IF(C3810=0,0,VLOOKUP(C3810,Tabla3[],3,FALSE))</f>
        <v>0</v>
      </c>
      <c r="K3810" s="84">
        <f>+F3810*I3810</f>
        <v>0</v>
      </c>
      <c r="L3810" s="116">
        <f>E3810*I3810</f>
        <v>0</v>
      </c>
    </row>
    <row r="3811" spans="2:12" ht="17.25" thickBot="1" x14ac:dyDescent="0.35"/>
    <row r="3812" spans="2:12" ht="17.25" thickBot="1" x14ac:dyDescent="0.35">
      <c r="F3812" s="402" t="s">
        <v>12</v>
      </c>
      <c r="G3812" s="403"/>
      <c r="H3812" s="403"/>
      <c r="I3812" s="404"/>
      <c r="K3812" s="224">
        <f>+SUM(K3807:K3810)</f>
        <v>0</v>
      </c>
      <c r="L3812" s="117">
        <f>+SUM(L3807:L3810)</f>
        <v>0</v>
      </c>
    </row>
    <row r="3813" spans="2:12" ht="17.25" thickBot="1" x14ac:dyDescent="0.35"/>
    <row r="3814" spans="2:12" ht="17.25" thickBot="1" x14ac:dyDescent="0.35">
      <c r="B3814" s="108" t="s">
        <v>13</v>
      </c>
      <c r="C3814" s="413" t="s">
        <v>14</v>
      </c>
      <c r="D3814" s="413"/>
      <c r="E3814" s="413"/>
      <c r="F3814" s="413"/>
      <c r="G3814" s="414"/>
    </row>
    <row r="3815" spans="2:12" x14ac:dyDescent="0.3">
      <c r="B3815" s="112" t="s">
        <v>6</v>
      </c>
      <c r="C3815" s="415" t="s">
        <v>1</v>
      </c>
      <c r="D3815" s="416"/>
      <c r="E3815" s="110" t="s">
        <v>192</v>
      </c>
      <c r="F3815" s="118" t="s">
        <v>2</v>
      </c>
      <c r="G3815" s="112" t="s">
        <v>3</v>
      </c>
      <c r="H3815" s="104"/>
      <c r="I3815" s="105" t="s">
        <v>7</v>
      </c>
      <c r="J3815" s="134"/>
      <c r="K3815" s="105" t="s">
        <v>8</v>
      </c>
      <c r="L3815" s="113" t="s">
        <v>193</v>
      </c>
    </row>
    <row r="3816" spans="2:12" x14ac:dyDescent="0.3">
      <c r="B3816" s="120">
        <v>1</v>
      </c>
      <c r="C3816" s="409" t="s">
        <v>276</v>
      </c>
      <c r="D3816" s="409"/>
      <c r="E3816" s="114">
        <f>I3793</f>
        <v>21</v>
      </c>
      <c r="F3816" s="83">
        <f>ROUND(E3816/I3793,2)</f>
        <v>1</v>
      </c>
      <c r="G3816" s="74" t="str">
        <f>IF(C3816=0,0,VLOOKUP(C3816,Tabla2[],2,FALSE))</f>
        <v>m²</v>
      </c>
      <c r="I3816" s="115">
        <f>IF(C3816=0,0,VLOOKUP(C3816,Tabla2[],3,FALSE))</f>
        <v>60</v>
      </c>
      <c r="K3816" s="84">
        <f>+F3816*I3816</f>
        <v>60</v>
      </c>
      <c r="L3816" s="116">
        <f>E3816*I3816</f>
        <v>1260</v>
      </c>
    </row>
    <row r="3817" spans="2:12" x14ac:dyDescent="0.3">
      <c r="B3817" s="120"/>
      <c r="C3817" s="409"/>
      <c r="D3817" s="409"/>
      <c r="E3817" s="114"/>
      <c r="F3817" s="83"/>
      <c r="G3817" s="74"/>
      <c r="I3817" s="115">
        <f>IF(C3817=0,0,VLOOKUP(C3817,Tabla2[],3,FALSE))</f>
        <v>0</v>
      </c>
      <c r="K3817" s="84">
        <f>+F3817*I3817</f>
        <v>0</v>
      </c>
      <c r="L3817" s="116">
        <f>E3817*I3817</f>
        <v>0</v>
      </c>
    </row>
    <row r="3818" spans="2:12" ht="17.25" thickBot="1" x14ac:dyDescent="0.35">
      <c r="B3818" s="121"/>
      <c r="C3818" s="417"/>
      <c r="D3818" s="418"/>
      <c r="E3818" s="122"/>
      <c r="F3818" s="123"/>
      <c r="G3818" s="74"/>
      <c r="I3818" s="115">
        <f>IF(C3818=0,0,VLOOKUP(C3818,Tabla2[],3,FALSE))</f>
        <v>0</v>
      </c>
      <c r="K3818" s="84">
        <f>+F3818*I3818</f>
        <v>0</v>
      </c>
      <c r="L3818" s="116">
        <f>E3818*I3818</f>
        <v>0</v>
      </c>
    </row>
    <row r="3819" spans="2:12" ht="17.25" thickBot="1" x14ac:dyDescent="0.35">
      <c r="B3819" s="419" t="s">
        <v>15</v>
      </c>
      <c r="C3819" s="420"/>
      <c r="D3819" s="420"/>
      <c r="E3819" s="420"/>
      <c r="F3819" s="420"/>
      <c r="G3819" s="421"/>
      <c r="I3819" s="84">
        <v>0</v>
      </c>
      <c r="K3819" s="84">
        <v>0</v>
      </c>
      <c r="L3819" s="116">
        <f>E3819*I3819</f>
        <v>0</v>
      </c>
    </row>
    <row r="3820" spans="2:12" ht="17.25" thickBot="1" x14ac:dyDescent="0.35"/>
    <row r="3821" spans="2:12" ht="17.25" thickBot="1" x14ac:dyDescent="0.35">
      <c r="F3821" s="402" t="s">
        <v>16</v>
      </c>
      <c r="G3821" s="403"/>
      <c r="H3821" s="403"/>
      <c r="I3821" s="404"/>
      <c r="K3821" s="224">
        <f>+SUM(K3816:K3819)</f>
        <v>60</v>
      </c>
      <c r="L3821" s="117">
        <f>+SUM(L3816:L3819)</f>
        <v>1260</v>
      </c>
    </row>
    <row r="3822" spans="2:12" ht="17.25" thickBot="1" x14ac:dyDescent="0.35"/>
    <row r="3823" spans="2:12" ht="17.25" thickBot="1" x14ac:dyDescent="0.35">
      <c r="B3823" s="108" t="s">
        <v>17</v>
      </c>
      <c r="C3823" s="413" t="s">
        <v>18</v>
      </c>
      <c r="D3823" s="413"/>
      <c r="E3823" s="413"/>
      <c r="F3823" s="413"/>
      <c r="G3823" s="414"/>
    </row>
    <row r="3824" spans="2:12" x14ac:dyDescent="0.3">
      <c r="B3824" s="112" t="s">
        <v>6</v>
      </c>
      <c r="C3824" s="415" t="s">
        <v>1</v>
      </c>
      <c r="D3824" s="416"/>
      <c r="E3824" s="124"/>
      <c r="F3824" s="118" t="s">
        <v>2</v>
      </c>
      <c r="G3824" s="112" t="s">
        <v>3</v>
      </c>
      <c r="H3824" s="104"/>
      <c r="I3824" s="105" t="s">
        <v>7</v>
      </c>
      <c r="J3824" s="134"/>
      <c r="K3824" s="105" t="s">
        <v>8</v>
      </c>
      <c r="L3824" s="113" t="s">
        <v>193</v>
      </c>
    </row>
    <row r="3825" spans="2:16" x14ac:dyDescent="0.3">
      <c r="B3825" s="74"/>
      <c r="C3825" s="411"/>
      <c r="D3825" s="412"/>
      <c r="E3825" s="125"/>
      <c r="F3825" s="72"/>
      <c r="G3825" s="74"/>
      <c r="I3825" s="84">
        <v>0</v>
      </c>
      <c r="K3825" s="84">
        <f>+F3825*I3825</f>
        <v>0</v>
      </c>
      <c r="L3825" s="116">
        <f>E3825*I3825</f>
        <v>0</v>
      </c>
    </row>
    <row r="3826" spans="2:16" x14ac:dyDescent="0.3">
      <c r="B3826" s="74"/>
      <c r="C3826" s="411"/>
      <c r="D3826" s="412"/>
      <c r="E3826" s="125"/>
      <c r="F3826" s="72"/>
      <c r="G3826" s="74"/>
      <c r="I3826" s="84">
        <v>0</v>
      </c>
      <c r="K3826" s="84">
        <f>+F3826*I3826</f>
        <v>0</v>
      </c>
      <c r="L3826" s="116">
        <f>E3826*I3826</f>
        <v>0</v>
      </c>
    </row>
    <row r="3827" spans="2:16" x14ac:dyDescent="0.3">
      <c r="B3827" s="74"/>
      <c r="C3827" s="411"/>
      <c r="D3827" s="412"/>
      <c r="E3827" s="125"/>
      <c r="F3827" s="72"/>
      <c r="G3827" s="74"/>
      <c r="I3827" s="84">
        <v>0</v>
      </c>
      <c r="K3827" s="84">
        <f>+F3827*I3827</f>
        <v>0</v>
      </c>
      <c r="L3827" s="116">
        <f>E3827*I3827</f>
        <v>0</v>
      </c>
    </row>
    <row r="3828" spans="2:16" ht="17.25" thickBot="1" x14ac:dyDescent="0.35">
      <c r="L3828" s="116"/>
    </row>
    <row r="3829" spans="2:16" ht="17.25" thickBot="1" x14ac:dyDescent="0.35">
      <c r="F3829" s="402" t="s">
        <v>19</v>
      </c>
      <c r="G3829" s="403"/>
      <c r="H3829" s="403"/>
      <c r="I3829" s="404"/>
      <c r="K3829" s="224">
        <f>+SUM(K3825:K3827)</f>
        <v>0</v>
      </c>
      <c r="L3829" s="117">
        <f>+SUM(L3824:L3827)</f>
        <v>0</v>
      </c>
    </row>
    <row r="3830" spans="2:16" ht="15" customHeight="1" x14ac:dyDescent="0.3">
      <c r="F3830" s="126"/>
      <c r="G3830" s="280"/>
      <c r="H3830" s="128"/>
      <c r="I3830" s="106"/>
      <c r="K3830" s="225"/>
    </row>
    <row r="3831" spans="2:16" ht="15" customHeight="1" thickBot="1" x14ac:dyDescent="0.35"/>
    <row r="3832" spans="2:16" ht="17.25" thickBot="1" x14ac:dyDescent="0.35">
      <c r="F3832" s="402" t="s">
        <v>20</v>
      </c>
      <c r="G3832" s="403"/>
      <c r="H3832" s="403"/>
      <c r="I3832" s="404"/>
      <c r="K3832" s="224">
        <f>(+K3803+K3812+K3821+K3829)</f>
        <v>60</v>
      </c>
      <c r="L3832" s="117">
        <f>(+L3803+L3812+L3821+L3829)</f>
        <v>1260</v>
      </c>
      <c r="N3832" s="129"/>
      <c r="O3832" s="39"/>
      <c r="P3832" s="40"/>
    </row>
    <row r="3833" spans="2:16" ht="7.5" customHeight="1" thickBot="1" x14ac:dyDescent="0.35">
      <c r="N3833" s="129"/>
      <c r="O3833" s="41"/>
      <c r="P3833" s="40"/>
    </row>
    <row r="3834" spans="2:16" ht="17.25" thickBot="1" x14ac:dyDescent="0.35">
      <c r="F3834" s="402" t="s">
        <v>21</v>
      </c>
      <c r="G3834" s="403"/>
      <c r="H3834" s="403"/>
      <c r="I3834" s="404"/>
      <c r="K3834" s="224">
        <f>K3832*$N$2</f>
        <v>24</v>
      </c>
      <c r="L3834" s="117">
        <f>L3832*$N$2</f>
        <v>504</v>
      </c>
    </row>
    <row r="3835" spans="2:16" ht="7.5" customHeight="1" thickBot="1" x14ac:dyDescent="0.35"/>
    <row r="3836" spans="2:16" ht="17.25" thickBot="1" x14ac:dyDescent="0.35">
      <c r="F3836" s="402" t="s">
        <v>22</v>
      </c>
      <c r="G3836" s="403"/>
      <c r="H3836" s="403"/>
      <c r="I3836" s="404"/>
      <c r="K3836" s="224">
        <f>+K3832+K3834</f>
        <v>84</v>
      </c>
      <c r="L3836" s="117">
        <f>+L3832+L3834</f>
        <v>1764</v>
      </c>
    </row>
    <row r="3837" spans="2:16" ht="17.25" thickBot="1" x14ac:dyDescent="0.35">
      <c r="F3837" s="126"/>
      <c r="G3837" s="280"/>
      <c r="H3837" s="128"/>
      <c r="I3837" s="106"/>
      <c r="K3837" s="226"/>
      <c r="L3837" s="130">
        <f>L3836/I3793</f>
        <v>84</v>
      </c>
      <c r="M3837" s="131">
        <f>(K3836-L3837)*I3793</f>
        <v>0</v>
      </c>
    </row>
    <row r="3838" spans="2:16" x14ac:dyDescent="0.3">
      <c r="F3838" s="126"/>
      <c r="G3838" s="280"/>
      <c r="H3838" s="128"/>
      <c r="I3838" s="106"/>
      <c r="K3838" s="227"/>
      <c r="L3838" s="129"/>
      <c r="M3838" s="132"/>
      <c r="N3838" s="133"/>
    </row>
    <row r="3839" spans="2:16" ht="17.25" thickBot="1" x14ac:dyDescent="0.35">
      <c r="B3839" s="405"/>
      <c r="C3839" s="405"/>
      <c r="D3839" s="405"/>
    </row>
    <row r="3840" spans="2:16" x14ac:dyDescent="0.3">
      <c r="B3840" s="406" t="s">
        <v>23</v>
      </c>
      <c r="C3840" s="406"/>
      <c r="D3840" s="406"/>
    </row>
    <row r="3841" spans="1:16" x14ac:dyDescent="0.3">
      <c r="B3841" s="281"/>
      <c r="C3841" s="281"/>
      <c r="D3841" s="281"/>
    </row>
    <row r="3842" spans="1:16" x14ac:dyDescent="0.3">
      <c r="B3842" s="281"/>
      <c r="C3842" s="281"/>
      <c r="D3842" s="281"/>
    </row>
    <row r="3843" spans="1:16" x14ac:dyDescent="0.3">
      <c r="B3843" s="103" t="s">
        <v>43</v>
      </c>
      <c r="C3843" s="104"/>
      <c r="D3843" s="422" t="s">
        <v>1</v>
      </c>
      <c r="E3843" s="422"/>
      <c r="F3843" s="422"/>
      <c r="G3843" s="422"/>
      <c r="H3843" s="104"/>
      <c r="I3843" s="105" t="s">
        <v>2</v>
      </c>
      <c r="J3843" s="134"/>
      <c r="K3843" s="105" t="s">
        <v>3</v>
      </c>
    </row>
    <row r="3844" spans="1:16" s="4" customFormat="1" ht="30.75" customHeight="1" x14ac:dyDescent="0.25">
      <c r="A3844" s="31"/>
      <c r="B3844" s="287">
        <f>CATALOGO!B106</f>
        <v>118.01</v>
      </c>
      <c r="C3844" s="135"/>
      <c r="D3844" s="435" t="str">
        <f>CATALOGO!C106</f>
        <v>DESMONTAJE DE ACCESORIOS ELÉCTRICOS</v>
      </c>
      <c r="E3844" s="435"/>
      <c r="F3844" s="435"/>
      <c r="G3844" s="435"/>
      <c r="H3844" s="135"/>
      <c r="I3844" s="287">
        <f>CATALOGO!D106</f>
        <v>3</v>
      </c>
      <c r="J3844" s="107"/>
      <c r="K3844" s="222" t="str">
        <f>CATALOGO!G106</f>
        <v>Unidad</v>
      </c>
      <c r="L3844" s="71"/>
      <c r="M3844" s="71"/>
      <c r="N3844" s="102"/>
      <c r="O3844" s="37"/>
      <c r="P3844" s="37"/>
    </row>
    <row r="3845" spans="1:16" ht="17.25" thickBot="1" x14ac:dyDescent="0.35"/>
    <row r="3846" spans="1:16" ht="17.25" thickBot="1" x14ac:dyDescent="0.35">
      <c r="B3846" s="108" t="s">
        <v>4</v>
      </c>
      <c r="C3846" s="413" t="s">
        <v>5</v>
      </c>
      <c r="D3846" s="413"/>
      <c r="E3846" s="413"/>
      <c r="F3846" s="413"/>
      <c r="G3846" s="414"/>
    </row>
    <row r="3847" spans="1:16" x14ac:dyDescent="0.3">
      <c r="B3847" s="109" t="s">
        <v>6</v>
      </c>
      <c r="C3847" s="424" t="s">
        <v>1</v>
      </c>
      <c r="D3847" s="425"/>
      <c r="E3847" s="110" t="s">
        <v>192</v>
      </c>
      <c r="F3847" s="111" t="s">
        <v>2</v>
      </c>
      <c r="G3847" s="112" t="s">
        <v>3</v>
      </c>
      <c r="H3847" s="104"/>
      <c r="I3847" s="105" t="s">
        <v>7</v>
      </c>
      <c r="J3847" s="134"/>
      <c r="K3847" s="223" t="s">
        <v>8</v>
      </c>
      <c r="L3847" s="113" t="s">
        <v>193</v>
      </c>
    </row>
    <row r="3848" spans="1:16" x14ac:dyDescent="0.3">
      <c r="B3848" s="74"/>
      <c r="C3848" s="409"/>
      <c r="D3848" s="409"/>
      <c r="E3848" s="114"/>
      <c r="F3848" s="83"/>
      <c r="G3848" s="74"/>
      <c r="I3848" s="115">
        <f>IF(C3848=0,0,VLOOKUP(C3848,Tabla1[],3,FALSE))</f>
        <v>0</v>
      </c>
      <c r="K3848" s="84">
        <f>+F3848*I3848</f>
        <v>0</v>
      </c>
      <c r="L3848" s="116">
        <f>E3848*I3848</f>
        <v>0</v>
      </c>
    </row>
    <row r="3849" spans="1:16" x14ac:dyDescent="0.3">
      <c r="B3849" s="74"/>
      <c r="C3849" s="409"/>
      <c r="D3849" s="409"/>
      <c r="E3849" s="114"/>
      <c r="F3849" s="83"/>
      <c r="G3849" s="74"/>
      <c r="I3849" s="115">
        <f>IF(C3849=0,0,VLOOKUP(C3849,Tabla1[],3,FALSE))</f>
        <v>0</v>
      </c>
      <c r="K3849" s="84">
        <f>+F3849*I3849</f>
        <v>0</v>
      </c>
      <c r="L3849" s="116">
        <f>E3849*I3849</f>
        <v>0</v>
      </c>
    </row>
    <row r="3850" spans="1:16" x14ac:dyDescent="0.3">
      <c r="B3850" s="74"/>
      <c r="C3850" s="410"/>
      <c r="D3850" s="410"/>
      <c r="E3850" s="114"/>
      <c r="F3850" s="72"/>
      <c r="G3850" s="74"/>
      <c r="I3850" s="115">
        <f>IF(C3850=0,0,VLOOKUP(C3850,Tabla1[],3,FALSE))</f>
        <v>0</v>
      </c>
      <c r="K3850" s="84">
        <f>+F3850*I3850</f>
        <v>0</v>
      </c>
      <c r="L3850" s="116">
        <f>E3850*I3850</f>
        <v>0</v>
      </c>
    </row>
    <row r="3851" spans="1:16" ht="17.25" thickBot="1" x14ac:dyDescent="0.35"/>
    <row r="3852" spans="1:16" ht="17.25" thickBot="1" x14ac:dyDescent="0.35">
      <c r="F3852" s="402" t="s">
        <v>9</v>
      </c>
      <c r="G3852" s="403"/>
      <c r="H3852" s="403"/>
      <c r="I3852" s="404"/>
      <c r="K3852" s="224">
        <f>+SUM(K3848:K3850)</f>
        <v>0</v>
      </c>
      <c r="L3852" s="117">
        <f>+SUM(L3848:L3850)</f>
        <v>0</v>
      </c>
    </row>
    <row r="3853" spans="1:16" ht="17.25" thickBot="1" x14ac:dyDescent="0.35"/>
    <row r="3854" spans="1:16" ht="17.25" thickBot="1" x14ac:dyDescent="0.35">
      <c r="B3854" s="108" t="s">
        <v>10</v>
      </c>
      <c r="C3854" s="413" t="s">
        <v>11</v>
      </c>
      <c r="D3854" s="413"/>
      <c r="E3854" s="413"/>
      <c r="F3854" s="413"/>
      <c r="G3854" s="414"/>
    </row>
    <row r="3855" spans="1:16" x14ac:dyDescent="0.3">
      <c r="B3855" s="112" t="s">
        <v>6</v>
      </c>
      <c r="C3855" s="415" t="s">
        <v>1</v>
      </c>
      <c r="D3855" s="416"/>
      <c r="E3855" s="110" t="s">
        <v>192</v>
      </c>
      <c r="F3855" s="118" t="s">
        <v>2</v>
      </c>
      <c r="G3855" s="112" t="s">
        <v>3</v>
      </c>
      <c r="H3855" s="104"/>
      <c r="I3855" s="105" t="s">
        <v>7</v>
      </c>
      <c r="J3855" s="134"/>
      <c r="K3855" s="105" t="s">
        <v>8</v>
      </c>
      <c r="L3855" s="113" t="s">
        <v>193</v>
      </c>
    </row>
    <row r="3856" spans="1:16" x14ac:dyDescent="0.3">
      <c r="B3856" s="120"/>
      <c r="C3856" s="409"/>
      <c r="D3856" s="409"/>
      <c r="E3856" s="114"/>
      <c r="F3856" s="83"/>
      <c r="G3856" s="74"/>
      <c r="I3856" s="115">
        <f>IF(C3856=0,0,VLOOKUP(C3856,Tabla3[],3,FALSE))</f>
        <v>0</v>
      </c>
      <c r="K3856" s="84">
        <f>+F3856*I3856</f>
        <v>0</v>
      </c>
      <c r="L3856" s="116">
        <f>E3856*I3856</f>
        <v>0</v>
      </c>
    </row>
    <row r="3857" spans="2:12" x14ac:dyDescent="0.3">
      <c r="B3857" s="74"/>
      <c r="C3857" s="282"/>
      <c r="D3857" s="283"/>
      <c r="E3857" s="119"/>
      <c r="F3857" s="72"/>
      <c r="G3857" s="74"/>
      <c r="I3857" s="115">
        <f>IF(C3857=0,0,VLOOKUP(C3857,Tabla3[],3,FALSE))</f>
        <v>0</v>
      </c>
      <c r="K3857" s="84">
        <f>+F3857*I3857</f>
        <v>0</v>
      </c>
      <c r="L3857" s="116">
        <f>E3857*I3857</f>
        <v>0</v>
      </c>
    </row>
    <row r="3858" spans="2:12" x14ac:dyDescent="0.3">
      <c r="B3858" s="74"/>
      <c r="C3858" s="282"/>
      <c r="D3858" s="283"/>
      <c r="E3858" s="119"/>
      <c r="F3858" s="72"/>
      <c r="G3858" s="74"/>
      <c r="I3858" s="115">
        <f>IF(C3858=0,0,VLOOKUP(C3858,Tabla3[],3,FALSE))</f>
        <v>0</v>
      </c>
      <c r="K3858" s="84">
        <f>+F3858*I3858</f>
        <v>0</v>
      </c>
      <c r="L3858" s="116">
        <f>E3858*I3858</f>
        <v>0</v>
      </c>
    </row>
    <row r="3859" spans="2:12" x14ac:dyDescent="0.3">
      <c r="B3859" s="74"/>
      <c r="C3859" s="411"/>
      <c r="D3859" s="412"/>
      <c r="E3859" s="119"/>
      <c r="F3859" s="72"/>
      <c r="G3859" s="74"/>
      <c r="I3859" s="115">
        <f>IF(C3859=0,0,VLOOKUP(C3859,Tabla3[],3,FALSE))</f>
        <v>0</v>
      </c>
      <c r="K3859" s="84">
        <f>+F3859*I3859</f>
        <v>0</v>
      </c>
      <c r="L3859" s="116">
        <f>E3859*I3859</f>
        <v>0</v>
      </c>
    </row>
    <row r="3860" spans="2:12" ht="17.25" thickBot="1" x14ac:dyDescent="0.35"/>
    <row r="3861" spans="2:12" ht="17.25" thickBot="1" x14ac:dyDescent="0.35">
      <c r="F3861" s="402" t="s">
        <v>12</v>
      </c>
      <c r="G3861" s="403"/>
      <c r="H3861" s="403"/>
      <c r="I3861" s="404"/>
      <c r="K3861" s="224">
        <f>+SUM(K3856:K3859)</f>
        <v>0</v>
      </c>
      <c r="L3861" s="117">
        <f>+SUM(L3856:L3859)</f>
        <v>0</v>
      </c>
    </row>
    <row r="3862" spans="2:12" ht="17.25" thickBot="1" x14ac:dyDescent="0.35"/>
    <row r="3863" spans="2:12" ht="17.25" thickBot="1" x14ac:dyDescent="0.35">
      <c r="B3863" s="108" t="s">
        <v>13</v>
      </c>
      <c r="C3863" s="413" t="s">
        <v>14</v>
      </c>
      <c r="D3863" s="413"/>
      <c r="E3863" s="413"/>
      <c r="F3863" s="413"/>
      <c r="G3863" s="414"/>
    </row>
    <row r="3864" spans="2:12" x14ac:dyDescent="0.3">
      <c r="B3864" s="112" t="s">
        <v>6</v>
      </c>
      <c r="C3864" s="415" t="s">
        <v>1</v>
      </c>
      <c r="D3864" s="416"/>
      <c r="E3864" s="110" t="s">
        <v>192</v>
      </c>
      <c r="F3864" s="118" t="s">
        <v>2</v>
      </c>
      <c r="G3864" s="112" t="s">
        <v>3</v>
      </c>
      <c r="H3864" s="104"/>
      <c r="I3864" s="105" t="s">
        <v>7</v>
      </c>
      <c r="J3864" s="134"/>
      <c r="K3864" s="105" t="s">
        <v>8</v>
      </c>
      <c r="L3864" s="113" t="s">
        <v>193</v>
      </c>
    </row>
    <row r="3865" spans="2:12" x14ac:dyDescent="0.3">
      <c r="B3865" s="120">
        <v>1</v>
      </c>
      <c r="C3865" s="409" t="s">
        <v>463</v>
      </c>
      <c r="D3865" s="409"/>
      <c r="E3865" s="114">
        <f>I3844</f>
        <v>3</v>
      </c>
      <c r="F3865" s="83">
        <f>ROUND(E3865/I3844,2)</f>
        <v>1</v>
      </c>
      <c r="G3865" s="74" t="str">
        <f>IF(C3865=0,0,VLOOKUP(C3865,Tabla2[],2,FALSE))</f>
        <v>Unidad</v>
      </c>
      <c r="I3865" s="115">
        <f>IF(C3865=0,0,VLOOKUP(C3865,Tabla2[],3,FALSE))</f>
        <v>60</v>
      </c>
      <c r="K3865" s="84">
        <f>+F3865*I3865</f>
        <v>60</v>
      </c>
      <c r="L3865" s="116">
        <f>E3865*I3865</f>
        <v>180</v>
      </c>
    </row>
    <row r="3866" spans="2:12" x14ac:dyDescent="0.3">
      <c r="B3866" s="120"/>
      <c r="C3866" s="409"/>
      <c r="D3866" s="409"/>
      <c r="E3866" s="114"/>
      <c r="F3866" s="83"/>
      <c r="G3866" s="74"/>
      <c r="I3866" s="115">
        <f>IF(C3866=0,0,VLOOKUP(C3866,Tabla2[],3,FALSE))</f>
        <v>0</v>
      </c>
      <c r="K3866" s="84">
        <f>+F3866*I3866</f>
        <v>0</v>
      </c>
      <c r="L3866" s="116">
        <f>E3866*I3866</f>
        <v>0</v>
      </c>
    </row>
    <row r="3867" spans="2:12" ht="17.25" thickBot="1" x14ac:dyDescent="0.35">
      <c r="B3867" s="121"/>
      <c r="C3867" s="417"/>
      <c r="D3867" s="418"/>
      <c r="E3867" s="122"/>
      <c r="F3867" s="123"/>
      <c r="G3867" s="74"/>
      <c r="I3867" s="115">
        <f>IF(C3867=0,0,VLOOKUP(C3867,Tabla2[],3,FALSE))</f>
        <v>0</v>
      </c>
      <c r="K3867" s="84">
        <f>+F3867*I3867</f>
        <v>0</v>
      </c>
      <c r="L3867" s="116">
        <f>E3867*I3867</f>
        <v>0</v>
      </c>
    </row>
    <row r="3868" spans="2:12" ht="17.25" thickBot="1" x14ac:dyDescent="0.35">
      <c r="B3868" s="419" t="s">
        <v>15</v>
      </c>
      <c r="C3868" s="420"/>
      <c r="D3868" s="420"/>
      <c r="E3868" s="420"/>
      <c r="F3868" s="420"/>
      <c r="G3868" s="421"/>
      <c r="I3868" s="84">
        <v>0</v>
      </c>
      <c r="K3868" s="84">
        <v>0</v>
      </c>
      <c r="L3868" s="116">
        <f>E3868*I3868</f>
        <v>0</v>
      </c>
    </row>
    <row r="3869" spans="2:12" ht="17.25" thickBot="1" x14ac:dyDescent="0.35"/>
    <row r="3870" spans="2:12" ht="17.25" thickBot="1" x14ac:dyDescent="0.35">
      <c r="F3870" s="402" t="s">
        <v>16</v>
      </c>
      <c r="G3870" s="403"/>
      <c r="H3870" s="403"/>
      <c r="I3870" s="404"/>
      <c r="K3870" s="224">
        <f>+SUM(K3865:K3868)</f>
        <v>60</v>
      </c>
      <c r="L3870" s="117">
        <f>+SUM(L3865:L3868)</f>
        <v>180</v>
      </c>
    </row>
    <row r="3871" spans="2:12" ht="17.25" thickBot="1" x14ac:dyDescent="0.35"/>
    <row r="3872" spans="2:12" ht="17.25" thickBot="1" x14ac:dyDescent="0.35">
      <c r="B3872" s="108" t="s">
        <v>17</v>
      </c>
      <c r="C3872" s="413" t="s">
        <v>18</v>
      </c>
      <c r="D3872" s="413"/>
      <c r="E3872" s="413"/>
      <c r="F3872" s="413"/>
      <c r="G3872" s="414"/>
    </row>
    <row r="3873" spans="2:16" x14ac:dyDescent="0.3">
      <c r="B3873" s="112" t="s">
        <v>6</v>
      </c>
      <c r="C3873" s="415" t="s">
        <v>1</v>
      </c>
      <c r="D3873" s="416"/>
      <c r="E3873" s="124"/>
      <c r="F3873" s="118" t="s">
        <v>2</v>
      </c>
      <c r="G3873" s="112" t="s">
        <v>3</v>
      </c>
      <c r="H3873" s="104"/>
      <c r="I3873" s="105" t="s">
        <v>7</v>
      </c>
      <c r="J3873" s="134"/>
      <c r="K3873" s="105" t="s">
        <v>8</v>
      </c>
      <c r="L3873" s="113" t="s">
        <v>193</v>
      </c>
    </row>
    <row r="3874" spans="2:16" x14ac:dyDescent="0.3">
      <c r="B3874" s="74"/>
      <c r="C3874" s="411"/>
      <c r="D3874" s="412"/>
      <c r="E3874" s="125"/>
      <c r="F3874" s="72"/>
      <c r="G3874" s="74"/>
      <c r="I3874" s="84">
        <v>0</v>
      </c>
      <c r="K3874" s="84">
        <f>+F3874*I3874</f>
        <v>0</v>
      </c>
      <c r="L3874" s="116">
        <f>E3874*I3874</f>
        <v>0</v>
      </c>
    </row>
    <row r="3875" spans="2:16" x14ac:dyDescent="0.3">
      <c r="B3875" s="74"/>
      <c r="C3875" s="411"/>
      <c r="D3875" s="412"/>
      <c r="E3875" s="125"/>
      <c r="F3875" s="72"/>
      <c r="G3875" s="74"/>
      <c r="I3875" s="84">
        <v>0</v>
      </c>
      <c r="K3875" s="84">
        <f>+F3875*I3875</f>
        <v>0</v>
      </c>
      <c r="L3875" s="116">
        <f>E3875*I3875</f>
        <v>0</v>
      </c>
    </row>
    <row r="3876" spans="2:16" x14ac:dyDescent="0.3">
      <c r="B3876" s="74"/>
      <c r="C3876" s="411"/>
      <c r="D3876" s="412"/>
      <c r="E3876" s="125"/>
      <c r="F3876" s="72"/>
      <c r="G3876" s="74"/>
      <c r="I3876" s="84">
        <v>0</v>
      </c>
      <c r="K3876" s="84">
        <f>+F3876*I3876</f>
        <v>0</v>
      </c>
      <c r="L3876" s="116">
        <f>E3876*I3876</f>
        <v>0</v>
      </c>
    </row>
    <row r="3877" spans="2:16" ht="17.25" thickBot="1" x14ac:dyDescent="0.35">
      <c r="L3877" s="116"/>
    </row>
    <row r="3878" spans="2:16" ht="17.25" thickBot="1" x14ac:dyDescent="0.35">
      <c r="F3878" s="402" t="s">
        <v>19</v>
      </c>
      <c r="G3878" s="403"/>
      <c r="H3878" s="403"/>
      <c r="I3878" s="404"/>
      <c r="K3878" s="224">
        <f>+SUM(K3874:K3876)</f>
        <v>0</v>
      </c>
      <c r="L3878" s="117">
        <f>+SUM(L3873:L3876)</f>
        <v>0</v>
      </c>
    </row>
    <row r="3879" spans="2:16" ht="15" customHeight="1" x14ac:dyDescent="0.3">
      <c r="F3879" s="126"/>
      <c r="G3879" s="280"/>
      <c r="H3879" s="128"/>
      <c r="I3879" s="106"/>
      <c r="K3879" s="225"/>
    </row>
    <row r="3880" spans="2:16" ht="15" customHeight="1" thickBot="1" x14ac:dyDescent="0.35"/>
    <row r="3881" spans="2:16" ht="17.25" thickBot="1" x14ac:dyDescent="0.35">
      <c r="F3881" s="402" t="s">
        <v>20</v>
      </c>
      <c r="G3881" s="403"/>
      <c r="H3881" s="403"/>
      <c r="I3881" s="404"/>
      <c r="K3881" s="224">
        <f>(+K3852+K3861+K3870+K3878)</f>
        <v>60</v>
      </c>
      <c r="L3881" s="117">
        <f>(+L3852+L3861+L3870+L3878)</f>
        <v>180</v>
      </c>
      <c r="N3881" s="129"/>
      <c r="O3881" s="39"/>
      <c r="P3881" s="40"/>
    </row>
    <row r="3882" spans="2:16" ht="7.5" customHeight="1" thickBot="1" x14ac:dyDescent="0.35">
      <c r="N3882" s="129"/>
      <c r="O3882" s="41"/>
      <c r="P3882" s="40"/>
    </row>
    <row r="3883" spans="2:16" ht="17.25" thickBot="1" x14ac:dyDescent="0.35">
      <c r="F3883" s="402" t="s">
        <v>21</v>
      </c>
      <c r="G3883" s="403"/>
      <c r="H3883" s="403"/>
      <c r="I3883" s="404"/>
      <c r="K3883" s="224">
        <f>K3881*$N$2</f>
        <v>24</v>
      </c>
      <c r="L3883" s="117">
        <f>L3881*$N$2</f>
        <v>72</v>
      </c>
    </row>
    <row r="3884" spans="2:16" ht="7.5" customHeight="1" thickBot="1" x14ac:dyDescent="0.35"/>
    <row r="3885" spans="2:16" ht="17.25" thickBot="1" x14ac:dyDescent="0.35">
      <c r="F3885" s="402" t="s">
        <v>22</v>
      </c>
      <c r="G3885" s="403"/>
      <c r="H3885" s="403"/>
      <c r="I3885" s="404"/>
      <c r="K3885" s="224">
        <f>+K3881+K3883</f>
        <v>84</v>
      </c>
      <c r="L3885" s="117">
        <f>+L3881+L3883</f>
        <v>252</v>
      </c>
    </row>
    <row r="3886" spans="2:16" ht="17.25" thickBot="1" x14ac:dyDescent="0.35">
      <c r="F3886" s="126"/>
      <c r="G3886" s="280"/>
      <c r="H3886" s="128"/>
      <c r="I3886" s="106"/>
      <c r="K3886" s="226"/>
      <c r="L3886" s="130">
        <f>L3885/I3844</f>
        <v>84</v>
      </c>
      <c r="M3886" s="131">
        <f>(K3885-L3886)*I3844</f>
        <v>0</v>
      </c>
    </row>
    <row r="3887" spans="2:16" x14ac:dyDescent="0.3">
      <c r="F3887" s="126"/>
      <c r="G3887" s="280"/>
      <c r="H3887" s="128"/>
      <c r="I3887" s="106"/>
      <c r="K3887" s="227"/>
      <c r="L3887" s="129"/>
      <c r="M3887" s="132"/>
      <c r="N3887" s="133"/>
    </row>
    <row r="3888" spans="2:16" ht="17.25" thickBot="1" x14ac:dyDescent="0.35">
      <c r="B3888" s="405"/>
      <c r="C3888" s="405"/>
      <c r="D3888" s="405"/>
    </row>
    <row r="3889" spans="1:16" x14ac:dyDescent="0.3">
      <c r="B3889" s="406" t="s">
        <v>23</v>
      </c>
      <c r="C3889" s="406"/>
      <c r="D3889" s="406"/>
    </row>
    <row r="3890" spans="1:16" x14ac:dyDescent="0.3">
      <c r="B3890" s="281"/>
      <c r="C3890" s="281"/>
      <c r="D3890" s="281"/>
    </row>
    <row r="3892" spans="1:16" x14ac:dyDescent="0.3">
      <c r="B3892" s="103" t="s">
        <v>43</v>
      </c>
      <c r="C3892" s="104"/>
      <c r="D3892" s="422" t="s">
        <v>1</v>
      </c>
      <c r="E3892" s="422"/>
      <c r="F3892" s="422"/>
      <c r="G3892" s="422"/>
      <c r="H3892" s="104"/>
      <c r="I3892" s="105" t="s">
        <v>2</v>
      </c>
      <c r="J3892" s="134"/>
      <c r="K3892" s="105" t="s">
        <v>3</v>
      </c>
    </row>
    <row r="3893" spans="1:16" s="4" customFormat="1" ht="30.75" customHeight="1" x14ac:dyDescent="0.25">
      <c r="A3893" s="31"/>
      <c r="B3893" s="287">
        <f>CATALOGO!B124</f>
        <v>101.07</v>
      </c>
      <c r="C3893" s="71"/>
      <c r="D3893" s="437" t="str">
        <f>CATALOGO!C124</f>
        <v>PREPARACIÓN DE ÁREA DE TRABAJO EN REMOZAMIENTO</v>
      </c>
      <c r="E3893" s="437"/>
      <c r="F3893" s="437"/>
      <c r="G3893" s="437"/>
      <c r="H3893" s="71"/>
      <c r="I3893" s="287">
        <f>CATALOGO!D124</f>
        <v>108</v>
      </c>
      <c r="J3893" s="107"/>
      <c r="K3893" s="222" t="str">
        <f>CATALOGO!G124</f>
        <v>m²</v>
      </c>
      <c r="L3893" s="71"/>
      <c r="M3893" s="71"/>
      <c r="N3893" s="102"/>
      <c r="O3893" s="37"/>
      <c r="P3893" s="37"/>
    </row>
    <row r="3894" spans="1:16" ht="17.25" thickBot="1" x14ac:dyDescent="0.35"/>
    <row r="3895" spans="1:16" ht="17.25" thickBot="1" x14ac:dyDescent="0.35">
      <c r="B3895" s="108" t="s">
        <v>4</v>
      </c>
      <c r="C3895" s="413" t="s">
        <v>5</v>
      </c>
      <c r="D3895" s="413"/>
      <c r="E3895" s="413"/>
      <c r="F3895" s="413"/>
      <c r="G3895" s="414"/>
    </row>
    <row r="3896" spans="1:16" x14ac:dyDescent="0.25">
      <c r="B3896" s="109" t="s">
        <v>6</v>
      </c>
      <c r="C3896" s="424" t="s">
        <v>1</v>
      </c>
      <c r="D3896" s="425"/>
      <c r="E3896" s="110" t="s">
        <v>192</v>
      </c>
      <c r="F3896" s="111" t="s">
        <v>2</v>
      </c>
      <c r="G3896" s="112" t="s">
        <v>3</v>
      </c>
      <c r="H3896" s="104"/>
      <c r="I3896" s="105" t="s">
        <v>7</v>
      </c>
      <c r="J3896" s="134"/>
      <c r="K3896" s="223" t="s">
        <v>8</v>
      </c>
      <c r="L3896" s="113" t="s">
        <v>193</v>
      </c>
      <c r="O3896" s="438"/>
      <c r="P3896" s="438"/>
    </row>
    <row r="3897" spans="1:16" ht="16.5" customHeight="1" x14ac:dyDescent="0.25">
      <c r="B3897" s="120"/>
      <c r="C3897" s="407"/>
      <c r="D3897" s="408"/>
      <c r="E3897" s="114"/>
      <c r="F3897" s="83"/>
      <c r="G3897" s="74"/>
      <c r="I3897" s="115">
        <f>IF(C3897=0,0,VLOOKUP(C3897,Tabla1[],3,FALSE))</f>
        <v>0</v>
      </c>
      <c r="K3897" s="84">
        <f>F3897*I3897</f>
        <v>0</v>
      </c>
      <c r="L3897" s="116">
        <f t="shared" ref="L3897:L3902" si="103">E3897*I3897</f>
        <v>0</v>
      </c>
      <c r="O3897" s="44"/>
      <c r="P3897" s="45"/>
    </row>
    <row r="3898" spans="1:16" x14ac:dyDescent="0.25">
      <c r="B3898" s="120"/>
      <c r="C3898" s="407"/>
      <c r="D3898" s="408"/>
      <c r="E3898" s="114"/>
      <c r="F3898" s="83"/>
      <c r="G3898" s="74"/>
      <c r="I3898" s="115">
        <f>IF(C3898=0,0,VLOOKUP(C3898,Tabla1[],3,FALSE))</f>
        <v>0</v>
      </c>
      <c r="K3898" s="84">
        <f>+F3898*I3898</f>
        <v>0</v>
      </c>
      <c r="L3898" s="116">
        <f t="shared" si="103"/>
        <v>0</v>
      </c>
      <c r="O3898" s="44"/>
      <c r="P3898" s="47"/>
    </row>
    <row r="3899" spans="1:16" x14ac:dyDescent="0.3">
      <c r="B3899" s="120"/>
      <c r="C3899" s="407"/>
      <c r="D3899" s="408"/>
      <c r="E3899" s="114"/>
      <c r="F3899" s="83"/>
      <c r="G3899" s="74"/>
      <c r="I3899" s="115">
        <f>IF(C3899=0,0,VLOOKUP(C3899,Tabla1[],3,FALSE))</f>
        <v>0</v>
      </c>
      <c r="K3899" s="84">
        <f>+F3899*I3899</f>
        <v>0</v>
      </c>
      <c r="L3899" s="116">
        <f t="shared" si="103"/>
        <v>0</v>
      </c>
      <c r="O3899" s="48"/>
      <c r="P3899" s="49"/>
    </row>
    <row r="3900" spans="1:16" ht="16.5" customHeight="1" x14ac:dyDescent="0.25">
      <c r="B3900" s="120"/>
      <c r="C3900" s="407"/>
      <c r="D3900" s="408"/>
      <c r="E3900" s="114"/>
      <c r="F3900" s="83"/>
      <c r="G3900" s="74"/>
      <c r="I3900" s="115">
        <f>IF(C3900=0,0,VLOOKUP(C3900,Tabla1[],3,FALSE))</f>
        <v>0</v>
      </c>
      <c r="K3900" s="84">
        <f>F3900*I3900</f>
        <v>0</v>
      </c>
      <c r="L3900" s="116">
        <f t="shared" si="103"/>
        <v>0</v>
      </c>
      <c r="O3900" s="44"/>
      <c r="P3900" s="45"/>
    </row>
    <row r="3901" spans="1:16" ht="16.5" customHeight="1" x14ac:dyDescent="0.25">
      <c r="B3901" s="120"/>
      <c r="C3901" s="407"/>
      <c r="D3901" s="408"/>
      <c r="E3901" s="114"/>
      <c r="F3901" s="83"/>
      <c r="G3901" s="74"/>
      <c r="I3901" s="115">
        <f>IF(C3901=0,0,VLOOKUP(C3901,Tabla1[],3,FALSE))</f>
        <v>0</v>
      </c>
      <c r="K3901" s="84">
        <f>+F3901*I3901</f>
        <v>0</v>
      </c>
      <c r="L3901" s="116">
        <f t="shared" si="103"/>
        <v>0</v>
      </c>
      <c r="O3901" s="44"/>
      <c r="P3901" s="46"/>
    </row>
    <row r="3902" spans="1:16" x14ac:dyDescent="0.25">
      <c r="B3902" s="120"/>
      <c r="C3902" s="407"/>
      <c r="D3902" s="408"/>
      <c r="E3902" s="114"/>
      <c r="F3902" s="83"/>
      <c r="G3902" s="74"/>
      <c r="I3902" s="115">
        <f>IF(C3902=0,0,VLOOKUP(C3902,Tabla1[],3,FALSE))</f>
        <v>0</v>
      </c>
      <c r="K3902" s="84">
        <f>+F3902*I3902</f>
        <v>0</v>
      </c>
      <c r="L3902" s="116">
        <f t="shared" si="103"/>
        <v>0</v>
      </c>
      <c r="O3902" s="44"/>
      <c r="P3902" s="46"/>
    </row>
    <row r="3903" spans="1:16" ht="17.25" thickBot="1" x14ac:dyDescent="0.35"/>
    <row r="3904" spans="1:16" ht="17.25" thickBot="1" x14ac:dyDescent="0.3">
      <c r="F3904" s="402" t="s">
        <v>9</v>
      </c>
      <c r="G3904" s="403"/>
      <c r="H3904" s="403"/>
      <c r="I3904" s="404"/>
      <c r="K3904" s="224">
        <f>+SUM(K3897:K3902)</f>
        <v>0</v>
      </c>
      <c r="L3904" s="117">
        <f>+SUM(L3897:L3902)</f>
        <v>0</v>
      </c>
      <c r="O3904" s="38"/>
      <c r="P3904" s="38"/>
    </row>
    <row r="3905" spans="2:16" ht="17.25" thickBot="1" x14ac:dyDescent="0.35">
      <c r="O3905" s="42"/>
      <c r="P3905" s="43"/>
    </row>
    <row r="3906" spans="2:16" ht="17.25" thickBot="1" x14ac:dyDescent="0.35">
      <c r="B3906" s="108" t="s">
        <v>10</v>
      </c>
      <c r="C3906" s="413" t="s">
        <v>11</v>
      </c>
      <c r="D3906" s="413"/>
      <c r="E3906" s="413"/>
      <c r="F3906" s="413"/>
      <c r="G3906" s="414"/>
    </row>
    <row r="3907" spans="2:16" x14ac:dyDescent="0.3">
      <c r="B3907" s="112" t="s">
        <v>6</v>
      </c>
      <c r="C3907" s="415" t="s">
        <v>1</v>
      </c>
      <c r="D3907" s="416"/>
      <c r="E3907" s="110" t="s">
        <v>192</v>
      </c>
      <c r="F3907" s="118" t="s">
        <v>2</v>
      </c>
      <c r="G3907" s="112" t="s">
        <v>3</v>
      </c>
      <c r="H3907" s="104"/>
      <c r="I3907" s="105" t="s">
        <v>7</v>
      </c>
      <c r="J3907" s="134"/>
      <c r="K3907" s="105" t="s">
        <v>8</v>
      </c>
      <c r="L3907" s="113" t="s">
        <v>193</v>
      </c>
    </row>
    <row r="3908" spans="2:16" x14ac:dyDescent="0.3">
      <c r="B3908" s="120">
        <v>1</v>
      </c>
      <c r="C3908" s="409" t="s">
        <v>189</v>
      </c>
      <c r="D3908" s="409"/>
      <c r="E3908" s="114">
        <f>I3893*0.05</f>
        <v>5.4</v>
      </c>
      <c r="F3908" s="83">
        <f>ROUND(E3908/I3893,2)</f>
        <v>0.05</v>
      </c>
      <c r="G3908" s="74" t="str">
        <f>IF(C3908=0,0,VLOOKUP(C3908,Tabla3[],2,FALSE))</f>
        <v>Viaje</v>
      </c>
      <c r="I3908" s="115">
        <f>IF(C3908=0,0,VLOOKUP(C3908,Tabla3[],3,FALSE))</f>
        <v>200</v>
      </c>
      <c r="K3908" s="84">
        <f>F3908*I3908</f>
        <v>10</v>
      </c>
      <c r="L3908" s="116">
        <f>E3908*I3908</f>
        <v>1080</v>
      </c>
    </row>
    <row r="3909" spans="2:16" x14ac:dyDescent="0.3">
      <c r="B3909" s="74"/>
      <c r="C3909" s="431"/>
      <c r="D3909" s="432"/>
      <c r="E3909" s="119"/>
      <c r="F3909" s="72"/>
      <c r="G3909" s="74"/>
      <c r="I3909" s="115">
        <f>IF(C3909=0,0,VLOOKUP(C3909,Tabla3[],3,FALSE))</f>
        <v>0</v>
      </c>
      <c r="K3909" s="84">
        <f>+F3909*I3909</f>
        <v>0</v>
      </c>
      <c r="L3909" s="116">
        <f>E3909*I3909</f>
        <v>0</v>
      </c>
    </row>
    <row r="3910" spans="2:16" x14ac:dyDescent="0.3">
      <c r="B3910" s="74"/>
      <c r="C3910" s="431"/>
      <c r="D3910" s="432"/>
      <c r="E3910" s="119"/>
      <c r="F3910" s="72"/>
      <c r="G3910" s="74"/>
      <c r="I3910" s="115">
        <f>IF(C3910=0,0,VLOOKUP(C3910,Tabla3[],3,FALSE))</f>
        <v>0</v>
      </c>
      <c r="K3910" s="84">
        <f>+F3910*I3910</f>
        <v>0</v>
      </c>
      <c r="L3910" s="116">
        <f>E3910*I3910</f>
        <v>0</v>
      </c>
    </row>
    <row r="3911" spans="2:16" x14ac:dyDescent="0.3">
      <c r="B3911" s="74"/>
      <c r="C3911" s="411"/>
      <c r="D3911" s="412"/>
      <c r="E3911" s="119"/>
      <c r="F3911" s="72"/>
      <c r="G3911" s="74"/>
      <c r="I3911" s="115">
        <f>IF(C3911=0,0,VLOOKUP(C3911,Tabla3[],3,FALSE))</f>
        <v>0</v>
      </c>
      <c r="K3911" s="84">
        <f>+F3911*I3911</f>
        <v>0</v>
      </c>
      <c r="L3911" s="116">
        <f>E3911*I3911</f>
        <v>0</v>
      </c>
    </row>
    <row r="3912" spans="2:16" ht="17.25" thickBot="1" x14ac:dyDescent="0.35"/>
    <row r="3913" spans="2:16" ht="17.25" thickBot="1" x14ac:dyDescent="0.35">
      <c r="F3913" s="402" t="s">
        <v>12</v>
      </c>
      <c r="G3913" s="403"/>
      <c r="H3913" s="403"/>
      <c r="I3913" s="404"/>
      <c r="K3913" s="224">
        <f>+SUM(K3908:K3911)</f>
        <v>10</v>
      </c>
      <c r="L3913" s="117">
        <f>+SUM(L3908:L3911)</f>
        <v>1080</v>
      </c>
    </row>
    <row r="3914" spans="2:16" ht="17.25" thickBot="1" x14ac:dyDescent="0.35"/>
    <row r="3915" spans="2:16" ht="17.25" thickBot="1" x14ac:dyDescent="0.35">
      <c r="B3915" s="108" t="s">
        <v>13</v>
      </c>
      <c r="C3915" s="413" t="s">
        <v>14</v>
      </c>
      <c r="D3915" s="413"/>
      <c r="E3915" s="413"/>
      <c r="F3915" s="413"/>
      <c r="G3915" s="414"/>
    </row>
    <row r="3916" spans="2:16" x14ac:dyDescent="0.3">
      <c r="B3916" s="112" t="s">
        <v>6</v>
      </c>
      <c r="C3916" s="415" t="s">
        <v>1</v>
      </c>
      <c r="D3916" s="416"/>
      <c r="E3916" s="110" t="s">
        <v>192</v>
      </c>
      <c r="F3916" s="118" t="s">
        <v>2</v>
      </c>
      <c r="G3916" s="112" t="s">
        <v>3</v>
      </c>
      <c r="H3916" s="104"/>
      <c r="I3916" s="105" t="s">
        <v>7</v>
      </c>
      <c r="J3916" s="134"/>
      <c r="K3916" s="105" t="s">
        <v>8</v>
      </c>
      <c r="L3916" s="113" t="s">
        <v>193</v>
      </c>
    </row>
    <row r="3917" spans="2:16" x14ac:dyDescent="0.3">
      <c r="B3917" s="120"/>
      <c r="C3917" s="409"/>
      <c r="D3917" s="409"/>
      <c r="E3917" s="114"/>
      <c r="F3917" s="83"/>
      <c r="G3917" s="74"/>
      <c r="I3917" s="115">
        <f>IF(C3917=0,0,VLOOKUP(C3917,Tabla3[],3,FALSE))</f>
        <v>0</v>
      </c>
      <c r="K3917" s="84">
        <f>+F3917*I3917</f>
        <v>0</v>
      </c>
      <c r="L3917" s="116">
        <f>E3917*I3917</f>
        <v>0</v>
      </c>
    </row>
    <row r="3918" spans="2:16" x14ac:dyDescent="0.3">
      <c r="B3918" s="120"/>
      <c r="C3918" s="409"/>
      <c r="D3918" s="409"/>
      <c r="E3918" s="114"/>
      <c r="F3918" s="83"/>
      <c r="G3918" s="74"/>
      <c r="I3918" s="115">
        <f>IF(C3918=0,0,VLOOKUP(C3918,Tabla3[],3,FALSE))</f>
        <v>0</v>
      </c>
      <c r="K3918" s="84">
        <f>+F3918*I3918</f>
        <v>0</v>
      </c>
      <c r="L3918" s="116">
        <f>E3918*I3918</f>
        <v>0</v>
      </c>
    </row>
    <row r="3919" spans="2:16" ht="17.25" thickBot="1" x14ac:dyDescent="0.35">
      <c r="B3919" s="121"/>
      <c r="C3919" s="417"/>
      <c r="D3919" s="418"/>
      <c r="E3919" s="122"/>
      <c r="F3919" s="123"/>
      <c r="G3919" s="74"/>
      <c r="I3919" s="115">
        <f>IF(C3919=0,0,VLOOKUP(C3919,Tabla3[],3,FALSE))</f>
        <v>0</v>
      </c>
      <c r="K3919" s="84">
        <f>+F3919*I3919</f>
        <v>0</v>
      </c>
      <c r="L3919" s="116">
        <f>E3919*I3919</f>
        <v>0</v>
      </c>
    </row>
    <row r="3920" spans="2:16" ht="17.25" thickBot="1" x14ac:dyDescent="0.35">
      <c r="B3920" s="419" t="s">
        <v>15</v>
      </c>
      <c r="C3920" s="420"/>
      <c r="D3920" s="420"/>
      <c r="E3920" s="420"/>
      <c r="F3920" s="420"/>
      <c r="G3920" s="421"/>
      <c r="I3920" s="115">
        <f>IF(C3920=0,0,VLOOKUP(C3920,Tabla3[],3,FALSE))</f>
        <v>0</v>
      </c>
      <c r="K3920" s="84">
        <v>0</v>
      </c>
      <c r="L3920" s="116">
        <f>E3920*I3920</f>
        <v>0</v>
      </c>
    </row>
    <row r="3921" spans="2:16" ht="17.25" thickBot="1" x14ac:dyDescent="0.35"/>
    <row r="3922" spans="2:16" ht="17.25" thickBot="1" x14ac:dyDescent="0.35">
      <c r="F3922" s="402" t="s">
        <v>16</v>
      </c>
      <c r="G3922" s="403"/>
      <c r="H3922" s="403"/>
      <c r="I3922" s="404"/>
      <c r="K3922" s="224">
        <f>+SUM(K3917:K3920)</f>
        <v>0</v>
      </c>
      <c r="L3922" s="117">
        <f>+SUM(L3917:L3920)</f>
        <v>0</v>
      </c>
    </row>
    <row r="3923" spans="2:16" ht="17.25" thickBot="1" x14ac:dyDescent="0.35"/>
    <row r="3924" spans="2:16" ht="17.25" thickBot="1" x14ac:dyDescent="0.35">
      <c r="B3924" s="108" t="s">
        <v>17</v>
      </c>
      <c r="C3924" s="413" t="s">
        <v>18</v>
      </c>
      <c r="D3924" s="413"/>
      <c r="E3924" s="413"/>
      <c r="F3924" s="413"/>
      <c r="G3924" s="414"/>
    </row>
    <row r="3925" spans="2:16" x14ac:dyDescent="0.3">
      <c r="B3925" s="112" t="s">
        <v>6</v>
      </c>
      <c r="C3925" s="415" t="s">
        <v>1</v>
      </c>
      <c r="D3925" s="416"/>
      <c r="E3925" s="124"/>
      <c r="F3925" s="118" t="s">
        <v>2</v>
      </c>
      <c r="G3925" s="112" t="s">
        <v>3</v>
      </c>
      <c r="H3925" s="104"/>
      <c r="I3925" s="105" t="s">
        <v>7</v>
      </c>
      <c r="J3925" s="134"/>
      <c r="K3925" s="105" t="s">
        <v>8</v>
      </c>
      <c r="L3925" s="113" t="s">
        <v>193</v>
      </c>
    </row>
    <row r="3926" spans="2:16" x14ac:dyDescent="0.3">
      <c r="B3926" s="74"/>
      <c r="C3926" s="411"/>
      <c r="D3926" s="412"/>
      <c r="E3926" s="125"/>
      <c r="F3926" s="72"/>
      <c r="G3926" s="74"/>
      <c r="I3926" s="84">
        <v>0</v>
      </c>
      <c r="K3926" s="84">
        <f>+F3926*I3926</f>
        <v>0</v>
      </c>
      <c r="L3926" s="116">
        <f>E3926*I3926</f>
        <v>0</v>
      </c>
    </row>
    <row r="3927" spans="2:16" x14ac:dyDescent="0.3">
      <c r="B3927" s="74"/>
      <c r="C3927" s="411"/>
      <c r="D3927" s="412"/>
      <c r="E3927" s="125"/>
      <c r="F3927" s="72"/>
      <c r="G3927" s="74"/>
      <c r="I3927" s="84">
        <v>0</v>
      </c>
      <c r="K3927" s="84">
        <f>+F3927*I3927</f>
        <v>0</v>
      </c>
      <c r="L3927" s="116">
        <f>E3927*I3927</f>
        <v>0</v>
      </c>
    </row>
    <row r="3928" spans="2:16" x14ac:dyDescent="0.3">
      <c r="B3928" s="74"/>
      <c r="C3928" s="411"/>
      <c r="D3928" s="412"/>
      <c r="E3928" s="125"/>
      <c r="F3928" s="72"/>
      <c r="G3928" s="74"/>
      <c r="I3928" s="84">
        <v>0</v>
      </c>
      <c r="K3928" s="84">
        <f>+F3928*I3928</f>
        <v>0</v>
      </c>
      <c r="L3928" s="116">
        <f>E3928*I3928</f>
        <v>0</v>
      </c>
    </row>
    <row r="3929" spans="2:16" ht="17.25" thickBot="1" x14ac:dyDescent="0.35">
      <c r="L3929" s="116"/>
    </row>
    <row r="3930" spans="2:16" ht="17.25" thickBot="1" x14ac:dyDescent="0.35">
      <c r="F3930" s="402" t="s">
        <v>19</v>
      </c>
      <c r="G3930" s="403"/>
      <c r="H3930" s="403"/>
      <c r="I3930" s="404"/>
      <c r="K3930" s="224">
        <f>+SUM(K3926:K3928)</f>
        <v>0</v>
      </c>
      <c r="L3930" s="117">
        <f>+SUM(L3925:L3928)</f>
        <v>0</v>
      </c>
    </row>
    <row r="3931" spans="2:16" ht="15" customHeight="1" x14ac:dyDescent="0.3">
      <c r="F3931" s="126"/>
      <c r="G3931" s="280"/>
      <c r="H3931" s="128"/>
      <c r="I3931" s="106"/>
      <c r="K3931" s="225"/>
    </row>
    <row r="3932" spans="2:16" ht="15" customHeight="1" thickBot="1" x14ac:dyDescent="0.35"/>
    <row r="3933" spans="2:16" ht="17.25" thickBot="1" x14ac:dyDescent="0.35">
      <c r="F3933" s="402" t="s">
        <v>20</v>
      </c>
      <c r="G3933" s="403"/>
      <c r="H3933" s="403"/>
      <c r="I3933" s="404"/>
      <c r="K3933" s="224">
        <f>(+K3904+K3913+K3922+K3930)</f>
        <v>10</v>
      </c>
      <c r="L3933" s="117">
        <f>(+L3904+L3913+L3922+L3930)</f>
        <v>1080</v>
      </c>
      <c r="N3933" s="129"/>
      <c r="O3933" s="39"/>
      <c r="P3933" s="40"/>
    </row>
    <row r="3934" spans="2:16" ht="7.5" customHeight="1" thickBot="1" x14ac:dyDescent="0.35">
      <c r="N3934" s="129"/>
      <c r="O3934" s="41"/>
      <c r="P3934" s="40"/>
    </row>
    <row r="3935" spans="2:16" ht="17.25" thickBot="1" x14ac:dyDescent="0.35">
      <c r="F3935" s="402" t="s">
        <v>21</v>
      </c>
      <c r="G3935" s="403"/>
      <c r="H3935" s="403"/>
      <c r="I3935" s="404"/>
      <c r="K3935" s="224">
        <f>K3933*$N$2</f>
        <v>4</v>
      </c>
      <c r="L3935" s="117">
        <f>L3933*$N$2</f>
        <v>432</v>
      </c>
    </row>
    <row r="3936" spans="2:16" ht="7.5" customHeight="1" thickBot="1" x14ac:dyDescent="0.35"/>
    <row r="3937" spans="1:16" ht="17.25" thickBot="1" x14ac:dyDescent="0.35">
      <c r="F3937" s="402" t="s">
        <v>22</v>
      </c>
      <c r="G3937" s="403"/>
      <c r="H3937" s="403"/>
      <c r="I3937" s="404"/>
      <c r="K3937" s="224">
        <f>+K3933+K3935</f>
        <v>14</v>
      </c>
      <c r="L3937" s="117">
        <f>+L3933+L3935</f>
        <v>1512</v>
      </c>
    </row>
    <row r="3938" spans="1:16" ht="17.25" thickBot="1" x14ac:dyDescent="0.35">
      <c r="F3938" s="126"/>
      <c r="G3938" s="280"/>
      <c r="H3938" s="128"/>
      <c r="I3938" s="106"/>
      <c r="K3938" s="226"/>
      <c r="L3938" s="130">
        <f>L3937/I3893</f>
        <v>14</v>
      </c>
      <c r="M3938" s="131">
        <f>(K3937-L3938)*I3893</f>
        <v>0</v>
      </c>
    </row>
    <row r="3939" spans="1:16" x14ac:dyDescent="0.3">
      <c r="F3939" s="126"/>
      <c r="G3939" s="280"/>
      <c r="H3939" s="128"/>
      <c r="I3939" s="106"/>
      <c r="K3939" s="227"/>
      <c r="L3939" s="129"/>
      <c r="M3939" s="132"/>
      <c r="N3939" s="133"/>
    </row>
    <row r="3940" spans="1:16" ht="17.25" thickBot="1" x14ac:dyDescent="0.35">
      <c r="B3940" s="405"/>
      <c r="C3940" s="405"/>
      <c r="D3940" s="405"/>
    </row>
    <row r="3941" spans="1:16" x14ac:dyDescent="0.3">
      <c r="B3941" s="406" t="s">
        <v>23</v>
      </c>
      <c r="C3941" s="406"/>
      <c r="D3941" s="406"/>
    </row>
    <row r="3942" spans="1:16" x14ac:dyDescent="0.3">
      <c r="B3942" s="281"/>
      <c r="C3942" s="281"/>
      <c r="D3942" s="281"/>
    </row>
    <row r="3944" spans="1:16" x14ac:dyDescent="0.3">
      <c r="B3944" s="103" t="s">
        <v>43</v>
      </c>
      <c r="C3944" s="104"/>
      <c r="D3944" s="422" t="s">
        <v>1</v>
      </c>
      <c r="E3944" s="422"/>
      <c r="F3944" s="422"/>
      <c r="G3944" s="422"/>
      <c r="H3944" s="104"/>
      <c r="I3944" s="105" t="s">
        <v>2</v>
      </c>
      <c r="J3944" s="134"/>
      <c r="K3944" s="105" t="s">
        <v>3</v>
      </c>
    </row>
    <row r="3945" spans="1:16" s="4" customFormat="1" ht="30.75" customHeight="1" x14ac:dyDescent="0.25">
      <c r="A3945" s="31"/>
      <c r="B3945" s="287">
        <f>CATALOGO!B128</f>
        <v>115.02</v>
      </c>
      <c r="C3945" s="71"/>
      <c r="D3945" s="437" t="str">
        <f>CATALOGO!C128</f>
        <v>DESMONTAJE DE PUERTA DE METAL (UNA HOJA)</v>
      </c>
      <c r="E3945" s="437"/>
      <c r="F3945" s="437"/>
      <c r="G3945" s="437"/>
      <c r="H3945" s="71"/>
      <c r="I3945" s="287">
        <f>CATALOGO!D128</f>
        <v>2</v>
      </c>
      <c r="J3945" s="107"/>
      <c r="K3945" s="222" t="str">
        <f>CATALOGO!G128</f>
        <v>Unidad</v>
      </c>
      <c r="L3945" s="71"/>
      <c r="M3945" s="71"/>
      <c r="N3945" s="102"/>
      <c r="O3945" s="37"/>
      <c r="P3945" s="37"/>
    </row>
    <row r="3946" spans="1:16" ht="17.25" thickBot="1" x14ac:dyDescent="0.35"/>
    <row r="3947" spans="1:16" ht="17.25" thickBot="1" x14ac:dyDescent="0.35">
      <c r="B3947" s="108" t="s">
        <v>4</v>
      </c>
      <c r="C3947" s="413" t="s">
        <v>5</v>
      </c>
      <c r="D3947" s="413"/>
      <c r="E3947" s="413"/>
      <c r="F3947" s="413"/>
      <c r="G3947" s="414"/>
    </row>
    <row r="3948" spans="1:16" x14ac:dyDescent="0.25">
      <c r="B3948" s="109" t="s">
        <v>6</v>
      </c>
      <c r="C3948" s="424" t="s">
        <v>1</v>
      </c>
      <c r="D3948" s="425"/>
      <c r="E3948" s="110" t="s">
        <v>192</v>
      </c>
      <c r="F3948" s="111" t="s">
        <v>2</v>
      </c>
      <c r="G3948" s="112" t="s">
        <v>3</v>
      </c>
      <c r="H3948" s="104"/>
      <c r="I3948" s="105" t="s">
        <v>7</v>
      </c>
      <c r="J3948" s="134"/>
      <c r="K3948" s="223" t="s">
        <v>8</v>
      </c>
      <c r="L3948" s="113" t="s">
        <v>193</v>
      </c>
      <c r="O3948" s="438"/>
      <c r="P3948" s="438"/>
    </row>
    <row r="3949" spans="1:16" ht="16.5" customHeight="1" x14ac:dyDescent="0.25">
      <c r="B3949" s="120"/>
      <c r="C3949" s="407"/>
      <c r="D3949" s="408"/>
      <c r="E3949" s="114"/>
      <c r="F3949" s="83"/>
      <c r="G3949" s="74"/>
      <c r="I3949" s="115">
        <f>IF(C3949=0,0,VLOOKUP(C3949,Tabla1[],3,FALSE))</f>
        <v>0</v>
      </c>
      <c r="K3949" s="84">
        <f>F3949*I3949</f>
        <v>0</v>
      </c>
      <c r="L3949" s="116">
        <f t="shared" ref="L3949:L3954" si="104">E3949*I3949</f>
        <v>0</v>
      </c>
      <c r="O3949" s="44"/>
      <c r="P3949" s="45"/>
    </row>
    <row r="3950" spans="1:16" x14ac:dyDescent="0.25">
      <c r="B3950" s="120"/>
      <c r="C3950" s="407"/>
      <c r="D3950" s="408"/>
      <c r="E3950" s="114"/>
      <c r="F3950" s="83"/>
      <c r="G3950" s="74"/>
      <c r="I3950" s="115">
        <f>IF(C3950=0,0,VLOOKUP(C3950,Tabla1[],3,FALSE))</f>
        <v>0</v>
      </c>
      <c r="K3950" s="84">
        <f>+F3950*I3950</f>
        <v>0</v>
      </c>
      <c r="L3950" s="116">
        <f t="shared" si="104"/>
        <v>0</v>
      </c>
      <c r="O3950" s="44"/>
      <c r="P3950" s="47"/>
    </row>
    <row r="3951" spans="1:16" x14ac:dyDescent="0.3">
      <c r="B3951" s="120"/>
      <c r="C3951" s="407"/>
      <c r="D3951" s="408"/>
      <c r="E3951" s="114"/>
      <c r="F3951" s="83"/>
      <c r="G3951" s="74"/>
      <c r="I3951" s="115">
        <f>IF(C3951=0,0,VLOOKUP(C3951,Tabla1[],3,FALSE))</f>
        <v>0</v>
      </c>
      <c r="K3951" s="84">
        <f>+F3951*I3951</f>
        <v>0</v>
      </c>
      <c r="L3951" s="116">
        <f t="shared" si="104"/>
        <v>0</v>
      </c>
      <c r="O3951" s="48"/>
      <c r="P3951" s="49"/>
    </row>
    <row r="3952" spans="1:16" ht="16.5" customHeight="1" x14ac:dyDescent="0.25">
      <c r="B3952" s="120"/>
      <c r="C3952" s="407"/>
      <c r="D3952" s="408"/>
      <c r="E3952" s="114"/>
      <c r="F3952" s="83"/>
      <c r="G3952" s="74"/>
      <c r="I3952" s="115">
        <f>IF(C3952=0,0,VLOOKUP(C3952,Tabla1[],3,FALSE))</f>
        <v>0</v>
      </c>
      <c r="K3952" s="84">
        <f>F3952*I3952</f>
        <v>0</v>
      </c>
      <c r="L3952" s="116">
        <f t="shared" si="104"/>
        <v>0</v>
      </c>
      <c r="O3952" s="44"/>
      <c r="P3952" s="45"/>
    </row>
    <row r="3953" spans="2:16" ht="16.5" customHeight="1" x14ac:dyDescent="0.25">
      <c r="B3953" s="120"/>
      <c r="C3953" s="407"/>
      <c r="D3953" s="408"/>
      <c r="E3953" s="114"/>
      <c r="F3953" s="83"/>
      <c r="G3953" s="74"/>
      <c r="I3953" s="115">
        <f>IF(C3953=0,0,VLOOKUP(C3953,Tabla1[],3,FALSE))</f>
        <v>0</v>
      </c>
      <c r="K3953" s="84">
        <f>+F3953*I3953</f>
        <v>0</v>
      </c>
      <c r="L3953" s="116">
        <f t="shared" si="104"/>
        <v>0</v>
      </c>
      <c r="O3953" s="44"/>
      <c r="P3953" s="46"/>
    </row>
    <row r="3954" spans="2:16" x14ac:dyDescent="0.25">
      <c r="B3954" s="120"/>
      <c r="C3954" s="407"/>
      <c r="D3954" s="408"/>
      <c r="E3954" s="114"/>
      <c r="F3954" s="83"/>
      <c r="G3954" s="74"/>
      <c r="I3954" s="115">
        <f>IF(C3954=0,0,VLOOKUP(C3954,Tabla1[],3,FALSE))</f>
        <v>0</v>
      </c>
      <c r="K3954" s="84">
        <f>+F3954*I3954</f>
        <v>0</v>
      </c>
      <c r="L3954" s="116">
        <f t="shared" si="104"/>
        <v>0</v>
      </c>
      <c r="O3954" s="44"/>
      <c r="P3954" s="46"/>
    </row>
    <row r="3955" spans="2:16" ht="17.25" thickBot="1" x14ac:dyDescent="0.35"/>
    <row r="3956" spans="2:16" ht="17.25" thickBot="1" x14ac:dyDescent="0.3">
      <c r="F3956" s="402" t="s">
        <v>9</v>
      </c>
      <c r="G3956" s="403"/>
      <c r="H3956" s="403"/>
      <c r="I3956" s="404"/>
      <c r="K3956" s="224">
        <f>+SUM(K3949:K3954)</f>
        <v>0</v>
      </c>
      <c r="L3956" s="117">
        <f>+SUM(L3949:L3954)</f>
        <v>0</v>
      </c>
      <c r="O3956" s="38"/>
      <c r="P3956" s="38"/>
    </row>
    <row r="3957" spans="2:16" ht="17.25" thickBot="1" x14ac:dyDescent="0.35">
      <c r="O3957" s="42"/>
      <c r="P3957" s="43"/>
    </row>
    <row r="3958" spans="2:16" ht="17.25" thickBot="1" x14ac:dyDescent="0.35">
      <c r="B3958" s="108" t="s">
        <v>10</v>
      </c>
      <c r="C3958" s="413" t="s">
        <v>11</v>
      </c>
      <c r="D3958" s="413"/>
      <c r="E3958" s="413"/>
      <c r="F3958" s="413"/>
      <c r="G3958" s="414"/>
    </row>
    <row r="3959" spans="2:16" x14ac:dyDescent="0.3">
      <c r="B3959" s="112" t="s">
        <v>6</v>
      </c>
      <c r="C3959" s="415" t="s">
        <v>1</v>
      </c>
      <c r="D3959" s="416"/>
      <c r="E3959" s="110" t="s">
        <v>192</v>
      </c>
      <c r="F3959" s="118" t="s">
        <v>2</v>
      </c>
      <c r="G3959" s="112" t="s">
        <v>3</v>
      </c>
      <c r="H3959" s="104"/>
      <c r="I3959" s="105" t="s">
        <v>7</v>
      </c>
      <c r="J3959" s="134"/>
      <c r="K3959" s="105" t="s">
        <v>8</v>
      </c>
      <c r="L3959" s="113" t="s">
        <v>193</v>
      </c>
    </row>
    <row r="3960" spans="2:16" x14ac:dyDescent="0.3">
      <c r="B3960" s="120"/>
      <c r="C3960" s="409"/>
      <c r="D3960" s="409"/>
      <c r="E3960" s="114"/>
      <c r="F3960" s="83"/>
      <c r="G3960" s="74"/>
      <c r="I3960" s="115">
        <f>IF(C3960=0,0,VLOOKUP(C3960,Tabla1[],3,FALSE))</f>
        <v>0</v>
      </c>
      <c r="K3960" s="84">
        <f>F3960*I3960</f>
        <v>0</v>
      </c>
      <c r="L3960" s="116">
        <f>E3960*I3960</f>
        <v>0</v>
      </c>
    </row>
    <row r="3961" spans="2:16" x14ac:dyDescent="0.3">
      <c r="B3961" s="74"/>
      <c r="C3961" s="431"/>
      <c r="D3961" s="432"/>
      <c r="E3961" s="119"/>
      <c r="F3961" s="72"/>
      <c r="G3961" s="74"/>
      <c r="I3961" s="115">
        <f>IF(C3961=0,0,VLOOKUP(C3961,Tabla1[],3,FALSE))</f>
        <v>0</v>
      </c>
      <c r="K3961" s="84">
        <f>+F3961*I3961</f>
        <v>0</v>
      </c>
      <c r="L3961" s="116">
        <f>E3961*I3961</f>
        <v>0</v>
      </c>
    </row>
    <row r="3962" spans="2:16" x14ac:dyDescent="0.3">
      <c r="B3962" s="74"/>
      <c r="C3962" s="431"/>
      <c r="D3962" s="432"/>
      <c r="E3962" s="119"/>
      <c r="F3962" s="72"/>
      <c r="G3962" s="74"/>
      <c r="I3962" s="115">
        <f>IF(C3962=0,0,VLOOKUP(C3962,Tabla1[],3,FALSE))</f>
        <v>0</v>
      </c>
      <c r="K3962" s="84">
        <f>+F3962*I3962</f>
        <v>0</v>
      </c>
      <c r="L3962" s="116">
        <f>E3962*I3962</f>
        <v>0</v>
      </c>
    </row>
    <row r="3963" spans="2:16" x14ac:dyDescent="0.3">
      <c r="B3963" s="74"/>
      <c r="C3963" s="411"/>
      <c r="D3963" s="412"/>
      <c r="E3963" s="119"/>
      <c r="F3963" s="72"/>
      <c r="G3963" s="74"/>
      <c r="I3963" s="115">
        <f>IF(C3963=0,0,VLOOKUP(C3963,Tabla1[],3,FALSE))</f>
        <v>0</v>
      </c>
      <c r="K3963" s="84">
        <f>+F3963*I3963</f>
        <v>0</v>
      </c>
      <c r="L3963" s="116">
        <f>E3963*I3963</f>
        <v>0</v>
      </c>
    </row>
    <row r="3964" spans="2:16" ht="17.25" thickBot="1" x14ac:dyDescent="0.35"/>
    <row r="3965" spans="2:16" ht="17.25" thickBot="1" x14ac:dyDescent="0.35">
      <c r="F3965" s="402" t="s">
        <v>12</v>
      </c>
      <c r="G3965" s="403"/>
      <c r="H3965" s="403"/>
      <c r="I3965" s="404"/>
      <c r="K3965" s="224">
        <f>+SUM(K3960:K3963)</f>
        <v>0</v>
      </c>
      <c r="L3965" s="117">
        <f>+SUM(L3960:L3963)</f>
        <v>0</v>
      </c>
    </row>
    <row r="3966" spans="2:16" ht="17.25" thickBot="1" x14ac:dyDescent="0.35"/>
    <row r="3967" spans="2:16" ht="17.25" thickBot="1" x14ac:dyDescent="0.35">
      <c r="B3967" s="108" t="s">
        <v>13</v>
      </c>
      <c r="C3967" s="413" t="s">
        <v>14</v>
      </c>
      <c r="D3967" s="413"/>
      <c r="E3967" s="413"/>
      <c r="F3967" s="413"/>
      <c r="G3967" s="414"/>
    </row>
    <row r="3968" spans="2:16" x14ac:dyDescent="0.3">
      <c r="B3968" s="112" t="s">
        <v>6</v>
      </c>
      <c r="C3968" s="415" t="s">
        <v>1</v>
      </c>
      <c r="D3968" s="416"/>
      <c r="E3968" s="110" t="s">
        <v>192</v>
      </c>
      <c r="F3968" s="118" t="s">
        <v>2</v>
      </c>
      <c r="G3968" s="112" t="s">
        <v>3</v>
      </c>
      <c r="H3968" s="104"/>
      <c r="I3968" s="105" t="s">
        <v>7</v>
      </c>
      <c r="J3968" s="134"/>
      <c r="K3968" s="105" t="s">
        <v>8</v>
      </c>
      <c r="L3968" s="113" t="s">
        <v>193</v>
      </c>
    </row>
    <row r="3969" spans="2:12" x14ac:dyDescent="0.3">
      <c r="B3969" s="120">
        <v>1</v>
      </c>
      <c r="C3969" s="409" t="s">
        <v>393</v>
      </c>
      <c r="D3969" s="409"/>
      <c r="E3969" s="114">
        <f>I3945</f>
        <v>2</v>
      </c>
      <c r="F3969" s="83">
        <f>ROUND(E3969/I3945,2)</f>
        <v>1</v>
      </c>
      <c r="G3969" s="74" t="str">
        <f>IF(C3969=0,0,VLOOKUP(C3969,Tabla2[],2,FALSE))</f>
        <v>Unidad</v>
      </c>
      <c r="I3969" s="115">
        <f>IF(C3969=0,0,VLOOKUP(C3969,Tabla2[],3,FALSE))</f>
        <v>220</v>
      </c>
      <c r="K3969" s="84">
        <f>+F3969*I3969</f>
        <v>220</v>
      </c>
      <c r="L3969" s="116">
        <f>E3969*I3969</f>
        <v>440</v>
      </c>
    </row>
    <row r="3970" spans="2:12" x14ac:dyDescent="0.3">
      <c r="B3970" s="120"/>
      <c r="C3970" s="409"/>
      <c r="D3970" s="409"/>
      <c r="E3970" s="114"/>
      <c r="F3970" s="83"/>
      <c r="G3970" s="74"/>
      <c r="I3970" s="115">
        <f>IF(C3970=0,0,VLOOKUP(C3970,Tabla2[],3,FALSE))</f>
        <v>0</v>
      </c>
      <c r="K3970" s="84">
        <f>+F3970*I3970</f>
        <v>0</v>
      </c>
      <c r="L3970" s="116">
        <f>E3970*I3970</f>
        <v>0</v>
      </c>
    </row>
    <row r="3971" spans="2:12" ht="17.25" thickBot="1" x14ac:dyDescent="0.35">
      <c r="B3971" s="121"/>
      <c r="C3971" s="417"/>
      <c r="D3971" s="418"/>
      <c r="E3971" s="122"/>
      <c r="F3971" s="123"/>
      <c r="G3971" s="74"/>
      <c r="I3971" s="115">
        <f>IF(C3971=0,0,VLOOKUP(C3971,Tabla2[],3,FALSE))</f>
        <v>0</v>
      </c>
      <c r="K3971" s="84">
        <f>+F3971*I3971</f>
        <v>0</v>
      </c>
      <c r="L3971" s="116">
        <f>E3971*I3971</f>
        <v>0</v>
      </c>
    </row>
    <row r="3972" spans="2:12" ht="17.25" thickBot="1" x14ac:dyDescent="0.35">
      <c r="B3972" s="419" t="s">
        <v>15</v>
      </c>
      <c r="C3972" s="420"/>
      <c r="D3972" s="420"/>
      <c r="E3972" s="420"/>
      <c r="F3972" s="420"/>
      <c r="G3972" s="421"/>
      <c r="I3972" s="115">
        <f>IF(C3972=0,0,VLOOKUP(C3972,Tabla2[],3,FALSE))</f>
        <v>0</v>
      </c>
      <c r="K3972" s="84">
        <v>0</v>
      </c>
      <c r="L3972" s="116">
        <f>E3972*I3972</f>
        <v>0</v>
      </c>
    </row>
    <row r="3973" spans="2:12" ht="17.25" thickBot="1" x14ac:dyDescent="0.35"/>
    <row r="3974" spans="2:12" ht="17.25" thickBot="1" x14ac:dyDescent="0.35">
      <c r="F3974" s="402" t="s">
        <v>16</v>
      </c>
      <c r="G3974" s="403"/>
      <c r="H3974" s="403"/>
      <c r="I3974" s="404"/>
      <c r="K3974" s="224">
        <f>+SUM(K3969:K3972)</f>
        <v>220</v>
      </c>
      <c r="L3974" s="117">
        <f>+SUM(L3969:L3972)</f>
        <v>440</v>
      </c>
    </row>
    <row r="3975" spans="2:12" ht="17.25" thickBot="1" x14ac:dyDescent="0.35"/>
    <row r="3976" spans="2:12" ht="17.25" thickBot="1" x14ac:dyDescent="0.35">
      <c r="B3976" s="108" t="s">
        <v>17</v>
      </c>
      <c r="C3976" s="413" t="s">
        <v>18</v>
      </c>
      <c r="D3976" s="413"/>
      <c r="E3976" s="413"/>
      <c r="F3976" s="413"/>
      <c r="G3976" s="414"/>
    </row>
    <row r="3977" spans="2:12" x14ac:dyDescent="0.3">
      <c r="B3977" s="112" t="s">
        <v>6</v>
      </c>
      <c r="C3977" s="415" t="s">
        <v>1</v>
      </c>
      <c r="D3977" s="416"/>
      <c r="E3977" s="124"/>
      <c r="F3977" s="118" t="s">
        <v>2</v>
      </c>
      <c r="G3977" s="112" t="s">
        <v>3</v>
      </c>
      <c r="H3977" s="104"/>
      <c r="I3977" s="105" t="s">
        <v>7</v>
      </c>
      <c r="J3977" s="134"/>
      <c r="K3977" s="105" t="s">
        <v>8</v>
      </c>
      <c r="L3977" s="113" t="s">
        <v>193</v>
      </c>
    </row>
    <row r="3978" spans="2:12" x14ac:dyDescent="0.3">
      <c r="B3978" s="74"/>
      <c r="C3978" s="411"/>
      <c r="D3978" s="412"/>
      <c r="E3978" s="125"/>
      <c r="F3978" s="72"/>
      <c r="G3978" s="74"/>
      <c r="I3978" s="84">
        <v>0</v>
      </c>
      <c r="K3978" s="84">
        <f>+F3978*I3978</f>
        <v>0</v>
      </c>
      <c r="L3978" s="116">
        <f>E3978*I3978</f>
        <v>0</v>
      </c>
    </row>
    <row r="3979" spans="2:12" x14ac:dyDescent="0.3">
      <c r="B3979" s="74"/>
      <c r="C3979" s="411"/>
      <c r="D3979" s="412"/>
      <c r="E3979" s="125"/>
      <c r="F3979" s="72"/>
      <c r="G3979" s="74"/>
      <c r="I3979" s="84">
        <v>0</v>
      </c>
      <c r="K3979" s="84">
        <f>+F3979*I3979</f>
        <v>0</v>
      </c>
      <c r="L3979" s="116">
        <f>E3979*I3979</f>
        <v>0</v>
      </c>
    </row>
    <row r="3980" spans="2:12" x14ac:dyDescent="0.3">
      <c r="B3980" s="74"/>
      <c r="C3980" s="411"/>
      <c r="D3980" s="412"/>
      <c r="E3980" s="125"/>
      <c r="F3980" s="72"/>
      <c r="G3980" s="74"/>
      <c r="I3980" s="84">
        <v>0</v>
      </c>
      <c r="K3980" s="84">
        <f>+F3980*I3980</f>
        <v>0</v>
      </c>
      <c r="L3980" s="116">
        <f>E3980*I3980</f>
        <v>0</v>
      </c>
    </row>
    <row r="3981" spans="2:12" ht="17.25" thickBot="1" x14ac:dyDescent="0.35">
      <c r="L3981" s="116"/>
    </row>
    <row r="3982" spans="2:12" ht="17.25" thickBot="1" x14ac:dyDescent="0.35">
      <c r="F3982" s="402" t="s">
        <v>19</v>
      </c>
      <c r="G3982" s="403"/>
      <c r="H3982" s="403"/>
      <c r="I3982" s="404"/>
      <c r="K3982" s="224">
        <f>+SUM(K3978:K3980)</f>
        <v>0</v>
      </c>
      <c r="L3982" s="117">
        <f>+SUM(L3977:L3980)</f>
        <v>0</v>
      </c>
    </row>
    <row r="3983" spans="2:12" ht="15" customHeight="1" x14ac:dyDescent="0.3">
      <c r="F3983" s="126"/>
      <c r="G3983" s="280"/>
      <c r="H3983" s="128"/>
      <c r="I3983" s="106"/>
      <c r="K3983" s="225"/>
    </row>
    <row r="3984" spans="2:12" ht="15" customHeight="1" thickBot="1" x14ac:dyDescent="0.35"/>
    <row r="3985" spans="1:16" ht="17.25" thickBot="1" x14ac:dyDescent="0.35">
      <c r="F3985" s="402" t="s">
        <v>20</v>
      </c>
      <c r="G3985" s="403"/>
      <c r="H3985" s="403"/>
      <c r="I3985" s="404"/>
      <c r="K3985" s="224">
        <f>(+K3956+K3965+K3974+K3982)</f>
        <v>220</v>
      </c>
      <c r="L3985" s="117">
        <f>(+L3956+L3965+L3974+L3982)</f>
        <v>440</v>
      </c>
      <c r="N3985" s="129"/>
      <c r="O3985" s="39"/>
      <c r="P3985" s="40"/>
    </row>
    <row r="3986" spans="1:16" ht="7.5" customHeight="1" thickBot="1" x14ac:dyDescent="0.35">
      <c r="N3986" s="129"/>
      <c r="O3986" s="41"/>
      <c r="P3986" s="40"/>
    </row>
    <row r="3987" spans="1:16" ht="17.25" thickBot="1" x14ac:dyDescent="0.35">
      <c r="F3987" s="402" t="s">
        <v>21</v>
      </c>
      <c r="G3987" s="403"/>
      <c r="H3987" s="403"/>
      <c r="I3987" s="404"/>
      <c r="K3987" s="224">
        <f>K3985*$N$2</f>
        <v>88</v>
      </c>
      <c r="L3987" s="117">
        <f>L3985*$N$2</f>
        <v>176</v>
      </c>
    </row>
    <row r="3988" spans="1:16" ht="7.5" customHeight="1" thickBot="1" x14ac:dyDescent="0.35"/>
    <row r="3989" spans="1:16" ht="17.25" thickBot="1" x14ac:dyDescent="0.35">
      <c r="F3989" s="402" t="s">
        <v>22</v>
      </c>
      <c r="G3989" s="403"/>
      <c r="H3989" s="403"/>
      <c r="I3989" s="404"/>
      <c r="K3989" s="224">
        <f>+K3985+K3987</f>
        <v>308</v>
      </c>
      <c r="L3989" s="117">
        <f>+L3985+L3987</f>
        <v>616</v>
      </c>
    </row>
    <row r="3990" spans="1:16" ht="17.25" thickBot="1" x14ac:dyDescent="0.35">
      <c r="F3990" s="126"/>
      <c r="G3990" s="280"/>
      <c r="H3990" s="128"/>
      <c r="I3990" s="106"/>
      <c r="K3990" s="226"/>
      <c r="L3990" s="130">
        <f>L3989/I3945</f>
        <v>308</v>
      </c>
      <c r="M3990" s="131">
        <f>(K3989-L3990)*I3945</f>
        <v>0</v>
      </c>
    </row>
    <row r="3991" spans="1:16" x14ac:dyDescent="0.3">
      <c r="F3991" s="126"/>
      <c r="G3991" s="280"/>
      <c r="H3991" s="128"/>
      <c r="I3991" s="106"/>
      <c r="K3991" s="227"/>
      <c r="L3991" s="129"/>
      <c r="M3991" s="132"/>
      <c r="N3991" s="133"/>
    </row>
    <row r="3992" spans="1:16" ht="17.25" thickBot="1" x14ac:dyDescent="0.35">
      <c r="B3992" s="405"/>
      <c r="C3992" s="405"/>
      <c r="D3992" s="405"/>
    </row>
    <row r="3993" spans="1:16" x14ac:dyDescent="0.3">
      <c r="B3993" s="406" t="s">
        <v>23</v>
      </c>
      <c r="C3993" s="406"/>
      <c r="D3993" s="406"/>
    </row>
    <row r="3996" spans="1:16" x14ac:dyDescent="0.3">
      <c r="B3996" s="103" t="s">
        <v>43</v>
      </c>
      <c r="C3996" s="104"/>
      <c r="D3996" s="422" t="s">
        <v>1</v>
      </c>
      <c r="E3996" s="422"/>
      <c r="F3996" s="422"/>
      <c r="G3996" s="422"/>
      <c r="H3996" s="104"/>
      <c r="I3996" s="105" t="s">
        <v>2</v>
      </c>
      <c r="J3996" s="134"/>
      <c r="K3996" s="105" t="s">
        <v>3</v>
      </c>
    </row>
    <row r="3997" spans="1:16" s="4" customFormat="1" ht="30.75" customHeight="1" x14ac:dyDescent="0.25">
      <c r="A3997" s="31"/>
      <c r="B3997" s="287">
        <f>CATALOGO!B130</f>
        <v>508.01</v>
      </c>
      <c r="C3997" s="71"/>
      <c r="D3997" s="437" t="str">
        <f>CATALOGO!C130</f>
        <v>CUBIERTA TIPO PANEL SÁDWICH (T=1.5", LÁMINA CAL 26)</v>
      </c>
      <c r="E3997" s="437"/>
      <c r="F3997" s="437"/>
      <c r="G3997" s="437"/>
      <c r="H3997" s="71"/>
      <c r="I3997" s="287">
        <f>CATALOGO!D130</f>
        <v>156</v>
      </c>
      <c r="J3997" s="107"/>
      <c r="K3997" s="222" t="str">
        <f>CATALOGO!G130</f>
        <v>m²</v>
      </c>
      <c r="L3997" s="71"/>
      <c r="M3997" s="71"/>
      <c r="N3997" s="102"/>
      <c r="O3997" s="37"/>
      <c r="P3997" s="37"/>
    </row>
    <row r="3998" spans="1:16" ht="17.25" thickBot="1" x14ac:dyDescent="0.35"/>
    <row r="3999" spans="1:16" ht="17.25" thickBot="1" x14ac:dyDescent="0.35">
      <c r="B3999" s="108" t="s">
        <v>4</v>
      </c>
      <c r="C3999" s="413" t="s">
        <v>5</v>
      </c>
      <c r="D3999" s="413"/>
      <c r="E3999" s="413"/>
      <c r="F3999" s="413"/>
      <c r="G3999" s="414"/>
    </row>
    <row r="4000" spans="1:16" x14ac:dyDescent="0.25">
      <c r="B4000" s="109" t="s">
        <v>6</v>
      </c>
      <c r="C4000" s="424" t="s">
        <v>1</v>
      </c>
      <c r="D4000" s="425"/>
      <c r="E4000" s="110" t="s">
        <v>192</v>
      </c>
      <c r="F4000" s="111" t="s">
        <v>2</v>
      </c>
      <c r="G4000" s="112" t="s">
        <v>3</v>
      </c>
      <c r="H4000" s="104"/>
      <c r="I4000" s="105" t="s">
        <v>7</v>
      </c>
      <c r="J4000" s="134"/>
      <c r="K4000" s="223" t="s">
        <v>8</v>
      </c>
      <c r="L4000" s="113" t="s">
        <v>193</v>
      </c>
      <c r="O4000" s="438"/>
      <c r="P4000" s="438"/>
    </row>
    <row r="4001" spans="2:16" ht="16.5" customHeight="1" x14ac:dyDescent="0.25">
      <c r="B4001" s="120">
        <v>1</v>
      </c>
      <c r="C4001" s="407" t="s">
        <v>594</v>
      </c>
      <c r="D4001" s="408"/>
      <c r="E4001" s="114">
        <f>I3997*0.9</f>
        <v>140.4</v>
      </c>
      <c r="F4001" s="83">
        <f>ROUND(E4001/I3997,2)</f>
        <v>0.9</v>
      </c>
      <c r="G4001" s="74" t="str">
        <f>IF(C4001=0,0,VLOOKUP(C4001,Tabla1[],2,FALSE))</f>
        <v>m²</v>
      </c>
      <c r="I4001" s="115">
        <f>IF(C4001=0,0,VLOOKUP(C4001,Tabla1[],3,FALSE))</f>
        <v>250</v>
      </c>
      <c r="K4001" s="84">
        <f>F4001*I4001</f>
        <v>225</v>
      </c>
      <c r="L4001" s="116">
        <f t="shared" ref="L4001:L4007" si="105">E4001*I4001</f>
        <v>35100</v>
      </c>
      <c r="O4001" s="44"/>
      <c r="P4001" s="45"/>
    </row>
    <row r="4002" spans="2:16" x14ac:dyDescent="0.25">
      <c r="B4002" s="120">
        <v>2</v>
      </c>
      <c r="C4002" s="407" t="s">
        <v>595</v>
      </c>
      <c r="D4002" s="408"/>
      <c r="E4002" s="114">
        <f>I3997*0.52</f>
        <v>81.12</v>
      </c>
      <c r="F4002" s="83">
        <f>ROUND(E4002/I3997,2)</f>
        <v>0.52</v>
      </c>
      <c r="G4002" s="74" t="str">
        <f>IF(C4002=0,0,VLOOKUP(C4002,Tabla1[],2,FALSE))</f>
        <v>ml</v>
      </c>
      <c r="I4002" s="115">
        <f>IF(C4002=0,0,VLOOKUP(C4002,Tabla1[],3,FALSE))</f>
        <v>45</v>
      </c>
      <c r="K4002" s="84">
        <f>+F4002*I4002</f>
        <v>23.400000000000002</v>
      </c>
      <c r="L4002" s="116">
        <f t="shared" si="105"/>
        <v>3650.4</v>
      </c>
      <c r="O4002" s="44"/>
      <c r="P4002" s="47"/>
    </row>
    <row r="4003" spans="2:16" x14ac:dyDescent="0.3">
      <c r="B4003" s="120">
        <v>3</v>
      </c>
      <c r="C4003" s="407" t="s">
        <v>596</v>
      </c>
      <c r="D4003" s="408"/>
      <c r="E4003" s="114">
        <f>I3997*0.08</f>
        <v>12.48</v>
      </c>
      <c r="F4003" s="83">
        <f>ROUND(E4003/I3997,2)</f>
        <v>0.08</v>
      </c>
      <c r="G4003" s="74" t="str">
        <f>IF(C4003=0,0,VLOOKUP(C4003,Tabla1[],2,FALSE))</f>
        <v>Unidad</v>
      </c>
      <c r="I4003" s="115">
        <f>IF(C4003=0,0,VLOOKUP(C4003,Tabla1[],3,FALSE))</f>
        <v>20</v>
      </c>
      <c r="K4003" s="84">
        <f>+F4003*I4003</f>
        <v>1.6</v>
      </c>
      <c r="L4003" s="116">
        <f t="shared" si="105"/>
        <v>249.60000000000002</v>
      </c>
      <c r="O4003" s="48"/>
      <c r="P4003" s="49"/>
    </row>
    <row r="4004" spans="2:16" ht="16.5" customHeight="1" x14ac:dyDescent="0.25">
      <c r="B4004" s="120"/>
      <c r="C4004" s="407"/>
      <c r="D4004" s="408"/>
      <c r="E4004" s="114"/>
      <c r="F4004" s="83"/>
      <c r="G4004" s="74"/>
      <c r="I4004" s="115">
        <f>IF(C4004=0,0,VLOOKUP(C4004,Tabla1[],3,FALSE))</f>
        <v>0</v>
      </c>
      <c r="K4004" s="84">
        <f>F4004*I4004</f>
        <v>0</v>
      </c>
      <c r="L4004" s="116">
        <f t="shared" si="105"/>
        <v>0</v>
      </c>
      <c r="O4004" s="44"/>
      <c r="P4004" s="45"/>
    </row>
    <row r="4005" spans="2:16" ht="16.5" customHeight="1" x14ac:dyDescent="0.25">
      <c r="B4005" s="120"/>
      <c r="C4005" s="407"/>
      <c r="D4005" s="408"/>
      <c r="E4005" s="114"/>
      <c r="F4005" s="83"/>
      <c r="G4005" s="74"/>
      <c r="I4005" s="115">
        <f>IF(C4005=0,0,VLOOKUP(C4005,Tabla1[],3,FALSE))</f>
        <v>0</v>
      </c>
      <c r="K4005" s="84">
        <f>+F4005*I4005</f>
        <v>0</v>
      </c>
      <c r="L4005" s="116">
        <f t="shared" si="105"/>
        <v>0</v>
      </c>
      <c r="O4005" s="44"/>
      <c r="P4005" s="46"/>
    </row>
    <row r="4006" spans="2:16" x14ac:dyDescent="0.25">
      <c r="B4006" s="120"/>
      <c r="C4006" s="407"/>
      <c r="D4006" s="408"/>
      <c r="E4006" s="114"/>
      <c r="F4006" s="83"/>
      <c r="G4006" s="74"/>
      <c r="I4006" s="115">
        <f>IF(C4006=0,0,VLOOKUP(C4006,Tabla1[],3,FALSE))</f>
        <v>0</v>
      </c>
      <c r="K4006" s="84">
        <f>+F4006*I4006</f>
        <v>0</v>
      </c>
      <c r="L4006" s="116">
        <f t="shared" si="105"/>
        <v>0</v>
      </c>
      <c r="O4006" s="44"/>
      <c r="P4006" s="46"/>
    </row>
    <row r="4007" spans="2:16" x14ac:dyDescent="0.3">
      <c r="B4007" s="120"/>
      <c r="C4007" s="407"/>
      <c r="D4007" s="408"/>
      <c r="E4007" s="114"/>
      <c r="F4007" s="83"/>
      <c r="G4007" s="74"/>
      <c r="I4007" s="115">
        <f>IF(C4007=0,0,VLOOKUP(C4007,Tabla1[],3,FALSE))</f>
        <v>0</v>
      </c>
      <c r="K4007" s="84">
        <f>+F4007*I4007</f>
        <v>0</v>
      </c>
      <c r="L4007" s="116">
        <f t="shared" si="105"/>
        <v>0</v>
      </c>
      <c r="O4007" s="48"/>
      <c r="P4007" s="49"/>
    </row>
    <row r="4008" spans="2:16" ht="17.25" thickBot="1" x14ac:dyDescent="0.35"/>
    <row r="4009" spans="2:16" ht="17.25" thickBot="1" x14ac:dyDescent="0.3">
      <c r="F4009" s="402" t="s">
        <v>9</v>
      </c>
      <c r="G4009" s="403"/>
      <c r="H4009" s="403"/>
      <c r="I4009" s="404"/>
      <c r="K4009" s="224">
        <f>+SUM(K4001:K4007)</f>
        <v>250</v>
      </c>
      <c r="L4009" s="117">
        <f>+SUM(L4001:L4007)</f>
        <v>39000</v>
      </c>
      <c r="O4009" s="38"/>
      <c r="P4009" s="38"/>
    </row>
    <row r="4010" spans="2:16" ht="17.25" thickBot="1" x14ac:dyDescent="0.35">
      <c r="O4010" s="42"/>
      <c r="P4010" s="43"/>
    </row>
    <row r="4011" spans="2:16" ht="17.25" thickBot="1" x14ac:dyDescent="0.35">
      <c r="B4011" s="108" t="s">
        <v>10</v>
      </c>
      <c r="C4011" s="413" t="s">
        <v>11</v>
      </c>
      <c r="D4011" s="413"/>
      <c r="E4011" s="413"/>
      <c r="F4011" s="413"/>
      <c r="G4011" s="414"/>
    </row>
    <row r="4012" spans="2:16" x14ac:dyDescent="0.3">
      <c r="B4012" s="112" t="s">
        <v>6</v>
      </c>
      <c r="C4012" s="415" t="s">
        <v>1</v>
      </c>
      <c r="D4012" s="416"/>
      <c r="E4012" s="110" t="s">
        <v>192</v>
      </c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6" x14ac:dyDescent="0.3">
      <c r="B4013" s="120"/>
      <c r="C4013" s="409"/>
      <c r="D4013" s="409"/>
      <c r="E4013" s="114"/>
      <c r="F4013" s="83"/>
      <c r="G4013" s="74"/>
      <c r="I4013" s="115">
        <f>IF(C4013=0,0,VLOOKUP(C4013,Tabla1[],3,FALSE))</f>
        <v>0</v>
      </c>
      <c r="K4013" s="84">
        <f>F4013*I4013</f>
        <v>0</v>
      </c>
      <c r="L4013" s="116">
        <f>E4013*I4013</f>
        <v>0</v>
      </c>
    </row>
    <row r="4014" spans="2:16" x14ac:dyDescent="0.3">
      <c r="B4014" s="74"/>
      <c r="C4014" s="431"/>
      <c r="D4014" s="432"/>
      <c r="E4014" s="119"/>
      <c r="F4014" s="72"/>
      <c r="G4014" s="74"/>
      <c r="I4014" s="115">
        <f>IF(C4014=0,0,VLOOKUP(C4014,Tabla1[],3,FALSE))</f>
        <v>0</v>
      </c>
      <c r="K4014" s="84">
        <f>+F4014*I4014</f>
        <v>0</v>
      </c>
      <c r="L4014" s="116">
        <f>E4014*I4014</f>
        <v>0</v>
      </c>
    </row>
    <row r="4015" spans="2:16" x14ac:dyDescent="0.3">
      <c r="B4015" s="74"/>
      <c r="C4015" s="431"/>
      <c r="D4015" s="432"/>
      <c r="E4015" s="119"/>
      <c r="F4015" s="72"/>
      <c r="G4015" s="74"/>
      <c r="I4015" s="115">
        <f>IF(C4015=0,0,VLOOKUP(C4015,Tabla1[],3,FALSE))</f>
        <v>0</v>
      </c>
      <c r="K4015" s="84">
        <f>+F4015*I4015</f>
        <v>0</v>
      </c>
      <c r="L4015" s="116">
        <f>E4015*I4015</f>
        <v>0</v>
      </c>
    </row>
    <row r="4016" spans="2:16" x14ac:dyDescent="0.3">
      <c r="B4016" s="74"/>
      <c r="C4016" s="411"/>
      <c r="D4016" s="412"/>
      <c r="E4016" s="119"/>
      <c r="F4016" s="72"/>
      <c r="G4016" s="74"/>
      <c r="I4016" s="115">
        <f>IF(C4016=0,0,VLOOKUP(C4016,Tabla1[],3,FALSE))</f>
        <v>0</v>
      </c>
      <c r="K4016" s="84">
        <f>+F4016*I4016</f>
        <v>0</v>
      </c>
      <c r="L4016" s="116">
        <f>E4016*I4016</f>
        <v>0</v>
      </c>
    </row>
    <row r="4017" spans="2:12" ht="17.25" thickBot="1" x14ac:dyDescent="0.35"/>
    <row r="4018" spans="2:12" ht="17.25" thickBot="1" x14ac:dyDescent="0.35">
      <c r="F4018" s="402" t="s">
        <v>12</v>
      </c>
      <c r="G4018" s="403"/>
      <c r="H4018" s="403"/>
      <c r="I4018" s="404"/>
      <c r="K4018" s="224">
        <f>+SUM(K4013:K4016)</f>
        <v>0</v>
      </c>
      <c r="L4018" s="117">
        <f>+SUM(L4013:L4016)</f>
        <v>0</v>
      </c>
    </row>
    <row r="4019" spans="2:12" ht="17.25" thickBot="1" x14ac:dyDescent="0.35"/>
    <row r="4020" spans="2:12" ht="17.25" thickBot="1" x14ac:dyDescent="0.35">
      <c r="B4020" s="108" t="s">
        <v>13</v>
      </c>
      <c r="C4020" s="413" t="s">
        <v>14</v>
      </c>
      <c r="D4020" s="413"/>
      <c r="E4020" s="413"/>
      <c r="F4020" s="413"/>
      <c r="G4020" s="414"/>
    </row>
    <row r="4021" spans="2:12" x14ac:dyDescent="0.3">
      <c r="B4021" s="112" t="s">
        <v>6</v>
      </c>
      <c r="C4021" s="415" t="s">
        <v>1</v>
      </c>
      <c r="D4021" s="416"/>
      <c r="E4021" s="110" t="s">
        <v>192</v>
      </c>
      <c r="F4021" s="118" t="s">
        <v>2</v>
      </c>
      <c r="G4021" s="112" t="s">
        <v>3</v>
      </c>
      <c r="H4021" s="104"/>
      <c r="I4021" s="105" t="s">
        <v>7</v>
      </c>
      <c r="J4021" s="134"/>
      <c r="K4021" s="105" t="s">
        <v>8</v>
      </c>
      <c r="L4021" s="113" t="s">
        <v>193</v>
      </c>
    </row>
    <row r="4022" spans="2:12" x14ac:dyDescent="0.3">
      <c r="B4022" s="120">
        <v>1</v>
      </c>
      <c r="C4022" s="409" t="s">
        <v>597</v>
      </c>
      <c r="D4022" s="409"/>
      <c r="E4022" s="114">
        <f>I3997</f>
        <v>156</v>
      </c>
      <c r="F4022" s="83">
        <f>ROUND(E4022/I3997,2)</f>
        <v>1</v>
      </c>
      <c r="G4022" s="74" t="str">
        <f>IF(C4022=0,0,VLOOKUP(C4022,Tabla2[],2,FALSE))</f>
        <v>m²</v>
      </c>
      <c r="I4022" s="115">
        <f>IF(C4022=0,0,VLOOKUP(C4022,Tabla2[],3,FALSE))</f>
        <v>100</v>
      </c>
      <c r="K4022" s="84">
        <f>+F4022*I4022</f>
        <v>100</v>
      </c>
      <c r="L4022" s="116">
        <f>E4022*I4022</f>
        <v>15600</v>
      </c>
    </row>
    <row r="4023" spans="2:12" x14ac:dyDescent="0.3">
      <c r="B4023" s="120"/>
      <c r="C4023" s="409"/>
      <c r="D4023" s="409"/>
      <c r="E4023" s="114"/>
      <c r="F4023" s="83"/>
      <c r="G4023" s="74"/>
      <c r="I4023" s="115">
        <f>IF(C4023=0,0,VLOOKUP(C4023,Tabla2[],3,FALSE))</f>
        <v>0</v>
      </c>
      <c r="K4023" s="84">
        <f>+F4023*I4023</f>
        <v>0</v>
      </c>
      <c r="L4023" s="116">
        <f>E4023*I4023</f>
        <v>0</v>
      </c>
    </row>
    <row r="4024" spans="2:12" ht="17.25" thickBot="1" x14ac:dyDescent="0.35">
      <c r="B4024" s="121"/>
      <c r="C4024" s="417"/>
      <c r="D4024" s="418"/>
      <c r="E4024" s="122"/>
      <c r="F4024" s="123"/>
      <c r="G4024" s="74"/>
      <c r="I4024" s="115">
        <f>IF(C4024=0,0,VLOOKUP(C4024,Tabla2[],3,FALSE))</f>
        <v>0</v>
      </c>
      <c r="K4024" s="84">
        <f>+F4024*I4024</f>
        <v>0</v>
      </c>
      <c r="L4024" s="116">
        <f>E4024*I4024</f>
        <v>0</v>
      </c>
    </row>
    <row r="4025" spans="2:12" ht="17.25" thickBot="1" x14ac:dyDescent="0.35">
      <c r="B4025" s="419" t="s">
        <v>15</v>
      </c>
      <c r="C4025" s="420"/>
      <c r="D4025" s="420"/>
      <c r="E4025" s="420"/>
      <c r="F4025" s="420"/>
      <c r="G4025" s="421"/>
      <c r="I4025" s="115">
        <f>IF(C4025=0,0,VLOOKUP(C4025,Tabla2[],3,FALSE))</f>
        <v>0</v>
      </c>
      <c r="K4025" s="84">
        <v>0</v>
      </c>
      <c r="L4025" s="116">
        <f>E4025*I4025</f>
        <v>0</v>
      </c>
    </row>
    <row r="4026" spans="2:12" ht="17.25" thickBot="1" x14ac:dyDescent="0.35"/>
    <row r="4027" spans="2:12" ht="17.25" thickBot="1" x14ac:dyDescent="0.35">
      <c r="F4027" s="402" t="s">
        <v>16</v>
      </c>
      <c r="G4027" s="403"/>
      <c r="H4027" s="403"/>
      <c r="I4027" s="404"/>
      <c r="K4027" s="224">
        <f>+SUM(K4022:K4025)</f>
        <v>100</v>
      </c>
      <c r="L4027" s="117">
        <f>+SUM(L4022:L4025)</f>
        <v>15600</v>
      </c>
    </row>
    <row r="4028" spans="2:12" ht="17.25" thickBot="1" x14ac:dyDescent="0.35"/>
    <row r="4029" spans="2:12" ht="17.25" thickBot="1" x14ac:dyDescent="0.35">
      <c r="B4029" s="108" t="s">
        <v>17</v>
      </c>
      <c r="C4029" s="413" t="s">
        <v>18</v>
      </c>
      <c r="D4029" s="413"/>
      <c r="E4029" s="413"/>
      <c r="F4029" s="413"/>
      <c r="G4029" s="414"/>
    </row>
    <row r="4030" spans="2:12" x14ac:dyDescent="0.3">
      <c r="B4030" s="112" t="s">
        <v>6</v>
      </c>
      <c r="C4030" s="415" t="s">
        <v>1</v>
      </c>
      <c r="D4030" s="416"/>
      <c r="E4030" s="124"/>
      <c r="F4030" s="118" t="s">
        <v>2</v>
      </c>
      <c r="G4030" s="112" t="s">
        <v>3</v>
      </c>
      <c r="H4030" s="104"/>
      <c r="I4030" s="105" t="s">
        <v>7</v>
      </c>
      <c r="J4030" s="134"/>
      <c r="K4030" s="105" t="s">
        <v>8</v>
      </c>
      <c r="L4030" s="113" t="s">
        <v>193</v>
      </c>
    </row>
    <row r="4031" spans="2:12" x14ac:dyDescent="0.3">
      <c r="B4031" s="74"/>
      <c r="C4031" s="411"/>
      <c r="D4031" s="412"/>
      <c r="E4031" s="125"/>
      <c r="F4031" s="72"/>
      <c r="G4031" s="74"/>
      <c r="I4031" s="84">
        <v>0</v>
      </c>
      <c r="K4031" s="84">
        <f>+F4031*I4031</f>
        <v>0</v>
      </c>
      <c r="L4031" s="116">
        <f>E4031*I4031</f>
        <v>0</v>
      </c>
    </row>
    <row r="4032" spans="2:12" x14ac:dyDescent="0.3">
      <c r="B4032" s="74"/>
      <c r="C4032" s="411"/>
      <c r="D4032" s="412"/>
      <c r="E4032" s="125"/>
      <c r="F4032" s="72"/>
      <c r="G4032" s="74"/>
      <c r="I4032" s="84">
        <v>0</v>
      </c>
      <c r="K4032" s="84">
        <f>+F4032*I4032</f>
        <v>0</v>
      </c>
      <c r="L4032" s="116">
        <f>E4032*I4032</f>
        <v>0</v>
      </c>
    </row>
    <row r="4033" spans="2:16" x14ac:dyDescent="0.3">
      <c r="B4033" s="74"/>
      <c r="C4033" s="411"/>
      <c r="D4033" s="412"/>
      <c r="E4033" s="125"/>
      <c r="F4033" s="72"/>
      <c r="G4033" s="74"/>
      <c r="I4033" s="84">
        <v>0</v>
      </c>
      <c r="K4033" s="84">
        <f>+F4033*I4033</f>
        <v>0</v>
      </c>
      <c r="L4033" s="116">
        <f>E4033*I4033</f>
        <v>0</v>
      </c>
    </row>
    <row r="4034" spans="2:16" ht="17.25" thickBot="1" x14ac:dyDescent="0.35">
      <c r="L4034" s="116"/>
    </row>
    <row r="4035" spans="2:16" ht="17.25" thickBot="1" x14ac:dyDescent="0.35">
      <c r="F4035" s="402" t="s">
        <v>19</v>
      </c>
      <c r="G4035" s="403"/>
      <c r="H4035" s="403"/>
      <c r="I4035" s="404"/>
      <c r="K4035" s="224">
        <f>+SUM(K4031:K4033)</f>
        <v>0</v>
      </c>
      <c r="L4035" s="117">
        <f>+SUM(L4030:L4033)</f>
        <v>0</v>
      </c>
    </row>
    <row r="4036" spans="2:16" ht="15" customHeight="1" x14ac:dyDescent="0.3">
      <c r="F4036" s="126"/>
      <c r="G4036" s="280"/>
      <c r="H4036" s="128"/>
      <c r="I4036" s="106"/>
      <c r="K4036" s="225"/>
    </row>
    <row r="4037" spans="2:16" ht="15" customHeight="1" thickBot="1" x14ac:dyDescent="0.35"/>
    <row r="4038" spans="2:16" ht="17.25" thickBot="1" x14ac:dyDescent="0.35">
      <c r="F4038" s="402" t="s">
        <v>20</v>
      </c>
      <c r="G4038" s="403"/>
      <c r="H4038" s="403"/>
      <c r="I4038" s="404"/>
      <c r="K4038" s="224">
        <f>(+K4009+K4018+K4027+K4035)</f>
        <v>350</v>
      </c>
      <c r="L4038" s="117">
        <f>(+L4009+L4018+L4027+L4035)</f>
        <v>54600</v>
      </c>
      <c r="N4038" s="129"/>
      <c r="O4038" s="39"/>
      <c r="P4038" s="40"/>
    </row>
    <row r="4039" spans="2:16" ht="7.5" customHeight="1" thickBot="1" x14ac:dyDescent="0.35">
      <c r="N4039" s="129"/>
      <c r="O4039" s="41"/>
      <c r="P4039" s="40"/>
    </row>
    <row r="4040" spans="2:16" ht="17.25" thickBot="1" x14ac:dyDescent="0.35">
      <c r="F4040" s="402" t="s">
        <v>21</v>
      </c>
      <c r="G4040" s="403"/>
      <c r="H4040" s="403"/>
      <c r="I4040" s="404"/>
      <c r="K4040" s="224">
        <f>K4038*$N$2</f>
        <v>140</v>
      </c>
      <c r="L4040" s="117">
        <f>L4038*$N$2</f>
        <v>21840</v>
      </c>
    </row>
    <row r="4041" spans="2:16" ht="7.5" customHeight="1" thickBot="1" x14ac:dyDescent="0.35"/>
    <row r="4042" spans="2:16" ht="17.25" thickBot="1" x14ac:dyDescent="0.35">
      <c r="F4042" s="402" t="s">
        <v>22</v>
      </c>
      <c r="G4042" s="403"/>
      <c r="H4042" s="403"/>
      <c r="I4042" s="404"/>
      <c r="K4042" s="224">
        <f>+K4038+K4040</f>
        <v>490</v>
      </c>
      <c r="L4042" s="117">
        <f>+L4038+L4040</f>
        <v>76440</v>
      </c>
    </row>
    <row r="4043" spans="2:16" ht="17.25" thickBot="1" x14ac:dyDescent="0.35">
      <c r="F4043" s="126"/>
      <c r="G4043" s="280"/>
      <c r="H4043" s="128"/>
      <c r="I4043" s="106"/>
      <c r="K4043" s="226"/>
      <c r="L4043" s="130">
        <f>L4042/I3997</f>
        <v>490</v>
      </c>
      <c r="M4043" s="131">
        <f>(K4042-L4043)*I3997</f>
        <v>0</v>
      </c>
    </row>
    <row r="4044" spans="2:16" x14ac:dyDescent="0.3">
      <c r="F4044" s="126"/>
      <c r="G4044" s="280"/>
      <c r="H4044" s="128"/>
      <c r="I4044" s="106"/>
      <c r="K4044" s="227"/>
      <c r="L4044" s="129"/>
      <c r="M4044" s="132"/>
      <c r="N4044" s="133"/>
    </row>
    <row r="4045" spans="2:16" ht="17.25" thickBot="1" x14ac:dyDescent="0.35">
      <c r="B4045" s="405"/>
      <c r="C4045" s="405"/>
      <c r="D4045" s="405"/>
    </row>
    <row r="4046" spans="2:16" x14ac:dyDescent="0.3">
      <c r="B4046" s="406" t="s">
        <v>23</v>
      </c>
      <c r="C4046" s="406"/>
      <c r="D4046" s="406"/>
    </row>
    <row r="4049" spans="1:16" x14ac:dyDescent="0.3">
      <c r="B4049" s="103" t="s">
        <v>43</v>
      </c>
      <c r="C4049" s="104"/>
      <c r="D4049" s="422" t="s">
        <v>1</v>
      </c>
      <c r="E4049" s="422"/>
      <c r="F4049" s="422"/>
      <c r="G4049" s="422"/>
      <c r="H4049" s="104"/>
      <c r="I4049" s="105" t="s">
        <v>2</v>
      </c>
      <c r="J4049" s="134"/>
      <c r="K4049" s="105" t="s">
        <v>3</v>
      </c>
    </row>
    <row r="4050" spans="1:16" s="4" customFormat="1" ht="30.75" customHeight="1" x14ac:dyDescent="0.25">
      <c r="A4050" s="31"/>
      <c r="B4050" s="287">
        <f>CATALOGO!B132</f>
        <v>605.01</v>
      </c>
      <c r="C4050" s="71"/>
      <c r="D4050" s="437" t="str">
        <f>CATALOGO!C132</f>
        <v>PISO CERÁMICO</v>
      </c>
      <c r="E4050" s="437"/>
      <c r="F4050" s="437"/>
      <c r="G4050" s="437"/>
      <c r="H4050" s="71"/>
      <c r="I4050" s="287">
        <f>CATALOGO!D132</f>
        <v>108</v>
      </c>
      <c r="J4050" s="107"/>
      <c r="K4050" s="222" t="str">
        <f>CATALOGO!G132</f>
        <v>m²</v>
      </c>
      <c r="L4050" s="71"/>
      <c r="M4050" s="71"/>
      <c r="N4050" s="102"/>
      <c r="O4050" s="37"/>
      <c r="P4050" s="37"/>
    </row>
    <row r="4051" spans="1:16" ht="17.25" thickBot="1" x14ac:dyDescent="0.35"/>
    <row r="4052" spans="1:16" ht="17.25" thickBot="1" x14ac:dyDescent="0.35">
      <c r="B4052" s="108" t="s">
        <v>4</v>
      </c>
      <c r="C4052" s="413" t="s">
        <v>5</v>
      </c>
      <c r="D4052" s="413"/>
      <c r="E4052" s="413"/>
      <c r="F4052" s="413"/>
      <c r="G4052" s="414"/>
    </row>
    <row r="4053" spans="1:16" x14ac:dyDescent="0.25">
      <c r="B4053" s="109" t="s">
        <v>6</v>
      </c>
      <c r="C4053" s="424" t="s">
        <v>1</v>
      </c>
      <c r="D4053" s="425"/>
      <c r="E4053" s="110" t="s">
        <v>192</v>
      </c>
      <c r="F4053" s="111" t="s">
        <v>2</v>
      </c>
      <c r="G4053" s="112" t="s">
        <v>3</v>
      </c>
      <c r="H4053" s="104"/>
      <c r="I4053" s="105" t="s">
        <v>7</v>
      </c>
      <c r="J4053" s="134"/>
      <c r="K4053" s="223" t="s">
        <v>8</v>
      </c>
      <c r="L4053" s="113" t="s">
        <v>193</v>
      </c>
      <c r="O4053" s="438"/>
      <c r="P4053" s="438"/>
    </row>
    <row r="4054" spans="1:16" ht="16.5" customHeight="1" x14ac:dyDescent="0.25">
      <c r="B4054" s="120">
        <v>1</v>
      </c>
      <c r="C4054" s="428" t="s">
        <v>213</v>
      </c>
      <c r="D4054" s="429"/>
      <c r="E4054" s="114">
        <f>I4050*0.7</f>
        <v>75.599999999999994</v>
      </c>
      <c r="F4054" s="83">
        <f>ROUND(E4054/I4050,2)</f>
        <v>0.7</v>
      </c>
      <c r="G4054" s="74" t="str">
        <f>IF(C4054=0,0,VLOOKUP(C4054,Tabla1[],2,FALSE))</f>
        <v>Saco</v>
      </c>
      <c r="I4054" s="115">
        <f>IF(C4054=0,0,VLOOKUP(C4054,Tabla1[],3,FALSE))</f>
        <v>80</v>
      </c>
      <c r="K4054" s="84">
        <f>F4054*I4054</f>
        <v>56</v>
      </c>
      <c r="L4054" s="116">
        <f>E4054*I4054</f>
        <v>6048</v>
      </c>
      <c r="O4054" s="44"/>
      <c r="P4054" s="45"/>
    </row>
    <row r="4055" spans="1:16" x14ac:dyDescent="0.25">
      <c r="B4055" s="120">
        <v>2</v>
      </c>
      <c r="C4055" s="430" t="s">
        <v>72</v>
      </c>
      <c r="D4055" s="429"/>
      <c r="E4055" s="114">
        <f>I4050*0.02</f>
        <v>2.16</v>
      </c>
      <c r="F4055" s="83">
        <f>ROUND(E4055/I4050,2)</f>
        <v>0.02</v>
      </c>
      <c r="G4055" s="74" t="str">
        <f>IF(C4055=0,0,VLOOKUP(C4055,Tabla1[],2,FALSE))</f>
        <v>m³</v>
      </c>
      <c r="I4055" s="115">
        <f>IF(C4055=0,0,VLOOKUP(C4055,Tabla1[],3,FALSE))</f>
        <v>250</v>
      </c>
      <c r="K4055" s="84">
        <f>+F4055*I4055</f>
        <v>5</v>
      </c>
      <c r="L4055" s="116">
        <f>E4055*I4055</f>
        <v>540</v>
      </c>
      <c r="O4055" s="44"/>
      <c r="P4055" s="47"/>
    </row>
    <row r="4056" spans="1:16" x14ac:dyDescent="0.3">
      <c r="B4056" s="120">
        <v>3</v>
      </c>
      <c r="C4056" s="430" t="s">
        <v>214</v>
      </c>
      <c r="D4056" s="429"/>
      <c r="E4056" s="114">
        <f>I4050*0.02</f>
        <v>2.16</v>
      </c>
      <c r="F4056" s="83">
        <f>ROUND(E4056/I4050,2)</f>
        <v>0.02</v>
      </c>
      <c r="G4056" s="74" t="str">
        <f>IF(C4056=0,0,VLOOKUP(C4056,Tabla1[],2,FALSE))</f>
        <v>Bolsa</v>
      </c>
      <c r="I4056" s="115">
        <f>IF(C4056=0,0,VLOOKUP(C4056,Tabla1[],3,FALSE))</f>
        <v>50</v>
      </c>
      <c r="K4056" s="84">
        <f>+F4056*I4056</f>
        <v>1</v>
      </c>
      <c r="L4056" s="116">
        <f>E4056*I4056</f>
        <v>108</v>
      </c>
      <c r="O4056" s="48"/>
      <c r="P4056" s="49"/>
    </row>
    <row r="4057" spans="1:16" ht="16.5" customHeight="1" x14ac:dyDescent="0.25">
      <c r="B4057" s="120">
        <v>4</v>
      </c>
      <c r="C4057" s="407" t="s">
        <v>598</v>
      </c>
      <c r="D4057" s="408"/>
      <c r="E4057" s="114">
        <f>I4050*0.7</f>
        <v>75.599999999999994</v>
      </c>
      <c r="F4057" s="83">
        <f>ROUND(E4057/I4050,2)</f>
        <v>0.7</v>
      </c>
      <c r="G4057" s="74" t="str">
        <f>IF(C4057=0,0,VLOOKUP(C4057,Tabla1[],2,FALSE))</f>
        <v>m²</v>
      </c>
      <c r="I4057" s="115">
        <f>IF(C4057=0,0,VLOOKUP(C4057,Tabla1[],3,FALSE))</f>
        <v>90</v>
      </c>
      <c r="K4057" s="84">
        <f>+F4057*I4057</f>
        <v>62.999999999999993</v>
      </c>
      <c r="L4057" s="116">
        <f>E4057*I4057</f>
        <v>6803.9999999999991</v>
      </c>
      <c r="O4057" s="44"/>
      <c r="P4057" s="45"/>
    </row>
    <row r="4058" spans="1:16" x14ac:dyDescent="0.3">
      <c r="B4058" s="120"/>
      <c r="C4058" s="430"/>
      <c r="D4058" s="429"/>
      <c r="E4058" s="114"/>
      <c r="F4058" s="83"/>
      <c r="G4058" s="74"/>
      <c r="I4058" s="115">
        <f>IF(C4058=0,0,VLOOKUP(C4058,Tabla1[],3,FALSE))</f>
        <v>0</v>
      </c>
      <c r="K4058" s="84">
        <f>+F4058*I4058</f>
        <v>0</v>
      </c>
      <c r="L4058" s="116">
        <f>E4058*I4058</f>
        <v>0</v>
      </c>
      <c r="O4058" s="48"/>
      <c r="P4058" s="49"/>
    </row>
    <row r="4059" spans="1:16" ht="17.25" thickBot="1" x14ac:dyDescent="0.35"/>
    <row r="4060" spans="1:16" ht="17.25" thickBot="1" x14ac:dyDescent="0.3">
      <c r="F4060" s="402" t="s">
        <v>9</v>
      </c>
      <c r="G4060" s="403"/>
      <c r="H4060" s="403"/>
      <c r="I4060" s="404"/>
      <c r="K4060" s="224">
        <f>+SUM(K4054:K4058)</f>
        <v>125</v>
      </c>
      <c r="L4060" s="117">
        <f>+SUM(L4054:L4058)</f>
        <v>13500</v>
      </c>
      <c r="O4060" s="38"/>
      <c r="P4060" s="38"/>
    </row>
    <row r="4061" spans="1:16" ht="17.25" thickBot="1" x14ac:dyDescent="0.35">
      <c r="O4061" s="42"/>
      <c r="P4061" s="43"/>
    </row>
    <row r="4062" spans="1:16" ht="17.25" thickBot="1" x14ac:dyDescent="0.35">
      <c r="B4062" s="108" t="s">
        <v>10</v>
      </c>
      <c r="C4062" s="413" t="s">
        <v>11</v>
      </c>
      <c r="D4062" s="413"/>
      <c r="E4062" s="413"/>
      <c r="F4062" s="413"/>
      <c r="G4062" s="414"/>
    </row>
    <row r="4063" spans="1:16" x14ac:dyDescent="0.3">
      <c r="B4063" s="112" t="s">
        <v>6</v>
      </c>
      <c r="C4063" s="415" t="s">
        <v>1</v>
      </c>
      <c r="D4063" s="416"/>
      <c r="E4063" s="110" t="s">
        <v>192</v>
      </c>
      <c r="F4063" s="118" t="s">
        <v>2</v>
      </c>
      <c r="G4063" s="112" t="s">
        <v>3</v>
      </c>
      <c r="H4063" s="104"/>
      <c r="I4063" s="105" t="s">
        <v>7</v>
      </c>
      <c r="J4063" s="134"/>
      <c r="K4063" s="105" t="s">
        <v>8</v>
      </c>
      <c r="L4063" s="113" t="s">
        <v>193</v>
      </c>
    </row>
    <row r="4064" spans="1:16" x14ac:dyDescent="0.3">
      <c r="B4064" s="120"/>
      <c r="C4064" s="409"/>
      <c r="D4064" s="409"/>
      <c r="E4064" s="114"/>
      <c r="F4064" s="83"/>
      <c r="G4064" s="74"/>
      <c r="I4064" s="115">
        <f>IF(C4064=0,0,VLOOKUP(C4064,Tabla3[],3,FALSE))</f>
        <v>0</v>
      </c>
      <c r="K4064" s="84">
        <f>F4064*I4064</f>
        <v>0</v>
      </c>
      <c r="L4064" s="116">
        <f>E4064*I4064</f>
        <v>0</v>
      </c>
    </row>
    <row r="4065" spans="2:12" x14ac:dyDescent="0.3">
      <c r="B4065" s="74"/>
      <c r="C4065" s="431"/>
      <c r="D4065" s="432"/>
      <c r="E4065" s="119"/>
      <c r="F4065" s="72"/>
      <c r="G4065" s="74"/>
      <c r="I4065" s="115">
        <f>IF(C4065=0,0,VLOOKUP(C4065,Tabla3[],3,FALSE))</f>
        <v>0</v>
      </c>
      <c r="K4065" s="84">
        <f>+F4065*I4065</f>
        <v>0</v>
      </c>
      <c r="L4065" s="116">
        <f>E4065*I4065</f>
        <v>0</v>
      </c>
    </row>
    <row r="4066" spans="2:12" x14ac:dyDescent="0.3">
      <c r="B4066" s="74"/>
      <c r="C4066" s="431"/>
      <c r="D4066" s="432"/>
      <c r="E4066" s="119"/>
      <c r="F4066" s="72"/>
      <c r="G4066" s="74"/>
      <c r="I4066" s="115">
        <f>IF(C4066=0,0,VLOOKUP(C4066,Tabla3[],3,FALSE))</f>
        <v>0</v>
      </c>
      <c r="K4066" s="84">
        <f>+F4066*I4066</f>
        <v>0</v>
      </c>
      <c r="L4066" s="116">
        <f>E4066*I4066</f>
        <v>0</v>
      </c>
    </row>
    <row r="4067" spans="2:12" x14ac:dyDescent="0.3">
      <c r="B4067" s="74"/>
      <c r="C4067" s="411"/>
      <c r="D4067" s="412"/>
      <c r="E4067" s="119"/>
      <c r="F4067" s="72"/>
      <c r="G4067" s="74"/>
      <c r="I4067" s="115">
        <f>IF(C4067=0,0,VLOOKUP(C4067,Tabla3[],3,FALSE))</f>
        <v>0</v>
      </c>
      <c r="K4067" s="84">
        <f>+F4067*I4067</f>
        <v>0</v>
      </c>
      <c r="L4067" s="116">
        <f>E4067*I4067</f>
        <v>0</v>
      </c>
    </row>
    <row r="4068" spans="2:12" ht="17.25" thickBot="1" x14ac:dyDescent="0.35"/>
    <row r="4069" spans="2:12" ht="17.25" thickBot="1" x14ac:dyDescent="0.35">
      <c r="F4069" s="402" t="s">
        <v>12</v>
      </c>
      <c r="G4069" s="403"/>
      <c r="H4069" s="403"/>
      <c r="I4069" s="404"/>
      <c r="K4069" s="224">
        <f>+SUM(K4064:K4067)</f>
        <v>0</v>
      </c>
      <c r="L4069" s="117">
        <f>+SUM(L4064:L4067)</f>
        <v>0</v>
      </c>
    </row>
    <row r="4070" spans="2:12" ht="17.25" thickBot="1" x14ac:dyDescent="0.35"/>
    <row r="4071" spans="2:12" ht="17.25" thickBot="1" x14ac:dyDescent="0.35">
      <c r="B4071" s="108" t="s">
        <v>13</v>
      </c>
      <c r="C4071" s="413" t="s">
        <v>14</v>
      </c>
      <c r="D4071" s="413"/>
      <c r="E4071" s="413"/>
      <c r="F4071" s="413"/>
      <c r="G4071" s="414"/>
    </row>
    <row r="4072" spans="2:12" x14ac:dyDescent="0.3">
      <c r="B4072" s="112" t="s">
        <v>6</v>
      </c>
      <c r="C4072" s="415" t="s">
        <v>1</v>
      </c>
      <c r="D4072" s="416"/>
      <c r="E4072" s="110" t="s">
        <v>192</v>
      </c>
      <c r="F4072" s="118" t="s">
        <v>2</v>
      </c>
      <c r="G4072" s="112" t="s">
        <v>3</v>
      </c>
      <c r="H4072" s="104"/>
      <c r="I4072" s="105" t="s">
        <v>7</v>
      </c>
      <c r="J4072" s="134"/>
      <c r="K4072" s="105" t="s">
        <v>8</v>
      </c>
      <c r="L4072" s="113" t="s">
        <v>193</v>
      </c>
    </row>
    <row r="4073" spans="2:12" x14ac:dyDescent="0.3">
      <c r="B4073" s="120">
        <v>1</v>
      </c>
      <c r="C4073" s="409" t="s">
        <v>215</v>
      </c>
      <c r="D4073" s="409"/>
      <c r="E4073" s="114">
        <f>I4050</f>
        <v>108</v>
      </c>
      <c r="F4073" s="83">
        <f>ROUND(E4073/I4050,2)</f>
        <v>1</v>
      </c>
      <c r="G4073" s="74" t="str">
        <f>IF(C4073=0,0,VLOOKUP(C4073,Tabla2[],2,FALSE))</f>
        <v>m²</v>
      </c>
      <c r="I4073" s="115">
        <f>IF(C4073=0,0,VLOOKUP(C4073,Tabla2[],3,FALSE))</f>
        <v>100</v>
      </c>
      <c r="K4073" s="84">
        <f>+F4073*I4073</f>
        <v>100</v>
      </c>
      <c r="L4073" s="116">
        <f>E4073*I4073</f>
        <v>10800</v>
      </c>
    </row>
    <row r="4074" spans="2:12" x14ac:dyDescent="0.3">
      <c r="B4074" s="120"/>
      <c r="C4074" s="409"/>
      <c r="D4074" s="409"/>
      <c r="E4074" s="114"/>
      <c r="F4074" s="83"/>
      <c r="G4074" s="74"/>
      <c r="I4074" s="115">
        <f>IF(C4074=0,0,VLOOKUP(C4074,Tabla2[],3,FALSE))</f>
        <v>0</v>
      </c>
      <c r="K4074" s="84">
        <f>+F4074*I4074</f>
        <v>0</v>
      </c>
      <c r="L4074" s="116">
        <f>E4074*I4074</f>
        <v>0</v>
      </c>
    </row>
    <row r="4075" spans="2:12" ht="17.25" thickBot="1" x14ac:dyDescent="0.35">
      <c r="B4075" s="121"/>
      <c r="C4075" s="417"/>
      <c r="D4075" s="418"/>
      <c r="E4075" s="122"/>
      <c r="F4075" s="123"/>
      <c r="G4075" s="74"/>
      <c r="I4075" s="115">
        <f>IF(C4075=0,0,VLOOKUP(C4075,Tabla2[],3,FALSE))</f>
        <v>0</v>
      </c>
      <c r="K4075" s="84">
        <f>+F4075*I4075</f>
        <v>0</v>
      </c>
      <c r="L4075" s="116">
        <f>E4075*I4075</f>
        <v>0</v>
      </c>
    </row>
    <row r="4076" spans="2:12" ht="17.25" thickBot="1" x14ac:dyDescent="0.35">
      <c r="B4076" s="419" t="s">
        <v>15</v>
      </c>
      <c r="C4076" s="420"/>
      <c r="D4076" s="420"/>
      <c r="E4076" s="420"/>
      <c r="F4076" s="420"/>
      <c r="G4076" s="421"/>
      <c r="I4076" s="115">
        <f>IF(C4076=0,0,VLOOKUP(C4076,Tabla2[],3,FALSE))</f>
        <v>0</v>
      </c>
      <c r="K4076" s="84">
        <v>0</v>
      </c>
      <c r="L4076" s="116">
        <f>E4076*I4076</f>
        <v>0</v>
      </c>
    </row>
    <row r="4077" spans="2:12" ht="17.25" thickBot="1" x14ac:dyDescent="0.35"/>
    <row r="4078" spans="2:12" ht="17.25" thickBot="1" x14ac:dyDescent="0.35">
      <c r="F4078" s="402" t="s">
        <v>16</v>
      </c>
      <c r="G4078" s="403"/>
      <c r="H4078" s="403"/>
      <c r="I4078" s="404"/>
      <c r="K4078" s="224">
        <f>+SUM(K4073:K4076)</f>
        <v>100</v>
      </c>
      <c r="L4078" s="117">
        <f>+SUM(L4073:L4076)</f>
        <v>10800</v>
      </c>
    </row>
    <row r="4079" spans="2:12" ht="17.25" thickBot="1" x14ac:dyDescent="0.35"/>
    <row r="4080" spans="2:12" ht="17.25" thickBot="1" x14ac:dyDescent="0.35">
      <c r="B4080" s="108" t="s">
        <v>17</v>
      </c>
      <c r="C4080" s="413" t="s">
        <v>18</v>
      </c>
      <c r="D4080" s="413"/>
      <c r="E4080" s="413"/>
      <c r="F4080" s="413"/>
      <c r="G4080" s="414"/>
    </row>
    <row r="4081" spans="2:16" x14ac:dyDescent="0.3">
      <c r="B4081" s="112" t="s">
        <v>6</v>
      </c>
      <c r="C4081" s="415" t="s">
        <v>1</v>
      </c>
      <c r="D4081" s="416"/>
      <c r="E4081" s="124"/>
      <c r="F4081" s="118" t="s">
        <v>2</v>
      </c>
      <c r="G4081" s="112" t="s">
        <v>3</v>
      </c>
      <c r="H4081" s="104"/>
      <c r="I4081" s="105" t="s">
        <v>7</v>
      </c>
      <c r="J4081" s="134"/>
      <c r="K4081" s="105" t="s">
        <v>8</v>
      </c>
      <c r="L4081" s="113" t="s">
        <v>193</v>
      </c>
    </row>
    <row r="4082" spans="2:16" x14ac:dyDescent="0.3">
      <c r="B4082" s="74"/>
      <c r="C4082" s="411"/>
      <c r="D4082" s="412"/>
      <c r="E4082" s="125"/>
      <c r="F4082" s="72"/>
      <c r="G4082" s="74"/>
      <c r="I4082" s="84">
        <v>0</v>
      </c>
      <c r="K4082" s="84">
        <f>+F4082*I4082</f>
        <v>0</v>
      </c>
      <c r="L4082" s="116">
        <f>E4082*I4082</f>
        <v>0</v>
      </c>
    </row>
    <row r="4083" spans="2:16" x14ac:dyDescent="0.3">
      <c r="B4083" s="74"/>
      <c r="C4083" s="411"/>
      <c r="D4083" s="412"/>
      <c r="E4083" s="125"/>
      <c r="F4083" s="72"/>
      <c r="G4083" s="74"/>
      <c r="I4083" s="84">
        <v>0</v>
      </c>
      <c r="K4083" s="84">
        <f>+F4083*I4083</f>
        <v>0</v>
      </c>
      <c r="L4083" s="116">
        <f>E4083*I4083</f>
        <v>0</v>
      </c>
    </row>
    <row r="4084" spans="2:16" x14ac:dyDescent="0.3">
      <c r="B4084" s="74"/>
      <c r="C4084" s="411"/>
      <c r="D4084" s="412"/>
      <c r="E4084" s="125"/>
      <c r="F4084" s="72"/>
      <c r="G4084" s="74"/>
      <c r="I4084" s="84">
        <v>0</v>
      </c>
      <c r="K4084" s="84">
        <f>+F4084*I4084</f>
        <v>0</v>
      </c>
      <c r="L4084" s="116">
        <f>E4084*I4084</f>
        <v>0</v>
      </c>
    </row>
    <row r="4085" spans="2:16" ht="17.25" thickBot="1" x14ac:dyDescent="0.35">
      <c r="L4085" s="116"/>
    </row>
    <row r="4086" spans="2:16" ht="17.25" thickBot="1" x14ac:dyDescent="0.35">
      <c r="F4086" s="402" t="s">
        <v>19</v>
      </c>
      <c r="G4086" s="403"/>
      <c r="H4086" s="403"/>
      <c r="I4086" s="404"/>
      <c r="K4086" s="224">
        <f>+SUM(K4082:K4084)</f>
        <v>0</v>
      </c>
      <c r="L4086" s="117">
        <f>+SUM(L4081:L4084)</f>
        <v>0</v>
      </c>
    </row>
    <row r="4087" spans="2:16" ht="15" customHeight="1" x14ac:dyDescent="0.3">
      <c r="F4087" s="126"/>
      <c r="G4087" s="280"/>
      <c r="H4087" s="128"/>
      <c r="I4087" s="106"/>
      <c r="K4087" s="225"/>
    </row>
    <row r="4088" spans="2:16" ht="15" customHeight="1" thickBot="1" x14ac:dyDescent="0.35"/>
    <row r="4089" spans="2:16" ht="17.25" thickBot="1" x14ac:dyDescent="0.35">
      <c r="F4089" s="402" t="s">
        <v>20</v>
      </c>
      <c r="G4089" s="403"/>
      <c r="H4089" s="403"/>
      <c r="I4089" s="404"/>
      <c r="K4089" s="224">
        <f>(+K4060+K4069+K4078+K4086)</f>
        <v>225</v>
      </c>
      <c r="L4089" s="117">
        <f>(+L4060+L4069+L4078+L4086)</f>
        <v>24300</v>
      </c>
      <c r="N4089" s="129"/>
      <c r="O4089" s="39"/>
      <c r="P4089" s="40"/>
    </row>
    <row r="4090" spans="2:16" ht="7.5" customHeight="1" thickBot="1" x14ac:dyDescent="0.35">
      <c r="N4090" s="129"/>
      <c r="O4090" s="41"/>
      <c r="P4090" s="40"/>
    </row>
    <row r="4091" spans="2:16" ht="17.25" thickBot="1" x14ac:dyDescent="0.35">
      <c r="F4091" s="402" t="s">
        <v>21</v>
      </c>
      <c r="G4091" s="403"/>
      <c r="H4091" s="403"/>
      <c r="I4091" s="404"/>
      <c r="K4091" s="224">
        <f>K4089*$N$2</f>
        <v>90</v>
      </c>
      <c r="L4091" s="117">
        <f>L4089*$N$2</f>
        <v>9720</v>
      </c>
    </row>
    <row r="4092" spans="2:16" ht="7.5" customHeight="1" thickBot="1" x14ac:dyDescent="0.35"/>
    <row r="4093" spans="2:16" ht="17.25" thickBot="1" x14ac:dyDescent="0.35">
      <c r="F4093" s="402" t="s">
        <v>22</v>
      </c>
      <c r="G4093" s="403"/>
      <c r="H4093" s="403"/>
      <c r="I4093" s="404"/>
      <c r="K4093" s="224">
        <f>+K4089+K4091</f>
        <v>315</v>
      </c>
      <c r="L4093" s="117">
        <f>+L4089+L4091</f>
        <v>34020</v>
      </c>
    </row>
    <row r="4094" spans="2:16" ht="17.25" thickBot="1" x14ac:dyDescent="0.35">
      <c r="F4094" s="126"/>
      <c r="G4094" s="280"/>
      <c r="H4094" s="128"/>
      <c r="I4094" s="106"/>
      <c r="K4094" s="226"/>
      <c r="L4094" s="130">
        <f>L4093/I4050</f>
        <v>315</v>
      </c>
      <c r="M4094" s="131">
        <f>(K4093-L4094)*I4050</f>
        <v>0</v>
      </c>
    </row>
    <row r="4095" spans="2:16" x14ac:dyDescent="0.3">
      <c r="F4095" s="126"/>
      <c r="G4095" s="280"/>
      <c r="H4095" s="128"/>
      <c r="I4095" s="106"/>
      <c r="K4095" s="227"/>
      <c r="L4095" s="129"/>
      <c r="M4095" s="132"/>
      <c r="N4095" s="133"/>
    </row>
    <row r="4096" spans="2:16" ht="17.25" thickBot="1" x14ac:dyDescent="0.35">
      <c r="B4096" s="405"/>
      <c r="C4096" s="405"/>
      <c r="D4096" s="405"/>
    </row>
    <row r="4097" spans="1:16" x14ac:dyDescent="0.3">
      <c r="B4097" s="406" t="s">
        <v>23</v>
      </c>
      <c r="C4097" s="406"/>
      <c r="D4097" s="406"/>
    </row>
    <row r="4098" spans="1:16" x14ac:dyDescent="0.3">
      <c r="B4098" s="281"/>
      <c r="C4098" s="281"/>
      <c r="D4098" s="281"/>
    </row>
    <row r="4100" spans="1:16" x14ac:dyDescent="0.3">
      <c r="B4100" s="103" t="s">
        <v>43</v>
      </c>
      <c r="C4100" s="104"/>
      <c r="D4100" s="422" t="s">
        <v>1</v>
      </c>
      <c r="E4100" s="422"/>
      <c r="F4100" s="422"/>
      <c r="G4100" s="422"/>
      <c r="H4100" s="104"/>
      <c r="I4100" s="105" t="s">
        <v>2</v>
      </c>
      <c r="J4100" s="134"/>
      <c r="K4100" s="105" t="s">
        <v>3</v>
      </c>
    </row>
    <row r="4101" spans="1:16" s="4" customFormat="1" ht="30.75" customHeight="1" x14ac:dyDescent="0.25">
      <c r="A4101" s="31"/>
      <c r="B4101" s="287">
        <f>CATALOGO!B133</f>
        <v>605.08000000000004</v>
      </c>
      <c r="C4101" s="71"/>
      <c r="D4101" s="437" t="str">
        <f>CATALOGO!C133</f>
        <v>PISO CERÁMICO ANTIDESLIZANTE</v>
      </c>
      <c r="E4101" s="437"/>
      <c r="F4101" s="437"/>
      <c r="G4101" s="437"/>
      <c r="H4101" s="71"/>
      <c r="I4101" s="287">
        <f>CATALOGO!D133</f>
        <v>28</v>
      </c>
      <c r="J4101" s="107"/>
      <c r="K4101" s="222" t="str">
        <f>CATALOGO!G133</f>
        <v>m²</v>
      </c>
      <c r="L4101" s="71"/>
      <c r="M4101" s="71"/>
      <c r="N4101" s="102"/>
      <c r="O4101" s="37"/>
      <c r="P4101" s="37"/>
    </row>
    <row r="4102" spans="1:16" ht="17.25" thickBot="1" x14ac:dyDescent="0.35"/>
    <row r="4103" spans="1:16" ht="17.25" thickBot="1" x14ac:dyDescent="0.35">
      <c r="B4103" s="108" t="s">
        <v>4</v>
      </c>
      <c r="C4103" s="413" t="s">
        <v>5</v>
      </c>
      <c r="D4103" s="413"/>
      <c r="E4103" s="413"/>
      <c r="F4103" s="413"/>
      <c r="G4103" s="414"/>
    </row>
    <row r="4104" spans="1:16" x14ac:dyDescent="0.25">
      <c r="B4104" s="109" t="s">
        <v>6</v>
      </c>
      <c r="C4104" s="424" t="s">
        <v>1</v>
      </c>
      <c r="D4104" s="425"/>
      <c r="E4104" s="110" t="s">
        <v>192</v>
      </c>
      <c r="F4104" s="111" t="s">
        <v>2</v>
      </c>
      <c r="G4104" s="112" t="s">
        <v>3</v>
      </c>
      <c r="H4104" s="104"/>
      <c r="I4104" s="105" t="s">
        <v>7</v>
      </c>
      <c r="J4104" s="134"/>
      <c r="K4104" s="223" t="s">
        <v>8</v>
      </c>
      <c r="L4104" s="113" t="s">
        <v>193</v>
      </c>
      <c r="O4104" s="438"/>
      <c r="P4104" s="438"/>
    </row>
    <row r="4105" spans="1:16" ht="16.5" customHeight="1" x14ac:dyDescent="0.25">
      <c r="B4105" s="120">
        <v>1</v>
      </c>
      <c r="C4105" s="428" t="s">
        <v>213</v>
      </c>
      <c r="D4105" s="429"/>
      <c r="E4105" s="114">
        <f>I4101*0.7</f>
        <v>19.599999999999998</v>
      </c>
      <c r="F4105" s="83">
        <f>ROUND(E4105/I4101,2)</f>
        <v>0.7</v>
      </c>
      <c r="G4105" s="74" t="str">
        <f>IF(C4105=0,0,VLOOKUP(C4105,Tabla1[],2,FALSE))</f>
        <v>Saco</v>
      </c>
      <c r="I4105" s="115">
        <f>IF(C4105=0,0,VLOOKUP(C4105,Tabla1[],3,FALSE))</f>
        <v>80</v>
      </c>
      <c r="K4105" s="84">
        <f>F4105*I4105</f>
        <v>56</v>
      </c>
      <c r="L4105" s="116">
        <f>E4105*I4105</f>
        <v>1567.9999999999998</v>
      </c>
      <c r="O4105" s="44"/>
      <c r="P4105" s="45"/>
    </row>
    <row r="4106" spans="1:16" x14ac:dyDescent="0.25">
      <c r="B4106" s="120">
        <v>2</v>
      </c>
      <c r="C4106" s="430" t="s">
        <v>72</v>
      </c>
      <c r="D4106" s="429"/>
      <c r="E4106" s="114">
        <f>I4101*0.02</f>
        <v>0.56000000000000005</v>
      </c>
      <c r="F4106" s="83">
        <f>ROUND(E4106/I4101,2)</f>
        <v>0.02</v>
      </c>
      <c r="G4106" s="74" t="str">
        <f>IF(C4106=0,0,VLOOKUP(C4106,Tabla1[],2,FALSE))</f>
        <v>m³</v>
      </c>
      <c r="I4106" s="115">
        <f>IF(C4106=0,0,VLOOKUP(C4106,Tabla1[],3,FALSE))</f>
        <v>250</v>
      </c>
      <c r="K4106" s="84">
        <f>+F4106*I4106</f>
        <v>5</v>
      </c>
      <c r="L4106" s="116">
        <f>E4106*I4106</f>
        <v>140</v>
      </c>
      <c r="O4106" s="44"/>
      <c r="P4106" s="47"/>
    </row>
    <row r="4107" spans="1:16" x14ac:dyDescent="0.3">
      <c r="B4107" s="120">
        <v>3</v>
      </c>
      <c r="C4107" s="430" t="s">
        <v>214</v>
      </c>
      <c r="D4107" s="429"/>
      <c r="E4107" s="114">
        <f>I4101*0.03</f>
        <v>0.84</v>
      </c>
      <c r="F4107" s="83">
        <f>ROUND(E4107/I4101,2)</f>
        <v>0.03</v>
      </c>
      <c r="G4107" s="74" t="str">
        <f>IF(C4107=0,0,VLOOKUP(C4107,Tabla1[],2,FALSE))</f>
        <v>Bolsa</v>
      </c>
      <c r="I4107" s="115">
        <f>IF(C4107=0,0,VLOOKUP(C4107,Tabla1[],3,FALSE))</f>
        <v>50</v>
      </c>
      <c r="K4107" s="84">
        <f>+F4107*I4107</f>
        <v>1.5</v>
      </c>
      <c r="L4107" s="116">
        <f>E4107*I4107</f>
        <v>42</v>
      </c>
      <c r="O4107" s="48"/>
      <c r="P4107" s="49"/>
    </row>
    <row r="4108" spans="1:16" ht="16.5" customHeight="1" x14ac:dyDescent="0.25">
      <c r="B4108" s="120">
        <v>4</v>
      </c>
      <c r="C4108" s="407" t="s">
        <v>599</v>
      </c>
      <c r="D4108" s="408"/>
      <c r="E4108" s="114">
        <f>I4101*0.7</f>
        <v>19.599999999999998</v>
      </c>
      <c r="F4108" s="83">
        <f>ROUND(E4108/I4101,2)</f>
        <v>0.7</v>
      </c>
      <c r="G4108" s="74" t="str">
        <f>IF(C4108=0,0,VLOOKUP(C4108,Tabla1[],2,FALSE))</f>
        <v>m²</v>
      </c>
      <c r="I4108" s="115">
        <f>IF(C4108=0,0,VLOOKUP(C4108,Tabla1[],3,FALSE))</f>
        <v>125</v>
      </c>
      <c r="K4108" s="84">
        <f>+F4108*I4108</f>
        <v>87.5</v>
      </c>
      <c r="L4108" s="116">
        <f>E4108*I4108</f>
        <v>2449.9999999999995</v>
      </c>
      <c r="O4108" s="44"/>
      <c r="P4108" s="45"/>
    </row>
    <row r="4109" spans="1:16" x14ac:dyDescent="0.3">
      <c r="B4109" s="120"/>
      <c r="C4109" s="430"/>
      <c r="D4109" s="429"/>
      <c r="E4109" s="114"/>
      <c r="F4109" s="83"/>
      <c r="G4109" s="74"/>
      <c r="I4109" s="115">
        <f>IF(C4109=0,0,VLOOKUP(C4109,Tabla1[],3,FALSE))</f>
        <v>0</v>
      </c>
      <c r="K4109" s="84">
        <f>+F4109*I4109</f>
        <v>0</v>
      </c>
      <c r="L4109" s="116">
        <f>E4109*I4109</f>
        <v>0</v>
      </c>
      <c r="O4109" s="48"/>
      <c r="P4109" s="49"/>
    </row>
    <row r="4110" spans="1:16" ht="17.25" thickBot="1" x14ac:dyDescent="0.35"/>
    <row r="4111" spans="1:16" ht="17.25" thickBot="1" x14ac:dyDescent="0.3">
      <c r="F4111" s="402" t="s">
        <v>9</v>
      </c>
      <c r="G4111" s="403"/>
      <c r="H4111" s="403"/>
      <c r="I4111" s="404"/>
      <c r="K4111" s="224">
        <f>+SUM(K4105:K4109)</f>
        <v>150</v>
      </c>
      <c r="L4111" s="117">
        <f>+SUM(L4105:L4109)</f>
        <v>4199.9999999999991</v>
      </c>
      <c r="O4111" s="38"/>
      <c r="P4111" s="38"/>
    </row>
    <row r="4112" spans="1:16" ht="17.25" thickBot="1" x14ac:dyDescent="0.35">
      <c r="O4112" s="42"/>
      <c r="P4112" s="43"/>
    </row>
    <row r="4113" spans="2:12" ht="17.25" thickBot="1" x14ac:dyDescent="0.35">
      <c r="B4113" s="108" t="s">
        <v>10</v>
      </c>
      <c r="C4113" s="413" t="s">
        <v>11</v>
      </c>
      <c r="D4113" s="413"/>
      <c r="E4113" s="413"/>
      <c r="F4113" s="413"/>
      <c r="G4113" s="414"/>
    </row>
    <row r="4114" spans="2:12" x14ac:dyDescent="0.3">
      <c r="B4114" s="112" t="s">
        <v>6</v>
      </c>
      <c r="C4114" s="415" t="s">
        <v>1</v>
      </c>
      <c r="D4114" s="416"/>
      <c r="E4114" s="110" t="s">
        <v>192</v>
      </c>
      <c r="F4114" s="118" t="s">
        <v>2</v>
      </c>
      <c r="G4114" s="112" t="s">
        <v>3</v>
      </c>
      <c r="H4114" s="104"/>
      <c r="I4114" s="105" t="s">
        <v>7</v>
      </c>
      <c r="J4114" s="134"/>
      <c r="K4114" s="105" t="s">
        <v>8</v>
      </c>
      <c r="L4114" s="113" t="s">
        <v>193</v>
      </c>
    </row>
    <row r="4115" spans="2:12" x14ac:dyDescent="0.3">
      <c r="B4115" s="120"/>
      <c r="C4115" s="409"/>
      <c r="D4115" s="409"/>
      <c r="E4115" s="114"/>
      <c r="F4115" s="83"/>
      <c r="G4115" s="74"/>
      <c r="I4115" s="115">
        <f>IF(C4115=0,0,VLOOKUP(C4115,Tabla3[],3,FALSE))</f>
        <v>0</v>
      </c>
      <c r="K4115" s="84">
        <f>F4115*I4115</f>
        <v>0</v>
      </c>
      <c r="L4115" s="116">
        <f>E4115*I4115</f>
        <v>0</v>
      </c>
    </row>
    <row r="4116" spans="2:12" x14ac:dyDescent="0.3">
      <c r="B4116" s="74"/>
      <c r="C4116" s="431"/>
      <c r="D4116" s="432"/>
      <c r="E4116" s="119"/>
      <c r="F4116" s="72"/>
      <c r="G4116" s="74"/>
      <c r="I4116" s="115">
        <f>IF(C4116=0,0,VLOOKUP(C4116,Tabla3[],3,FALSE))</f>
        <v>0</v>
      </c>
      <c r="K4116" s="84">
        <f>+F4116*I4116</f>
        <v>0</v>
      </c>
      <c r="L4116" s="116">
        <f>E4116*I4116</f>
        <v>0</v>
      </c>
    </row>
    <row r="4117" spans="2:12" x14ac:dyDescent="0.3">
      <c r="B4117" s="74"/>
      <c r="C4117" s="431"/>
      <c r="D4117" s="432"/>
      <c r="E4117" s="119"/>
      <c r="F4117" s="72"/>
      <c r="G4117" s="74"/>
      <c r="I4117" s="115">
        <f>IF(C4117=0,0,VLOOKUP(C4117,Tabla3[],3,FALSE))</f>
        <v>0</v>
      </c>
      <c r="K4117" s="84">
        <f>+F4117*I4117</f>
        <v>0</v>
      </c>
      <c r="L4117" s="116">
        <f>E4117*I4117</f>
        <v>0</v>
      </c>
    </row>
    <row r="4118" spans="2:12" x14ac:dyDescent="0.3">
      <c r="B4118" s="74"/>
      <c r="C4118" s="411"/>
      <c r="D4118" s="412"/>
      <c r="E4118" s="119"/>
      <c r="F4118" s="72"/>
      <c r="G4118" s="74"/>
      <c r="I4118" s="115">
        <f>IF(C4118=0,0,VLOOKUP(C4118,Tabla3[],3,FALSE))</f>
        <v>0</v>
      </c>
      <c r="K4118" s="84">
        <f>+F4118*I4118</f>
        <v>0</v>
      </c>
      <c r="L4118" s="116">
        <f>E4118*I4118</f>
        <v>0</v>
      </c>
    </row>
    <row r="4119" spans="2:12" ht="17.25" thickBot="1" x14ac:dyDescent="0.35"/>
    <row r="4120" spans="2:12" ht="17.25" thickBot="1" x14ac:dyDescent="0.35">
      <c r="F4120" s="402" t="s">
        <v>12</v>
      </c>
      <c r="G4120" s="403"/>
      <c r="H4120" s="403"/>
      <c r="I4120" s="404"/>
      <c r="K4120" s="224">
        <f>+SUM(K4115:K4118)</f>
        <v>0</v>
      </c>
      <c r="L4120" s="117">
        <f>+SUM(L4115:L4118)</f>
        <v>0</v>
      </c>
    </row>
    <row r="4121" spans="2:12" ht="17.25" thickBot="1" x14ac:dyDescent="0.35"/>
    <row r="4122" spans="2:12" ht="17.25" thickBot="1" x14ac:dyDescent="0.35">
      <c r="B4122" s="108" t="s">
        <v>13</v>
      </c>
      <c r="C4122" s="413" t="s">
        <v>14</v>
      </c>
      <c r="D4122" s="413"/>
      <c r="E4122" s="413"/>
      <c r="F4122" s="413"/>
      <c r="G4122" s="414"/>
    </row>
    <row r="4123" spans="2:12" x14ac:dyDescent="0.3">
      <c r="B4123" s="112" t="s">
        <v>6</v>
      </c>
      <c r="C4123" s="415" t="s">
        <v>1</v>
      </c>
      <c r="D4123" s="416"/>
      <c r="E4123" s="110" t="s">
        <v>192</v>
      </c>
      <c r="F4123" s="118" t="s">
        <v>2</v>
      </c>
      <c r="G4123" s="112" t="s">
        <v>3</v>
      </c>
      <c r="H4123" s="104"/>
      <c r="I4123" s="105" t="s">
        <v>7</v>
      </c>
      <c r="J4123" s="134"/>
      <c r="K4123" s="105" t="s">
        <v>8</v>
      </c>
      <c r="L4123" s="113" t="s">
        <v>193</v>
      </c>
    </row>
    <row r="4124" spans="2:12" x14ac:dyDescent="0.3">
      <c r="B4124" s="120">
        <v>1</v>
      </c>
      <c r="C4124" s="409" t="s">
        <v>215</v>
      </c>
      <c r="D4124" s="409"/>
      <c r="E4124" s="114">
        <f>I4101</f>
        <v>28</v>
      </c>
      <c r="F4124" s="83">
        <f>ROUND(E4124/I4101,2)</f>
        <v>1</v>
      </c>
      <c r="G4124" s="74" t="str">
        <f>IF(C4124=0,0,VLOOKUP(C4124,Tabla2[],2,FALSE))</f>
        <v>m²</v>
      </c>
      <c r="I4124" s="115">
        <f>IF(C4124=0,0,VLOOKUP(C4124,Tabla2[],3,FALSE))</f>
        <v>100</v>
      </c>
      <c r="K4124" s="84">
        <f>+F4124*I4124</f>
        <v>100</v>
      </c>
      <c r="L4124" s="116">
        <f>E4124*I4124</f>
        <v>2800</v>
      </c>
    </row>
    <row r="4125" spans="2:12" x14ac:dyDescent="0.3">
      <c r="B4125" s="120"/>
      <c r="C4125" s="409"/>
      <c r="D4125" s="409"/>
      <c r="E4125" s="114"/>
      <c r="F4125" s="83"/>
      <c r="G4125" s="74"/>
      <c r="I4125" s="115">
        <f>IF(C4125=0,0,VLOOKUP(C4125,Tabla2[],3,FALSE))</f>
        <v>0</v>
      </c>
      <c r="K4125" s="84">
        <f>+F4125*I4125</f>
        <v>0</v>
      </c>
      <c r="L4125" s="116">
        <f>E4125*I4125</f>
        <v>0</v>
      </c>
    </row>
    <row r="4126" spans="2:12" ht="17.25" thickBot="1" x14ac:dyDescent="0.35">
      <c r="B4126" s="121"/>
      <c r="C4126" s="417"/>
      <c r="D4126" s="418"/>
      <c r="E4126" s="122"/>
      <c r="F4126" s="123"/>
      <c r="G4126" s="74"/>
      <c r="I4126" s="115">
        <f>IF(C4126=0,0,VLOOKUP(C4126,Tabla2[],3,FALSE))</f>
        <v>0</v>
      </c>
      <c r="K4126" s="84">
        <f>+F4126*I4126</f>
        <v>0</v>
      </c>
      <c r="L4126" s="116">
        <f>E4126*I4126</f>
        <v>0</v>
      </c>
    </row>
    <row r="4127" spans="2:12" ht="17.25" thickBot="1" x14ac:dyDescent="0.35">
      <c r="B4127" s="419" t="s">
        <v>15</v>
      </c>
      <c r="C4127" s="420"/>
      <c r="D4127" s="420"/>
      <c r="E4127" s="420"/>
      <c r="F4127" s="420"/>
      <c r="G4127" s="421"/>
      <c r="I4127" s="115">
        <f>IF(C4127=0,0,VLOOKUP(C4127,Tabla2[],3,FALSE))</f>
        <v>0</v>
      </c>
      <c r="K4127" s="84">
        <v>0</v>
      </c>
      <c r="L4127" s="116">
        <f>E4127*I4127</f>
        <v>0</v>
      </c>
    </row>
    <row r="4128" spans="2:12" ht="17.25" thickBot="1" x14ac:dyDescent="0.35"/>
    <row r="4129" spans="2:16" ht="17.25" thickBot="1" x14ac:dyDescent="0.35">
      <c r="F4129" s="402" t="s">
        <v>16</v>
      </c>
      <c r="G4129" s="403"/>
      <c r="H4129" s="403"/>
      <c r="I4129" s="404"/>
      <c r="K4129" s="224">
        <f>+SUM(K4124:K4127)</f>
        <v>100</v>
      </c>
      <c r="L4129" s="117">
        <f>+SUM(L4124:L4127)</f>
        <v>2800</v>
      </c>
    </row>
    <row r="4130" spans="2:16" ht="17.25" thickBot="1" x14ac:dyDescent="0.35"/>
    <row r="4131" spans="2:16" ht="17.25" thickBot="1" x14ac:dyDescent="0.35">
      <c r="B4131" s="108" t="s">
        <v>17</v>
      </c>
      <c r="C4131" s="413" t="s">
        <v>18</v>
      </c>
      <c r="D4131" s="413"/>
      <c r="E4131" s="413"/>
      <c r="F4131" s="413"/>
      <c r="G4131" s="414"/>
    </row>
    <row r="4132" spans="2:16" x14ac:dyDescent="0.3">
      <c r="B4132" s="112" t="s">
        <v>6</v>
      </c>
      <c r="C4132" s="415" t="s">
        <v>1</v>
      </c>
      <c r="D4132" s="416"/>
      <c r="E4132" s="124"/>
      <c r="F4132" s="118" t="s">
        <v>2</v>
      </c>
      <c r="G4132" s="112" t="s">
        <v>3</v>
      </c>
      <c r="H4132" s="104"/>
      <c r="I4132" s="105" t="s">
        <v>7</v>
      </c>
      <c r="J4132" s="134"/>
      <c r="K4132" s="105" t="s">
        <v>8</v>
      </c>
      <c r="L4132" s="113" t="s">
        <v>193</v>
      </c>
    </row>
    <row r="4133" spans="2:16" x14ac:dyDescent="0.3">
      <c r="B4133" s="74"/>
      <c r="C4133" s="411"/>
      <c r="D4133" s="412"/>
      <c r="E4133" s="125"/>
      <c r="F4133" s="72"/>
      <c r="G4133" s="74"/>
      <c r="I4133" s="84">
        <v>0</v>
      </c>
      <c r="K4133" s="84">
        <f>+F4133*I4133</f>
        <v>0</v>
      </c>
      <c r="L4133" s="116">
        <f>E4133*I4133</f>
        <v>0</v>
      </c>
    </row>
    <row r="4134" spans="2:16" x14ac:dyDescent="0.3">
      <c r="B4134" s="74"/>
      <c r="C4134" s="411"/>
      <c r="D4134" s="412"/>
      <c r="E4134" s="125"/>
      <c r="F4134" s="72"/>
      <c r="G4134" s="74"/>
      <c r="I4134" s="84">
        <v>0</v>
      </c>
      <c r="K4134" s="84">
        <f>+F4134*I4134</f>
        <v>0</v>
      </c>
      <c r="L4134" s="116">
        <f>E4134*I4134</f>
        <v>0</v>
      </c>
    </row>
    <row r="4135" spans="2:16" x14ac:dyDescent="0.3">
      <c r="B4135" s="74"/>
      <c r="C4135" s="411"/>
      <c r="D4135" s="412"/>
      <c r="E4135" s="125"/>
      <c r="F4135" s="72"/>
      <c r="G4135" s="74"/>
      <c r="I4135" s="84">
        <v>0</v>
      </c>
      <c r="K4135" s="84">
        <f>+F4135*I4135</f>
        <v>0</v>
      </c>
      <c r="L4135" s="116">
        <f>E4135*I4135</f>
        <v>0</v>
      </c>
    </row>
    <row r="4136" spans="2:16" ht="17.25" thickBot="1" x14ac:dyDescent="0.35">
      <c r="L4136" s="116"/>
    </row>
    <row r="4137" spans="2:16" ht="17.25" thickBot="1" x14ac:dyDescent="0.35">
      <c r="F4137" s="402" t="s">
        <v>19</v>
      </c>
      <c r="G4137" s="403"/>
      <c r="H4137" s="403"/>
      <c r="I4137" s="404"/>
      <c r="K4137" s="224">
        <f>+SUM(K4133:K4135)</f>
        <v>0</v>
      </c>
      <c r="L4137" s="117">
        <f>+SUM(L4132:L4135)</f>
        <v>0</v>
      </c>
    </row>
    <row r="4138" spans="2:16" ht="15" customHeight="1" x14ac:dyDescent="0.3">
      <c r="F4138" s="126"/>
      <c r="G4138" s="280"/>
      <c r="H4138" s="128"/>
      <c r="I4138" s="106"/>
      <c r="K4138" s="225"/>
    </row>
    <row r="4139" spans="2:16" ht="15" customHeight="1" thickBot="1" x14ac:dyDescent="0.35"/>
    <row r="4140" spans="2:16" ht="17.25" thickBot="1" x14ac:dyDescent="0.35">
      <c r="F4140" s="402" t="s">
        <v>20</v>
      </c>
      <c r="G4140" s="403"/>
      <c r="H4140" s="403"/>
      <c r="I4140" s="404"/>
      <c r="K4140" s="224">
        <f>(+K4111+K4120+K4129+K4137)</f>
        <v>250</v>
      </c>
      <c r="L4140" s="117">
        <f>(+L4111+L4120+L4129+L4137)</f>
        <v>6999.9999999999991</v>
      </c>
      <c r="N4140" s="129"/>
      <c r="O4140" s="39"/>
      <c r="P4140" s="40"/>
    </row>
    <row r="4141" spans="2:16" ht="7.5" customHeight="1" thickBot="1" x14ac:dyDescent="0.35">
      <c r="N4141" s="129"/>
      <c r="O4141" s="41"/>
      <c r="P4141" s="40"/>
    </row>
    <row r="4142" spans="2:16" ht="17.25" thickBot="1" x14ac:dyDescent="0.35">
      <c r="F4142" s="402" t="s">
        <v>21</v>
      </c>
      <c r="G4142" s="403"/>
      <c r="H4142" s="403"/>
      <c r="I4142" s="404"/>
      <c r="K4142" s="224">
        <f>K4140*$N$2</f>
        <v>100</v>
      </c>
      <c r="L4142" s="117">
        <f>L4140*$N$2</f>
        <v>2800</v>
      </c>
    </row>
    <row r="4143" spans="2:16" ht="7.5" customHeight="1" thickBot="1" x14ac:dyDescent="0.35"/>
    <row r="4144" spans="2:16" ht="17.25" thickBot="1" x14ac:dyDescent="0.35">
      <c r="F4144" s="402" t="s">
        <v>22</v>
      </c>
      <c r="G4144" s="403"/>
      <c r="H4144" s="403"/>
      <c r="I4144" s="404"/>
      <c r="K4144" s="224">
        <f>+K4140+K4142</f>
        <v>350</v>
      </c>
      <c r="L4144" s="117">
        <f>+L4140+L4142</f>
        <v>9800</v>
      </c>
    </row>
    <row r="4145" spans="1:16" ht="17.25" thickBot="1" x14ac:dyDescent="0.35">
      <c r="F4145" s="126"/>
      <c r="G4145" s="280"/>
      <c r="H4145" s="128"/>
      <c r="I4145" s="106"/>
      <c r="K4145" s="226"/>
      <c r="L4145" s="130">
        <f>L4144/I4101</f>
        <v>350</v>
      </c>
      <c r="M4145" s="131">
        <f>(K4144-L4145)*I4101</f>
        <v>0</v>
      </c>
    </row>
    <row r="4146" spans="1:16" x14ac:dyDescent="0.3">
      <c r="F4146" s="126"/>
      <c r="G4146" s="280"/>
      <c r="H4146" s="128"/>
      <c r="I4146" s="106"/>
      <c r="K4146" s="227"/>
      <c r="L4146" s="129"/>
      <c r="M4146" s="132"/>
      <c r="N4146" s="133"/>
    </row>
    <row r="4147" spans="1:16" ht="17.25" thickBot="1" x14ac:dyDescent="0.35">
      <c r="B4147" s="405"/>
      <c r="C4147" s="405"/>
      <c r="D4147" s="405"/>
    </row>
    <row r="4148" spans="1:16" x14ac:dyDescent="0.3">
      <c r="B4148" s="406" t="s">
        <v>23</v>
      </c>
      <c r="C4148" s="406"/>
      <c r="D4148" s="406"/>
    </row>
    <row r="4149" spans="1:16" x14ac:dyDescent="0.3">
      <c r="B4149" s="281"/>
      <c r="C4149" s="281"/>
      <c r="D4149" s="281"/>
    </row>
    <row r="4150" spans="1:16" x14ac:dyDescent="0.3">
      <c r="B4150" s="281"/>
      <c r="C4150" s="281"/>
      <c r="D4150" s="281"/>
    </row>
    <row r="4151" spans="1:16" x14ac:dyDescent="0.3">
      <c r="B4151" s="103" t="s">
        <v>43</v>
      </c>
      <c r="C4151" s="104"/>
      <c r="D4151" s="422" t="s">
        <v>1</v>
      </c>
      <c r="E4151" s="422"/>
      <c r="F4151" s="422"/>
      <c r="G4151" s="422"/>
      <c r="H4151" s="104"/>
      <c r="I4151" s="105" t="s">
        <v>2</v>
      </c>
      <c r="J4151" s="134"/>
      <c r="K4151" s="105" t="s">
        <v>3</v>
      </c>
    </row>
    <row r="4152" spans="1:16" s="4" customFormat="1" ht="30.75" customHeight="1" x14ac:dyDescent="0.25">
      <c r="A4152" s="31"/>
      <c r="B4152" s="287">
        <f>CATALOGO!B134</f>
        <v>611.01</v>
      </c>
      <c r="C4152" s="71"/>
      <c r="D4152" s="436" t="str">
        <f>CATALOGO!C134</f>
        <v>PINTURA DE MUROS</v>
      </c>
      <c r="E4152" s="436"/>
      <c r="F4152" s="436"/>
      <c r="G4152" s="436"/>
      <c r="H4152" s="71"/>
      <c r="I4152" s="287">
        <f>CATALOGO!D134</f>
        <v>280</v>
      </c>
      <c r="J4152" s="107"/>
      <c r="K4152" s="222" t="str">
        <f>CATALOGO!G134</f>
        <v>m²</v>
      </c>
      <c r="L4152" s="71"/>
      <c r="M4152" s="71"/>
      <c r="N4152" s="71"/>
      <c r="O4152" s="37"/>
      <c r="P4152" s="37"/>
    </row>
    <row r="4153" spans="1:16" ht="17.25" thickBot="1" x14ac:dyDescent="0.35"/>
    <row r="4154" spans="1:16" ht="17.25" thickBot="1" x14ac:dyDescent="0.35">
      <c r="B4154" s="108" t="s">
        <v>4</v>
      </c>
      <c r="C4154" s="413" t="s">
        <v>5</v>
      </c>
      <c r="D4154" s="413"/>
      <c r="E4154" s="413"/>
      <c r="F4154" s="413"/>
      <c r="G4154" s="414"/>
    </row>
    <row r="4155" spans="1:16" x14ac:dyDescent="0.25">
      <c r="B4155" s="109" t="s">
        <v>6</v>
      </c>
      <c r="C4155" s="424" t="s">
        <v>1</v>
      </c>
      <c r="D4155" s="425"/>
      <c r="E4155" s="110" t="s">
        <v>192</v>
      </c>
      <c r="F4155" s="111" t="s">
        <v>2</v>
      </c>
      <c r="G4155" s="112" t="s">
        <v>3</v>
      </c>
      <c r="H4155" s="104"/>
      <c r="I4155" s="105" t="s">
        <v>7</v>
      </c>
      <c r="J4155" s="134"/>
      <c r="K4155" s="223" t="s">
        <v>8</v>
      </c>
      <c r="L4155" s="113" t="s">
        <v>193</v>
      </c>
      <c r="O4155" s="438"/>
      <c r="P4155" s="438"/>
    </row>
    <row r="4156" spans="1:16" ht="17.25" customHeight="1" x14ac:dyDescent="0.25">
      <c r="B4156" s="120">
        <v>1</v>
      </c>
      <c r="C4156" s="428" t="s">
        <v>77</v>
      </c>
      <c r="D4156" s="429"/>
      <c r="E4156" s="114">
        <f>I4152*0.04</f>
        <v>11.200000000000001</v>
      </c>
      <c r="F4156" s="83">
        <f>ROUND(E4156/I4152,2)</f>
        <v>0.04</v>
      </c>
      <c r="G4156" s="74" t="str">
        <f>IF(C4156=0,0,VLOOKUP(C4156,Tabla1[],2,FALSE))</f>
        <v>Unidad</v>
      </c>
      <c r="I4156" s="115">
        <f>IF(C4156=0,0,VLOOKUP(C4156,Tabla1[],3,FALSE))</f>
        <v>25</v>
      </c>
      <c r="K4156" s="84">
        <f>F4156*I4156</f>
        <v>1</v>
      </c>
      <c r="L4156" s="116">
        <f t="shared" ref="L4156:L4165" si="106">E4156*I4156</f>
        <v>280</v>
      </c>
      <c r="O4156" s="44"/>
      <c r="P4156" s="45"/>
    </row>
    <row r="4157" spans="1:16" x14ac:dyDescent="0.3">
      <c r="B4157" s="120">
        <v>2</v>
      </c>
      <c r="C4157" s="428" t="s">
        <v>78</v>
      </c>
      <c r="D4157" s="429"/>
      <c r="E4157" s="114">
        <f>I4152*0.02</f>
        <v>5.6000000000000005</v>
      </c>
      <c r="F4157" s="83">
        <f>ROUND(E4157/I4152,2)</f>
        <v>0.02</v>
      </c>
      <c r="G4157" s="74" t="str">
        <f>IF(C4157=0,0,VLOOKUP(C4157,Tabla1[],2,FALSE))</f>
        <v>Unidad</v>
      </c>
      <c r="I4157" s="115">
        <f>IF(C4157=0,0,VLOOKUP(C4157,Tabla1[],3,FALSE))</f>
        <v>50</v>
      </c>
      <c r="K4157" s="84">
        <f t="shared" ref="K4157:K4165" si="107">+F4157*I4157</f>
        <v>1</v>
      </c>
      <c r="L4157" s="116">
        <f t="shared" si="106"/>
        <v>280</v>
      </c>
      <c r="P4157" s="45"/>
    </row>
    <row r="4158" spans="1:16" x14ac:dyDescent="0.3">
      <c r="B4158" s="120">
        <v>3</v>
      </c>
      <c r="C4158" s="428" t="s">
        <v>219</v>
      </c>
      <c r="D4158" s="429"/>
      <c r="E4158" s="114">
        <f>I4152*0.01</f>
        <v>2.8000000000000003</v>
      </c>
      <c r="F4158" s="83">
        <f>ROUND(E4158/I4152,2)</f>
        <v>0.01</v>
      </c>
      <c r="G4158" s="74" t="str">
        <f>IF(C4158=0,0,VLOOKUP(C4158,Tabla1[],2,FALSE))</f>
        <v>Cubeta</v>
      </c>
      <c r="I4158" s="115">
        <f>IF(C4158=0,0,VLOOKUP(C4158,Tabla1[],3,FALSE))</f>
        <v>1500</v>
      </c>
      <c r="K4158" s="84">
        <f t="shared" si="107"/>
        <v>15</v>
      </c>
      <c r="L4158" s="116">
        <f t="shared" si="106"/>
        <v>4200</v>
      </c>
      <c r="O4158" s="48"/>
      <c r="P4158" s="49"/>
    </row>
    <row r="4159" spans="1:16" x14ac:dyDescent="0.3">
      <c r="B4159" s="120">
        <v>4</v>
      </c>
      <c r="C4159" s="428" t="s">
        <v>220</v>
      </c>
      <c r="D4159" s="429"/>
      <c r="E4159" s="114">
        <f>I4152*0.02</f>
        <v>5.6000000000000005</v>
      </c>
      <c r="F4159" s="83">
        <f>ROUND(E4159/I4152,2)</f>
        <v>0.02</v>
      </c>
      <c r="G4159" s="74" t="str">
        <f>IF(C4159=0,0,VLOOKUP(C4159,Tabla1[],2,FALSE))</f>
        <v>Unidad</v>
      </c>
      <c r="I4159" s="115">
        <f>IF(C4159=0,0,VLOOKUP(C4159,Tabla1[],3,FALSE))</f>
        <v>50</v>
      </c>
      <c r="K4159" s="84">
        <f t="shared" si="107"/>
        <v>1</v>
      </c>
      <c r="L4159" s="116">
        <f t="shared" si="106"/>
        <v>280</v>
      </c>
      <c r="O4159" s="48"/>
      <c r="P4159" s="49"/>
    </row>
    <row r="4160" spans="1:16" x14ac:dyDescent="0.3">
      <c r="B4160" s="120">
        <v>5</v>
      </c>
      <c r="C4160" s="428" t="s">
        <v>183</v>
      </c>
      <c r="D4160" s="429"/>
      <c r="E4160" s="114">
        <f>I4152*0.08</f>
        <v>22.400000000000002</v>
      </c>
      <c r="F4160" s="83">
        <f>ROUND(E4160/I4152,2)</f>
        <v>0.08</v>
      </c>
      <c r="G4160" s="74" t="str">
        <f>IF(C4160=0,0,VLOOKUP(C4160,Tabla1[],2,FALSE))</f>
        <v>Libra</v>
      </c>
      <c r="I4160" s="115">
        <f>IF(C4160=0,0,VLOOKUP(C4160,Tabla1[],3,FALSE))</f>
        <v>25</v>
      </c>
      <c r="K4160" s="84">
        <f t="shared" si="107"/>
        <v>2</v>
      </c>
      <c r="L4160" s="116">
        <f t="shared" si="106"/>
        <v>560</v>
      </c>
      <c r="O4160" s="48"/>
      <c r="P4160" s="49"/>
    </row>
    <row r="4161" spans="2:16" x14ac:dyDescent="0.3">
      <c r="B4161" s="120">
        <v>6</v>
      </c>
      <c r="C4161" s="429" t="s">
        <v>79</v>
      </c>
      <c r="D4161" s="409"/>
      <c r="E4161" s="114">
        <f>I4152*0.04</f>
        <v>11.200000000000001</v>
      </c>
      <c r="F4161" s="83">
        <f>ROUND(E4161/I4152,2)</f>
        <v>0.04</v>
      </c>
      <c r="G4161" s="74" t="str">
        <f>IF(C4161=0,0,VLOOKUP(C4161,Tabla1[],2,FALSE))</f>
        <v>Unidad</v>
      </c>
      <c r="I4161" s="115">
        <f>IF(C4161=0,0,VLOOKUP(C4161,Tabla1[],3,FALSE))</f>
        <v>100</v>
      </c>
      <c r="K4161" s="84">
        <f t="shared" si="107"/>
        <v>4</v>
      </c>
      <c r="L4161" s="116">
        <f t="shared" si="106"/>
        <v>1120</v>
      </c>
      <c r="O4161" s="48"/>
      <c r="P4161" s="49"/>
    </row>
    <row r="4162" spans="2:16" x14ac:dyDescent="0.3">
      <c r="B4162" s="120">
        <v>7</v>
      </c>
      <c r="C4162" s="429" t="s">
        <v>222</v>
      </c>
      <c r="D4162" s="409"/>
      <c r="E4162" s="114">
        <f>I4152*0.02</f>
        <v>5.6000000000000005</v>
      </c>
      <c r="F4162" s="83">
        <f>ROUND(E4162/I4152,2)</f>
        <v>0.02</v>
      </c>
      <c r="G4162" s="74" t="str">
        <f>IF(C4162=0,0,VLOOKUP(C4162,Tabla1[],2,FALSE))</f>
        <v>Unidad</v>
      </c>
      <c r="I4162" s="115">
        <f>IF(C4162=0,0,VLOOKUP(C4162,Tabla1[],3,FALSE))</f>
        <v>50</v>
      </c>
      <c r="K4162" s="84">
        <f t="shared" si="107"/>
        <v>1</v>
      </c>
      <c r="L4162" s="116">
        <f t="shared" si="106"/>
        <v>280</v>
      </c>
      <c r="O4162" s="48"/>
      <c r="P4162" s="49"/>
    </row>
    <row r="4163" spans="2:16" x14ac:dyDescent="0.3">
      <c r="B4163" s="120"/>
      <c r="C4163" s="428"/>
      <c r="D4163" s="429"/>
      <c r="E4163" s="114"/>
      <c r="F4163" s="83"/>
      <c r="G4163" s="74"/>
      <c r="I4163" s="115">
        <f>IF(C4163=0,0,VLOOKUP(C4163,Tabla1[],3,FALSE))</f>
        <v>0</v>
      </c>
      <c r="K4163" s="84">
        <f t="shared" si="107"/>
        <v>0</v>
      </c>
      <c r="L4163" s="116">
        <f t="shared" si="106"/>
        <v>0</v>
      </c>
      <c r="O4163" s="48"/>
      <c r="P4163" s="49"/>
    </row>
    <row r="4164" spans="2:16" x14ac:dyDescent="0.3">
      <c r="B4164" s="120"/>
      <c r="C4164" s="428"/>
      <c r="D4164" s="429"/>
      <c r="E4164" s="114"/>
      <c r="F4164" s="83"/>
      <c r="G4164" s="74"/>
      <c r="I4164" s="115">
        <f>IF(C4164=0,0,VLOOKUP(C4164,Tabla1[],3,FALSE))</f>
        <v>0</v>
      </c>
      <c r="K4164" s="84">
        <f t="shared" si="107"/>
        <v>0</v>
      </c>
      <c r="L4164" s="116">
        <f t="shared" si="106"/>
        <v>0</v>
      </c>
      <c r="O4164" s="48"/>
      <c r="P4164" s="49"/>
    </row>
    <row r="4165" spans="2:16" x14ac:dyDescent="0.3">
      <c r="B4165" s="120"/>
      <c r="C4165" s="430"/>
      <c r="D4165" s="429"/>
      <c r="E4165" s="114"/>
      <c r="F4165" s="83"/>
      <c r="G4165" s="74"/>
      <c r="I4165" s="115">
        <f>IF(C4165=0,0,VLOOKUP(C4165,Tabla1[],3,FALSE))</f>
        <v>0</v>
      </c>
      <c r="K4165" s="84">
        <f t="shared" si="107"/>
        <v>0</v>
      </c>
      <c r="L4165" s="116">
        <f t="shared" si="106"/>
        <v>0</v>
      </c>
      <c r="O4165" s="48"/>
      <c r="P4165" s="43"/>
    </row>
    <row r="4166" spans="2:16" ht="17.25" thickBot="1" x14ac:dyDescent="0.35"/>
    <row r="4167" spans="2:16" ht="17.25" thickBot="1" x14ac:dyDescent="0.3">
      <c r="F4167" s="402" t="s">
        <v>9</v>
      </c>
      <c r="G4167" s="403"/>
      <c r="H4167" s="403"/>
      <c r="I4167" s="404"/>
      <c r="K4167" s="224">
        <f>+SUM(K4156:K4165)</f>
        <v>25</v>
      </c>
      <c r="L4167" s="117">
        <f>+SUM(L4156:L4165)</f>
        <v>7000</v>
      </c>
      <c r="O4167" s="38"/>
      <c r="P4167" s="38"/>
    </row>
    <row r="4168" spans="2:16" ht="17.25" thickBot="1" x14ac:dyDescent="0.35">
      <c r="O4168" s="42"/>
      <c r="P4168" s="43"/>
    </row>
    <row r="4169" spans="2:16" ht="17.25" thickBot="1" x14ac:dyDescent="0.35">
      <c r="B4169" s="108" t="s">
        <v>10</v>
      </c>
      <c r="C4169" s="413" t="s">
        <v>11</v>
      </c>
      <c r="D4169" s="413"/>
      <c r="E4169" s="413"/>
      <c r="F4169" s="413"/>
      <c r="G4169" s="414"/>
    </row>
    <row r="4170" spans="2:16" x14ac:dyDescent="0.3">
      <c r="B4170" s="112" t="s">
        <v>6</v>
      </c>
      <c r="C4170" s="415" t="s">
        <v>1</v>
      </c>
      <c r="D4170" s="416"/>
      <c r="E4170" s="110" t="s">
        <v>192</v>
      </c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6" x14ac:dyDescent="0.3">
      <c r="B4171" s="120"/>
      <c r="C4171" s="409"/>
      <c r="D4171" s="409"/>
      <c r="E4171" s="114"/>
      <c r="F4171" s="83"/>
      <c r="G4171" s="74"/>
      <c r="I4171" s="115">
        <f>IF(C4171=0,0,VLOOKUP(C4171,Tabla3[],3,FALSE))</f>
        <v>0</v>
      </c>
      <c r="K4171" s="84">
        <f>F4171*I4171</f>
        <v>0</v>
      </c>
      <c r="L4171" s="116">
        <f>E4171*I4171</f>
        <v>0</v>
      </c>
    </row>
    <row r="4172" spans="2:16" x14ac:dyDescent="0.3">
      <c r="B4172" s="74"/>
      <c r="C4172" s="431"/>
      <c r="D4172" s="432"/>
      <c r="E4172" s="119"/>
      <c r="F4172" s="72"/>
      <c r="G4172" s="74"/>
      <c r="I4172" s="115">
        <f>IF(C4172=0,0,VLOOKUP(C4172,Tabla3[],3,FALSE))</f>
        <v>0</v>
      </c>
      <c r="K4172" s="84">
        <f>+F4172*I4172</f>
        <v>0</v>
      </c>
      <c r="L4172" s="116">
        <f>E4172*I4172</f>
        <v>0</v>
      </c>
    </row>
    <row r="4173" spans="2:16" x14ac:dyDescent="0.3">
      <c r="B4173" s="74"/>
      <c r="C4173" s="431"/>
      <c r="D4173" s="432"/>
      <c r="E4173" s="119"/>
      <c r="F4173" s="72"/>
      <c r="G4173" s="74"/>
      <c r="I4173" s="115">
        <f>IF(C4173=0,0,VLOOKUP(C4173,Tabla3[],3,FALSE))</f>
        <v>0</v>
      </c>
      <c r="K4173" s="84">
        <f>+F4173*I4173</f>
        <v>0</v>
      </c>
      <c r="L4173" s="116">
        <f>E4173*I4173</f>
        <v>0</v>
      </c>
    </row>
    <row r="4174" spans="2:16" x14ac:dyDescent="0.3">
      <c r="B4174" s="74"/>
      <c r="C4174" s="411"/>
      <c r="D4174" s="412"/>
      <c r="E4174" s="119"/>
      <c r="F4174" s="72"/>
      <c r="G4174" s="74"/>
      <c r="I4174" s="115">
        <f>IF(C4174=0,0,VLOOKUP(C4174,Tabla3[],3,FALSE))</f>
        <v>0</v>
      </c>
      <c r="K4174" s="84">
        <f>+F4174*I4174</f>
        <v>0</v>
      </c>
      <c r="L4174" s="116">
        <f>E4174*I4174</f>
        <v>0</v>
      </c>
    </row>
    <row r="4175" spans="2:16" ht="17.25" thickBot="1" x14ac:dyDescent="0.35"/>
    <row r="4176" spans="2:16" ht="17.25" thickBot="1" x14ac:dyDescent="0.35">
      <c r="F4176" s="402" t="s">
        <v>12</v>
      </c>
      <c r="G4176" s="403"/>
      <c r="H4176" s="403"/>
      <c r="I4176" s="404"/>
      <c r="K4176" s="224">
        <f>+SUM(K4171:K4174)</f>
        <v>0</v>
      </c>
      <c r="L4176" s="117">
        <f>+SUM(L4171:L4174)</f>
        <v>0</v>
      </c>
    </row>
    <row r="4177" spans="2:12" ht="17.25" thickBot="1" x14ac:dyDescent="0.35"/>
    <row r="4178" spans="2:12" ht="17.25" thickBot="1" x14ac:dyDescent="0.35">
      <c r="B4178" s="108" t="s">
        <v>13</v>
      </c>
      <c r="C4178" s="413" t="s">
        <v>14</v>
      </c>
      <c r="D4178" s="413"/>
      <c r="E4178" s="413"/>
      <c r="F4178" s="413"/>
      <c r="G4178" s="414"/>
    </row>
    <row r="4179" spans="2:12" x14ac:dyDescent="0.3">
      <c r="B4179" s="112" t="s">
        <v>6</v>
      </c>
      <c r="C4179" s="415" t="s">
        <v>1</v>
      </c>
      <c r="D4179" s="416"/>
      <c r="E4179" s="110" t="s">
        <v>192</v>
      </c>
      <c r="F4179" s="118" t="s">
        <v>2</v>
      </c>
      <c r="G4179" s="112" t="s">
        <v>3</v>
      </c>
      <c r="H4179" s="104"/>
      <c r="I4179" s="105" t="s">
        <v>7</v>
      </c>
      <c r="J4179" s="134"/>
      <c r="K4179" s="105" t="s">
        <v>8</v>
      </c>
      <c r="L4179" s="113" t="s">
        <v>193</v>
      </c>
    </row>
    <row r="4180" spans="2:12" x14ac:dyDescent="0.3">
      <c r="B4180" s="120">
        <v>1</v>
      </c>
      <c r="C4180" s="409" t="s">
        <v>186</v>
      </c>
      <c r="D4180" s="409"/>
      <c r="E4180" s="114">
        <f>I4152</f>
        <v>280</v>
      </c>
      <c r="F4180" s="83">
        <f>ROUND(E4180/I4152,2)</f>
        <v>1</v>
      </c>
      <c r="G4180" s="74" t="str">
        <f>IF(C4180=0,0,VLOOKUP(C4180,Tabla2[],2,FALSE))</f>
        <v>m²</v>
      </c>
      <c r="I4180" s="115">
        <f>IF(C4180=0,0,VLOOKUP(C4180,Tabla2[],3,FALSE))</f>
        <v>10</v>
      </c>
      <c r="K4180" s="84">
        <f>+F4180*I4180</f>
        <v>10</v>
      </c>
      <c r="L4180" s="116">
        <f>E4180*I4180</f>
        <v>2800</v>
      </c>
    </row>
    <row r="4181" spans="2:12" x14ac:dyDescent="0.3">
      <c r="B4181" s="120"/>
      <c r="C4181" s="409"/>
      <c r="D4181" s="409"/>
      <c r="E4181" s="114"/>
      <c r="F4181" s="83"/>
      <c r="G4181" s="74"/>
      <c r="I4181" s="115">
        <f>IF(C4181=0,0,VLOOKUP(C4181,Tabla2[],3,FALSE))</f>
        <v>0</v>
      </c>
      <c r="K4181" s="84">
        <f>+F4181*I4181</f>
        <v>0</v>
      </c>
      <c r="L4181" s="116">
        <f>E4181*I4181</f>
        <v>0</v>
      </c>
    </row>
    <row r="4182" spans="2:12" ht="17.25" thickBot="1" x14ac:dyDescent="0.35">
      <c r="B4182" s="121"/>
      <c r="C4182" s="417"/>
      <c r="D4182" s="418"/>
      <c r="E4182" s="122"/>
      <c r="F4182" s="123"/>
      <c r="G4182" s="74"/>
      <c r="I4182" s="115">
        <f>IF(C4182=0,0,VLOOKUP(C4182,Tabla2[],3,FALSE))</f>
        <v>0</v>
      </c>
      <c r="K4182" s="84">
        <f>+F4182*I4182</f>
        <v>0</v>
      </c>
      <c r="L4182" s="116">
        <f>E4182*I4182</f>
        <v>0</v>
      </c>
    </row>
    <row r="4183" spans="2:12" ht="17.25" thickBot="1" x14ac:dyDescent="0.35">
      <c r="B4183" s="419" t="s">
        <v>15</v>
      </c>
      <c r="C4183" s="420"/>
      <c r="D4183" s="420"/>
      <c r="E4183" s="420"/>
      <c r="F4183" s="420"/>
      <c r="G4183" s="421"/>
      <c r="I4183" s="84">
        <v>0</v>
      </c>
      <c r="K4183" s="84">
        <v>0</v>
      </c>
      <c r="L4183" s="116">
        <f>E4183*I4183</f>
        <v>0</v>
      </c>
    </row>
    <row r="4184" spans="2:12" ht="17.25" thickBot="1" x14ac:dyDescent="0.35"/>
    <row r="4185" spans="2:12" ht="17.25" thickBot="1" x14ac:dyDescent="0.35">
      <c r="F4185" s="402" t="s">
        <v>16</v>
      </c>
      <c r="G4185" s="403"/>
      <c r="H4185" s="403"/>
      <c r="I4185" s="404"/>
      <c r="K4185" s="224">
        <f>+SUM(K4180:K4183)</f>
        <v>10</v>
      </c>
      <c r="L4185" s="117">
        <f>+SUM(L4180:L4183)</f>
        <v>2800</v>
      </c>
    </row>
    <row r="4186" spans="2:12" ht="17.25" thickBot="1" x14ac:dyDescent="0.35"/>
    <row r="4187" spans="2:12" ht="17.25" thickBot="1" x14ac:dyDescent="0.35">
      <c r="B4187" s="108" t="s">
        <v>17</v>
      </c>
      <c r="C4187" s="413" t="s">
        <v>18</v>
      </c>
      <c r="D4187" s="413"/>
      <c r="E4187" s="413"/>
      <c r="F4187" s="413"/>
      <c r="G4187" s="414"/>
    </row>
    <row r="4188" spans="2:12" x14ac:dyDescent="0.3">
      <c r="B4188" s="112" t="s">
        <v>6</v>
      </c>
      <c r="C4188" s="415" t="s">
        <v>1</v>
      </c>
      <c r="D4188" s="416"/>
      <c r="E4188" s="124"/>
      <c r="F4188" s="118" t="s">
        <v>2</v>
      </c>
      <c r="G4188" s="112" t="s">
        <v>3</v>
      </c>
      <c r="H4188" s="104"/>
      <c r="I4188" s="105" t="s">
        <v>7</v>
      </c>
      <c r="J4188" s="134"/>
      <c r="K4188" s="105" t="s">
        <v>8</v>
      </c>
      <c r="L4188" s="113" t="s">
        <v>193</v>
      </c>
    </row>
    <row r="4189" spans="2:12" x14ac:dyDescent="0.3">
      <c r="B4189" s="74"/>
      <c r="C4189" s="411"/>
      <c r="D4189" s="412"/>
      <c r="E4189" s="125"/>
      <c r="F4189" s="72"/>
      <c r="G4189" s="74"/>
      <c r="I4189" s="84">
        <v>0</v>
      </c>
      <c r="K4189" s="84">
        <f>+F4189*I4189</f>
        <v>0</v>
      </c>
      <c r="L4189" s="116">
        <f>E4189*I4189</f>
        <v>0</v>
      </c>
    </row>
    <row r="4190" spans="2:12" x14ac:dyDescent="0.3">
      <c r="B4190" s="74"/>
      <c r="C4190" s="411"/>
      <c r="D4190" s="412"/>
      <c r="E4190" s="125"/>
      <c r="F4190" s="72"/>
      <c r="G4190" s="74"/>
      <c r="I4190" s="84">
        <v>0</v>
      </c>
      <c r="K4190" s="84">
        <f>+F4190*I4190</f>
        <v>0</v>
      </c>
      <c r="L4190" s="116">
        <f>E4190*I4190</f>
        <v>0</v>
      </c>
    </row>
    <row r="4191" spans="2:12" x14ac:dyDescent="0.3">
      <c r="B4191" s="74"/>
      <c r="C4191" s="411"/>
      <c r="D4191" s="412"/>
      <c r="E4191" s="125"/>
      <c r="F4191" s="72"/>
      <c r="G4191" s="74"/>
      <c r="I4191" s="84">
        <v>0</v>
      </c>
      <c r="K4191" s="84">
        <f>+F4191*I4191</f>
        <v>0</v>
      </c>
      <c r="L4191" s="116">
        <f>E4191*I4191</f>
        <v>0</v>
      </c>
    </row>
    <row r="4192" spans="2:12" ht="17.25" thickBot="1" x14ac:dyDescent="0.35">
      <c r="L4192" s="116"/>
    </row>
    <row r="4193" spans="1:16" ht="17.25" thickBot="1" x14ac:dyDescent="0.35">
      <c r="F4193" s="402" t="s">
        <v>19</v>
      </c>
      <c r="G4193" s="403"/>
      <c r="H4193" s="403"/>
      <c r="I4193" s="404"/>
      <c r="K4193" s="224">
        <f>+SUM(K4189:K4191)</f>
        <v>0</v>
      </c>
      <c r="L4193" s="117">
        <f>+SUM(L4188:L4191)</f>
        <v>0</v>
      </c>
    </row>
    <row r="4194" spans="1:16" ht="15" customHeight="1" x14ac:dyDescent="0.3">
      <c r="F4194" s="126"/>
      <c r="G4194" s="280"/>
      <c r="H4194" s="128"/>
      <c r="I4194" s="106"/>
      <c r="K4194" s="225"/>
    </row>
    <row r="4195" spans="1:16" ht="15" customHeight="1" thickBot="1" x14ac:dyDescent="0.35"/>
    <row r="4196" spans="1:16" ht="17.25" thickBot="1" x14ac:dyDescent="0.35">
      <c r="F4196" s="402" t="s">
        <v>20</v>
      </c>
      <c r="G4196" s="403"/>
      <c r="H4196" s="403"/>
      <c r="I4196" s="404"/>
      <c r="K4196" s="224">
        <f>(+K4167+K4176+K4185+K4193)</f>
        <v>35</v>
      </c>
      <c r="L4196" s="117">
        <f>(+L4167+L4176+L4185+L4193)</f>
        <v>9800</v>
      </c>
      <c r="N4196" s="129"/>
      <c r="O4196" s="39"/>
      <c r="P4196" s="40"/>
    </row>
    <row r="4197" spans="1:16" ht="7.5" customHeight="1" thickBot="1" x14ac:dyDescent="0.35">
      <c r="N4197" s="129"/>
      <c r="O4197" s="41"/>
      <c r="P4197" s="40"/>
    </row>
    <row r="4198" spans="1:16" ht="17.25" thickBot="1" x14ac:dyDescent="0.35">
      <c r="F4198" s="402" t="s">
        <v>21</v>
      </c>
      <c r="G4198" s="403"/>
      <c r="H4198" s="403"/>
      <c r="I4198" s="404"/>
      <c r="K4198" s="224">
        <f>K4196*$N$2</f>
        <v>14</v>
      </c>
      <c r="L4198" s="117">
        <f>L4196*$N$2</f>
        <v>3920</v>
      </c>
    </row>
    <row r="4199" spans="1:16" ht="7.5" customHeight="1" thickBot="1" x14ac:dyDescent="0.35"/>
    <row r="4200" spans="1:16" ht="17.25" thickBot="1" x14ac:dyDescent="0.35">
      <c r="F4200" s="402" t="s">
        <v>22</v>
      </c>
      <c r="G4200" s="403"/>
      <c r="H4200" s="403"/>
      <c r="I4200" s="404"/>
      <c r="K4200" s="224">
        <f>+K4196+K4198</f>
        <v>49</v>
      </c>
      <c r="L4200" s="117">
        <f>+L4196+L4198</f>
        <v>13720</v>
      </c>
    </row>
    <row r="4201" spans="1:16" ht="17.25" thickBot="1" x14ac:dyDescent="0.35">
      <c r="F4201" s="126"/>
      <c r="G4201" s="280"/>
      <c r="H4201" s="128"/>
      <c r="I4201" s="106"/>
      <c r="K4201" s="226"/>
      <c r="L4201" s="130">
        <f>L4200/I4152</f>
        <v>49</v>
      </c>
      <c r="M4201" s="131">
        <f>(K4200-L4201)*I4152</f>
        <v>0</v>
      </c>
    </row>
    <row r="4202" spans="1:16" x14ac:dyDescent="0.3">
      <c r="F4202" s="126"/>
      <c r="G4202" s="280"/>
      <c r="H4202" s="128"/>
      <c r="I4202" s="106"/>
      <c r="K4202" s="227"/>
      <c r="L4202" s="129"/>
      <c r="M4202" s="132"/>
      <c r="N4202" s="133"/>
    </row>
    <row r="4203" spans="1:16" ht="17.25" thickBot="1" x14ac:dyDescent="0.35">
      <c r="B4203" s="405"/>
      <c r="C4203" s="405"/>
      <c r="D4203" s="405"/>
    </row>
    <row r="4204" spans="1:16" x14ac:dyDescent="0.3">
      <c r="B4204" s="406" t="s">
        <v>23</v>
      </c>
      <c r="C4204" s="406"/>
      <c r="D4204" s="406"/>
    </row>
    <row r="4205" spans="1:16" x14ac:dyDescent="0.3">
      <c r="B4205" s="281"/>
      <c r="C4205" s="281"/>
      <c r="D4205" s="281"/>
    </row>
    <row r="4206" spans="1:16" x14ac:dyDescent="0.3">
      <c r="B4206" s="281"/>
      <c r="C4206" s="281"/>
      <c r="D4206" s="281"/>
    </row>
    <row r="4207" spans="1:16" x14ac:dyDescent="0.3">
      <c r="B4207" s="103" t="s">
        <v>43</v>
      </c>
      <c r="C4207" s="104"/>
      <c r="D4207" s="422" t="s">
        <v>1</v>
      </c>
      <c r="E4207" s="422"/>
      <c r="F4207" s="422"/>
      <c r="G4207" s="422"/>
      <c r="H4207" s="104"/>
      <c r="I4207" s="105" t="s">
        <v>2</v>
      </c>
      <c r="J4207" s="134"/>
      <c r="K4207" s="105" t="s">
        <v>3</v>
      </c>
    </row>
    <row r="4208" spans="1:16" s="4" customFormat="1" ht="30.75" customHeight="1" x14ac:dyDescent="0.25">
      <c r="A4208" s="31"/>
      <c r="B4208" s="287">
        <f>CATALOGO!B136</f>
        <v>701.02</v>
      </c>
      <c r="C4208" s="71"/>
      <c r="D4208" s="436" t="str">
        <f>CATALOGO!C136</f>
        <v>PUERTA METAL + CHAPA (1 hoja)</v>
      </c>
      <c r="E4208" s="436"/>
      <c r="F4208" s="436"/>
      <c r="G4208" s="436"/>
      <c r="H4208" s="71"/>
      <c r="I4208" s="287">
        <f>CATALOGO!D136</f>
        <v>2</v>
      </c>
      <c r="J4208" s="107"/>
      <c r="K4208" s="222" t="str">
        <f>CATALOGO!G136</f>
        <v>Unidad</v>
      </c>
      <c r="L4208" s="71"/>
      <c r="M4208" s="71"/>
      <c r="N4208" s="71"/>
      <c r="O4208" s="37"/>
      <c r="P4208" s="37"/>
    </row>
    <row r="4209" spans="2:16" ht="17.25" thickBot="1" x14ac:dyDescent="0.35"/>
    <row r="4210" spans="2:16" ht="17.25" thickBot="1" x14ac:dyDescent="0.35">
      <c r="B4210" s="108" t="s">
        <v>4</v>
      </c>
      <c r="C4210" s="413" t="s">
        <v>5</v>
      </c>
      <c r="D4210" s="413"/>
      <c r="E4210" s="413"/>
      <c r="F4210" s="413"/>
      <c r="G4210" s="414"/>
    </row>
    <row r="4211" spans="2:16" x14ac:dyDescent="0.25">
      <c r="B4211" s="109" t="s">
        <v>6</v>
      </c>
      <c r="C4211" s="424" t="s">
        <v>1</v>
      </c>
      <c r="D4211" s="425"/>
      <c r="E4211" s="110" t="s">
        <v>192</v>
      </c>
      <c r="F4211" s="111" t="s">
        <v>2</v>
      </c>
      <c r="G4211" s="112" t="s">
        <v>3</v>
      </c>
      <c r="H4211" s="104"/>
      <c r="I4211" s="105" t="s">
        <v>7</v>
      </c>
      <c r="J4211" s="134"/>
      <c r="K4211" s="223" t="s">
        <v>8</v>
      </c>
      <c r="L4211" s="113" t="s">
        <v>193</v>
      </c>
      <c r="O4211" s="438"/>
      <c r="P4211" s="438"/>
    </row>
    <row r="4212" spans="2:16" ht="17.25" customHeight="1" x14ac:dyDescent="0.25">
      <c r="B4212" s="120"/>
      <c r="C4212" s="428"/>
      <c r="D4212" s="429"/>
      <c r="E4212" s="114"/>
      <c r="F4212" s="83"/>
      <c r="G4212" s="74"/>
      <c r="I4212" s="115">
        <f>IF(C4212=0,0,VLOOKUP(C4212,Tabla1[],3,FALSE))</f>
        <v>0</v>
      </c>
      <c r="K4212" s="84">
        <f>F4212*I4212</f>
        <v>0</v>
      </c>
      <c r="L4212" s="116">
        <f t="shared" ref="L4212:L4221" si="108">E4212*I4212</f>
        <v>0</v>
      </c>
      <c r="O4212" s="44"/>
      <c r="P4212" s="45"/>
    </row>
    <row r="4213" spans="2:16" x14ac:dyDescent="0.3">
      <c r="B4213" s="120"/>
      <c r="C4213" s="428"/>
      <c r="D4213" s="429"/>
      <c r="E4213" s="114"/>
      <c r="F4213" s="83"/>
      <c r="G4213" s="74"/>
      <c r="I4213" s="115">
        <f>IF(C4213=0,0,VLOOKUP(C4213,Tabla1[],3,FALSE))</f>
        <v>0</v>
      </c>
      <c r="K4213" s="84">
        <f t="shared" ref="K4213:K4221" si="109">+F4213*I4213</f>
        <v>0</v>
      </c>
      <c r="L4213" s="116">
        <f t="shared" si="108"/>
        <v>0</v>
      </c>
      <c r="P4213" s="45"/>
    </row>
    <row r="4214" spans="2:16" x14ac:dyDescent="0.3">
      <c r="B4214" s="120"/>
      <c r="C4214" s="428"/>
      <c r="D4214" s="429"/>
      <c r="E4214" s="114"/>
      <c r="F4214" s="83"/>
      <c r="G4214" s="74"/>
      <c r="I4214" s="115">
        <f>IF(C4214=0,0,VLOOKUP(C4214,Tabla1[],3,FALSE))</f>
        <v>0</v>
      </c>
      <c r="K4214" s="84">
        <f t="shared" si="109"/>
        <v>0</v>
      </c>
      <c r="L4214" s="116">
        <f t="shared" si="108"/>
        <v>0</v>
      </c>
      <c r="O4214" s="48"/>
      <c r="P4214" s="49"/>
    </row>
    <row r="4215" spans="2:16" x14ac:dyDescent="0.3">
      <c r="B4215" s="120"/>
      <c r="C4215" s="428"/>
      <c r="D4215" s="429"/>
      <c r="E4215" s="114"/>
      <c r="F4215" s="83"/>
      <c r="G4215" s="74"/>
      <c r="I4215" s="115">
        <f>IF(C4215=0,0,VLOOKUP(C4215,Tabla1[],3,FALSE))</f>
        <v>0</v>
      </c>
      <c r="K4215" s="84">
        <f t="shared" si="109"/>
        <v>0</v>
      </c>
      <c r="L4215" s="116">
        <f t="shared" si="108"/>
        <v>0</v>
      </c>
      <c r="O4215" s="48"/>
      <c r="P4215" s="49"/>
    </row>
    <row r="4216" spans="2:16" x14ac:dyDescent="0.3">
      <c r="B4216" s="120"/>
      <c r="C4216" s="428"/>
      <c r="D4216" s="429"/>
      <c r="E4216" s="114"/>
      <c r="F4216" s="83"/>
      <c r="G4216" s="74"/>
      <c r="I4216" s="115">
        <f>IF(C4216=0,0,VLOOKUP(C4216,Tabla1[],3,FALSE))</f>
        <v>0</v>
      </c>
      <c r="K4216" s="84">
        <f t="shared" si="109"/>
        <v>0</v>
      </c>
      <c r="L4216" s="116">
        <f t="shared" si="108"/>
        <v>0</v>
      </c>
      <c r="O4216" s="48"/>
      <c r="P4216" s="49"/>
    </row>
    <row r="4217" spans="2:16" x14ac:dyDescent="0.3">
      <c r="B4217" s="120"/>
      <c r="C4217" s="429"/>
      <c r="D4217" s="409"/>
      <c r="E4217" s="114"/>
      <c r="F4217" s="83"/>
      <c r="G4217" s="74"/>
      <c r="I4217" s="115">
        <f>IF(C4217=0,0,VLOOKUP(C4217,Tabla1[],3,FALSE))</f>
        <v>0</v>
      </c>
      <c r="K4217" s="84">
        <f t="shared" si="109"/>
        <v>0</v>
      </c>
      <c r="L4217" s="116">
        <f t="shared" si="108"/>
        <v>0</v>
      </c>
      <c r="O4217" s="48"/>
      <c r="P4217" s="49"/>
    </row>
    <row r="4218" spans="2:16" x14ac:dyDescent="0.3">
      <c r="B4218" s="120"/>
      <c r="C4218" s="429"/>
      <c r="D4218" s="409"/>
      <c r="E4218" s="114"/>
      <c r="F4218" s="83"/>
      <c r="G4218" s="74"/>
      <c r="I4218" s="115">
        <f>IF(C4218=0,0,VLOOKUP(C4218,Tabla1[],3,FALSE))</f>
        <v>0</v>
      </c>
      <c r="K4218" s="84">
        <f t="shared" si="109"/>
        <v>0</v>
      </c>
      <c r="L4218" s="116">
        <f t="shared" si="108"/>
        <v>0</v>
      </c>
      <c r="O4218" s="48"/>
      <c r="P4218" s="49"/>
    </row>
    <row r="4219" spans="2:16" x14ac:dyDescent="0.3">
      <c r="B4219" s="120"/>
      <c r="C4219" s="428"/>
      <c r="D4219" s="429"/>
      <c r="E4219" s="114"/>
      <c r="F4219" s="83"/>
      <c r="G4219" s="74"/>
      <c r="I4219" s="115">
        <f>IF(C4219=0,0,VLOOKUP(C4219,Tabla1[],3,FALSE))</f>
        <v>0</v>
      </c>
      <c r="K4219" s="84">
        <f t="shared" si="109"/>
        <v>0</v>
      </c>
      <c r="L4219" s="116">
        <f t="shared" si="108"/>
        <v>0</v>
      </c>
      <c r="O4219" s="48"/>
      <c r="P4219" s="49"/>
    </row>
    <row r="4220" spans="2:16" x14ac:dyDescent="0.3">
      <c r="B4220" s="120"/>
      <c r="C4220" s="428"/>
      <c r="D4220" s="429"/>
      <c r="E4220" s="114"/>
      <c r="F4220" s="83"/>
      <c r="G4220" s="74"/>
      <c r="I4220" s="115">
        <f>IF(C4220=0,0,VLOOKUP(C4220,Tabla1[],3,FALSE))</f>
        <v>0</v>
      </c>
      <c r="K4220" s="84">
        <f t="shared" si="109"/>
        <v>0</v>
      </c>
      <c r="L4220" s="116">
        <f t="shared" si="108"/>
        <v>0</v>
      </c>
      <c r="O4220" s="48"/>
      <c r="P4220" s="49"/>
    </row>
    <row r="4221" spans="2:16" x14ac:dyDescent="0.3">
      <c r="B4221" s="120"/>
      <c r="C4221" s="430"/>
      <c r="D4221" s="429"/>
      <c r="E4221" s="114"/>
      <c r="F4221" s="83"/>
      <c r="G4221" s="74"/>
      <c r="I4221" s="115">
        <f>IF(C4221=0,0,VLOOKUP(C4221,Tabla1[],3,FALSE))</f>
        <v>0</v>
      </c>
      <c r="K4221" s="84">
        <f t="shared" si="109"/>
        <v>0</v>
      </c>
      <c r="L4221" s="116">
        <f t="shared" si="108"/>
        <v>0</v>
      </c>
      <c r="O4221" s="48"/>
      <c r="P4221" s="43"/>
    </row>
    <row r="4222" spans="2:16" ht="17.25" thickBot="1" x14ac:dyDescent="0.35"/>
    <row r="4223" spans="2:16" ht="17.25" thickBot="1" x14ac:dyDescent="0.3">
      <c r="F4223" s="402" t="s">
        <v>9</v>
      </c>
      <c r="G4223" s="403"/>
      <c r="H4223" s="403"/>
      <c r="I4223" s="404"/>
      <c r="K4223" s="224">
        <f>+SUM(K4212:K4221)</f>
        <v>0</v>
      </c>
      <c r="L4223" s="117">
        <f>+SUM(L4212:L4221)</f>
        <v>0</v>
      </c>
      <c r="O4223" s="38"/>
      <c r="P4223" s="38"/>
    </row>
    <row r="4224" spans="2:16" ht="17.25" thickBot="1" x14ac:dyDescent="0.35">
      <c r="O4224" s="42"/>
      <c r="P4224" s="43"/>
    </row>
    <row r="4225" spans="2:12" ht="17.25" thickBot="1" x14ac:dyDescent="0.35">
      <c r="B4225" s="108" t="s">
        <v>10</v>
      </c>
      <c r="C4225" s="413" t="s">
        <v>11</v>
      </c>
      <c r="D4225" s="413"/>
      <c r="E4225" s="413"/>
      <c r="F4225" s="413"/>
      <c r="G4225" s="414"/>
    </row>
    <row r="4226" spans="2:12" x14ac:dyDescent="0.3">
      <c r="B4226" s="112" t="s">
        <v>6</v>
      </c>
      <c r="C4226" s="415" t="s">
        <v>1</v>
      </c>
      <c r="D4226" s="416"/>
      <c r="E4226" s="110" t="s">
        <v>192</v>
      </c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2" x14ac:dyDescent="0.3">
      <c r="B4227" s="120"/>
      <c r="C4227" s="409"/>
      <c r="D4227" s="409"/>
      <c r="E4227" s="114"/>
      <c r="F4227" s="83"/>
      <c r="G4227" s="74"/>
      <c r="I4227" s="115">
        <f>IF(C4227=0,0,VLOOKUP(C4227,Tabla3[],3,FALSE))</f>
        <v>0</v>
      </c>
      <c r="K4227" s="84">
        <f>F4227*I4227</f>
        <v>0</v>
      </c>
      <c r="L4227" s="116">
        <f>E4227*I4227</f>
        <v>0</v>
      </c>
    </row>
    <row r="4228" spans="2:12" x14ac:dyDescent="0.3">
      <c r="B4228" s="74"/>
      <c r="C4228" s="431"/>
      <c r="D4228" s="432"/>
      <c r="E4228" s="119"/>
      <c r="F4228" s="72"/>
      <c r="G4228" s="74"/>
      <c r="I4228" s="115">
        <f>IF(C4228=0,0,VLOOKUP(C4228,Tabla3[],3,FALSE))</f>
        <v>0</v>
      </c>
      <c r="K4228" s="84">
        <f>+F4228*I4228</f>
        <v>0</v>
      </c>
      <c r="L4228" s="116">
        <f>E4228*I4228</f>
        <v>0</v>
      </c>
    </row>
    <row r="4229" spans="2:12" x14ac:dyDescent="0.3">
      <c r="B4229" s="74"/>
      <c r="C4229" s="431"/>
      <c r="D4229" s="432"/>
      <c r="E4229" s="119"/>
      <c r="F4229" s="72"/>
      <c r="G4229" s="74"/>
      <c r="I4229" s="115">
        <f>IF(C4229=0,0,VLOOKUP(C4229,Tabla3[],3,FALSE))</f>
        <v>0</v>
      </c>
      <c r="K4229" s="84">
        <f>+F4229*I4229</f>
        <v>0</v>
      </c>
      <c r="L4229" s="116">
        <f>E4229*I4229</f>
        <v>0</v>
      </c>
    </row>
    <row r="4230" spans="2:12" x14ac:dyDescent="0.3">
      <c r="B4230" s="74"/>
      <c r="C4230" s="411"/>
      <c r="D4230" s="412"/>
      <c r="E4230" s="119"/>
      <c r="F4230" s="72"/>
      <c r="G4230" s="74"/>
      <c r="I4230" s="115">
        <f>IF(C4230=0,0,VLOOKUP(C4230,Tabla3[],3,FALSE))</f>
        <v>0</v>
      </c>
      <c r="K4230" s="84">
        <f>+F4230*I4230</f>
        <v>0</v>
      </c>
      <c r="L4230" s="116">
        <f>E4230*I4230</f>
        <v>0</v>
      </c>
    </row>
    <row r="4231" spans="2:12" ht="17.25" thickBot="1" x14ac:dyDescent="0.35"/>
    <row r="4232" spans="2:12" ht="17.25" thickBot="1" x14ac:dyDescent="0.35">
      <c r="F4232" s="402" t="s">
        <v>12</v>
      </c>
      <c r="G4232" s="403"/>
      <c r="H4232" s="403"/>
      <c r="I4232" s="404"/>
      <c r="K4232" s="224">
        <f>+SUM(K4227:K4230)</f>
        <v>0</v>
      </c>
      <c r="L4232" s="117">
        <f>+SUM(L4227:L4230)</f>
        <v>0</v>
      </c>
    </row>
    <row r="4233" spans="2:12" ht="17.25" thickBot="1" x14ac:dyDescent="0.35"/>
    <row r="4234" spans="2:12" ht="17.25" thickBot="1" x14ac:dyDescent="0.35">
      <c r="B4234" s="108" t="s">
        <v>13</v>
      </c>
      <c r="C4234" s="413" t="s">
        <v>14</v>
      </c>
      <c r="D4234" s="413"/>
      <c r="E4234" s="413"/>
      <c r="F4234" s="413"/>
      <c r="G4234" s="414"/>
    </row>
    <row r="4235" spans="2:12" x14ac:dyDescent="0.3">
      <c r="B4235" s="112" t="s">
        <v>6</v>
      </c>
      <c r="C4235" s="415" t="s">
        <v>1</v>
      </c>
      <c r="D4235" s="416"/>
      <c r="E4235" s="110" t="s">
        <v>192</v>
      </c>
      <c r="F4235" s="118" t="s">
        <v>2</v>
      </c>
      <c r="G4235" s="112" t="s">
        <v>3</v>
      </c>
      <c r="H4235" s="104"/>
      <c r="I4235" s="105" t="s">
        <v>7</v>
      </c>
      <c r="J4235" s="134"/>
      <c r="K4235" s="105" t="s">
        <v>8</v>
      </c>
      <c r="L4235" s="113" t="s">
        <v>193</v>
      </c>
    </row>
    <row r="4236" spans="2:12" x14ac:dyDescent="0.3">
      <c r="B4236" s="120">
        <v>1</v>
      </c>
      <c r="C4236" s="434" t="s">
        <v>223</v>
      </c>
      <c r="D4236" s="434"/>
      <c r="E4236" s="114">
        <f>I4208</f>
        <v>2</v>
      </c>
      <c r="F4236" s="83">
        <f>ROUND(E4236/I4208,2)</f>
        <v>1</v>
      </c>
      <c r="G4236" s="74" t="str">
        <f>IF(C4236=0,0,VLOOKUP(C4236,Tabla2[],2,FALSE))</f>
        <v>Unidad</v>
      </c>
      <c r="I4236" s="115">
        <f>IF(C4236=0,0,VLOOKUP(C4236,Tabla2[],3,FALSE))</f>
        <v>1845</v>
      </c>
      <c r="K4236" s="84">
        <f>+F4236*I4236</f>
        <v>1845</v>
      </c>
      <c r="L4236" s="116">
        <f>E4236*I4236</f>
        <v>3690</v>
      </c>
    </row>
    <row r="4237" spans="2:12" x14ac:dyDescent="0.3">
      <c r="B4237" s="120"/>
      <c r="C4237" s="409"/>
      <c r="D4237" s="409"/>
      <c r="E4237" s="114"/>
      <c r="F4237" s="83"/>
      <c r="G4237" s="74"/>
      <c r="I4237" s="115">
        <f>IF(C4237=0,0,VLOOKUP(C4237,Tabla2[],3,FALSE))</f>
        <v>0</v>
      </c>
      <c r="K4237" s="84">
        <f>+F4237*I4237</f>
        <v>0</v>
      </c>
      <c r="L4237" s="116">
        <f>E4237*I4237</f>
        <v>0</v>
      </c>
    </row>
    <row r="4238" spans="2:12" ht="17.25" thickBot="1" x14ac:dyDescent="0.35">
      <c r="B4238" s="121"/>
      <c r="C4238" s="417"/>
      <c r="D4238" s="418"/>
      <c r="E4238" s="122"/>
      <c r="F4238" s="123"/>
      <c r="G4238" s="74"/>
      <c r="I4238" s="115">
        <f>IF(C4238=0,0,VLOOKUP(C4238,Tabla2[],3,FALSE))</f>
        <v>0</v>
      </c>
      <c r="K4238" s="84">
        <f>+F4238*I4238</f>
        <v>0</v>
      </c>
      <c r="L4238" s="116">
        <f>E4238*I4238</f>
        <v>0</v>
      </c>
    </row>
    <row r="4239" spans="2:12" ht="17.25" thickBot="1" x14ac:dyDescent="0.35">
      <c r="B4239" s="419" t="s">
        <v>15</v>
      </c>
      <c r="C4239" s="420"/>
      <c r="D4239" s="420"/>
      <c r="E4239" s="420"/>
      <c r="F4239" s="420"/>
      <c r="G4239" s="421"/>
      <c r="I4239" s="84">
        <v>0</v>
      </c>
      <c r="K4239" s="84">
        <v>0</v>
      </c>
      <c r="L4239" s="116">
        <f>E4239*I4239</f>
        <v>0</v>
      </c>
    </row>
    <row r="4240" spans="2:12" ht="17.25" thickBot="1" x14ac:dyDescent="0.35"/>
    <row r="4241" spans="2:16" ht="17.25" thickBot="1" x14ac:dyDescent="0.35">
      <c r="F4241" s="402" t="s">
        <v>16</v>
      </c>
      <c r="G4241" s="403"/>
      <c r="H4241" s="403"/>
      <c r="I4241" s="404"/>
      <c r="K4241" s="224">
        <f>+SUM(K4236:K4239)</f>
        <v>1845</v>
      </c>
      <c r="L4241" s="117">
        <f>+SUM(L4236:L4239)</f>
        <v>3690</v>
      </c>
    </row>
    <row r="4242" spans="2:16" ht="17.25" thickBot="1" x14ac:dyDescent="0.35"/>
    <row r="4243" spans="2:16" ht="17.25" thickBot="1" x14ac:dyDescent="0.35">
      <c r="B4243" s="108" t="s">
        <v>17</v>
      </c>
      <c r="C4243" s="413" t="s">
        <v>18</v>
      </c>
      <c r="D4243" s="413"/>
      <c r="E4243" s="413"/>
      <c r="F4243" s="413"/>
      <c r="G4243" s="414"/>
    </row>
    <row r="4244" spans="2:16" x14ac:dyDescent="0.3">
      <c r="B4244" s="112" t="s">
        <v>6</v>
      </c>
      <c r="C4244" s="415" t="s">
        <v>1</v>
      </c>
      <c r="D4244" s="416"/>
      <c r="E4244" s="124"/>
      <c r="F4244" s="118" t="s">
        <v>2</v>
      </c>
      <c r="G4244" s="112" t="s">
        <v>3</v>
      </c>
      <c r="H4244" s="104"/>
      <c r="I4244" s="105" t="s">
        <v>7</v>
      </c>
      <c r="J4244" s="134"/>
      <c r="K4244" s="105" t="s">
        <v>8</v>
      </c>
      <c r="L4244" s="113" t="s">
        <v>193</v>
      </c>
    </row>
    <row r="4245" spans="2:16" x14ac:dyDescent="0.3">
      <c r="B4245" s="74"/>
      <c r="C4245" s="411"/>
      <c r="D4245" s="412"/>
      <c r="E4245" s="125"/>
      <c r="F4245" s="72"/>
      <c r="G4245" s="74"/>
      <c r="I4245" s="84">
        <v>0</v>
      </c>
      <c r="K4245" s="84">
        <f>+F4245*I4245</f>
        <v>0</v>
      </c>
      <c r="L4245" s="116">
        <f>E4245*I4245</f>
        <v>0</v>
      </c>
    </row>
    <row r="4246" spans="2:16" x14ac:dyDescent="0.3">
      <c r="B4246" s="74"/>
      <c r="C4246" s="411"/>
      <c r="D4246" s="412"/>
      <c r="E4246" s="125"/>
      <c r="F4246" s="72"/>
      <c r="G4246" s="74"/>
      <c r="I4246" s="84">
        <v>0</v>
      </c>
      <c r="K4246" s="84">
        <f>+F4246*I4246</f>
        <v>0</v>
      </c>
      <c r="L4246" s="116">
        <f>E4246*I4246</f>
        <v>0</v>
      </c>
    </row>
    <row r="4247" spans="2:16" x14ac:dyDescent="0.3">
      <c r="B4247" s="74"/>
      <c r="C4247" s="411"/>
      <c r="D4247" s="412"/>
      <c r="E4247" s="125"/>
      <c r="F4247" s="72"/>
      <c r="G4247" s="74"/>
      <c r="I4247" s="84">
        <v>0</v>
      </c>
      <c r="K4247" s="84">
        <f>+F4247*I4247</f>
        <v>0</v>
      </c>
      <c r="L4247" s="116">
        <f>E4247*I4247</f>
        <v>0</v>
      </c>
    </row>
    <row r="4248" spans="2:16" ht="17.25" thickBot="1" x14ac:dyDescent="0.35">
      <c r="L4248" s="116"/>
    </row>
    <row r="4249" spans="2:16" ht="17.25" thickBot="1" x14ac:dyDescent="0.35">
      <c r="F4249" s="402" t="s">
        <v>19</v>
      </c>
      <c r="G4249" s="403"/>
      <c r="H4249" s="403"/>
      <c r="I4249" s="404"/>
      <c r="K4249" s="224">
        <f>+SUM(K4245:K4247)</f>
        <v>0</v>
      </c>
      <c r="L4249" s="117">
        <f>+SUM(L4244:L4247)</f>
        <v>0</v>
      </c>
    </row>
    <row r="4250" spans="2:16" ht="15" customHeight="1" x14ac:dyDescent="0.3">
      <c r="F4250" s="126"/>
      <c r="G4250" s="280"/>
      <c r="H4250" s="128"/>
      <c r="I4250" s="106"/>
      <c r="K4250" s="225"/>
    </row>
    <row r="4251" spans="2:16" ht="15" customHeight="1" thickBot="1" x14ac:dyDescent="0.35"/>
    <row r="4252" spans="2:16" ht="17.25" thickBot="1" x14ac:dyDescent="0.35">
      <c r="F4252" s="402" t="s">
        <v>20</v>
      </c>
      <c r="G4252" s="403"/>
      <c r="H4252" s="403"/>
      <c r="I4252" s="404"/>
      <c r="K4252" s="224">
        <f>(+K4223+K4232+K4241+K4249)</f>
        <v>1845</v>
      </c>
      <c r="L4252" s="117">
        <f>(+L4223+L4232+L4241+L4249)</f>
        <v>3690</v>
      </c>
      <c r="N4252" s="129"/>
      <c r="O4252" s="39"/>
      <c r="P4252" s="40"/>
    </row>
    <row r="4253" spans="2:16" ht="7.5" customHeight="1" thickBot="1" x14ac:dyDescent="0.35">
      <c r="N4253" s="129"/>
      <c r="O4253" s="41"/>
      <c r="P4253" s="40"/>
    </row>
    <row r="4254" spans="2:16" ht="17.25" thickBot="1" x14ac:dyDescent="0.35">
      <c r="F4254" s="402" t="s">
        <v>21</v>
      </c>
      <c r="G4254" s="403"/>
      <c r="H4254" s="403"/>
      <c r="I4254" s="404"/>
      <c r="K4254" s="224">
        <f>K4252*$N$2</f>
        <v>738</v>
      </c>
      <c r="L4254" s="117">
        <f>L4252*$N$2</f>
        <v>1476</v>
      </c>
    </row>
    <row r="4255" spans="2:16" ht="7.5" customHeight="1" thickBot="1" x14ac:dyDescent="0.35"/>
    <row r="4256" spans="2:16" ht="17.25" thickBot="1" x14ac:dyDescent="0.35">
      <c r="F4256" s="402" t="s">
        <v>22</v>
      </c>
      <c r="G4256" s="403"/>
      <c r="H4256" s="403"/>
      <c r="I4256" s="404"/>
      <c r="K4256" s="224">
        <f>+K4252+K4254</f>
        <v>2583</v>
      </c>
      <c r="L4256" s="117">
        <f>+L4252+L4254</f>
        <v>5166</v>
      </c>
    </row>
    <row r="4257" spans="1:16" ht="17.25" thickBot="1" x14ac:dyDescent="0.35">
      <c r="F4257" s="126"/>
      <c r="G4257" s="280"/>
      <c r="H4257" s="128"/>
      <c r="I4257" s="106"/>
      <c r="K4257" s="226"/>
      <c r="L4257" s="130">
        <f>L4256/I4208</f>
        <v>2583</v>
      </c>
      <c r="M4257" s="131">
        <f>(K4256-L4257)*I4208</f>
        <v>0</v>
      </c>
    </row>
    <row r="4258" spans="1:16" x14ac:dyDescent="0.3">
      <c r="F4258" s="126"/>
      <c r="G4258" s="280"/>
      <c r="H4258" s="128"/>
      <c r="I4258" s="106"/>
      <c r="K4258" s="227"/>
      <c r="L4258" s="129"/>
      <c r="M4258" s="132"/>
      <c r="N4258" s="133"/>
    </row>
    <row r="4259" spans="1:16" ht="17.25" thickBot="1" x14ac:dyDescent="0.35">
      <c r="B4259" s="405"/>
      <c r="C4259" s="405"/>
      <c r="D4259" s="405"/>
    </row>
    <row r="4260" spans="1:16" x14ac:dyDescent="0.3">
      <c r="B4260" s="406" t="s">
        <v>23</v>
      </c>
      <c r="C4260" s="406"/>
      <c r="D4260" s="406"/>
    </row>
    <row r="4261" spans="1:16" x14ac:dyDescent="0.3">
      <c r="B4261" s="281"/>
      <c r="C4261" s="281"/>
      <c r="D4261" s="281"/>
    </row>
    <row r="4262" spans="1:16" x14ac:dyDescent="0.3">
      <c r="B4262" s="281"/>
      <c r="C4262" s="281"/>
      <c r="D4262" s="281"/>
    </row>
    <row r="4263" spans="1:16" x14ac:dyDescent="0.3">
      <c r="B4263" s="103" t="s">
        <v>43</v>
      </c>
      <c r="C4263" s="104"/>
      <c r="D4263" s="422" t="s">
        <v>1</v>
      </c>
      <c r="E4263" s="422"/>
      <c r="F4263" s="422"/>
      <c r="G4263" s="422"/>
      <c r="H4263" s="104"/>
      <c r="I4263" s="105" t="s">
        <v>2</v>
      </c>
      <c r="J4263" s="134"/>
      <c r="K4263" s="105" t="s">
        <v>3</v>
      </c>
    </row>
    <row r="4264" spans="1:16" s="4" customFormat="1" ht="30.75" customHeight="1" x14ac:dyDescent="0.25">
      <c r="A4264" s="31"/>
      <c r="B4264" s="287">
        <f>CATALOGO!B138</f>
        <v>806.06</v>
      </c>
      <c r="C4264" s="71"/>
      <c r="D4264" s="436" t="str">
        <f>CATALOGO!C138</f>
        <v>REMOZAMIENTO DE VENTANA DE METAL + VIDRIOS</v>
      </c>
      <c r="E4264" s="436"/>
      <c r="F4264" s="436"/>
      <c r="G4264" s="436"/>
      <c r="H4264" s="71"/>
      <c r="I4264" s="287">
        <f>CATALOGO!D138</f>
        <v>40</v>
      </c>
      <c r="J4264" s="107"/>
      <c r="K4264" s="222" t="str">
        <f>CATALOGO!G138</f>
        <v>m²</v>
      </c>
      <c r="L4264" s="71"/>
      <c r="M4264" s="71"/>
      <c r="N4264" s="71"/>
      <c r="O4264" s="37"/>
      <c r="P4264" s="37"/>
    </row>
    <row r="4265" spans="1:16" ht="17.25" thickBot="1" x14ac:dyDescent="0.35"/>
    <row r="4266" spans="1:16" ht="17.25" thickBot="1" x14ac:dyDescent="0.35">
      <c r="B4266" s="108" t="s">
        <v>4</v>
      </c>
      <c r="C4266" s="413" t="s">
        <v>5</v>
      </c>
      <c r="D4266" s="413"/>
      <c r="E4266" s="413"/>
      <c r="F4266" s="413"/>
      <c r="G4266" s="414"/>
    </row>
    <row r="4267" spans="1:16" x14ac:dyDescent="0.25">
      <c r="B4267" s="109" t="s">
        <v>6</v>
      </c>
      <c r="C4267" s="424" t="s">
        <v>1</v>
      </c>
      <c r="D4267" s="425"/>
      <c r="E4267" s="110" t="s">
        <v>192</v>
      </c>
      <c r="F4267" s="111" t="s">
        <v>2</v>
      </c>
      <c r="G4267" s="112" t="s">
        <v>3</v>
      </c>
      <c r="H4267" s="104"/>
      <c r="I4267" s="105" t="s">
        <v>7</v>
      </c>
      <c r="J4267" s="134"/>
      <c r="K4267" s="223" t="s">
        <v>8</v>
      </c>
      <c r="L4267" s="113" t="s">
        <v>193</v>
      </c>
      <c r="O4267" s="438"/>
      <c r="P4267" s="438"/>
    </row>
    <row r="4268" spans="1:16" ht="17.25" customHeight="1" x14ac:dyDescent="0.25">
      <c r="B4268" s="120"/>
      <c r="C4268" s="428"/>
      <c r="D4268" s="429"/>
      <c r="E4268" s="114"/>
      <c r="F4268" s="83"/>
      <c r="G4268" s="74"/>
      <c r="I4268" s="115">
        <f>IF(C4268=0,0,VLOOKUP(C4268,Tabla1[],3,FALSE))</f>
        <v>0</v>
      </c>
      <c r="K4268" s="84">
        <f>F4268*I4268</f>
        <v>0</v>
      </c>
      <c r="L4268" s="116">
        <f t="shared" ref="L4268:L4277" si="110">E4268*I4268</f>
        <v>0</v>
      </c>
      <c r="O4268" s="44"/>
      <c r="P4268" s="45"/>
    </row>
    <row r="4269" spans="1:16" x14ac:dyDescent="0.3">
      <c r="B4269" s="120"/>
      <c r="C4269" s="428"/>
      <c r="D4269" s="429"/>
      <c r="E4269" s="114"/>
      <c r="F4269" s="83"/>
      <c r="G4269" s="74"/>
      <c r="I4269" s="115">
        <f>IF(C4269=0,0,VLOOKUP(C4269,Tabla1[],3,FALSE))</f>
        <v>0</v>
      </c>
      <c r="K4269" s="84">
        <f t="shared" ref="K4269:K4277" si="111">+F4269*I4269</f>
        <v>0</v>
      </c>
      <c r="L4269" s="116">
        <f t="shared" si="110"/>
        <v>0</v>
      </c>
      <c r="P4269" s="45"/>
    </row>
    <row r="4270" spans="1:16" x14ac:dyDescent="0.3">
      <c r="B4270" s="120"/>
      <c r="C4270" s="428"/>
      <c r="D4270" s="429"/>
      <c r="E4270" s="114"/>
      <c r="F4270" s="83"/>
      <c r="G4270" s="74"/>
      <c r="I4270" s="115">
        <f>IF(C4270=0,0,VLOOKUP(C4270,Tabla1[],3,FALSE))</f>
        <v>0</v>
      </c>
      <c r="K4270" s="84">
        <f t="shared" si="111"/>
        <v>0</v>
      </c>
      <c r="L4270" s="116">
        <f t="shared" si="110"/>
        <v>0</v>
      </c>
      <c r="O4270" s="48"/>
      <c r="P4270" s="49"/>
    </row>
    <row r="4271" spans="1:16" x14ac:dyDescent="0.3">
      <c r="B4271" s="120"/>
      <c r="C4271" s="428"/>
      <c r="D4271" s="429"/>
      <c r="E4271" s="114"/>
      <c r="F4271" s="83"/>
      <c r="G4271" s="74"/>
      <c r="I4271" s="115">
        <f>IF(C4271=0,0,VLOOKUP(C4271,Tabla1[],3,FALSE))</f>
        <v>0</v>
      </c>
      <c r="K4271" s="84">
        <f t="shared" si="111"/>
        <v>0</v>
      </c>
      <c r="L4271" s="116">
        <f t="shared" si="110"/>
        <v>0</v>
      </c>
      <c r="O4271" s="48"/>
      <c r="P4271" s="49"/>
    </row>
    <row r="4272" spans="1:16" x14ac:dyDescent="0.3">
      <c r="B4272" s="120"/>
      <c r="C4272" s="428"/>
      <c r="D4272" s="429"/>
      <c r="E4272" s="114"/>
      <c r="F4272" s="83"/>
      <c r="G4272" s="74"/>
      <c r="I4272" s="115">
        <f>IF(C4272=0,0,VLOOKUP(C4272,Tabla1[],3,FALSE))</f>
        <v>0</v>
      </c>
      <c r="K4272" s="84">
        <f t="shared" si="111"/>
        <v>0</v>
      </c>
      <c r="L4272" s="116">
        <f t="shared" si="110"/>
        <v>0</v>
      </c>
      <c r="O4272" s="48"/>
      <c r="P4272" s="49"/>
    </row>
    <row r="4273" spans="2:16" x14ac:dyDescent="0.3">
      <c r="B4273" s="120"/>
      <c r="C4273" s="429"/>
      <c r="D4273" s="409"/>
      <c r="E4273" s="114"/>
      <c r="F4273" s="83"/>
      <c r="G4273" s="74"/>
      <c r="I4273" s="115">
        <f>IF(C4273=0,0,VLOOKUP(C4273,Tabla1[],3,FALSE))</f>
        <v>0</v>
      </c>
      <c r="K4273" s="84">
        <f t="shared" si="111"/>
        <v>0</v>
      </c>
      <c r="L4273" s="116">
        <f t="shared" si="110"/>
        <v>0</v>
      </c>
      <c r="O4273" s="48"/>
      <c r="P4273" s="49"/>
    </row>
    <row r="4274" spans="2:16" x14ac:dyDescent="0.3">
      <c r="B4274" s="120"/>
      <c r="C4274" s="429"/>
      <c r="D4274" s="409"/>
      <c r="E4274" s="114"/>
      <c r="F4274" s="83"/>
      <c r="G4274" s="74"/>
      <c r="I4274" s="115">
        <f>IF(C4274=0,0,VLOOKUP(C4274,Tabla1[],3,FALSE))</f>
        <v>0</v>
      </c>
      <c r="K4274" s="84">
        <f t="shared" si="111"/>
        <v>0</v>
      </c>
      <c r="L4274" s="116">
        <f t="shared" si="110"/>
        <v>0</v>
      </c>
      <c r="O4274" s="48"/>
      <c r="P4274" s="49"/>
    </row>
    <row r="4275" spans="2:16" x14ac:dyDescent="0.3">
      <c r="B4275" s="120"/>
      <c r="C4275" s="428"/>
      <c r="D4275" s="429"/>
      <c r="E4275" s="114"/>
      <c r="F4275" s="83"/>
      <c r="G4275" s="74"/>
      <c r="I4275" s="115">
        <f>IF(C4275=0,0,VLOOKUP(C4275,Tabla1[],3,FALSE))</f>
        <v>0</v>
      </c>
      <c r="K4275" s="84">
        <f t="shared" si="111"/>
        <v>0</v>
      </c>
      <c r="L4275" s="116">
        <f t="shared" si="110"/>
        <v>0</v>
      </c>
      <c r="O4275" s="48"/>
      <c r="P4275" s="49"/>
    </row>
    <row r="4276" spans="2:16" x14ac:dyDescent="0.3">
      <c r="B4276" s="120"/>
      <c r="C4276" s="428"/>
      <c r="D4276" s="429"/>
      <c r="E4276" s="114"/>
      <c r="F4276" s="83"/>
      <c r="G4276" s="74"/>
      <c r="I4276" s="115">
        <f>IF(C4276=0,0,VLOOKUP(C4276,Tabla1[],3,FALSE))</f>
        <v>0</v>
      </c>
      <c r="K4276" s="84">
        <f t="shared" si="111"/>
        <v>0</v>
      </c>
      <c r="L4276" s="116">
        <f t="shared" si="110"/>
        <v>0</v>
      </c>
      <c r="O4276" s="48"/>
      <c r="P4276" s="49"/>
    </row>
    <row r="4277" spans="2:16" x14ac:dyDescent="0.3">
      <c r="B4277" s="120"/>
      <c r="C4277" s="430"/>
      <c r="D4277" s="429"/>
      <c r="E4277" s="114"/>
      <c r="F4277" s="83"/>
      <c r="G4277" s="74"/>
      <c r="I4277" s="115">
        <f>IF(C4277=0,0,VLOOKUP(C4277,Tabla1[],3,FALSE))</f>
        <v>0</v>
      </c>
      <c r="K4277" s="84">
        <f t="shared" si="111"/>
        <v>0</v>
      </c>
      <c r="L4277" s="116">
        <f t="shared" si="110"/>
        <v>0</v>
      </c>
      <c r="O4277" s="48"/>
      <c r="P4277" s="43"/>
    </row>
    <row r="4278" spans="2:16" ht="17.25" thickBot="1" x14ac:dyDescent="0.35"/>
    <row r="4279" spans="2:16" ht="17.25" thickBot="1" x14ac:dyDescent="0.3">
      <c r="F4279" s="402" t="s">
        <v>9</v>
      </c>
      <c r="G4279" s="403"/>
      <c r="H4279" s="403"/>
      <c r="I4279" s="404"/>
      <c r="K4279" s="224">
        <f>+SUM(K4268:K4277)</f>
        <v>0</v>
      </c>
      <c r="L4279" s="117">
        <f>+SUM(L4268:L4277)</f>
        <v>0</v>
      </c>
      <c r="O4279" s="38"/>
      <c r="P4279" s="38"/>
    </row>
    <row r="4280" spans="2:16" ht="17.25" thickBot="1" x14ac:dyDescent="0.35">
      <c r="O4280" s="42"/>
      <c r="P4280" s="43"/>
    </row>
    <row r="4281" spans="2:16" ht="17.25" thickBot="1" x14ac:dyDescent="0.35">
      <c r="B4281" s="108" t="s">
        <v>10</v>
      </c>
      <c r="C4281" s="413" t="s">
        <v>11</v>
      </c>
      <c r="D4281" s="413"/>
      <c r="E4281" s="413"/>
      <c r="F4281" s="413"/>
      <c r="G4281" s="414"/>
    </row>
    <row r="4282" spans="2:16" x14ac:dyDescent="0.3">
      <c r="B4282" s="112" t="s">
        <v>6</v>
      </c>
      <c r="C4282" s="415" t="s">
        <v>1</v>
      </c>
      <c r="D4282" s="416"/>
      <c r="E4282" s="110" t="s">
        <v>192</v>
      </c>
      <c r="F4282" s="118" t="s">
        <v>2</v>
      </c>
      <c r="G4282" s="112" t="s">
        <v>3</v>
      </c>
      <c r="H4282" s="104"/>
      <c r="I4282" s="105" t="s">
        <v>7</v>
      </c>
      <c r="J4282" s="134"/>
      <c r="K4282" s="105" t="s">
        <v>8</v>
      </c>
      <c r="L4282" s="113" t="s">
        <v>193</v>
      </c>
    </row>
    <row r="4283" spans="2:16" x14ac:dyDescent="0.3">
      <c r="B4283" s="120"/>
      <c r="C4283" s="409"/>
      <c r="D4283" s="409"/>
      <c r="E4283" s="114"/>
      <c r="F4283" s="83"/>
      <c r="G4283" s="74"/>
      <c r="I4283" s="115">
        <f>IF(C4283=0,0,VLOOKUP(C4283,Tabla3[],3,FALSE))</f>
        <v>0</v>
      </c>
      <c r="K4283" s="84">
        <f>F4283*I4283</f>
        <v>0</v>
      </c>
      <c r="L4283" s="116">
        <f>E4283*I4283</f>
        <v>0</v>
      </c>
    </row>
    <row r="4284" spans="2:16" x14ac:dyDescent="0.3">
      <c r="B4284" s="74"/>
      <c r="C4284" s="431"/>
      <c r="D4284" s="432"/>
      <c r="E4284" s="119"/>
      <c r="F4284" s="72"/>
      <c r="G4284" s="74"/>
      <c r="I4284" s="115">
        <f>IF(C4284=0,0,VLOOKUP(C4284,Tabla3[],3,FALSE))</f>
        <v>0</v>
      </c>
      <c r="K4284" s="84">
        <f>+F4284*I4284</f>
        <v>0</v>
      </c>
      <c r="L4284" s="116">
        <f>E4284*I4284</f>
        <v>0</v>
      </c>
    </row>
    <row r="4285" spans="2:16" x14ac:dyDescent="0.3">
      <c r="B4285" s="74"/>
      <c r="C4285" s="431"/>
      <c r="D4285" s="432"/>
      <c r="E4285" s="119"/>
      <c r="F4285" s="72"/>
      <c r="G4285" s="74"/>
      <c r="I4285" s="115">
        <f>IF(C4285=0,0,VLOOKUP(C4285,Tabla3[],3,FALSE))</f>
        <v>0</v>
      </c>
      <c r="K4285" s="84">
        <f>+F4285*I4285</f>
        <v>0</v>
      </c>
      <c r="L4285" s="116">
        <f>E4285*I4285</f>
        <v>0</v>
      </c>
    </row>
    <row r="4286" spans="2:16" x14ac:dyDescent="0.3">
      <c r="B4286" s="74"/>
      <c r="C4286" s="411"/>
      <c r="D4286" s="412"/>
      <c r="E4286" s="119"/>
      <c r="F4286" s="72"/>
      <c r="G4286" s="74"/>
      <c r="I4286" s="115">
        <f>IF(C4286=0,0,VLOOKUP(C4286,Tabla3[],3,FALSE))</f>
        <v>0</v>
      </c>
      <c r="K4286" s="84">
        <f>+F4286*I4286</f>
        <v>0</v>
      </c>
      <c r="L4286" s="116">
        <f>E4286*I4286</f>
        <v>0</v>
      </c>
    </row>
    <row r="4287" spans="2:16" ht="17.25" thickBot="1" x14ac:dyDescent="0.35"/>
    <row r="4288" spans="2:16" ht="17.25" thickBot="1" x14ac:dyDescent="0.35">
      <c r="F4288" s="402" t="s">
        <v>12</v>
      </c>
      <c r="G4288" s="403"/>
      <c r="H4288" s="403"/>
      <c r="I4288" s="404"/>
      <c r="K4288" s="224">
        <f>+SUM(K4283:K4286)</f>
        <v>0</v>
      </c>
      <c r="L4288" s="117">
        <f>+SUM(L4283:L4286)</f>
        <v>0</v>
      </c>
    </row>
    <row r="4289" spans="2:12" ht="17.25" thickBot="1" x14ac:dyDescent="0.35"/>
    <row r="4290" spans="2:12" ht="17.25" thickBot="1" x14ac:dyDescent="0.35">
      <c r="B4290" s="108" t="s">
        <v>13</v>
      </c>
      <c r="C4290" s="413" t="s">
        <v>14</v>
      </c>
      <c r="D4290" s="413"/>
      <c r="E4290" s="413"/>
      <c r="F4290" s="413"/>
      <c r="G4290" s="414"/>
    </row>
    <row r="4291" spans="2:12" x14ac:dyDescent="0.3">
      <c r="B4291" s="112" t="s">
        <v>6</v>
      </c>
      <c r="C4291" s="415" t="s">
        <v>1</v>
      </c>
      <c r="D4291" s="416"/>
      <c r="E4291" s="110" t="s">
        <v>192</v>
      </c>
      <c r="F4291" s="118" t="s">
        <v>2</v>
      </c>
      <c r="G4291" s="112" t="s">
        <v>3</v>
      </c>
      <c r="H4291" s="104"/>
      <c r="I4291" s="105" t="s">
        <v>7</v>
      </c>
      <c r="J4291" s="134"/>
      <c r="K4291" s="105" t="s">
        <v>8</v>
      </c>
      <c r="L4291" s="113" t="s">
        <v>193</v>
      </c>
    </row>
    <row r="4292" spans="2:12" x14ac:dyDescent="0.3">
      <c r="B4292" s="120">
        <v>1</v>
      </c>
      <c r="C4292" s="434" t="s">
        <v>600</v>
      </c>
      <c r="D4292" s="434"/>
      <c r="E4292" s="114">
        <f>I4264</f>
        <v>40</v>
      </c>
      <c r="F4292" s="83">
        <f>ROUND(E4292/I4264,2)</f>
        <v>1</v>
      </c>
      <c r="G4292" s="74" t="str">
        <f>IF(C4292=0,0,VLOOKUP(C4292,Tabla2[],2,FALSE))</f>
        <v>m²</v>
      </c>
      <c r="I4292" s="115">
        <f>IF(C4292=0,0,VLOOKUP(C4292,Tabla2[],3,FALSE))</f>
        <v>500</v>
      </c>
      <c r="K4292" s="84">
        <f>+F4292*I4292</f>
        <v>500</v>
      </c>
      <c r="L4292" s="116">
        <f>E4292*I4292</f>
        <v>20000</v>
      </c>
    </row>
    <row r="4293" spans="2:12" x14ac:dyDescent="0.3">
      <c r="B4293" s="120"/>
      <c r="C4293" s="409"/>
      <c r="D4293" s="409"/>
      <c r="E4293" s="114"/>
      <c r="F4293" s="83"/>
      <c r="G4293" s="74"/>
      <c r="I4293" s="115">
        <f>IF(C4293=0,0,VLOOKUP(C4293,Tabla2[],3,FALSE))</f>
        <v>0</v>
      </c>
      <c r="K4293" s="84">
        <f>+F4293*I4293</f>
        <v>0</v>
      </c>
      <c r="L4293" s="116">
        <f>E4293*I4293</f>
        <v>0</v>
      </c>
    </row>
    <row r="4294" spans="2:12" ht="17.25" thickBot="1" x14ac:dyDescent="0.35">
      <c r="B4294" s="121"/>
      <c r="C4294" s="417"/>
      <c r="D4294" s="418"/>
      <c r="E4294" s="122"/>
      <c r="F4294" s="123"/>
      <c r="G4294" s="74"/>
      <c r="I4294" s="115">
        <f>IF(C4294=0,0,VLOOKUP(C4294,Tabla2[],3,FALSE))</f>
        <v>0</v>
      </c>
      <c r="K4294" s="84">
        <f>+F4294*I4294</f>
        <v>0</v>
      </c>
      <c r="L4294" s="116">
        <f>E4294*I4294</f>
        <v>0</v>
      </c>
    </row>
    <row r="4295" spans="2:12" ht="17.25" thickBot="1" x14ac:dyDescent="0.35">
      <c r="B4295" s="419" t="s">
        <v>15</v>
      </c>
      <c r="C4295" s="420"/>
      <c r="D4295" s="420"/>
      <c r="E4295" s="420"/>
      <c r="F4295" s="420"/>
      <c r="G4295" s="421"/>
      <c r="I4295" s="84">
        <v>0</v>
      </c>
      <c r="K4295" s="84">
        <v>0</v>
      </c>
      <c r="L4295" s="116">
        <f>E4295*I4295</f>
        <v>0</v>
      </c>
    </row>
    <row r="4296" spans="2:12" ht="17.25" thickBot="1" x14ac:dyDescent="0.35"/>
    <row r="4297" spans="2:12" ht="17.25" thickBot="1" x14ac:dyDescent="0.35">
      <c r="F4297" s="402" t="s">
        <v>16</v>
      </c>
      <c r="G4297" s="403"/>
      <c r="H4297" s="403"/>
      <c r="I4297" s="404"/>
      <c r="K4297" s="224">
        <f>+SUM(K4292:K4295)</f>
        <v>500</v>
      </c>
      <c r="L4297" s="117">
        <f>+SUM(L4292:L4295)</f>
        <v>20000</v>
      </c>
    </row>
    <row r="4298" spans="2:12" ht="17.25" thickBot="1" x14ac:dyDescent="0.35"/>
    <row r="4299" spans="2:12" ht="17.25" thickBot="1" x14ac:dyDescent="0.35">
      <c r="B4299" s="108" t="s">
        <v>17</v>
      </c>
      <c r="C4299" s="413" t="s">
        <v>18</v>
      </c>
      <c r="D4299" s="413"/>
      <c r="E4299" s="413"/>
      <c r="F4299" s="413"/>
      <c r="G4299" s="414"/>
    </row>
    <row r="4300" spans="2:12" x14ac:dyDescent="0.3">
      <c r="B4300" s="112" t="s">
        <v>6</v>
      </c>
      <c r="C4300" s="415" t="s">
        <v>1</v>
      </c>
      <c r="D4300" s="416"/>
      <c r="E4300" s="124"/>
      <c r="F4300" s="118" t="s">
        <v>2</v>
      </c>
      <c r="G4300" s="112" t="s">
        <v>3</v>
      </c>
      <c r="H4300" s="104"/>
      <c r="I4300" s="105" t="s">
        <v>7</v>
      </c>
      <c r="J4300" s="134"/>
      <c r="K4300" s="105" t="s">
        <v>8</v>
      </c>
      <c r="L4300" s="113" t="s">
        <v>193</v>
      </c>
    </row>
    <row r="4301" spans="2:12" x14ac:dyDescent="0.3">
      <c r="B4301" s="74"/>
      <c r="C4301" s="411"/>
      <c r="D4301" s="412"/>
      <c r="E4301" s="125"/>
      <c r="F4301" s="72"/>
      <c r="G4301" s="74"/>
      <c r="I4301" s="84">
        <v>0</v>
      </c>
      <c r="K4301" s="84">
        <f>+F4301*I4301</f>
        <v>0</v>
      </c>
      <c r="L4301" s="116">
        <f>E4301*I4301</f>
        <v>0</v>
      </c>
    </row>
    <row r="4302" spans="2:12" x14ac:dyDescent="0.3">
      <c r="B4302" s="74"/>
      <c r="C4302" s="411"/>
      <c r="D4302" s="412"/>
      <c r="E4302" s="125"/>
      <c r="F4302" s="72"/>
      <c r="G4302" s="74"/>
      <c r="I4302" s="84">
        <v>0</v>
      </c>
      <c r="K4302" s="84">
        <f>+F4302*I4302</f>
        <v>0</v>
      </c>
      <c r="L4302" s="116">
        <f>E4302*I4302</f>
        <v>0</v>
      </c>
    </row>
    <row r="4303" spans="2:12" x14ac:dyDescent="0.3">
      <c r="B4303" s="74"/>
      <c r="C4303" s="411"/>
      <c r="D4303" s="412"/>
      <c r="E4303" s="125"/>
      <c r="F4303" s="72"/>
      <c r="G4303" s="74"/>
      <c r="I4303" s="84">
        <v>0</v>
      </c>
      <c r="K4303" s="84">
        <f>+F4303*I4303</f>
        <v>0</v>
      </c>
      <c r="L4303" s="116">
        <f>E4303*I4303</f>
        <v>0</v>
      </c>
    </row>
    <row r="4304" spans="2:12" ht="17.25" thickBot="1" x14ac:dyDescent="0.35">
      <c r="L4304" s="116"/>
    </row>
    <row r="4305" spans="1:16" ht="17.25" thickBot="1" x14ac:dyDescent="0.35">
      <c r="F4305" s="402" t="s">
        <v>19</v>
      </c>
      <c r="G4305" s="403"/>
      <c r="H4305" s="403"/>
      <c r="I4305" s="404"/>
      <c r="K4305" s="224">
        <f>+SUM(K4301:K4303)</f>
        <v>0</v>
      </c>
      <c r="L4305" s="117">
        <f>+SUM(L4300:L4303)</f>
        <v>0</v>
      </c>
    </row>
    <row r="4306" spans="1:16" ht="15" customHeight="1" x14ac:dyDescent="0.3">
      <c r="F4306" s="126"/>
      <c r="G4306" s="280"/>
      <c r="H4306" s="128"/>
      <c r="I4306" s="106"/>
      <c r="K4306" s="225"/>
    </row>
    <row r="4307" spans="1:16" ht="15" customHeight="1" thickBot="1" x14ac:dyDescent="0.35"/>
    <row r="4308" spans="1:16" ht="17.25" thickBot="1" x14ac:dyDescent="0.35">
      <c r="F4308" s="402" t="s">
        <v>20</v>
      </c>
      <c r="G4308" s="403"/>
      <c r="H4308" s="403"/>
      <c r="I4308" s="404"/>
      <c r="K4308" s="224">
        <f>(+K4279+K4288+K4297+K4305)</f>
        <v>500</v>
      </c>
      <c r="L4308" s="117">
        <f>(+L4279+L4288+L4297+L4305)</f>
        <v>20000</v>
      </c>
      <c r="N4308" s="129"/>
      <c r="O4308" s="39"/>
      <c r="P4308" s="40"/>
    </row>
    <row r="4309" spans="1:16" ht="7.5" customHeight="1" thickBot="1" x14ac:dyDescent="0.35">
      <c r="N4309" s="129"/>
      <c r="O4309" s="41"/>
      <c r="P4309" s="40"/>
    </row>
    <row r="4310" spans="1:16" ht="17.25" thickBot="1" x14ac:dyDescent="0.35">
      <c r="F4310" s="402" t="s">
        <v>21</v>
      </c>
      <c r="G4310" s="403"/>
      <c r="H4310" s="403"/>
      <c r="I4310" s="404"/>
      <c r="K4310" s="224">
        <f>K4308*$N$2</f>
        <v>200</v>
      </c>
      <c r="L4310" s="117">
        <f>L4308*$N$2</f>
        <v>8000</v>
      </c>
    </row>
    <row r="4311" spans="1:16" ht="7.5" customHeight="1" thickBot="1" x14ac:dyDescent="0.35"/>
    <row r="4312" spans="1:16" ht="17.25" thickBot="1" x14ac:dyDescent="0.35">
      <c r="F4312" s="402" t="s">
        <v>22</v>
      </c>
      <c r="G4312" s="403"/>
      <c r="H4312" s="403"/>
      <c r="I4312" s="404"/>
      <c r="K4312" s="224">
        <f>+K4308+K4310</f>
        <v>700</v>
      </c>
      <c r="L4312" s="117">
        <f>+L4308+L4310</f>
        <v>28000</v>
      </c>
    </row>
    <row r="4313" spans="1:16" ht="17.25" thickBot="1" x14ac:dyDescent="0.35">
      <c r="F4313" s="126"/>
      <c r="G4313" s="280"/>
      <c r="H4313" s="128"/>
      <c r="I4313" s="106"/>
      <c r="K4313" s="226"/>
      <c r="L4313" s="130">
        <f>L4312/I4264</f>
        <v>700</v>
      </c>
      <c r="M4313" s="131">
        <f>(K4312-L4313)*I4264</f>
        <v>0</v>
      </c>
    </row>
    <row r="4314" spans="1:16" x14ac:dyDescent="0.3">
      <c r="F4314" s="126"/>
      <c r="G4314" s="280"/>
      <c r="H4314" s="128"/>
      <c r="I4314" s="106"/>
      <c r="K4314" s="227"/>
      <c r="L4314" s="129"/>
      <c r="M4314" s="132"/>
      <c r="N4314" s="133"/>
    </row>
    <row r="4315" spans="1:16" ht="17.25" thickBot="1" x14ac:dyDescent="0.35">
      <c r="B4315" s="405"/>
      <c r="C4315" s="405"/>
      <c r="D4315" s="405"/>
    </row>
    <row r="4316" spans="1:16" x14ac:dyDescent="0.3">
      <c r="B4316" s="406" t="s">
        <v>23</v>
      </c>
      <c r="C4316" s="406"/>
      <c r="D4316" s="406"/>
    </row>
    <row r="4317" spans="1:16" x14ac:dyDescent="0.3">
      <c r="B4317" s="281"/>
      <c r="C4317" s="281"/>
      <c r="D4317" s="281"/>
    </row>
    <row r="4318" spans="1:16" x14ac:dyDescent="0.3">
      <c r="B4318" s="281"/>
      <c r="C4318" s="281"/>
      <c r="D4318" s="281"/>
    </row>
    <row r="4319" spans="1:16" x14ac:dyDescent="0.3">
      <c r="B4319" s="103" t="s">
        <v>43</v>
      </c>
      <c r="C4319" s="104"/>
      <c r="D4319" s="422" t="s">
        <v>1</v>
      </c>
      <c r="E4319" s="422"/>
      <c r="F4319" s="422"/>
      <c r="G4319" s="422"/>
      <c r="H4319" s="104"/>
      <c r="I4319" s="105" t="s">
        <v>2</v>
      </c>
      <c r="J4319" s="134"/>
      <c r="K4319" s="105" t="s">
        <v>3</v>
      </c>
    </row>
    <row r="4320" spans="1:16" s="4" customFormat="1" ht="30.75" customHeight="1" x14ac:dyDescent="0.25">
      <c r="A4320" s="31"/>
      <c r="B4320" s="287">
        <f>CATALOGO!B139</f>
        <v>806.09</v>
      </c>
      <c r="C4320" s="71"/>
      <c r="D4320" s="436" t="str">
        <f>CATALOGO!C139</f>
        <v>REMOZAMIENTO DE BALCONES</v>
      </c>
      <c r="E4320" s="436"/>
      <c r="F4320" s="436"/>
      <c r="G4320" s="436"/>
      <c r="H4320" s="71"/>
      <c r="I4320" s="287">
        <f>CATALOGO!D139</f>
        <v>40</v>
      </c>
      <c r="J4320" s="107"/>
      <c r="K4320" s="222" t="str">
        <f>CATALOGO!G139</f>
        <v>m²</v>
      </c>
      <c r="L4320" s="71"/>
      <c r="M4320" s="71"/>
      <c r="N4320" s="71"/>
      <c r="O4320" s="37"/>
      <c r="P4320" s="37"/>
    </row>
    <row r="4321" spans="2:16" ht="17.25" thickBot="1" x14ac:dyDescent="0.35"/>
    <row r="4322" spans="2:16" ht="17.25" thickBot="1" x14ac:dyDescent="0.35">
      <c r="B4322" s="108" t="s">
        <v>4</v>
      </c>
      <c r="C4322" s="413" t="s">
        <v>5</v>
      </c>
      <c r="D4322" s="413"/>
      <c r="E4322" s="413"/>
      <c r="F4322" s="413"/>
      <c r="G4322" s="414"/>
    </row>
    <row r="4323" spans="2:16" x14ac:dyDescent="0.25">
      <c r="B4323" s="109" t="s">
        <v>6</v>
      </c>
      <c r="C4323" s="424" t="s">
        <v>1</v>
      </c>
      <c r="D4323" s="425"/>
      <c r="E4323" s="110" t="s">
        <v>192</v>
      </c>
      <c r="F4323" s="111" t="s">
        <v>2</v>
      </c>
      <c r="G4323" s="112" t="s">
        <v>3</v>
      </c>
      <c r="H4323" s="104"/>
      <c r="I4323" s="105" t="s">
        <v>7</v>
      </c>
      <c r="J4323" s="134"/>
      <c r="K4323" s="223" t="s">
        <v>8</v>
      </c>
      <c r="L4323" s="113" t="s">
        <v>193</v>
      </c>
      <c r="O4323" s="438"/>
      <c r="P4323" s="438"/>
    </row>
    <row r="4324" spans="2:16" ht="17.25" customHeight="1" x14ac:dyDescent="0.25">
      <c r="B4324" s="120"/>
      <c r="C4324" s="428"/>
      <c r="D4324" s="429"/>
      <c r="E4324" s="114"/>
      <c r="F4324" s="83"/>
      <c r="G4324" s="74"/>
      <c r="I4324" s="115">
        <f>IF(C4324=0,0,VLOOKUP(C4324,Tabla1[],3,FALSE))</f>
        <v>0</v>
      </c>
      <c r="K4324" s="84">
        <f>F4324*I4324</f>
        <v>0</v>
      </c>
      <c r="L4324" s="116">
        <f t="shared" ref="L4324:L4333" si="112">E4324*I4324</f>
        <v>0</v>
      </c>
      <c r="O4324" s="44"/>
      <c r="P4324" s="45"/>
    </row>
    <row r="4325" spans="2:16" x14ac:dyDescent="0.3">
      <c r="B4325" s="120"/>
      <c r="C4325" s="428"/>
      <c r="D4325" s="429"/>
      <c r="E4325" s="114"/>
      <c r="F4325" s="83"/>
      <c r="G4325" s="74"/>
      <c r="I4325" s="115">
        <f>IF(C4325=0,0,VLOOKUP(C4325,Tabla1[],3,FALSE))</f>
        <v>0</v>
      </c>
      <c r="K4325" s="84">
        <f t="shared" ref="K4325:K4333" si="113">+F4325*I4325</f>
        <v>0</v>
      </c>
      <c r="L4325" s="116">
        <f t="shared" si="112"/>
        <v>0</v>
      </c>
      <c r="P4325" s="45"/>
    </row>
    <row r="4326" spans="2:16" x14ac:dyDescent="0.3">
      <c r="B4326" s="120"/>
      <c r="C4326" s="428"/>
      <c r="D4326" s="429"/>
      <c r="E4326" s="114"/>
      <c r="F4326" s="83"/>
      <c r="G4326" s="74"/>
      <c r="I4326" s="115">
        <f>IF(C4326=0,0,VLOOKUP(C4326,Tabla1[],3,FALSE))</f>
        <v>0</v>
      </c>
      <c r="K4326" s="84">
        <f t="shared" si="113"/>
        <v>0</v>
      </c>
      <c r="L4326" s="116">
        <f t="shared" si="112"/>
        <v>0</v>
      </c>
      <c r="O4326" s="48"/>
      <c r="P4326" s="49"/>
    </row>
    <row r="4327" spans="2:16" x14ac:dyDescent="0.3">
      <c r="B4327" s="120"/>
      <c r="C4327" s="428"/>
      <c r="D4327" s="429"/>
      <c r="E4327" s="114"/>
      <c r="F4327" s="83"/>
      <c r="G4327" s="74"/>
      <c r="I4327" s="115">
        <f>IF(C4327=0,0,VLOOKUP(C4327,Tabla1[],3,FALSE))</f>
        <v>0</v>
      </c>
      <c r="K4327" s="84">
        <f t="shared" si="113"/>
        <v>0</v>
      </c>
      <c r="L4327" s="116">
        <f t="shared" si="112"/>
        <v>0</v>
      </c>
      <c r="O4327" s="48"/>
      <c r="P4327" s="49"/>
    </row>
    <row r="4328" spans="2:16" x14ac:dyDescent="0.3">
      <c r="B4328" s="120"/>
      <c r="C4328" s="428"/>
      <c r="D4328" s="429"/>
      <c r="E4328" s="114"/>
      <c r="F4328" s="83"/>
      <c r="G4328" s="74"/>
      <c r="I4328" s="115">
        <f>IF(C4328=0,0,VLOOKUP(C4328,Tabla1[],3,FALSE))</f>
        <v>0</v>
      </c>
      <c r="K4328" s="84">
        <f t="shared" si="113"/>
        <v>0</v>
      </c>
      <c r="L4328" s="116">
        <f t="shared" si="112"/>
        <v>0</v>
      </c>
      <c r="O4328" s="48"/>
      <c r="P4328" s="49"/>
    </row>
    <row r="4329" spans="2:16" x14ac:dyDescent="0.3">
      <c r="B4329" s="120"/>
      <c r="C4329" s="429"/>
      <c r="D4329" s="409"/>
      <c r="E4329" s="114"/>
      <c r="F4329" s="83"/>
      <c r="G4329" s="74"/>
      <c r="I4329" s="115">
        <f>IF(C4329=0,0,VLOOKUP(C4329,Tabla1[],3,FALSE))</f>
        <v>0</v>
      </c>
      <c r="K4329" s="84">
        <f t="shared" si="113"/>
        <v>0</v>
      </c>
      <c r="L4329" s="116">
        <f t="shared" si="112"/>
        <v>0</v>
      </c>
      <c r="O4329" s="48"/>
      <c r="P4329" s="49"/>
    </row>
    <row r="4330" spans="2:16" x14ac:dyDescent="0.3">
      <c r="B4330" s="120"/>
      <c r="C4330" s="429"/>
      <c r="D4330" s="409"/>
      <c r="E4330" s="114"/>
      <c r="F4330" s="83"/>
      <c r="G4330" s="74"/>
      <c r="I4330" s="115">
        <f>IF(C4330=0,0,VLOOKUP(C4330,Tabla1[],3,FALSE))</f>
        <v>0</v>
      </c>
      <c r="K4330" s="84">
        <f t="shared" si="113"/>
        <v>0</v>
      </c>
      <c r="L4330" s="116">
        <f t="shared" si="112"/>
        <v>0</v>
      </c>
      <c r="O4330" s="48"/>
      <c r="P4330" s="49"/>
    </row>
    <row r="4331" spans="2:16" x14ac:dyDescent="0.3">
      <c r="B4331" s="120"/>
      <c r="C4331" s="428"/>
      <c r="D4331" s="429"/>
      <c r="E4331" s="114"/>
      <c r="F4331" s="83"/>
      <c r="G4331" s="74"/>
      <c r="I4331" s="115">
        <f>IF(C4331=0,0,VLOOKUP(C4331,Tabla1[],3,FALSE))</f>
        <v>0</v>
      </c>
      <c r="K4331" s="84">
        <f t="shared" si="113"/>
        <v>0</v>
      </c>
      <c r="L4331" s="116">
        <f t="shared" si="112"/>
        <v>0</v>
      </c>
      <c r="O4331" s="48"/>
      <c r="P4331" s="49"/>
    </row>
    <row r="4332" spans="2:16" x14ac:dyDescent="0.3">
      <c r="B4332" s="120"/>
      <c r="C4332" s="428"/>
      <c r="D4332" s="429"/>
      <c r="E4332" s="114"/>
      <c r="F4332" s="83"/>
      <c r="G4332" s="74"/>
      <c r="I4332" s="115">
        <f>IF(C4332=0,0,VLOOKUP(C4332,Tabla1[],3,FALSE))</f>
        <v>0</v>
      </c>
      <c r="K4332" s="84">
        <f t="shared" si="113"/>
        <v>0</v>
      </c>
      <c r="L4332" s="116">
        <f t="shared" si="112"/>
        <v>0</v>
      </c>
      <c r="O4332" s="48"/>
      <c r="P4332" s="49"/>
    </row>
    <row r="4333" spans="2:16" x14ac:dyDescent="0.3">
      <c r="B4333" s="120"/>
      <c r="C4333" s="430"/>
      <c r="D4333" s="429"/>
      <c r="E4333" s="114"/>
      <c r="F4333" s="83"/>
      <c r="G4333" s="74"/>
      <c r="I4333" s="115">
        <f>IF(C4333=0,0,VLOOKUP(C4333,Tabla1[],3,FALSE))</f>
        <v>0</v>
      </c>
      <c r="K4333" s="84">
        <f t="shared" si="113"/>
        <v>0</v>
      </c>
      <c r="L4333" s="116">
        <f t="shared" si="112"/>
        <v>0</v>
      </c>
      <c r="O4333" s="48"/>
      <c r="P4333" s="43"/>
    </row>
    <row r="4334" spans="2:16" ht="17.25" thickBot="1" x14ac:dyDescent="0.35"/>
    <row r="4335" spans="2:16" ht="17.25" thickBot="1" x14ac:dyDescent="0.3">
      <c r="F4335" s="402" t="s">
        <v>9</v>
      </c>
      <c r="G4335" s="403"/>
      <c r="H4335" s="403"/>
      <c r="I4335" s="404"/>
      <c r="K4335" s="224">
        <f>+SUM(K4324:K4333)</f>
        <v>0</v>
      </c>
      <c r="L4335" s="117">
        <f>+SUM(L4324:L4333)</f>
        <v>0</v>
      </c>
      <c r="O4335" s="38"/>
      <c r="P4335" s="38"/>
    </row>
    <row r="4336" spans="2:16" ht="17.25" thickBot="1" x14ac:dyDescent="0.35">
      <c r="O4336" s="42"/>
      <c r="P4336" s="43"/>
    </row>
    <row r="4337" spans="2:12" ht="17.25" thickBot="1" x14ac:dyDescent="0.35">
      <c r="B4337" s="108" t="s">
        <v>10</v>
      </c>
      <c r="C4337" s="413" t="s">
        <v>11</v>
      </c>
      <c r="D4337" s="413"/>
      <c r="E4337" s="413"/>
      <c r="F4337" s="413"/>
      <c r="G4337" s="414"/>
    </row>
    <row r="4338" spans="2:12" x14ac:dyDescent="0.3">
      <c r="B4338" s="112" t="s">
        <v>6</v>
      </c>
      <c r="C4338" s="415" t="s">
        <v>1</v>
      </c>
      <c r="D4338" s="416"/>
      <c r="E4338" s="110" t="s">
        <v>192</v>
      </c>
      <c r="F4338" s="118" t="s">
        <v>2</v>
      </c>
      <c r="G4338" s="112" t="s">
        <v>3</v>
      </c>
      <c r="H4338" s="104"/>
      <c r="I4338" s="105" t="s">
        <v>7</v>
      </c>
      <c r="J4338" s="134"/>
      <c r="K4338" s="105" t="s">
        <v>8</v>
      </c>
      <c r="L4338" s="113" t="s">
        <v>193</v>
      </c>
    </row>
    <row r="4339" spans="2:12" x14ac:dyDescent="0.3">
      <c r="B4339" s="120"/>
      <c r="C4339" s="409"/>
      <c r="D4339" s="409"/>
      <c r="E4339" s="114"/>
      <c r="F4339" s="83"/>
      <c r="G4339" s="74"/>
      <c r="I4339" s="115">
        <f>IF(C4339=0,0,VLOOKUP(C4339,Tabla3[],3,FALSE))</f>
        <v>0</v>
      </c>
      <c r="K4339" s="84">
        <f>F4339*I4339</f>
        <v>0</v>
      </c>
      <c r="L4339" s="116">
        <f>E4339*I4339</f>
        <v>0</v>
      </c>
    </row>
    <row r="4340" spans="2:12" x14ac:dyDescent="0.3">
      <c r="B4340" s="74"/>
      <c r="C4340" s="431"/>
      <c r="D4340" s="432"/>
      <c r="E4340" s="119"/>
      <c r="F4340" s="72"/>
      <c r="G4340" s="74"/>
      <c r="I4340" s="115">
        <f>IF(C4340=0,0,VLOOKUP(C4340,Tabla3[],3,FALSE))</f>
        <v>0</v>
      </c>
      <c r="K4340" s="84">
        <f>+F4340*I4340</f>
        <v>0</v>
      </c>
      <c r="L4340" s="116">
        <f>E4340*I4340</f>
        <v>0</v>
      </c>
    </row>
    <row r="4341" spans="2:12" x14ac:dyDescent="0.3">
      <c r="B4341" s="74"/>
      <c r="C4341" s="431"/>
      <c r="D4341" s="432"/>
      <c r="E4341" s="119"/>
      <c r="F4341" s="72"/>
      <c r="G4341" s="74"/>
      <c r="I4341" s="115">
        <f>IF(C4341=0,0,VLOOKUP(C4341,Tabla3[],3,FALSE))</f>
        <v>0</v>
      </c>
      <c r="K4341" s="84">
        <f>+F4341*I4341</f>
        <v>0</v>
      </c>
      <c r="L4341" s="116">
        <f>E4341*I4341</f>
        <v>0</v>
      </c>
    </row>
    <row r="4342" spans="2:12" x14ac:dyDescent="0.3">
      <c r="B4342" s="74"/>
      <c r="C4342" s="411"/>
      <c r="D4342" s="412"/>
      <c r="E4342" s="119"/>
      <c r="F4342" s="72"/>
      <c r="G4342" s="74"/>
      <c r="I4342" s="115">
        <f>IF(C4342=0,0,VLOOKUP(C4342,Tabla3[],3,FALSE))</f>
        <v>0</v>
      </c>
      <c r="K4342" s="84">
        <f>+F4342*I4342</f>
        <v>0</v>
      </c>
      <c r="L4342" s="116">
        <f>E4342*I4342</f>
        <v>0</v>
      </c>
    </row>
    <row r="4343" spans="2:12" ht="17.25" thickBot="1" x14ac:dyDescent="0.35"/>
    <row r="4344" spans="2:12" ht="17.25" thickBot="1" x14ac:dyDescent="0.35">
      <c r="F4344" s="402" t="s">
        <v>12</v>
      </c>
      <c r="G4344" s="403"/>
      <c r="H4344" s="403"/>
      <c r="I4344" s="404"/>
      <c r="K4344" s="224">
        <f>+SUM(K4339:K4342)</f>
        <v>0</v>
      </c>
      <c r="L4344" s="117">
        <f>+SUM(L4339:L4342)</f>
        <v>0</v>
      </c>
    </row>
    <row r="4345" spans="2:12" ht="17.25" thickBot="1" x14ac:dyDescent="0.35"/>
    <row r="4346" spans="2:12" ht="17.25" thickBot="1" x14ac:dyDescent="0.35">
      <c r="B4346" s="108" t="s">
        <v>13</v>
      </c>
      <c r="C4346" s="413" t="s">
        <v>14</v>
      </c>
      <c r="D4346" s="413"/>
      <c r="E4346" s="413"/>
      <c r="F4346" s="413"/>
      <c r="G4346" s="414"/>
    </row>
    <row r="4347" spans="2:12" x14ac:dyDescent="0.3">
      <c r="B4347" s="112" t="s">
        <v>6</v>
      </c>
      <c r="C4347" s="415" t="s">
        <v>1</v>
      </c>
      <c r="D4347" s="416"/>
      <c r="E4347" s="110" t="s">
        <v>192</v>
      </c>
      <c r="F4347" s="118" t="s">
        <v>2</v>
      </c>
      <c r="G4347" s="112" t="s">
        <v>3</v>
      </c>
      <c r="H4347" s="104"/>
      <c r="I4347" s="105" t="s">
        <v>7</v>
      </c>
      <c r="J4347" s="134"/>
      <c r="K4347" s="105" t="s">
        <v>8</v>
      </c>
      <c r="L4347" s="113" t="s">
        <v>193</v>
      </c>
    </row>
    <row r="4348" spans="2:12" x14ac:dyDescent="0.3">
      <c r="B4348" s="120">
        <v>1</v>
      </c>
      <c r="C4348" s="434" t="s">
        <v>516</v>
      </c>
      <c r="D4348" s="434"/>
      <c r="E4348" s="114">
        <f>I4320</f>
        <v>40</v>
      </c>
      <c r="F4348" s="83">
        <f>ROUND(E4348/I4320,2)</f>
        <v>1</v>
      </c>
      <c r="G4348" s="74" t="str">
        <f>IF(C4348=0,0,VLOOKUP(C4348,Tabla2[],2,FALSE))</f>
        <v>m²</v>
      </c>
      <c r="I4348" s="115">
        <f>IF(C4348=0,0,VLOOKUP(C4348,Tabla2[],3,FALSE))</f>
        <v>185</v>
      </c>
      <c r="K4348" s="84">
        <f>+F4348*I4348</f>
        <v>185</v>
      </c>
      <c r="L4348" s="116">
        <f>E4348*I4348</f>
        <v>7400</v>
      </c>
    </row>
    <row r="4349" spans="2:12" x14ac:dyDescent="0.3">
      <c r="B4349" s="120"/>
      <c r="C4349" s="409"/>
      <c r="D4349" s="409"/>
      <c r="E4349" s="114"/>
      <c r="F4349" s="83"/>
      <c r="G4349" s="74"/>
      <c r="I4349" s="115">
        <f>IF(C4349=0,0,VLOOKUP(C4349,Tabla2[],3,FALSE))</f>
        <v>0</v>
      </c>
      <c r="K4349" s="84">
        <f>+F4349*I4349</f>
        <v>0</v>
      </c>
      <c r="L4349" s="116">
        <f>E4349*I4349</f>
        <v>0</v>
      </c>
    </row>
    <row r="4350" spans="2:12" ht="17.25" thickBot="1" x14ac:dyDescent="0.35">
      <c r="B4350" s="121"/>
      <c r="C4350" s="417"/>
      <c r="D4350" s="418"/>
      <c r="E4350" s="122"/>
      <c r="F4350" s="123"/>
      <c r="G4350" s="74"/>
      <c r="I4350" s="115">
        <f>IF(C4350=0,0,VLOOKUP(C4350,Tabla2[],3,FALSE))</f>
        <v>0</v>
      </c>
      <c r="K4350" s="84">
        <f>+F4350*I4350</f>
        <v>0</v>
      </c>
      <c r="L4350" s="116">
        <f>E4350*I4350</f>
        <v>0</v>
      </c>
    </row>
    <row r="4351" spans="2:12" ht="17.25" thickBot="1" x14ac:dyDescent="0.35">
      <c r="B4351" s="419" t="s">
        <v>15</v>
      </c>
      <c r="C4351" s="420"/>
      <c r="D4351" s="420"/>
      <c r="E4351" s="420"/>
      <c r="F4351" s="420"/>
      <c r="G4351" s="421"/>
      <c r="I4351" s="84">
        <v>0</v>
      </c>
      <c r="K4351" s="84">
        <v>0</v>
      </c>
      <c r="L4351" s="116">
        <f>E4351*I4351</f>
        <v>0</v>
      </c>
    </row>
    <row r="4352" spans="2:12" ht="17.25" thickBot="1" x14ac:dyDescent="0.35"/>
    <row r="4353" spans="2:16" ht="17.25" thickBot="1" x14ac:dyDescent="0.35">
      <c r="F4353" s="402" t="s">
        <v>16</v>
      </c>
      <c r="G4353" s="403"/>
      <c r="H4353" s="403"/>
      <c r="I4353" s="404"/>
      <c r="K4353" s="224">
        <f>+SUM(K4348:K4351)</f>
        <v>185</v>
      </c>
      <c r="L4353" s="117">
        <f>+SUM(L4348:L4351)</f>
        <v>7400</v>
      </c>
    </row>
    <row r="4354" spans="2:16" ht="17.25" thickBot="1" x14ac:dyDescent="0.35"/>
    <row r="4355" spans="2:16" ht="17.25" thickBot="1" x14ac:dyDescent="0.35">
      <c r="B4355" s="108" t="s">
        <v>17</v>
      </c>
      <c r="C4355" s="413" t="s">
        <v>18</v>
      </c>
      <c r="D4355" s="413"/>
      <c r="E4355" s="413"/>
      <c r="F4355" s="413"/>
      <c r="G4355" s="414"/>
    </row>
    <row r="4356" spans="2:16" x14ac:dyDescent="0.3">
      <c r="B4356" s="112" t="s">
        <v>6</v>
      </c>
      <c r="C4356" s="415" t="s">
        <v>1</v>
      </c>
      <c r="D4356" s="416"/>
      <c r="E4356" s="124"/>
      <c r="F4356" s="118" t="s">
        <v>2</v>
      </c>
      <c r="G4356" s="112" t="s">
        <v>3</v>
      </c>
      <c r="H4356" s="104"/>
      <c r="I4356" s="105" t="s">
        <v>7</v>
      </c>
      <c r="J4356" s="134"/>
      <c r="K4356" s="105" t="s">
        <v>8</v>
      </c>
      <c r="L4356" s="113" t="s">
        <v>193</v>
      </c>
    </row>
    <row r="4357" spans="2:16" x14ac:dyDescent="0.3">
      <c r="B4357" s="74"/>
      <c r="C4357" s="411"/>
      <c r="D4357" s="412"/>
      <c r="E4357" s="125"/>
      <c r="F4357" s="72"/>
      <c r="G4357" s="74"/>
      <c r="I4357" s="84">
        <v>0</v>
      </c>
      <c r="K4357" s="84">
        <f>+F4357*I4357</f>
        <v>0</v>
      </c>
      <c r="L4357" s="116">
        <f>E4357*I4357</f>
        <v>0</v>
      </c>
    </row>
    <row r="4358" spans="2:16" x14ac:dyDescent="0.3">
      <c r="B4358" s="74"/>
      <c r="C4358" s="411"/>
      <c r="D4358" s="412"/>
      <c r="E4358" s="125"/>
      <c r="F4358" s="72"/>
      <c r="G4358" s="74"/>
      <c r="I4358" s="84">
        <v>0</v>
      </c>
      <c r="K4358" s="84">
        <f>+F4358*I4358</f>
        <v>0</v>
      </c>
      <c r="L4358" s="116">
        <f>E4358*I4358</f>
        <v>0</v>
      </c>
    </row>
    <row r="4359" spans="2:16" x14ac:dyDescent="0.3">
      <c r="B4359" s="74"/>
      <c r="C4359" s="411"/>
      <c r="D4359" s="412"/>
      <c r="E4359" s="125"/>
      <c r="F4359" s="72"/>
      <c r="G4359" s="74"/>
      <c r="I4359" s="84">
        <v>0</v>
      </c>
      <c r="K4359" s="84">
        <f>+F4359*I4359</f>
        <v>0</v>
      </c>
      <c r="L4359" s="116">
        <f>E4359*I4359</f>
        <v>0</v>
      </c>
    </row>
    <row r="4360" spans="2:16" ht="17.25" thickBot="1" x14ac:dyDescent="0.35">
      <c r="L4360" s="116"/>
    </row>
    <row r="4361" spans="2:16" ht="17.25" thickBot="1" x14ac:dyDescent="0.35">
      <c r="F4361" s="402" t="s">
        <v>19</v>
      </c>
      <c r="G4361" s="403"/>
      <c r="H4361" s="403"/>
      <c r="I4361" s="404"/>
      <c r="K4361" s="224">
        <f>+SUM(K4357:K4359)</f>
        <v>0</v>
      </c>
      <c r="L4361" s="117">
        <f>+SUM(L4356:L4359)</f>
        <v>0</v>
      </c>
    </row>
    <row r="4362" spans="2:16" ht="15" customHeight="1" x14ac:dyDescent="0.3">
      <c r="F4362" s="126"/>
      <c r="G4362" s="280"/>
      <c r="H4362" s="128"/>
      <c r="I4362" s="106"/>
      <c r="K4362" s="225"/>
    </row>
    <row r="4363" spans="2:16" ht="15" customHeight="1" thickBot="1" x14ac:dyDescent="0.35"/>
    <row r="4364" spans="2:16" ht="17.25" thickBot="1" x14ac:dyDescent="0.35">
      <c r="F4364" s="402" t="s">
        <v>20</v>
      </c>
      <c r="G4364" s="403"/>
      <c r="H4364" s="403"/>
      <c r="I4364" s="404"/>
      <c r="K4364" s="224">
        <f>(+K4335+K4344+K4353+K4361)</f>
        <v>185</v>
      </c>
      <c r="L4364" s="117">
        <f>(+L4335+L4344+L4353+L4361)</f>
        <v>7400</v>
      </c>
      <c r="N4364" s="129"/>
      <c r="O4364" s="39"/>
      <c r="P4364" s="40"/>
    </row>
    <row r="4365" spans="2:16" ht="7.5" customHeight="1" thickBot="1" x14ac:dyDescent="0.35">
      <c r="N4365" s="129"/>
      <c r="O4365" s="41"/>
      <c r="P4365" s="40"/>
    </row>
    <row r="4366" spans="2:16" ht="17.25" thickBot="1" x14ac:dyDescent="0.35">
      <c r="F4366" s="402" t="s">
        <v>21</v>
      </c>
      <c r="G4366" s="403"/>
      <c r="H4366" s="403"/>
      <c r="I4366" s="404"/>
      <c r="K4366" s="224">
        <f>K4364*$N$2</f>
        <v>74</v>
      </c>
      <c r="L4366" s="117">
        <f>L4364*$N$2</f>
        <v>2960</v>
      </c>
    </row>
    <row r="4367" spans="2:16" ht="7.5" customHeight="1" thickBot="1" x14ac:dyDescent="0.35"/>
    <row r="4368" spans="2:16" ht="17.25" thickBot="1" x14ac:dyDescent="0.35">
      <c r="F4368" s="402" t="s">
        <v>22</v>
      </c>
      <c r="G4368" s="403"/>
      <c r="H4368" s="403"/>
      <c r="I4368" s="404"/>
      <c r="K4368" s="224">
        <f>+K4364+K4366</f>
        <v>259</v>
      </c>
      <c r="L4368" s="117">
        <f>+L4364+L4366</f>
        <v>10360</v>
      </c>
    </row>
    <row r="4369" spans="1:16" ht="17.25" thickBot="1" x14ac:dyDescent="0.35">
      <c r="F4369" s="126"/>
      <c r="G4369" s="280"/>
      <c r="H4369" s="128"/>
      <c r="I4369" s="106"/>
      <c r="K4369" s="226"/>
      <c r="L4369" s="130">
        <f>L4368/I4320</f>
        <v>259</v>
      </c>
      <c r="M4369" s="131">
        <f>(K4368-L4369)*I4320</f>
        <v>0</v>
      </c>
    </row>
    <row r="4370" spans="1:16" x14ac:dyDescent="0.3">
      <c r="F4370" s="126"/>
      <c r="G4370" s="280"/>
      <c r="H4370" s="128"/>
      <c r="I4370" s="106"/>
      <c r="K4370" s="227"/>
      <c r="L4370" s="129"/>
      <c r="M4370" s="132"/>
      <c r="N4370" s="133"/>
    </row>
    <row r="4371" spans="1:16" ht="17.25" thickBot="1" x14ac:dyDescent="0.35">
      <c r="B4371" s="405"/>
      <c r="C4371" s="405"/>
      <c r="D4371" s="405"/>
    </row>
    <row r="4372" spans="1:16" x14ac:dyDescent="0.3">
      <c r="B4372" s="406" t="s">
        <v>23</v>
      </c>
      <c r="C4372" s="406"/>
      <c r="D4372" s="406"/>
    </row>
    <row r="4373" spans="1:16" x14ac:dyDescent="0.3">
      <c r="B4373" s="281"/>
      <c r="C4373" s="281"/>
      <c r="D4373" s="281"/>
    </row>
    <row r="4375" spans="1:16" x14ac:dyDescent="0.3">
      <c r="B4375" s="103" t="s">
        <v>43</v>
      </c>
      <c r="C4375" s="104"/>
      <c r="D4375" s="422" t="s">
        <v>1</v>
      </c>
      <c r="E4375" s="422"/>
      <c r="F4375" s="422"/>
      <c r="G4375" s="422"/>
      <c r="H4375" s="104"/>
      <c r="I4375" s="105" t="s">
        <v>2</v>
      </c>
      <c r="J4375" s="134"/>
      <c r="K4375" s="105" t="s">
        <v>3</v>
      </c>
    </row>
    <row r="4376" spans="1:16" s="4" customFormat="1" ht="30.75" customHeight="1" x14ac:dyDescent="0.25">
      <c r="A4376" s="31"/>
      <c r="B4376" s="287">
        <f>CATALOGO!B141</f>
        <v>1105.01</v>
      </c>
      <c r="C4376" s="71"/>
      <c r="D4376" s="437" t="str">
        <f>CATALOGO!C141</f>
        <v>TABLERO ELÉCTRICO (04 POLOS)</v>
      </c>
      <c r="E4376" s="437"/>
      <c r="F4376" s="437"/>
      <c r="G4376" s="437"/>
      <c r="H4376" s="71"/>
      <c r="I4376" s="287">
        <f>CATALOGO!D141</f>
        <v>2</v>
      </c>
      <c r="J4376" s="107"/>
      <c r="K4376" s="222" t="str">
        <f>CATALOGO!G141</f>
        <v>Unidad</v>
      </c>
      <c r="L4376" s="71"/>
      <c r="M4376" s="71"/>
      <c r="N4376" s="102"/>
      <c r="O4376" s="37"/>
      <c r="P4376" s="37"/>
    </row>
    <row r="4377" spans="1:16" ht="17.25" thickBot="1" x14ac:dyDescent="0.35"/>
    <row r="4378" spans="1:16" ht="17.25" thickBot="1" x14ac:dyDescent="0.35">
      <c r="B4378" s="108" t="s">
        <v>4</v>
      </c>
      <c r="C4378" s="413" t="s">
        <v>5</v>
      </c>
      <c r="D4378" s="413"/>
      <c r="E4378" s="413"/>
      <c r="F4378" s="413"/>
      <c r="G4378" s="414"/>
    </row>
    <row r="4379" spans="1:16" x14ac:dyDescent="0.25">
      <c r="B4379" s="109" t="s">
        <v>6</v>
      </c>
      <c r="C4379" s="424" t="s">
        <v>1</v>
      </c>
      <c r="D4379" s="425"/>
      <c r="E4379" s="110" t="s">
        <v>192</v>
      </c>
      <c r="F4379" s="111" t="s">
        <v>2</v>
      </c>
      <c r="G4379" s="112" t="s">
        <v>3</v>
      </c>
      <c r="H4379" s="104"/>
      <c r="I4379" s="105" t="s">
        <v>7</v>
      </c>
      <c r="J4379" s="134"/>
      <c r="K4379" s="223" t="s">
        <v>8</v>
      </c>
      <c r="L4379" s="113" t="s">
        <v>193</v>
      </c>
      <c r="O4379" s="438"/>
      <c r="P4379" s="438"/>
    </row>
    <row r="4380" spans="1:16" x14ac:dyDescent="0.25">
      <c r="B4380" s="120">
        <v>1</v>
      </c>
      <c r="C4380" s="407" t="s">
        <v>472</v>
      </c>
      <c r="D4380" s="408"/>
      <c r="E4380" s="114">
        <f>I4376</f>
        <v>2</v>
      </c>
      <c r="F4380" s="83">
        <f>ROUND(E4380/I4376,2)</f>
        <v>1</v>
      </c>
      <c r="G4380" s="74" t="str">
        <f>IF(C4380=0,0,VLOOKUP(C4380,Tabla1[],2,FALSE))</f>
        <v>Unidad</v>
      </c>
      <c r="I4380" s="115">
        <f>IF(C4380=0,0,VLOOKUP(C4380,Tabla1[],3,FALSE))</f>
        <v>250</v>
      </c>
      <c r="K4380" s="84">
        <f>F4380*I4380</f>
        <v>250</v>
      </c>
      <c r="L4380" s="116">
        <f t="shared" ref="L4380:L4386" si="114">E4380*I4380</f>
        <v>500</v>
      </c>
      <c r="O4380" s="44"/>
      <c r="P4380" s="45"/>
    </row>
    <row r="4381" spans="1:16" x14ac:dyDescent="0.25">
      <c r="B4381" s="120">
        <v>2</v>
      </c>
      <c r="C4381" s="407" t="s">
        <v>243</v>
      </c>
      <c r="D4381" s="408"/>
      <c r="E4381" s="114">
        <f>E4380*8</f>
        <v>16</v>
      </c>
      <c r="F4381" s="83">
        <f>ROUND(E4381/I4376,2)</f>
        <v>8</v>
      </c>
      <c r="G4381" s="74" t="str">
        <f>IF(C4381=0,0,VLOOKUP(C4381,Tabla1[],2,FALSE))</f>
        <v>Unidad</v>
      </c>
      <c r="I4381" s="115">
        <f>IF(C4381=0,0,VLOOKUP(C4381,Tabla1[],3,FALSE))</f>
        <v>50</v>
      </c>
      <c r="K4381" s="84">
        <f>F4381*I4381</f>
        <v>400</v>
      </c>
      <c r="L4381" s="116">
        <f t="shared" si="114"/>
        <v>800</v>
      </c>
      <c r="O4381" s="44"/>
      <c r="P4381" s="45"/>
    </row>
    <row r="4382" spans="1:16" x14ac:dyDescent="0.25">
      <c r="B4382" s="120">
        <v>3</v>
      </c>
      <c r="C4382" s="430" t="s">
        <v>251</v>
      </c>
      <c r="D4382" s="429"/>
      <c r="E4382" s="114">
        <f>I4376*104</f>
        <v>208</v>
      </c>
      <c r="F4382" s="83">
        <f>ROUND(E4382/I4376,1)</f>
        <v>104</v>
      </c>
      <c r="G4382" s="74" t="str">
        <f>IF(C4382=0,0,VLOOKUP(C4382,Tabla1[],2,FALSE))</f>
        <v>ml</v>
      </c>
      <c r="I4382" s="115">
        <f>IF(C4382=0,0,VLOOKUP(C4382,Tabla1[],3,FALSE))</f>
        <v>10</v>
      </c>
      <c r="K4382" s="84">
        <f>+F4382*I4382</f>
        <v>1040</v>
      </c>
      <c r="L4382" s="116">
        <f t="shared" si="114"/>
        <v>2080</v>
      </c>
      <c r="O4382" s="44"/>
      <c r="P4382" s="46"/>
    </row>
    <row r="4383" spans="1:16" x14ac:dyDescent="0.25">
      <c r="B4383" s="120">
        <v>4</v>
      </c>
      <c r="C4383" s="430" t="s">
        <v>254</v>
      </c>
      <c r="D4383" s="429"/>
      <c r="E4383" s="114">
        <f>E4384*2</f>
        <v>20</v>
      </c>
      <c r="F4383" s="83">
        <f>ROUND(E4383/I4376,2)</f>
        <v>10</v>
      </c>
      <c r="G4383" s="74" t="str">
        <f>IF(C4383=0,0,VLOOKUP(C4383,Tabla1[],2,FALSE))</f>
        <v>Unidad</v>
      </c>
      <c r="I4383" s="115">
        <f>IF(C4383=0,0,VLOOKUP(C4383,Tabla1[],3,FALSE))</f>
        <v>5</v>
      </c>
      <c r="K4383" s="84">
        <f>+F4383*I4383</f>
        <v>50</v>
      </c>
      <c r="L4383" s="116">
        <f t="shared" si="114"/>
        <v>100</v>
      </c>
      <c r="O4383" s="44"/>
      <c r="P4383" s="46"/>
    </row>
    <row r="4384" spans="1:16" x14ac:dyDescent="0.3">
      <c r="B4384" s="120">
        <v>5</v>
      </c>
      <c r="C4384" s="430" t="s">
        <v>253</v>
      </c>
      <c r="D4384" s="429"/>
      <c r="E4384" s="114">
        <f>I4376*5</f>
        <v>10</v>
      </c>
      <c r="F4384" s="83">
        <f>ROUND(E4384/I4376,2)</f>
        <v>5</v>
      </c>
      <c r="G4384" s="74" t="str">
        <f>IF(C4384=0,0,VLOOKUP(C4384,Tabla1[],2,FALSE))</f>
        <v>Unidad</v>
      </c>
      <c r="I4384" s="115">
        <f>IF(C4384=0,0,VLOOKUP(C4384,Tabla1[],3,FALSE))</f>
        <v>20</v>
      </c>
      <c r="K4384" s="84">
        <f>+F4384*I4384</f>
        <v>100</v>
      </c>
      <c r="L4384" s="116">
        <f t="shared" si="114"/>
        <v>200</v>
      </c>
      <c r="O4384" s="48"/>
      <c r="P4384" s="49"/>
    </row>
    <row r="4385" spans="2:16" x14ac:dyDescent="0.3">
      <c r="B4385" s="120">
        <v>6</v>
      </c>
      <c r="C4385" s="430" t="s">
        <v>255</v>
      </c>
      <c r="D4385" s="429"/>
      <c r="E4385" s="114">
        <f>I4376</f>
        <v>2</v>
      </c>
      <c r="F4385" s="83">
        <f>ROUND(E4385/I4376,2)</f>
        <v>1</v>
      </c>
      <c r="G4385" s="74" t="str">
        <f>IF(C4385=0,0,VLOOKUP(C4385,Tabla1[],2,FALSE))</f>
        <v>Unidad</v>
      </c>
      <c r="I4385" s="115">
        <f>IF(C4385=0,0,VLOOKUP(C4385,Tabla1[],3,FALSE))</f>
        <v>10</v>
      </c>
      <c r="K4385" s="84">
        <f>+F4385*I4385</f>
        <v>10</v>
      </c>
      <c r="L4385" s="116">
        <f t="shared" si="114"/>
        <v>20</v>
      </c>
      <c r="O4385" s="48"/>
      <c r="P4385" s="49"/>
    </row>
    <row r="4386" spans="2:16" x14ac:dyDescent="0.3">
      <c r="B4386" s="120">
        <v>7</v>
      </c>
      <c r="C4386" s="430" t="s">
        <v>256</v>
      </c>
      <c r="D4386" s="429"/>
      <c r="E4386" s="114">
        <f>I4376</f>
        <v>2</v>
      </c>
      <c r="F4386" s="83">
        <f>ROUND(E4386/I4376,2)</f>
        <v>1</v>
      </c>
      <c r="G4386" s="74" t="str">
        <f>IF(C4386=0,0,VLOOKUP(C4386,Tabla1[],2,FALSE))</f>
        <v>Unidad</v>
      </c>
      <c r="I4386" s="115">
        <f>IF(C4386=0,0,VLOOKUP(C4386,Tabla1[],3,FALSE))</f>
        <v>60</v>
      </c>
      <c r="K4386" s="84">
        <f>+F4386*I4386</f>
        <v>60</v>
      </c>
      <c r="L4386" s="116">
        <f t="shared" si="114"/>
        <v>120</v>
      </c>
      <c r="O4386" s="48"/>
      <c r="P4386" s="49"/>
    </row>
    <row r="4387" spans="2:16" ht="17.25" thickBot="1" x14ac:dyDescent="0.35"/>
    <row r="4388" spans="2:16" ht="17.25" thickBot="1" x14ac:dyDescent="0.3">
      <c r="F4388" s="402" t="s">
        <v>9</v>
      </c>
      <c r="G4388" s="403"/>
      <c r="H4388" s="403"/>
      <c r="I4388" s="404"/>
      <c r="K4388" s="224">
        <f>+SUM(K4380:K4386)</f>
        <v>1910</v>
      </c>
      <c r="L4388" s="117">
        <f>+SUM(L4380:L4386)</f>
        <v>3820</v>
      </c>
      <c r="O4388" s="38"/>
      <c r="P4388" s="38"/>
    </row>
    <row r="4389" spans="2:16" ht="17.25" thickBot="1" x14ac:dyDescent="0.35">
      <c r="O4389" s="42"/>
      <c r="P4389" s="43"/>
    </row>
    <row r="4390" spans="2:16" ht="17.25" thickBot="1" x14ac:dyDescent="0.35">
      <c r="B4390" s="108" t="s">
        <v>10</v>
      </c>
      <c r="C4390" s="413" t="s">
        <v>11</v>
      </c>
      <c r="D4390" s="413"/>
      <c r="E4390" s="413"/>
      <c r="F4390" s="413"/>
      <c r="G4390" s="414"/>
    </row>
    <row r="4391" spans="2:16" x14ac:dyDescent="0.3">
      <c r="B4391" s="112" t="s">
        <v>6</v>
      </c>
      <c r="C4391" s="415" t="s">
        <v>1</v>
      </c>
      <c r="D4391" s="416"/>
      <c r="E4391" s="110" t="s">
        <v>192</v>
      </c>
      <c r="F4391" s="118" t="s">
        <v>2</v>
      </c>
      <c r="G4391" s="112" t="s">
        <v>3</v>
      </c>
      <c r="H4391" s="104"/>
      <c r="I4391" s="105" t="s">
        <v>7</v>
      </c>
      <c r="J4391" s="134"/>
      <c r="K4391" s="105" t="s">
        <v>8</v>
      </c>
      <c r="L4391" s="113" t="s">
        <v>193</v>
      </c>
    </row>
    <row r="4392" spans="2:16" x14ac:dyDescent="0.3">
      <c r="B4392" s="120"/>
      <c r="C4392" s="409"/>
      <c r="D4392" s="409"/>
      <c r="E4392" s="114"/>
      <c r="F4392" s="83"/>
      <c r="G4392" s="74"/>
      <c r="I4392" s="115">
        <f>IF(C4392=0,0,VLOOKUP(C4392,Tabla3[],3,FALSE))</f>
        <v>0</v>
      </c>
      <c r="K4392" s="84">
        <f>F4392*I4392</f>
        <v>0</v>
      </c>
      <c r="L4392" s="116">
        <f>E4392*I4392</f>
        <v>0</v>
      </c>
    </row>
    <row r="4393" spans="2:16" x14ac:dyDescent="0.3">
      <c r="B4393" s="74"/>
      <c r="C4393" s="431"/>
      <c r="D4393" s="432"/>
      <c r="E4393" s="119"/>
      <c r="F4393" s="72"/>
      <c r="G4393" s="74"/>
      <c r="I4393" s="115">
        <f>IF(C4393=0,0,VLOOKUP(C4393,Tabla3[],3,FALSE))</f>
        <v>0</v>
      </c>
      <c r="K4393" s="84">
        <f>+F4393*I4393</f>
        <v>0</v>
      </c>
      <c r="L4393" s="116">
        <f>E4393*I4393</f>
        <v>0</v>
      </c>
    </row>
    <row r="4394" spans="2:16" x14ac:dyDescent="0.3">
      <c r="B4394" s="74"/>
      <c r="C4394" s="431"/>
      <c r="D4394" s="432"/>
      <c r="E4394" s="119"/>
      <c r="F4394" s="72"/>
      <c r="G4394" s="74"/>
      <c r="I4394" s="115">
        <f>IF(C4394=0,0,VLOOKUP(C4394,Tabla3[],3,FALSE))</f>
        <v>0</v>
      </c>
      <c r="K4394" s="84">
        <f>+F4394*I4394</f>
        <v>0</v>
      </c>
      <c r="L4394" s="116">
        <f>E4394*I4394</f>
        <v>0</v>
      </c>
    </row>
    <row r="4395" spans="2:16" x14ac:dyDescent="0.3">
      <c r="B4395" s="74"/>
      <c r="C4395" s="411"/>
      <c r="D4395" s="412"/>
      <c r="E4395" s="119"/>
      <c r="F4395" s="72"/>
      <c r="G4395" s="74"/>
      <c r="I4395" s="115">
        <f>IF(C4395=0,0,VLOOKUP(C4395,Tabla3[],3,FALSE))</f>
        <v>0</v>
      </c>
      <c r="K4395" s="84">
        <f>+F4395*I4395</f>
        <v>0</v>
      </c>
      <c r="L4395" s="116">
        <f>E4395*I4395</f>
        <v>0</v>
      </c>
    </row>
    <row r="4396" spans="2:16" ht="17.25" thickBot="1" x14ac:dyDescent="0.35"/>
    <row r="4397" spans="2:16" ht="17.25" thickBot="1" x14ac:dyDescent="0.35">
      <c r="F4397" s="402" t="s">
        <v>12</v>
      </c>
      <c r="G4397" s="403"/>
      <c r="H4397" s="403"/>
      <c r="I4397" s="404"/>
      <c r="K4397" s="224">
        <f>+SUM(K4392:K4395)</f>
        <v>0</v>
      </c>
      <c r="L4397" s="117">
        <f>+SUM(L4392:L4395)</f>
        <v>0</v>
      </c>
    </row>
    <row r="4398" spans="2:16" ht="17.25" thickBot="1" x14ac:dyDescent="0.35"/>
    <row r="4399" spans="2:16" ht="17.25" thickBot="1" x14ac:dyDescent="0.35">
      <c r="B4399" s="108" t="s">
        <v>13</v>
      </c>
      <c r="C4399" s="413" t="s">
        <v>14</v>
      </c>
      <c r="D4399" s="413"/>
      <c r="E4399" s="413"/>
      <c r="F4399" s="413"/>
      <c r="G4399" s="414"/>
    </row>
    <row r="4400" spans="2:16" x14ac:dyDescent="0.3">
      <c r="B4400" s="112" t="s">
        <v>6</v>
      </c>
      <c r="C4400" s="415" t="s">
        <v>1</v>
      </c>
      <c r="D4400" s="416"/>
      <c r="E4400" s="110" t="s">
        <v>192</v>
      </c>
      <c r="F4400" s="118" t="s">
        <v>2</v>
      </c>
      <c r="G4400" s="112" t="s">
        <v>3</v>
      </c>
      <c r="H4400" s="104"/>
      <c r="I4400" s="105" t="s">
        <v>7</v>
      </c>
      <c r="J4400" s="134"/>
      <c r="K4400" s="105" t="s">
        <v>8</v>
      </c>
      <c r="L4400" s="113" t="s">
        <v>193</v>
      </c>
    </row>
    <row r="4401" spans="2:12" x14ac:dyDescent="0.3">
      <c r="B4401" s="120">
        <v>1</v>
      </c>
      <c r="C4401" s="409" t="s">
        <v>252</v>
      </c>
      <c r="D4401" s="409"/>
      <c r="E4401" s="114">
        <f>I4376</f>
        <v>2</v>
      </c>
      <c r="F4401" s="83">
        <f>ROUND(E4401/I4376,2)</f>
        <v>1</v>
      </c>
      <c r="G4401" s="74" t="str">
        <f>IF(C4401=0,0,VLOOKUP(C4401,Tabla2[],2,FALSE))</f>
        <v>Unidad</v>
      </c>
      <c r="I4401" s="115">
        <f>IF(C4401=0,0,VLOOKUP(C4401,Tabla2[],3,FALSE))</f>
        <v>250</v>
      </c>
      <c r="K4401" s="84">
        <f>+F4401*I4401</f>
        <v>250</v>
      </c>
      <c r="L4401" s="116">
        <f>E4401*I4401</f>
        <v>500</v>
      </c>
    </row>
    <row r="4402" spans="2:12" x14ac:dyDescent="0.3">
      <c r="B4402" s="120"/>
      <c r="C4402" s="409"/>
      <c r="D4402" s="409"/>
      <c r="E4402" s="114"/>
      <c r="F4402" s="83"/>
      <c r="G4402" s="74"/>
      <c r="I4402" s="115">
        <f>IF(C4402=0,0,VLOOKUP(C4402,Tabla2[],3,FALSE))</f>
        <v>0</v>
      </c>
      <c r="K4402" s="84">
        <f>+F4402*I4402</f>
        <v>0</v>
      </c>
      <c r="L4402" s="116">
        <f>E4402*I4402</f>
        <v>0</v>
      </c>
    </row>
    <row r="4403" spans="2:12" ht="17.25" thickBot="1" x14ac:dyDescent="0.35">
      <c r="B4403" s="121"/>
      <c r="C4403" s="417"/>
      <c r="D4403" s="418"/>
      <c r="E4403" s="122"/>
      <c r="F4403" s="123"/>
      <c r="G4403" s="74"/>
      <c r="I4403" s="115">
        <f>IF(C4403=0,0,VLOOKUP(C4403,Tabla2[],3,FALSE))</f>
        <v>0</v>
      </c>
      <c r="K4403" s="84">
        <f>+F4403*I4403</f>
        <v>0</v>
      </c>
      <c r="L4403" s="116">
        <f>E4403*I4403</f>
        <v>0</v>
      </c>
    </row>
    <row r="4404" spans="2:12" ht="17.25" thickBot="1" x14ac:dyDescent="0.35">
      <c r="B4404" s="419" t="s">
        <v>15</v>
      </c>
      <c r="C4404" s="420"/>
      <c r="D4404" s="420"/>
      <c r="E4404" s="420"/>
      <c r="F4404" s="420"/>
      <c r="G4404" s="421"/>
      <c r="I4404" s="84">
        <v>0</v>
      </c>
      <c r="K4404" s="84">
        <v>0</v>
      </c>
      <c r="L4404" s="116">
        <f>E4404*I4404</f>
        <v>0</v>
      </c>
    </row>
    <row r="4405" spans="2:12" ht="17.25" thickBot="1" x14ac:dyDescent="0.35"/>
    <row r="4406" spans="2:12" ht="17.25" thickBot="1" x14ac:dyDescent="0.35">
      <c r="F4406" s="402" t="s">
        <v>16</v>
      </c>
      <c r="G4406" s="403"/>
      <c r="H4406" s="403"/>
      <c r="I4406" s="404"/>
      <c r="K4406" s="224">
        <f>+SUM(K4401:K4404)</f>
        <v>250</v>
      </c>
      <c r="L4406" s="117">
        <f>+SUM(L4401:L4404)</f>
        <v>500</v>
      </c>
    </row>
    <row r="4407" spans="2:12" ht="17.25" thickBot="1" x14ac:dyDescent="0.35"/>
    <row r="4408" spans="2:12" ht="17.25" thickBot="1" x14ac:dyDescent="0.35">
      <c r="B4408" s="108" t="s">
        <v>17</v>
      </c>
      <c r="C4408" s="413" t="s">
        <v>18</v>
      </c>
      <c r="D4408" s="413"/>
      <c r="E4408" s="413"/>
      <c r="F4408" s="413"/>
      <c r="G4408" s="414"/>
    </row>
    <row r="4409" spans="2:12" x14ac:dyDescent="0.3">
      <c r="B4409" s="112" t="s">
        <v>6</v>
      </c>
      <c r="C4409" s="415" t="s">
        <v>1</v>
      </c>
      <c r="D4409" s="416"/>
      <c r="E4409" s="124"/>
      <c r="F4409" s="118" t="s">
        <v>2</v>
      </c>
      <c r="G4409" s="112" t="s">
        <v>3</v>
      </c>
      <c r="H4409" s="104"/>
      <c r="I4409" s="105" t="s">
        <v>7</v>
      </c>
      <c r="J4409" s="134"/>
      <c r="K4409" s="105" t="s">
        <v>8</v>
      </c>
      <c r="L4409" s="113" t="s">
        <v>193</v>
      </c>
    </row>
    <row r="4410" spans="2:12" x14ac:dyDescent="0.3">
      <c r="B4410" s="74"/>
      <c r="C4410" s="411"/>
      <c r="D4410" s="412"/>
      <c r="E4410" s="125"/>
      <c r="F4410" s="72"/>
      <c r="G4410" s="74"/>
      <c r="I4410" s="84">
        <v>0</v>
      </c>
      <c r="K4410" s="84">
        <f>+F4410*I4410</f>
        <v>0</v>
      </c>
      <c r="L4410" s="116">
        <f>E4410*I4410</f>
        <v>0</v>
      </c>
    </row>
    <row r="4411" spans="2:12" x14ac:dyDescent="0.3">
      <c r="B4411" s="74"/>
      <c r="C4411" s="411"/>
      <c r="D4411" s="412"/>
      <c r="E4411" s="125"/>
      <c r="F4411" s="72"/>
      <c r="G4411" s="74"/>
      <c r="I4411" s="84">
        <v>0</v>
      </c>
      <c r="K4411" s="84">
        <f>+F4411*I4411</f>
        <v>0</v>
      </c>
      <c r="L4411" s="116">
        <f>E4411*I4411</f>
        <v>0</v>
      </c>
    </row>
    <row r="4412" spans="2:12" x14ac:dyDescent="0.3">
      <c r="B4412" s="74"/>
      <c r="C4412" s="411"/>
      <c r="D4412" s="412"/>
      <c r="E4412" s="125"/>
      <c r="F4412" s="72"/>
      <c r="G4412" s="74"/>
      <c r="I4412" s="84">
        <v>0</v>
      </c>
      <c r="K4412" s="84">
        <f>+F4412*I4412</f>
        <v>0</v>
      </c>
      <c r="L4412" s="116">
        <f>E4412*I4412</f>
        <v>0</v>
      </c>
    </row>
    <row r="4413" spans="2:12" ht="17.25" thickBot="1" x14ac:dyDescent="0.35">
      <c r="L4413" s="116"/>
    </row>
    <row r="4414" spans="2:12" ht="17.25" thickBot="1" x14ac:dyDescent="0.35">
      <c r="F4414" s="402" t="s">
        <v>19</v>
      </c>
      <c r="G4414" s="403"/>
      <c r="H4414" s="403"/>
      <c r="I4414" s="404"/>
      <c r="K4414" s="224">
        <f>+SUM(K4410:K4412)</f>
        <v>0</v>
      </c>
      <c r="L4414" s="117">
        <f>+SUM(L4409:L4412)</f>
        <v>0</v>
      </c>
    </row>
    <row r="4415" spans="2:12" ht="15" customHeight="1" x14ac:dyDescent="0.3">
      <c r="F4415" s="126"/>
      <c r="G4415" s="280"/>
      <c r="H4415" s="128"/>
      <c r="I4415" s="106"/>
      <c r="K4415" s="225"/>
    </row>
    <row r="4416" spans="2:12" ht="15" customHeight="1" thickBot="1" x14ac:dyDescent="0.35"/>
    <row r="4417" spans="1:16" ht="17.25" thickBot="1" x14ac:dyDescent="0.35">
      <c r="F4417" s="402" t="s">
        <v>20</v>
      </c>
      <c r="G4417" s="403"/>
      <c r="H4417" s="403"/>
      <c r="I4417" s="404"/>
      <c r="K4417" s="224">
        <f>(+K4388+K4397+K4406+K4414)</f>
        <v>2160</v>
      </c>
      <c r="L4417" s="117">
        <f>(+L4388+L4397+L4406+L4414)</f>
        <v>4320</v>
      </c>
      <c r="N4417" s="129"/>
      <c r="O4417" s="39"/>
      <c r="P4417" s="40"/>
    </row>
    <row r="4418" spans="1:16" ht="7.5" customHeight="1" thickBot="1" x14ac:dyDescent="0.35">
      <c r="N4418" s="129"/>
      <c r="O4418" s="41"/>
      <c r="P4418" s="40"/>
    </row>
    <row r="4419" spans="1:16" ht="17.25" thickBot="1" x14ac:dyDescent="0.35">
      <c r="F4419" s="402" t="s">
        <v>21</v>
      </c>
      <c r="G4419" s="403"/>
      <c r="H4419" s="403"/>
      <c r="I4419" s="404"/>
      <c r="K4419" s="224">
        <f>K4417*$N$2</f>
        <v>864</v>
      </c>
      <c r="L4419" s="117">
        <f>L4417*$N$2</f>
        <v>1728</v>
      </c>
    </row>
    <row r="4420" spans="1:16" ht="7.5" customHeight="1" thickBot="1" x14ac:dyDescent="0.35"/>
    <row r="4421" spans="1:16" ht="17.25" thickBot="1" x14ac:dyDescent="0.35">
      <c r="F4421" s="402" t="s">
        <v>22</v>
      </c>
      <c r="G4421" s="403"/>
      <c r="H4421" s="403"/>
      <c r="I4421" s="404"/>
      <c r="K4421" s="224">
        <f>+K4417+K4419</f>
        <v>3024</v>
      </c>
      <c r="L4421" s="117">
        <f>+L4417+L4419</f>
        <v>6048</v>
      </c>
    </row>
    <row r="4422" spans="1:16" ht="17.25" thickBot="1" x14ac:dyDescent="0.35">
      <c r="F4422" s="126"/>
      <c r="G4422" s="280"/>
      <c r="H4422" s="128"/>
      <c r="I4422" s="106"/>
      <c r="K4422" s="226"/>
      <c r="L4422" s="130">
        <f>L4421/I4376</f>
        <v>3024</v>
      </c>
      <c r="M4422" s="131">
        <f>(K4421-L4422)*I4376</f>
        <v>0</v>
      </c>
    </row>
    <row r="4423" spans="1:16" x14ac:dyDescent="0.3">
      <c r="F4423" s="126"/>
      <c r="G4423" s="280"/>
      <c r="H4423" s="128"/>
      <c r="I4423" s="106"/>
      <c r="K4423" s="227"/>
      <c r="L4423" s="129"/>
      <c r="M4423" s="132"/>
      <c r="N4423" s="133"/>
    </row>
    <row r="4424" spans="1:16" ht="17.25" thickBot="1" x14ac:dyDescent="0.35">
      <c r="B4424" s="405"/>
      <c r="C4424" s="405"/>
      <c r="D4424" s="405"/>
    </row>
    <row r="4425" spans="1:16" x14ac:dyDescent="0.3">
      <c r="B4425" s="406" t="s">
        <v>23</v>
      </c>
      <c r="C4425" s="406"/>
      <c r="D4425" s="406"/>
    </row>
    <row r="4426" spans="1:16" x14ac:dyDescent="0.3">
      <c r="B4426" s="281"/>
      <c r="C4426" s="281"/>
      <c r="D4426" s="281"/>
    </row>
    <row r="4428" spans="1:16" x14ac:dyDescent="0.3">
      <c r="B4428" s="103" t="s">
        <v>43</v>
      </c>
      <c r="C4428" s="104"/>
      <c r="D4428" s="422" t="s">
        <v>1</v>
      </c>
      <c r="E4428" s="422"/>
      <c r="F4428" s="422"/>
      <c r="G4428" s="422"/>
      <c r="H4428" s="104"/>
      <c r="I4428" s="105" t="s">
        <v>2</v>
      </c>
      <c r="J4428" s="134"/>
      <c r="K4428" s="105" t="s">
        <v>3</v>
      </c>
    </row>
    <row r="4429" spans="1:16" s="4" customFormat="1" ht="30.75" customHeight="1" x14ac:dyDescent="0.25">
      <c r="A4429" s="31"/>
      <c r="B4429" s="287">
        <f>CATALOGO!B142</f>
        <v>1109.03</v>
      </c>
      <c r="C4429" s="71"/>
      <c r="D4429" s="436" t="str">
        <f>CATALOGO!C142</f>
        <v>LÁMPARA LED TIPO LISTON 2 TUBOS (18 WATS)</v>
      </c>
      <c r="E4429" s="436"/>
      <c r="F4429" s="436"/>
      <c r="G4429" s="436"/>
      <c r="H4429" s="71"/>
      <c r="I4429" s="287">
        <f>CATALOGO!D142</f>
        <v>14</v>
      </c>
      <c r="J4429" s="107"/>
      <c r="K4429" s="222" t="str">
        <f>CATALOGO!G142</f>
        <v>Unidad</v>
      </c>
      <c r="L4429" s="71"/>
      <c r="M4429" s="71"/>
      <c r="N4429" s="71"/>
      <c r="O4429" s="37"/>
      <c r="P4429" s="37"/>
    </row>
    <row r="4430" spans="1:16" ht="17.25" thickBot="1" x14ac:dyDescent="0.35"/>
    <row r="4431" spans="1:16" ht="17.25" thickBot="1" x14ac:dyDescent="0.35">
      <c r="B4431" s="108" t="s">
        <v>4</v>
      </c>
      <c r="C4431" s="413" t="s">
        <v>5</v>
      </c>
      <c r="D4431" s="413"/>
      <c r="E4431" s="413"/>
      <c r="F4431" s="413"/>
      <c r="G4431" s="414"/>
    </row>
    <row r="4432" spans="1:16" x14ac:dyDescent="0.25">
      <c r="B4432" s="109" t="s">
        <v>6</v>
      </c>
      <c r="C4432" s="424" t="s">
        <v>1</v>
      </c>
      <c r="D4432" s="425"/>
      <c r="E4432" s="110" t="s">
        <v>192</v>
      </c>
      <c r="F4432" s="111" t="s">
        <v>2</v>
      </c>
      <c r="G4432" s="112" t="s">
        <v>3</v>
      </c>
      <c r="H4432" s="104"/>
      <c r="I4432" s="105" t="s">
        <v>7</v>
      </c>
      <c r="J4432" s="134"/>
      <c r="K4432" s="223" t="s">
        <v>8</v>
      </c>
      <c r="L4432" s="113" t="s">
        <v>193</v>
      </c>
      <c r="O4432" s="438"/>
      <c r="P4432" s="438"/>
    </row>
    <row r="4433" spans="2:16" ht="17.25" customHeight="1" x14ac:dyDescent="0.25">
      <c r="B4433" s="120">
        <v>1</v>
      </c>
      <c r="C4433" s="407" t="s">
        <v>257</v>
      </c>
      <c r="D4433" s="408"/>
      <c r="E4433" s="114">
        <f>I4429</f>
        <v>14</v>
      </c>
      <c r="F4433" s="83">
        <f>ROUND(E4433/I4429,2)</f>
        <v>1</v>
      </c>
      <c r="G4433" s="74" t="str">
        <f>IF(C4433=0,0,VLOOKUP(C4433,Tabla1[],2,FALSE))</f>
        <v>Unidad</v>
      </c>
      <c r="I4433" s="115">
        <f>IF(C4433=0,0,VLOOKUP(C4433,Tabla1[],3,FALSE))</f>
        <v>75</v>
      </c>
      <c r="K4433" s="84">
        <f>F4433*I4433</f>
        <v>75</v>
      </c>
      <c r="L4433" s="116">
        <f t="shared" ref="L4433:L4438" si="115">E4433*I4433</f>
        <v>1050</v>
      </c>
      <c r="O4433" s="44"/>
      <c r="P4433" s="45"/>
    </row>
    <row r="4434" spans="2:16" ht="17.25" customHeight="1" x14ac:dyDescent="0.25">
      <c r="B4434" s="120">
        <v>2</v>
      </c>
      <c r="C4434" s="407" t="s">
        <v>258</v>
      </c>
      <c r="D4434" s="408"/>
      <c r="E4434" s="114">
        <f>E4433*2</f>
        <v>28</v>
      </c>
      <c r="F4434" s="83">
        <f>ROUND(E4434/I4429,2)</f>
        <v>2</v>
      </c>
      <c r="G4434" s="74" t="str">
        <f>IF(C4434=0,0,VLOOKUP(C4434,Tabla1[],2,FALSE))</f>
        <v>Unidad</v>
      </c>
      <c r="I4434" s="115">
        <f>IF(C4434=0,0,VLOOKUP(C4434,Tabla1[],3,FALSE))</f>
        <v>40</v>
      </c>
      <c r="K4434" s="84">
        <f>F4434*I4434</f>
        <v>80</v>
      </c>
      <c r="L4434" s="116">
        <f t="shared" si="115"/>
        <v>1120</v>
      </c>
      <c r="O4434" s="44"/>
      <c r="P4434" s="45"/>
    </row>
    <row r="4435" spans="2:16" x14ac:dyDescent="0.25">
      <c r="B4435" s="120">
        <v>3</v>
      </c>
      <c r="C4435" s="430" t="s">
        <v>249</v>
      </c>
      <c r="D4435" s="429"/>
      <c r="E4435" s="114">
        <f>I4429*45</f>
        <v>630</v>
      </c>
      <c r="F4435" s="83">
        <f>ROUND(E4435/I4429,1)</f>
        <v>45</v>
      </c>
      <c r="G4435" s="74" t="str">
        <f>IF(C4435=0,0,VLOOKUP(C4435,Tabla1[],2,FALSE))</f>
        <v>ml</v>
      </c>
      <c r="I4435" s="115">
        <f>IF(C4435=0,0,VLOOKUP(C4435,Tabla1[],3,FALSE))</f>
        <v>5</v>
      </c>
      <c r="K4435" s="84">
        <f>+F4435*I4435</f>
        <v>225</v>
      </c>
      <c r="L4435" s="116">
        <f t="shared" si="115"/>
        <v>3150</v>
      </c>
      <c r="O4435" s="44"/>
      <c r="P4435" s="46"/>
    </row>
    <row r="4436" spans="2:16" x14ac:dyDescent="0.25">
      <c r="B4436" s="120">
        <v>4</v>
      </c>
      <c r="C4436" s="430" t="s">
        <v>254</v>
      </c>
      <c r="D4436" s="429"/>
      <c r="E4436" s="114">
        <f>I4429</f>
        <v>14</v>
      </c>
      <c r="F4436" s="83">
        <f>ROUND(E4436/I4429,1)</f>
        <v>1</v>
      </c>
      <c r="G4436" s="74" t="str">
        <f>IF(C4436=0,0,VLOOKUP(C4436,Tabla1[],2,FALSE))</f>
        <v>Unidad</v>
      </c>
      <c r="I4436" s="115">
        <f>IF(C4436=0,0,VLOOKUP(C4436,Tabla1[],3,FALSE))</f>
        <v>5</v>
      </c>
      <c r="K4436" s="84">
        <f>+F4436*I4436</f>
        <v>5</v>
      </c>
      <c r="L4436" s="116">
        <f t="shared" si="115"/>
        <v>70</v>
      </c>
      <c r="O4436" s="44"/>
      <c r="P4436" s="46"/>
    </row>
    <row r="4437" spans="2:16" x14ac:dyDescent="0.3">
      <c r="B4437" s="120">
        <v>5</v>
      </c>
      <c r="C4437" s="430" t="s">
        <v>253</v>
      </c>
      <c r="D4437" s="429"/>
      <c r="E4437" s="114">
        <f>I4429*2.5</f>
        <v>35</v>
      </c>
      <c r="F4437" s="83">
        <f>ROUND(E4437/I4429,2)</f>
        <v>2.5</v>
      </c>
      <c r="G4437" s="74" t="str">
        <f>IF(C4437=0,0,VLOOKUP(C4437,Tabla1[],2,FALSE))</f>
        <v>Unidad</v>
      </c>
      <c r="I4437" s="115">
        <f>IF(C4437=0,0,VLOOKUP(C4437,Tabla1[],3,FALSE))</f>
        <v>20</v>
      </c>
      <c r="K4437" s="84">
        <f>+F4437*I4437</f>
        <v>50</v>
      </c>
      <c r="L4437" s="116">
        <f t="shared" si="115"/>
        <v>700</v>
      </c>
      <c r="O4437" s="48"/>
      <c r="P4437" s="49"/>
    </row>
    <row r="4438" spans="2:16" x14ac:dyDescent="0.3">
      <c r="B4438" s="120">
        <v>6</v>
      </c>
      <c r="C4438" s="430" t="s">
        <v>259</v>
      </c>
      <c r="D4438" s="429"/>
      <c r="E4438" s="114">
        <f>I4429*6</f>
        <v>84</v>
      </c>
      <c r="F4438" s="83">
        <f>ROUND(E4438/I4429,2)</f>
        <v>6</v>
      </c>
      <c r="G4438" s="74" t="str">
        <f>IF(C4438=0,0,VLOOKUP(C4438,Tabla1[],2,FALSE))</f>
        <v>Unidad</v>
      </c>
      <c r="I4438" s="115">
        <f>IF(C4438=0,0,VLOOKUP(C4438,Tabla1[],3,FALSE))</f>
        <v>5</v>
      </c>
      <c r="K4438" s="84">
        <f>+F4438*I4438</f>
        <v>30</v>
      </c>
      <c r="L4438" s="116">
        <f t="shared" si="115"/>
        <v>420</v>
      </c>
      <c r="O4438" s="48"/>
      <c r="P4438" s="49"/>
    </row>
    <row r="4439" spans="2:16" ht="17.25" thickBot="1" x14ac:dyDescent="0.35"/>
    <row r="4440" spans="2:16" ht="17.25" thickBot="1" x14ac:dyDescent="0.3">
      <c r="F4440" s="402" t="s">
        <v>9</v>
      </c>
      <c r="G4440" s="403"/>
      <c r="H4440" s="403"/>
      <c r="I4440" s="404"/>
      <c r="K4440" s="224">
        <f>+SUM(K4433:K4438)</f>
        <v>465</v>
      </c>
      <c r="L4440" s="117">
        <f>+SUM(L4433:L4438)</f>
        <v>6510</v>
      </c>
      <c r="O4440" s="38"/>
      <c r="P4440" s="38"/>
    </row>
    <row r="4441" spans="2:16" ht="17.25" thickBot="1" x14ac:dyDescent="0.35">
      <c r="O4441" s="42"/>
      <c r="P4441" s="43"/>
    </row>
    <row r="4442" spans="2:16" ht="17.25" thickBot="1" x14ac:dyDescent="0.35">
      <c r="B4442" s="108" t="s">
        <v>10</v>
      </c>
      <c r="C4442" s="413" t="s">
        <v>11</v>
      </c>
      <c r="D4442" s="413"/>
      <c r="E4442" s="413"/>
      <c r="F4442" s="413"/>
      <c r="G4442" s="414"/>
    </row>
    <row r="4443" spans="2:16" x14ac:dyDescent="0.3">
      <c r="B4443" s="112" t="s">
        <v>6</v>
      </c>
      <c r="C4443" s="415" t="s">
        <v>1</v>
      </c>
      <c r="D4443" s="416"/>
      <c r="E4443" s="110" t="s">
        <v>192</v>
      </c>
      <c r="F4443" s="118" t="s">
        <v>2</v>
      </c>
      <c r="G4443" s="112" t="s">
        <v>3</v>
      </c>
      <c r="H4443" s="104"/>
      <c r="I4443" s="105" t="s">
        <v>7</v>
      </c>
      <c r="J4443" s="134"/>
      <c r="K4443" s="105" t="s">
        <v>8</v>
      </c>
      <c r="L4443" s="113" t="s">
        <v>193</v>
      </c>
    </row>
    <row r="4444" spans="2:16" x14ac:dyDescent="0.3">
      <c r="B4444" s="120"/>
      <c r="C4444" s="409"/>
      <c r="D4444" s="409"/>
      <c r="E4444" s="114"/>
      <c r="F4444" s="83"/>
      <c r="G4444" s="74"/>
      <c r="I4444" s="115">
        <f>IF(C4444=0,0,VLOOKUP(C4444,Tabla3[],3,FALSE))</f>
        <v>0</v>
      </c>
      <c r="K4444" s="84">
        <f>F4444*I4444</f>
        <v>0</v>
      </c>
      <c r="L4444" s="116">
        <f>E4444*I4444</f>
        <v>0</v>
      </c>
    </row>
    <row r="4445" spans="2:16" x14ac:dyDescent="0.3">
      <c r="B4445" s="74"/>
      <c r="C4445" s="431"/>
      <c r="D4445" s="432"/>
      <c r="E4445" s="119"/>
      <c r="F4445" s="72"/>
      <c r="G4445" s="74"/>
      <c r="I4445" s="115">
        <f>IF(C4445=0,0,VLOOKUP(C4445,Tabla3[],3,FALSE))</f>
        <v>0</v>
      </c>
      <c r="K4445" s="84">
        <f>+F4445*I4445</f>
        <v>0</v>
      </c>
      <c r="L4445" s="116">
        <f>E4445*I4445</f>
        <v>0</v>
      </c>
    </row>
    <row r="4446" spans="2:16" x14ac:dyDescent="0.3">
      <c r="B4446" s="74"/>
      <c r="C4446" s="431"/>
      <c r="D4446" s="432"/>
      <c r="E4446" s="119"/>
      <c r="F4446" s="72"/>
      <c r="G4446" s="74"/>
      <c r="I4446" s="115">
        <f>IF(C4446=0,0,VLOOKUP(C4446,Tabla3[],3,FALSE))</f>
        <v>0</v>
      </c>
      <c r="K4446" s="84">
        <f>+F4446*I4446</f>
        <v>0</v>
      </c>
      <c r="L4446" s="116">
        <f>E4446*I4446</f>
        <v>0</v>
      </c>
    </row>
    <row r="4447" spans="2:16" x14ac:dyDescent="0.3">
      <c r="B4447" s="74"/>
      <c r="C4447" s="411"/>
      <c r="D4447" s="412"/>
      <c r="E4447" s="119"/>
      <c r="F4447" s="72"/>
      <c r="G4447" s="74"/>
      <c r="I4447" s="115">
        <f>IF(C4447=0,0,VLOOKUP(C4447,Tabla3[],3,FALSE))</f>
        <v>0</v>
      </c>
      <c r="K4447" s="84">
        <f>+F4447*I4447</f>
        <v>0</v>
      </c>
      <c r="L4447" s="116">
        <f>E4447*I4447</f>
        <v>0</v>
      </c>
    </row>
    <row r="4448" spans="2:16" ht="17.25" thickBot="1" x14ac:dyDescent="0.35"/>
    <row r="4449" spans="2:12" ht="17.25" thickBot="1" x14ac:dyDescent="0.35">
      <c r="F4449" s="402" t="s">
        <v>12</v>
      </c>
      <c r="G4449" s="403"/>
      <c r="H4449" s="403"/>
      <c r="I4449" s="404"/>
      <c r="K4449" s="224">
        <f>+SUM(K4444:K4447)</f>
        <v>0</v>
      </c>
      <c r="L4449" s="117">
        <f>+SUM(L4444:L4447)</f>
        <v>0</v>
      </c>
    </row>
    <row r="4450" spans="2:12" ht="17.25" thickBot="1" x14ac:dyDescent="0.35"/>
    <row r="4451" spans="2:12" ht="17.25" thickBot="1" x14ac:dyDescent="0.35">
      <c r="B4451" s="108" t="s">
        <v>13</v>
      </c>
      <c r="C4451" s="413" t="s">
        <v>14</v>
      </c>
      <c r="D4451" s="413"/>
      <c r="E4451" s="413"/>
      <c r="F4451" s="413"/>
      <c r="G4451" s="414"/>
    </row>
    <row r="4452" spans="2:12" x14ac:dyDescent="0.3">
      <c r="B4452" s="112" t="s">
        <v>6</v>
      </c>
      <c r="C4452" s="415" t="s">
        <v>1</v>
      </c>
      <c r="D4452" s="416"/>
      <c r="E4452" s="110" t="s">
        <v>192</v>
      </c>
      <c r="F4452" s="118" t="s">
        <v>2</v>
      </c>
      <c r="G4452" s="112" t="s">
        <v>3</v>
      </c>
      <c r="H4452" s="104"/>
      <c r="I4452" s="105" t="s">
        <v>7</v>
      </c>
      <c r="J4452" s="134"/>
      <c r="K4452" s="105" t="s">
        <v>8</v>
      </c>
      <c r="L4452" s="113" t="s">
        <v>193</v>
      </c>
    </row>
    <row r="4453" spans="2:12" x14ac:dyDescent="0.3">
      <c r="B4453" s="120">
        <v>1</v>
      </c>
      <c r="C4453" s="409" t="s">
        <v>85</v>
      </c>
      <c r="D4453" s="409"/>
      <c r="E4453" s="114">
        <f>I4429</f>
        <v>14</v>
      </c>
      <c r="F4453" s="83">
        <f>ROUND(E4453/I4429,2)</f>
        <v>1</v>
      </c>
      <c r="G4453" s="74" t="str">
        <f>IF(C4453=0,0,VLOOKUP(C4453,Tabla2[],2,FALSE))</f>
        <v>Unidad</v>
      </c>
      <c r="I4453" s="115">
        <f>IF(C4453=0,0,VLOOKUP(C4453,Tabla2[],3,FALSE))</f>
        <v>120</v>
      </c>
      <c r="K4453" s="84">
        <f>+F4453*I4453</f>
        <v>120</v>
      </c>
      <c r="L4453" s="116">
        <f>E4453*I4453</f>
        <v>1680</v>
      </c>
    </row>
    <row r="4454" spans="2:12" x14ac:dyDescent="0.3">
      <c r="B4454" s="120"/>
      <c r="C4454" s="409"/>
      <c r="D4454" s="409"/>
      <c r="E4454" s="114"/>
      <c r="F4454" s="83"/>
      <c r="G4454" s="74"/>
      <c r="I4454" s="115">
        <f>IF(C4454=0,0,VLOOKUP(C4454,Tabla2[],3,FALSE))</f>
        <v>0</v>
      </c>
      <c r="K4454" s="84">
        <f>+F4454*I4454</f>
        <v>0</v>
      </c>
      <c r="L4454" s="116">
        <f>E4454*I4454</f>
        <v>0</v>
      </c>
    </row>
    <row r="4455" spans="2:12" ht="17.25" thickBot="1" x14ac:dyDescent="0.35">
      <c r="B4455" s="121"/>
      <c r="C4455" s="417"/>
      <c r="D4455" s="418"/>
      <c r="E4455" s="122"/>
      <c r="F4455" s="123"/>
      <c r="G4455" s="74"/>
      <c r="I4455" s="115">
        <f>IF(C4455=0,0,VLOOKUP(C4455,Tabla2[],3,FALSE))</f>
        <v>0</v>
      </c>
      <c r="K4455" s="84">
        <f>+F4455*I4455</f>
        <v>0</v>
      </c>
      <c r="L4455" s="116">
        <f>E4455*I4455</f>
        <v>0</v>
      </c>
    </row>
    <row r="4456" spans="2:12" ht="17.25" thickBot="1" x14ac:dyDescent="0.35">
      <c r="B4456" s="419" t="s">
        <v>15</v>
      </c>
      <c r="C4456" s="420"/>
      <c r="D4456" s="420"/>
      <c r="E4456" s="420"/>
      <c r="F4456" s="420"/>
      <c r="G4456" s="421"/>
      <c r="I4456" s="84">
        <v>0</v>
      </c>
      <c r="K4456" s="84">
        <v>0</v>
      </c>
      <c r="L4456" s="116">
        <f>E4456*I4456</f>
        <v>0</v>
      </c>
    </row>
    <row r="4457" spans="2:12" ht="17.25" thickBot="1" x14ac:dyDescent="0.35"/>
    <row r="4458" spans="2:12" ht="17.25" thickBot="1" x14ac:dyDescent="0.35">
      <c r="F4458" s="402" t="s">
        <v>16</v>
      </c>
      <c r="G4458" s="403"/>
      <c r="H4458" s="403"/>
      <c r="I4458" s="404"/>
      <c r="K4458" s="224">
        <f>+SUM(K4453:K4456)</f>
        <v>120</v>
      </c>
      <c r="L4458" s="117">
        <f>+SUM(L4453:L4456)</f>
        <v>1680</v>
      </c>
    </row>
    <row r="4459" spans="2:12" ht="17.25" thickBot="1" x14ac:dyDescent="0.35"/>
    <row r="4460" spans="2:12" ht="17.25" thickBot="1" x14ac:dyDescent="0.35">
      <c r="B4460" s="108" t="s">
        <v>17</v>
      </c>
      <c r="C4460" s="413" t="s">
        <v>18</v>
      </c>
      <c r="D4460" s="413"/>
      <c r="E4460" s="413"/>
      <c r="F4460" s="413"/>
      <c r="G4460" s="414"/>
    </row>
    <row r="4461" spans="2:12" x14ac:dyDescent="0.3">
      <c r="B4461" s="112" t="s">
        <v>6</v>
      </c>
      <c r="C4461" s="415" t="s">
        <v>1</v>
      </c>
      <c r="D4461" s="416"/>
      <c r="E4461" s="124"/>
      <c r="F4461" s="118" t="s">
        <v>2</v>
      </c>
      <c r="G4461" s="112" t="s">
        <v>3</v>
      </c>
      <c r="H4461" s="104"/>
      <c r="I4461" s="105" t="s">
        <v>7</v>
      </c>
      <c r="J4461" s="134"/>
      <c r="K4461" s="105" t="s">
        <v>8</v>
      </c>
      <c r="L4461" s="113" t="s">
        <v>193</v>
      </c>
    </row>
    <row r="4462" spans="2:12" x14ac:dyDescent="0.3">
      <c r="B4462" s="74"/>
      <c r="C4462" s="411"/>
      <c r="D4462" s="412"/>
      <c r="E4462" s="125"/>
      <c r="F4462" s="72"/>
      <c r="G4462" s="74"/>
      <c r="I4462" s="84">
        <v>0</v>
      </c>
      <c r="K4462" s="84">
        <f>+F4462*I4462</f>
        <v>0</v>
      </c>
      <c r="L4462" s="116">
        <f>E4462*I4462</f>
        <v>0</v>
      </c>
    </row>
    <row r="4463" spans="2:12" x14ac:dyDescent="0.3">
      <c r="B4463" s="74"/>
      <c r="C4463" s="411"/>
      <c r="D4463" s="412"/>
      <c r="E4463" s="125"/>
      <c r="F4463" s="72"/>
      <c r="G4463" s="74"/>
      <c r="I4463" s="84">
        <v>0</v>
      </c>
      <c r="K4463" s="84">
        <f>+F4463*I4463</f>
        <v>0</v>
      </c>
      <c r="L4463" s="116">
        <f>E4463*I4463</f>
        <v>0</v>
      </c>
    </row>
    <row r="4464" spans="2:12" x14ac:dyDescent="0.3">
      <c r="B4464" s="74"/>
      <c r="C4464" s="411"/>
      <c r="D4464" s="412"/>
      <c r="E4464" s="125"/>
      <c r="F4464" s="72"/>
      <c r="G4464" s="74"/>
      <c r="I4464" s="84">
        <v>0</v>
      </c>
      <c r="K4464" s="84">
        <f>+F4464*I4464</f>
        <v>0</v>
      </c>
      <c r="L4464" s="116">
        <f>E4464*I4464</f>
        <v>0</v>
      </c>
    </row>
    <row r="4465" spans="2:16" ht="17.25" thickBot="1" x14ac:dyDescent="0.35">
      <c r="L4465" s="116"/>
    </row>
    <row r="4466" spans="2:16" ht="17.25" thickBot="1" x14ac:dyDescent="0.35">
      <c r="F4466" s="402" t="s">
        <v>19</v>
      </c>
      <c r="G4466" s="403"/>
      <c r="H4466" s="403"/>
      <c r="I4466" s="404"/>
      <c r="K4466" s="224">
        <f>+SUM(K4462:K4464)</f>
        <v>0</v>
      </c>
      <c r="L4466" s="117">
        <f>+SUM(L4461:L4464)</f>
        <v>0</v>
      </c>
    </row>
    <row r="4467" spans="2:16" ht="15" customHeight="1" x14ac:dyDescent="0.3">
      <c r="F4467" s="126"/>
      <c r="G4467" s="280"/>
      <c r="H4467" s="128"/>
      <c r="I4467" s="106"/>
      <c r="K4467" s="225"/>
    </row>
    <row r="4468" spans="2:16" ht="15" customHeight="1" thickBot="1" x14ac:dyDescent="0.35"/>
    <row r="4469" spans="2:16" ht="17.25" thickBot="1" x14ac:dyDescent="0.35">
      <c r="F4469" s="402" t="s">
        <v>20</v>
      </c>
      <c r="G4469" s="403"/>
      <c r="H4469" s="403"/>
      <c r="I4469" s="404"/>
      <c r="K4469" s="224">
        <f>(+K4440+K4449+K4458+K4466)</f>
        <v>585</v>
      </c>
      <c r="L4469" s="117">
        <f>(+L4440+L4449+L4458+L4466)</f>
        <v>8190</v>
      </c>
      <c r="N4469" s="129"/>
      <c r="O4469" s="39"/>
      <c r="P4469" s="40"/>
    </row>
    <row r="4470" spans="2:16" ht="7.5" customHeight="1" thickBot="1" x14ac:dyDescent="0.35">
      <c r="N4470" s="129"/>
      <c r="O4470" s="41"/>
      <c r="P4470" s="40"/>
    </row>
    <row r="4471" spans="2:16" ht="17.25" thickBot="1" x14ac:dyDescent="0.35">
      <c r="F4471" s="402" t="s">
        <v>21</v>
      </c>
      <c r="G4471" s="403"/>
      <c r="H4471" s="403"/>
      <c r="I4471" s="404"/>
      <c r="K4471" s="224">
        <f>K4469*$N$2</f>
        <v>234</v>
      </c>
      <c r="L4471" s="117">
        <f>L4469*$N$2</f>
        <v>3276</v>
      </c>
    </row>
    <row r="4472" spans="2:16" ht="7.5" customHeight="1" thickBot="1" x14ac:dyDescent="0.35"/>
    <row r="4473" spans="2:16" ht="17.25" thickBot="1" x14ac:dyDescent="0.35">
      <c r="F4473" s="402" t="s">
        <v>22</v>
      </c>
      <c r="G4473" s="403"/>
      <c r="H4473" s="403"/>
      <c r="I4473" s="404"/>
      <c r="K4473" s="224">
        <f>+K4469+K4471</f>
        <v>819</v>
      </c>
      <c r="L4473" s="117">
        <f>+L4469+L4471</f>
        <v>11466</v>
      </c>
    </row>
    <row r="4474" spans="2:16" ht="17.25" thickBot="1" x14ac:dyDescent="0.35">
      <c r="F4474" s="126"/>
      <c r="G4474" s="280"/>
      <c r="H4474" s="128"/>
      <c r="I4474" s="106"/>
      <c r="K4474" s="226"/>
      <c r="L4474" s="130">
        <f>L4473/I4429</f>
        <v>819</v>
      </c>
      <c r="M4474" s="131">
        <f>(K4473-L4474)*I4429</f>
        <v>0</v>
      </c>
    </row>
    <row r="4475" spans="2:16" x14ac:dyDescent="0.3">
      <c r="F4475" s="126"/>
      <c r="G4475" s="280"/>
      <c r="H4475" s="128"/>
      <c r="I4475" s="106"/>
      <c r="K4475" s="227"/>
      <c r="L4475" s="129"/>
      <c r="M4475" s="132"/>
      <c r="N4475" s="133"/>
    </row>
    <row r="4476" spans="2:16" ht="17.25" thickBot="1" x14ac:dyDescent="0.35">
      <c r="B4476" s="405"/>
      <c r="C4476" s="405"/>
      <c r="D4476" s="405"/>
    </row>
    <row r="4477" spans="2:16" x14ac:dyDescent="0.3">
      <c r="B4477" s="406" t="s">
        <v>23</v>
      </c>
      <c r="C4477" s="406"/>
      <c r="D4477" s="406"/>
    </row>
    <row r="4478" spans="2:16" x14ac:dyDescent="0.3">
      <c r="B4478" s="281"/>
      <c r="C4478" s="281"/>
      <c r="D4478" s="281"/>
    </row>
    <row r="4480" spans="2:16" x14ac:dyDescent="0.3">
      <c r="B4480" s="103" t="s">
        <v>43</v>
      </c>
      <c r="C4480" s="104"/>
      <c r="D4480" s="422" t="s">
        <v>1</v>
      </c>
      <c r="E4480" s="422"/>
      <c r="F4480" s="422"/>
      <c r="G4480" s="422"/>
      <c r="H4480" s="104"/>
      <c r="I4480" s="105" t="s">
        <v>2</v>
      </c>
      <c r="J4480" s="134"/>
      <c r="K4480" s="105" t="s">
        <v>3</v>
      </c>
    </row>
    <row r="4481" spans="1:16" s="4" customFormat="1" ht="30.75" customHeight="1" x14ac:dyDescent="0.25">
      <c r="A4481" s="31"/>
      <c r="B4481" s="287">
        <f>CATALOGO!B143</f>
        <v>1112.01</v>
      </c>
      <c r="C4481" s="71"/>
      <c r="D4481" s="437" t="str">
        <f>CATALOGO!C143</f>
        <v>TOMACORRIENTE DOBLE 120V</v>
      </c>
      <c r="E4481" s="437"/>
      <c r="F4481" s="437"/>
      <c r="G4481" s="437"/>
      <c r="H4481" s="71"/>
      <c r="I4481" s="287">
        <f>CATALOGO!D143</f>
        <v>2</v>
      </c>
      <c r="J4481" s="107"/>
      <c r="K4481" s="222" t="str">
        <f>CATALOGO!G143</f>
        <v>Unidad</v>
      </c>
      <c r="L4481" s="71"/>
      <c r="M4481" s="71"/>
      <c r="N4481" s="102"/>
      <c r="O4481" s="37"/>
      <c r="P4481" s="37"/>
    </row>
    <row r="4482" spans="1:16" ht="17.25" thickBot="1" x14ac:dyDescent="0.35"/>
    <row r="4483" spans="1:16" ht="17.25" thickBot="1" x14ac:dyDescent="0.35">
      <c r="B4483" s="108" t="s">
        <v>4</v>
      </c>
      <c r="C4483" s="413" t="s">
        <v>5</v>
      </c>
      <c r="D4483" s="413"/>
      <c r="E4483" s="413"/>
      <c r="F4483" s="413"/>
      <c r="G4483" s="414"/>
    </row>
    <row r="4484" spans="1:16" x14ac:dyDescent="0.25">
      <c r="B4484" s="109" t="s">
        <v>6</v>
      </c>
      <c r="C4484" s="424" t="s">
        <v>1</v>
      </c>
      <c r="D4484" s="425"/>
      <c r="E4484" s="110" t="s">
        <v>192</v>
      </c>
      <c r="F4484" s="111" t="s">
        <v>2</v>
      </c>
      <c r="G4484" s="112" t="s">
        <v>3</v>
      </c>
      <c r="H4484" s="104"/>
      <c r="I4484" s="105" t="s">
        <v>7</v>
      </c>
      <c r="J4484" s="134"/>
      <c r="K4484" s="223" t="s">
        <v>8</v>
      </c>
      <c r="L4484" s="113" t="s">
        <v>193</v>
      </c>
      <c r="O4484" s="438"/>
      <c r="P4484" s="438"/>
    </row>
    <row r="4485" spans="1:16" x14ac:dyDescent="0.25">
      <c r="B4485" s="120">
        <v>1</v>
      </c>
      <c r="C4485" s="407" t="s">
        <v>265</v>
      </c>
      <c r="D4485" s="408"/>
      <c r="E4485" s="114">
        <f>I4481</f>
        <v>2</v>
      </c>
      <c r="F4485" s="83">
        <f>ROUND(E4485/I4481,2)</f>
        <v>1</v>
      </c>
      <c r="G4485" s="74" t="str">
        <f>IF(C4485=0,0,VLOOKUP(C4485,Tabla1[],2,FALSE))</f>
        <v>Unidad</v>
      </c>
      <c r="I4485" s="115">
        <f>IF(C4485=0,0,VLOOKUP(C4485,Tabla1[],3,FALSE))</f>
        <v>40</v>
      </c>
      <c r="K4485" s="84">
        <f>F4485*I4485</f>
        <v>40</v>
      </c>
      <c r="L4485" s="116">
        <f>E4485*I4485</f>
        <v>80</v>
      </c>
      <c r="O4485" s="44"/>
      <c r="P4485" s="45"/>
    </row>
    <row r="4486" spans="1:16" x14ac:dyDescent="0.25">
      <c r="B4486" s="120">
        <v>2</v>
      </c>
      <c r="C4486" s="407" t="s">
        <v>86</v>
      </c>
      <c r="D4486" s="408"/>
      <c r="E4486" s="114">
        <f>I4481</f>
        <v>2</v>
      </c>
      <c r="F4486" s="83">
        <f>ROUND(E4486/I4481,2)</f>
        <v>1</v>
      </c>
      <c r="G4486" s="74" t="str">
        <f>IF(C4486=0,0,VLOOKUP(C4486,Tabla1[],2,FALSE))</f>
        <v>Unidad</v>
      </c>
      <c r="I4486" s="115">
        <f>IF(C4486=0,0,VLOOKUP(C4486,Tabla1[],3,FALSE))</f>
        <v>10</v>
      </c>
      <c r="K4486" s="84">
        <f>F4486*I4486</f>
        <v>10</v>
      </c>
      <c r="L4486" s="116">
        <f>E4486*I4486</f>
        <v>20</v>
      </c>
      <c r="O4486" s="44"/>
      <c r="P4486" s="45"/>
    </row>
    <row r="4487" spans="1:16" x14ac:dyDescent="0.25">
      <c r="B4487" s="120">
        <v>3</v>
      </c>
      <c r="C4487" s="428" t="s">
        <v>269</v>
      </c>
      <c r="D4487" s="429"/>
      <c r="E4487" s="114">
        <f>I4481</f>
        <v>2</v>
      </c>
      <c r="F4487" s="83">
        <f>ROUND(E4487/I4481,1)</f>
        <v>1</v>
      </c>
      <c r="G4487" s="74" t="str">
        <f>IF(C4487=0,0,VLOOKUP(C4487,Tabla1[],2,FALSE))</f>
        <v>Unidad</v>
      </c>
      <c r="I4487" s="115">
        <f>IF(C4487=0,0,VLOOKUP(C4487,Tabla1[],3,FALSE))</f>
        <v>40</v>
      </c>
      <c r="K4487" s="84">
        <f>+F4487*I4487</f>
        <v>40</v>
      </c>
      <c r="L4487" s="116">
        <f>E4487*I4487</f>
        <v>80</v>
      </c>
      <c r="O4487" s="44"/>
      <c r="P4487" s="46"/>
    </row>
    <row r="4488" spans="1:16" x14ac:dyDescent="0.3">
      <c r="B4488" s="120"/>
      <c r="C4488" s="428"/>
      <c r="D4488" s="429"/>
      <c r="E4488" s="114"/>
      <c r="F4488" s="83"/>
      <c r="G4488" s="74"/>
      <c r="I4488" s="115">
        <f>IF(C4488=0,0,VLOOKUP(C4488,Tabla1[],3,FALSE))</f>
        <v>0</v>
      </c>
      <c r="K4488" s="84">
        <f>+F4488*I4488</f>
        <v>0</v>
      </c>
      <c r="L4488" s="116">
        <f>E4488*I4488</f>
        <v>0</v>
      </c>
      <c r="P4488" s="45"/>
    </row>
    <row r="4489" spans="1:16" ht="17.25" thickBot="1" x14ac:dyDescent="0.35"/>
    <row r="4490" spans="1:16" ht="17.25" thickBot="1" x14ac:dyDescent="0.3">
      <c r="F4490" s="402" t="s">
        <v>9</v>
      </c>
      <c r="G4490" s="403"/>
      <c r="H4490" s="403"/>
      <c r="I4490" s="404"/>
      <c r="K4490" s="224">
        <f>+SUM(K4485:K4488)</f>
        <v>90</v>
      </c>
      <c r="L4490" s="117">
        <f>+SUM(L4485:L4488)</f>
        <v>180</v>
      </c>
      <c r="O4490" s="38"/>
      <c r="P4490" s="38"/>
    </row>
    <row r="4491" spans="1:16" ht="17.25" thickBot="1" x14ac:dyDescent="0.35">
      <c r="O4491" s="42"/>
      <c r="P4491" s="43"/>
    </row>
    <row r="4492" spans="1:16" ht="17.25" thickBot="1" x14ac:dyDescent="0.35">
      <c r="B4492" s="108" t="s">
        <v>10</v>
      </c>
      <c r="C4492" s="413" t="s">
        <v>11</v>
      </c>
      <c r="D4492" s="413"/>
      <c r="E4492" s="413"/>
      <c r="F4492" s="413"/>
      <c r="G4492" s="414"/>
    </row>
    <row r="4493" spans="1:16" x14ac:dyDescent="0.3">
      <c r="B4493" s="112" t="s">
        <v>6</v>
      </c>
      <c r="C4493" s="415" t="s">
        <v>1</v>
      </c>
      <c r="D4493" s="416"/>
      <c r="E4493" s="110" t="s">
        <v>192</v>
      </c>
      <c r="F4493" s="118" t="s">
        <v>2</v>
      </c>
      <c r="G4493" s="112" t="s">
        <v>3</v>
      </c>
      <c r="H4493" s="104"/>
      <c r="I4493" s="105" t="s">
        <v>7</v>
      </c>
      <c r="J4493" s="134"/>
      <c r="K4493" s="105" t="s">
        <v>8</v>
      </c>
      <c r="L4493" s="113" t="s">
        <v>193</v>
      </c>
    </row>
    <row r="4494" spans="1:16" x14ac:dyDescent="0.3">
      <c r="B4494" s="120"/>
      <c r="C4494" s="409"/>
      <c r="D4494" s="409"/>
      <c r="E4494" s="114"/>
      <c r="F4494" s="83"/>
      <c r="G4494" s="74"/>
      <c r="I4494" s="115">
        <f>IF(C4494=0,0,VLOOKUP(C4494,Tabla3[],3,FALSE))</f>
        <v>0</v>
      </c>
      <c r="K4494" s="84">
        <f>F4494*I4494</f>
        <v>0</v>
      </c>
      <c r="L4494" s="116">
        <f>E4494*I4494</f>
        <v>0</v>
      </c>
    </row>
    <row r="4495" spans="1:16" x14ac:dyDescent="0.3">
      <c r="B4495" s="74"/>
      <c r="C4495" s="431"/>
      <c r="D4495" s="432"/>
      <c r="E4495" s="119"/>
      <c r="F4495" s="72"/>
      <c r="G4495" s="74"/>
      <c r="I4495" s="115">
        <f>IF(C4495=0,0,VLOOKUP(C4495,Tabla3[],3,FALSE))</f>
        <v>0</v>
      </c>
      <c r="K4495" s="84">
        <f>+F4495*I4495</f>
        <v>0</v>
      </c>
      <c r="L4495" s="116">
        <f>E4495*I4495</f>
        <v>0</v>
      </c>
    </row>
    <row r="4496" spans="1:16" x14ac:dyDescent="0.3">
      <c r="B4496" s="74"/>
      <c r="C4496" s="431"/>
      <c r="D4496" s="432"/>
      <c r="E4496" s="119"/>
      <c r="F4496" s="72"/>
      <c r="G4496" s="74"/>
      <c r="I4496" s="115">
        <f>IF(C4496=0,0,VLOOKUP(C4496,Tabla3[],3,FALSE))</f>
        <v>0</v>
      </c>
      <c r="K4496" s="84">
        <f>+F4496*I4496</f>
        <v>0</v>
      </c>
      <c r="L4496" s="116">
        <f>E4496*I4496</f>
        <v>0</v>
      </c>
    </row>
    <row r="4497" spans="2:12" x14ac:dyDescent="0.3">
      <c r="B4497" s="74"/>
      <c r="C4497" s="411"/>
      <c r="D4497" s="412"/>
      <c r="E4497" s="119"/>
      <c r="F4497" s="72"/>
      <c r="G4497" s="74"/>
      <c r="I4497" s="115">
        <f>IF(C4497=0,0,VLOOKUP(C4497,Tabla3[],3,FALSE))</f>
        <v>0</v>
      </c>
      <c r="K4497" s="84">
        <f>+F4497*I4497</f>
        <v>0</v>
      </c>
      <c r="L4497" s="116">
        <f>E4497*I4497</f>
        <v>0</v>
      </c>
    </row>
    <row r="4498" spans="2:12" ht="17.25" thickBot="1" x14ac:dyDescent="0.35"/>
    <row r="4499" spans="2:12" ht="17.25" thickBot="1" x14ac:dyDescent="0.35">
      <c r="F4499" s="402" t="s">
        <v>12</v>
      </c>
      <c r="G4499" s="403"/>
      <c r="H4499" s="403"/>
      <c r="I4499" s="404"/>
      <c r="K4499" s="224">
        <f>+SUM(K4494:K4497)</f>
        <v>0</v>
      </c>
      <c r="L4499" s="117">
        <f>+SUM(L4494:L4497)</f>
        <v>0</v>
      </c>
    </row>
    <row r="4500" spans="2:12" ht="17.25" thickBot="1" x14ac:dyDescent="0.35"/>
    <row r="4501" spans="2:12" ht="17.25" thickBot="1" x14ac:dyDescent="0.35">
      <c r="B4501" s="108" t="s">
        <v>13</v>
      </c>
      <c r="C4501" s="413" t="s">
        <v>14</v>
      </c>
      <c r="D4501" s="413"/>
      <c r="E4501" s="413"/>
      <c r="F4501" s="413"/>
      <c r="G4501" s="414"/>
    </row>
    <row r="4502" spans="2:12" x14ac:dyDescent="0.3">
      <c r="B4502" s="112" t="s">
        <v>6</v>
      </c>
      <c r="C4502" s="415" t="s">
        <v>1</v>
      </c>
      <c r="D4502" s="416"/>
      <c r="E4502" s="110" t="s">
        <v>192</v>
      </c>
      <c r="F4502" s="118" t="s">
        <v>2</v>
      </c>
      <c r="G4502" s="112" t="s">
        <v>3</v>
      </c>
      <c r="H4502" s="104"/>
      <c r="I4502" s="105" t="s">
        <v>7</v>
      </c>
      <c r="J4502" s="134"/>
      <c r="K4502" s="105" t="s">
        <v>8</v>
      </c>
      <c r="L4502" s="113" t="s">
        <v>193</v>
      </c>
    </row>
    <row r="4503" spans="2:12" x14ac:dyDescent="0.3">
      <c r="B4503" s="120">
        <v>1</v>
      </c>
      <c r="C4503" s="409" t="s">
        <v>601</v>
      </c>
      <c r="D4503" s="409"/>
      <c r="E4503" s="114">
        <f>I4481</f>
        <v>2</v>
      </c>
      <c r="F4503" s="83">
        <f>ROUND(E4503/I4481,2)</f>
        <v>1</v>
      </c>
      <c r="G4503" s="74" t="str">
        <f>IF(C4503=0,0,VLOOKUP(C4503,Tabla2[],2,FALSE))</f>
        <v>Unidad</v>
      </c>
      <c r="I4503" s="115">
        <f>IF(C4503=0,0,VLOOKUP(C4503,Tabla2[],3,FALSE))</f>
        <v>105</v>
      </c>
      <c r="K4503" s="84">
        <f>+F4503*I4503</f>
        <v>105</v>
      </c>
      <c r="L4503" s="116">
        <f>E4503*I4503</f>
        <v>210</v>
      </c>
    </row>
    <row r="4504" spans="2:12" x14ac:dyDescent="0.3">
      <c r="B4504" s="120"/>
      <c r="C4504" s="409"/>
      <c r="D4504" s="409"/>
      <c r="E4504" s="114"/>
      <c r="F4504" s="83"/>
      <c r="G4504" s="74"/>
      <c r="I4504" s="115">
        <f>IF(C4504=0,0,VLOOKUP(C4504,Tabla2[],3,FALSE))</f>
        <v>0</v>
      </c>
      <c r="K4504" s="84">
        <f>+F4504*I4504</f>
        <v>0</v>
      </c>
      <c r="L4504" s="116">
        <f>E4504*I4504</f>
        <v>0</v>
      </c>
    </row>
    <row r="4505" spans="2:12" ht="17.25" thickBot="1" x14ac:dyDescent="0.35">
      <c r="B4505" s="121"/>
      <c r="C4505" s="417"/>
      <c r="D4505" s="418"/>
      <c r="E4505" s="122"/>
      <c r="F4505" s="123"/>
      <c r="G4505" s="74"/>
      <c r="I4505" s="115">
        <f>IF(C4505=0,0,VLOOKUP(C4505,Tabla2[],3,FALSE))</f>
        <v>0</v>
      </c>
      <c r="K4505" s="84">
        <f>+F4505*I4505</f>
        <v>0</v>
      </c>
      <c r="L4505" s="116">
        <f>E4505*I4505</f>
        <v>0</v>
      </c>
    </row>
    <row r="4506" spans="2:12" ht="17.25" thickBot="1" x14ac:dyDescent="0.35">
      <c r="B4506" s="419" t="s">
        <v>15</v>
      </c>
      <c r="C4506" s="420"/>
      <c r="D4506" s="420"/>
      <c r="E4506" s="420"/>
      <c r="F4506" s="420"/>
      <c r="G4506" s="421"/>
      <c r="I4506" s="84">
        <v>0</v>
      </c>
      <c r="K4506" s="84">
        <v>0</v>
      </c>
      <c r="L4506" s="116">
        <f>E4506*I4506</f>
        <v>0</v>
      </c>
    </row>
    <row r="4507" spans="2:12" ht="17.25" thickBot="1" x14ac:dyDescent="0.35"/>
    <row r="4508" spans="2:12" ht="17.25" thickBot="1" x14ac:dyDescent="0.35">
      <c r="F4508" s="402" t="s">
        <v>16</v>
      </c>
      <c r="G4508" s="403"/>
      <c r="H4508" s="403"/>
      <c r="I4508" s="404"/>
      <c r="K4508" s="224">
        <f>+SUM(K4503:K4506)</f>
        <v>105</v>
      </c>
      <c r="L4508" s="117">
        <f>+SUM(L4503:L4506)</f>
        <v>210</v>
      </c>
    </row>
    <row r="4509" spans="2:12" ht="17.25" thickBot="1" x14ac:dyDescent="0.35"/>
    <row r="4510" spans="2:12" ht="17.25" thickBot="1" x14ac:dyDescent="0.35">
      <c r="B4510" s="108" t="s">
        <v>17</v>
      </c>
      <c r="C4510" s="413" t="s">
        <v>18</v>
      </c>
      <c r="D4510" s="413"/>
      <c r="E4510" s="413"/>
      <c r="F4510" s="413"/>
      <c r="G4510" s="414"/>
    </row>
    <row r="4511" spans="2:12" x14ac:dyDescent="0.3">
      <c r="B4511" s="112" t="s">
        <v>6</v>
      </c>
      <c r="C4511" s="415" t="s">
        <v>1</v>
      </c>
      <c r="D4511" s="416"/>
      <c r="E4511" s="124"/>
      <c r="F4511" s="118" t="s">
        <v>2</v>
      </c>
      <c r="G4511" s="112" t="s">
        <v>3</v>
      </c>
      <c r="H4511" s="104"/>
      <c r="I4511" s="105" t="s">
        <v>7</v>
      </c>
      <c r="J4511" s="134"/>
      <c r="K4511" s="105" t="s">
        <v>8</v>
      </c>
      <c r="L4511" s="113" t="s">
        <v>193</v>
      </c>
    </row>
    <row r="4512" spans="2:12" x14ac:dyDescent="0.3">
      <c r="B4512" s="74"/>
      <c r="C4512" s="411"/>
      <c r="D4512" s="412"/>
      <c r="E4512" s="125"/>
      <c r="F4512" s="72"/>
      <c r="G4512" s="74"/>
      <c r="I4512" s="84">
        <v>0</v>
      </c>
      <c r="K4512" s="84">
        <f>+F4512*I4512</f>
        <v>0</v>
      </c>
      <c r="L4512" s="116">
        <f>E4512*I4512</f>
        <v>0</v>
      </c>
    </row>
    <row r="4513" spans="2:16" x14ac:dyDescent="0.3">
      <c r="B4513" s="74"/>
      <c r="C4513" s="411"/>
      <c r="D4513" s="412"/>
      <c r="E4513" s="125"/>
      <c r="F4513" s="72"/>
      <c r="G4513" s="74"/>
      <c r="I4513" s="84">
        <v>0</v>
      </c>
      <c r="K4513" s="84">
        <f>+F4513*I4513</f>
        <v>0</v>
      </c>
      <c r="L4513" s="116">
        <f>E4513*I4513</f>
        <v>0</v>
      </c>
    </row>
    <row r="4514" spans="2:16" x14ac:dyDescent="0.3">
      <c r="B4514" s="74"/>
      <c r="C4514" s="411"/>
      <c r="D4514" s="412"/>
      <c r="E4514" s="125"/>
      <c r="F4514" s="72"/>
      <c r="G4514" s="74"/>
      <c r="I4514" s="84">
        <v>0</v>
      </c>
      <c r="K4514" s="84">
        <f>+F4514*I4514</f>
        <v>0</v>
      </c>
      <c r="L4514" s="116">
        <f>E4514*I4514</f>
        <v>0</v>
      </c>
    </row>
    <row r="4515" spans="2:16" ht="17.25" thickBot="1" x14ac:dyDescent="0.35">
      <c r="L4515" s="116"/>
    </row>
    <row r="4516" spans="2:16" ht="17.25" thickBot="1" x14ac:dyDescent="0.35">
      <c r="F4516" s="402" t="s">
        <v>19</v>
      </c>
      <c r="G4516" s="403"/>
      <c r="H4516" s="403"/>
      <c r="I4516" s="404"/>
      <c r="K4516" s="224">
        <f>+SUM(K4512:K4514)</f>
        <v>0</v>
      </c>
      <c r="L4516" s="117">
        <f>+SUM(L4511:L4514)</f>
        <v>0</v>
      </c>
    </row>
    <row r="4517" spans="2:16" ht="15" customHeight="1" x14ac:dyDescent="0.3">
      <c r="F4517" s="126"/>
      <c r="G4517" s="280"/>
      <c r="H4517" s="128"/>
      <c r="I4517" s="106"/>
      <c r="K4517" s="225"/>
    </row>
    <row r="4518" spans="2:16" ht="15" customHeight="1" thickBot="1" x14ac:dyDescent="0.35"/>
    <row r="4519" spans="2:16" ht="17.25" thickBot="1" x14ac:dyDescent="0.35">
      <c r="F4519" s="402" t="s">
        <v>20</v>
      </c>
      <c r="G4519" s="403"/>
      <c r="H4519" s="403"/>
      <c r="I4519" s="404"/>
      <c r="K4519" s="224">
        <f>(+K4490+K4499+K4508+K4516)</f>
        <v>195</v>
      </c>
      <c r="L4519" s="117">
        <f>(+L4490+L4499+L4508+L4516)</f>
        <v>390</v>
      </c>
      <c r="N4519" s="129"/>
      <c r="O4519" s="39"/>
      <c r="P4519" s="40"/>
    </row>
    <row r="4520" spans="2:16" ht="7.5" customHeight="1" thickBot="1" x14ac:dyDescent="0.35">
      <c r="N4520" s="129"/>
      <c r="O4520" s="41"/>
      <c r="P4520" s="40"/>
    </row>
    <row r="4521" spans="2:16" ht="17.25" thickBot="1" x14ac:dyDescent="0.35">
      <c r="F4521" s="402" t="s">
        <v>21</v>
      </c>
      <c r="G4521" s="403"/>
      <c r="H4521" s="403"/>
      <c r="I4521" s="404"/>
      <c r="K4521" s="224">
        <f>K4519*$N$2</f>
        <v>78</v>
      </c>
      <c r="L4521" s="117">
        <f>L4519*$N$2</f>
        <v>156</v>
      </c>
    </row>
    <row r="4522" spans="2:16" ht="7.5" customHeight="1" thickBot="1" x14ac:dyDescent="0.35"/>
    <row r="4523" spans="2:16" ht="17.25" thickBot="1" x14ac:dyDescent="0.35">
      <c r="F4523" s="402" t="s">
        <v>22</v>
      </c>
      <c r="G4523" s="403"/>
      <c r="H4523" s="403"/>
      <c r="I4523" s="404"/>
      <c r="K4523" s="224">
        <f>+K4519+K4521</f>
        <v>273</v>
      </c>
      <c r="L4523" s="117">
        <f>+L4519+L4521</f>
        <v>546</v>
      </c>
    </row>
    <row r="4524" spans="2:16" ht="17.25" thickBot="1" x14ac:dyDescent="0.35">
      <c r="F4524" s="126"/>
      <c r="G4524" s="280"/>
      <c r="H4524" s="128"/>
      <c r="I4524" s="106"/>
      <c r="K4524" s="226"/>
      <c r="L4524" s="130">
        <f>L4523/I4481</f>
        <v>273</v>
      </c>
      <c r="M4524" s="131">
        <f>(K4523-L4524)*I4481</f>
        <v>0</v>
      </c>
    </row>
    <row r="4525" spans="2:16" x14ac:dyDescent="0.3">
      <c r="F4525" s="126"/>
      <c r="G4525" s="280"/>
      <c r="H4525" s="128"/>
      <c r="I4525" s="106"/>
      <c r="K4525" s="227"/>
      <c r="L4525" s="129"/>
      <c r="M4525" s="132"/>
      <c r="N4525" s="133"/>
    </row>
    <row r="4526" spans="2:16" ht="17.25" thickBot="1" x14ac:dyDescent="0.35">
      <c r="B4526" s="405"/>
      <c r="C4526" s="405"/>
      <c r="D4526" s="405"/>
    </row>
    <row r="4527" spans="2:16" x14ac:dyDescent="0.3">
      <c r="B4527" s="406" t="s">
        <v>23</v>
      </c>
      <c r="C4527" s="406"/>
      <c r="D4527" s="406"/>
    </row>
    <row r="4528" spans="2:16" x14ac:dyDescent="0.3">
      <c r="B4528" s="281"/>
      <c r="C4528" s="281"/>
      <c r="D4528" s="281"/>
    </row>
    <row r="4530" spans="1:16" x14ac:dyDescent="0.3">
      <c r="B4530" s="103" t="s">
        <v>43</v>
      </c>
      <c r="C4530" s="104"/>
      <c r="D4530" s="422" t="s">
        <v>1</v>
      </c>
      <c r="E4530" s="422"/>
      <c r="F4530" s="422"/>
      <c r="G4530" s="422"/>
      <c r="H4530" s="104"/>
      <c r="I4530" s="105" t="s">
        <v>2</v>
      </c>
      <c r="J4530" s="134"/>
      <c r="K4530" s="105" t="s">
        <v>3</v>
      </c>
    </row>
    <row r="4531" spans="1:16" s="58" customFormat="1" ht="30.75" customHeight="1" x14ac:dyDescent="0.25">
      <c r="A4531" s="56"/>
      <c r="B4531" s="287">
        <f>CATALOGO!B125</f>
        <v>111.03</v>
      </c>
      <c r="C4531" s="135"/>
      <c r="D4531" s="435" t="str">
        <f>CATALOGO!C125</f>
        <v>DEMOLICIÓN DE PISO CERÁMICO/PORCELANATO</v>
      </c>
      <c r="E4531" s="435"/>
      <c r="F4531" s="435"/>
      <c r="G4531" s="435"/>
      <c r="H4531" s="135"/>
      <c r="I4531" s="287">
        <f>CATALOGO!D125</f>
        <v>136</v>
      </c>
      <c r="J4531" s="107"/>
      <c r="K4531" s="222" t="str">
        <f>CATALOGO!G125</f>
        <v>m²</v>
      </c>
      <c r="L4531" s="135"/>
      <c r="M4531" s="135"/>
      <c r="N4531" s="135"/>
      <c r="O4531" s="57"/>
      <c r="P4531" s="57"/>
    </row>
    <row r="4532" spans="1:16" ht="17.25" thickBot="1" x14ac:dyDescent="0.35"/>
    <row r="4533" spans="1:16" ht="17.25" thickBot="1" x14ac:dyDescent="0.35">
      <c r="B4533" s="108" t="s">
        <v>4</v>
      </c>
      <c r="C4533" s="413" t="s">
        <v>5</v>
      </c>
      <c r="D4533" s="413"/>
      <c r="E4533" s="413"/>
      <c r="F4533" s="413"/>
      <c r="G4533" s="414"/>
    </row>
    <row r="4534" spans="1:16" x14ac:dyDescent="0.3">
      <c r="B4534" s="109" t="s">
        <v>6</v>
      </c>
      <c r="C4534" s="424" t="s">
        <v>1</v>
      </c>
      <c r="D4534" s="425"/>
      <c r="E4534" s="110" t="s">
        <v>192</v>
      </c>
      <c r="F4534" s="111" t="s">
        <v>2</v>
      </c>
      <c r="G4534" s="112" t="s">
        <v>3</v>
      </c>
      <c r="H4534" s="104"/>
      <c r="I4534" s="105" t="s">
        <v>7</v>
      </c>
      <c r="J4534" s="134"/>
      <c r="K4534" s="223" t="s">
        <v>8</v>
      </c>
      <c r="L4534" s="113" t="s">
        <v>193</v>
      </c>
    </row>
    <row r="4535" spans="1:16" x14ac:dyDescent="0.3">
      <c r="B4535" s="74"/>
      <c r="C4535" s="409"/>
      <c r="D4535" s="409"/>
      <c r="E4535" s="114"/>
      <c r="F4535" s="83"/>
      <c r="G4535" s="74"/>
      <c r="I4535" s="115">
        <f>IF(C4535=0,0,VLOOKUP(C4535,Tabla1[],3,FALSE))</f>
        <v>0</v>
      </c>
      <c r="K4535" s="84">
        <f>+F4535*I4535</f>
        <v>0</v>
      </c>
      <c r="L4535" s="116">
        <f>E4535*I4535</f>
        <v>0</v>
      </c>
    </row>
    <row r="4536" spans="1:16" x14ac:dyDescent="0.3">
      <c r="B4536" s="74"/>
      <c r="C4536" s="409"/>
      <c r="D4536" s="409"/>
      <c r="E4536" s="114"/>
      <c r="F4536" s="83"/>
      <c r="G4536" s="74"/>
      <c r="I4536" s="115">
        <f>IF(C4536=0,0,VLOOKUP(C4536,Tabla1[],3,FALSE))</f>
        <v>0</v>
      </c>
      <c r="K4536" s="84">
        <f t="shared" ref="K4536:K4544" si="116">+F4536*I4536</f>
        <v>0</v>
      </c>
      <c r="L4536" s="116">
        <f t="shared" ref="L4536:L4544" si="117">E4536*I4536</f>
        <v>0</v>
      </c>
    </row>
    <row r="4537" spans="1:16" x14ac:dyDescent="0.3">
      <c r="B4537" s="74"/>
      <c r="C4537" s="409"/>
      <c r="D4537" s="409"/>
      <c r="E4537" s="114"/>
      <c r="F4537" s="83"/>
      <c r="G4537" s="74"/>
      <c r="I4537" s="115">
        <f>IF(C4537=0,0,VLOOKUP(C4537,Tabla1[],3,FALSE))</f>
        <v>0</v>
      </c>
      <c r="K4537" s="84">
        <f t="shared" si="116"/>
        <v>0</v>
      </c>
      <c r="L4537" s="116">
        <f t="shared" si="117"/>
        <v>0</v>
      </c>
    </row>
    <row r="4538" spans="1:16" x14ac:dyDescent="0.3">
      <c r="B4538" s="74"/>
      <c r="C4538" s="409"/>
      <c r="D4538" s="409"/>
      <c r="E4538" s="114"/>
      <c r="F4538" s="83"/>
      <c r="G4538" s="74"/>
      <c r="I4538" s="115">
        <f>IF(C4538=0,0,VLOOKUP(C4538,Tabla1[],3,FALSE))</f>
        <v>0</v>
      </c>
      <c r="K4538" s="84">
        <f t="shared" si="116"/>
        <v>0</v>
      </c>
      <c r="L4538" s="116">
        <f t="shared" si="117"/>
        <v>0</v>
      </c>
    </row>
    <row r="4539" spans="1:16" x14ac:dyDescent="0.3">
      <c r="B4539" s="74"/>
      <c r="C4539" s="410"/>
      <c r="D4539" s="410"/>
      <c r="E4539" s="114"/>
      <c r="F4539" s="83"/>
      <c r="G4539" s="74"/>
      <c r="I4539" s="115">
        <f>IF(C4539=0,0,VLOOKUP(C4539,Tabla1[],3,FALSE))</f>
        <v>0</v>
      </c>
      <c r="K4539" s="84">
        <f t="shared" si="116"/>
        <v>0</v>
      </c>
      <c r="L4539" s="116">
        <f t="shared" si="117"/>
        <v>0</v>
      </c>
    </row>
    <row r="4540" spans="1:16" x14ac:dyDescent="0.3">
      <c r="B4540" s="74"/>
      <c r="C4540" s="410"/>
      <c r="D4540" s="410"/>
      <c r="E4540" s="114"/>
      <c r="F4540" s="72"/>
      <c r="G4540" s="74"/>
      <c r="I4540" s="115">
        <f>IF(C4540=0,0,VLOOKUP(C4540,Tabla1[],3,FALSE))</f>
        <v>0</v>
      </c>
      <c r="K4540" s="84">
        <f t="shared" si="116"/>
        <v>0</v>
      </c>
      <c r="L4540" s="116">
        <f t="shared" si="117"/>
        <v>0</v>
      </c>
    </row>
    <row r="4541" spans="1:16" x14ac:dyDescent="0.3">
      <c r="B4541" s="74"/>
      <c r="C4541" s="410"/>
      <c r="D4541" s="410"/>
      <c r="E4541" s="114"/>
      <c r="F4541" s="72"/>
      <c r="G4541" s="74"/>
      <c r="I4541" s="115">
        <f>IF(C4541=0,0,VLOOKUP(C4541,Tabla1[],3,FALSE))</f>
        <v>0</v>
      </c>
      <c r="K4541" s="84">
        <f t="shared" si="116"/>
        <v>0</v>
      </c>
      <c r="L4541" s="116">
        <f t="shared" si="117"/>
        <v>0</v>
      </c>
    </row>
    <row r="4542" spans="1:16" x14ac:dyDescent="0.3">
      <c r="B4542" s="74"/>
      <c r="C4542" s="410"/>
      <c r="D4542" s="410"/>
      <c r="E4542" s="114"/>
      <c r="F4542" s="72"/>
      <c r="G4542" s="74"/>
      <c r="I4542" s="115">
        <f>IF(C4542=0,0,VLOOKUP(C4542,Tabla1[],3,FALSE))</f>
        <v>0</v>
      </c>
      <c r="K4542" s="84">
        <f t="shared" si="116"/>
        <v>0</v>
      </c>
      <c r="L4542" s="116">
        <f t="shared" si="117"/>
        <v>0</v>
      </c>
    </row>
    <row r="4543" spans="1:16" x14ac:dyDescent="0.3">
      <c r="B4543" s="74"/>
      <c r="C4543" s="410"/>
      <c r="D4543" s="410"/>
      <c r="E4543" s="114"/>
      <c r="F4543" s="72"/>
      <c r="G4543" s="74"/>
      <c r="I4543" s="115">
        <f>IF(C4543=0,0,VLOOKUP(C4543,Tabla1[],3,FALSE))</f>
        <v>0</v>
      </c>
      <c r="K4543" s="84">
        <f t="shared" si="116"/>
        <v>0</v>
      </c>
      <c r="L4543" s="116">
        <f t="shared" si="117"/>
        <v>0</v>
      </c>
    </row>
    <row r="4544" spans="1:16" x14ac:dyDescent="0.3">
      <c r="B4544" s="74"/>
      <c r="C4544" s="410"/>
      <c r="D4544" s="410"/>
      <c r="E4544" s="114"/>
      <c r="F4544" s="72"/>
      <c r="G4544" s="74"/>
      <c r="I4544" s="115">
        <f>IF(C4544=0,0,VLOOKUP(C4544,Tabla1[],3,FALSE))</f>
        <v>0</v>
      </c>
      <c r="K4544" s="84">
        <f t="shared" si="116"/>
        <v>0</v>
      </c>
      <c r="L4544" s="116">
        <f t="shared" si="117"/>
        <v>0</v>
      </c>
    </row>
    <row r="4545" spans="2:12" ht="17.25" thickBot="1" x14ac:dyDescent="0.35"/>
    <row r="4546" spans="2:12" ht="17.25" thickBot="1" x14ac:dyDescent="0.35">
      <c r="F4546" s="402" t="s">
        <v>9</v>
      </c>
      <c r="G4546" s="403"/>
      <c r="H4546" s="403"/>
      <c r="I4546" s="404"/>
      <c r="K4546" s="224">
        <f>+SUM(K4535:K4544)</f>
        <v>0</v>
      </c>
      <c r="L4546" s="117">
        <f>+SUM(L4535:L4544)</f>
        <v>0</v>
      </c>
    </row>
    <row r="4547" spans="2:12" ht="17.25" thickBot="1" x14ac:dyDescent="0.35"/>
    <row r="4548" spans="2:12" ht="17.25" thickBot="1" x14ac:dyDescent="0.35">
      <c r="B4548" s="108" t="s">
        <v>10</v>
      </c>
      <c r="C4548" s="413" t="s">
        <v>11</v>
      </c>
      <c r="D4548" s="413"/>
      <c r="E4548" s="413"/>
      <c r="F4548" s="413"/>
      <c r="G4548" s="414"/>
    </row>
    <row r="4549" spans="2:12" x14ac:dyDescent="0.3">
      <c r="B4549" s="112" t="s">
        <v>6</v>
      </c>
      <c r="C4549" s="415" t="s">
        <v>1</v>
      </c>
      <c r="D4549" s="416"/>
      <c r="E4549" s="110" t="s">
        <v>192</v>
      </c>
      <c r="F4549" s="118" t="s">
        <v>2</v>
      </c>
      <c r="G4549" s="112" t="s">
        <v>3</v>
      </c>
      <c r="H4549" s="104"/>
      <c r="I4549" s="105" t="s">
        <v>7</v>
      </c>
      <c r="J4549" s="134"/>
      <c r="K4549" s="105" t="s">
        <v>8</v>
      </c>
      <c r="L4549" s="113" t="s">
        <v>193</v>
      </c>
    </row>
    <row r="4550" spans="2:12" x14ac:dyDescent="0.3">
      <c r="B4550" s="120"/>
      <c r="C4550" s="409"/>
      <c r="D4550" s="409"/>
      <c r="E4550" s="114"/>
      <c r="F4550" s="83"/>
      <c r="G4550" s="74"/>
      <c r="I4550" s="115"/>
      <c r="K4550" s="84"/>
      <c r="L4550" s="116">
        <f>E4550*I4550</f>
        <v>0</v>
      </c>
    </row>
    <row r="4551" spans="2:12" x14ac:dyDescent="0.3">
      <c r="B4551" s="74"/>
      <c r="C4551" s="282"/>
      <c r="D4551" s="283"/>
      <c r="E4551" s="119"/>
      <c r="F4551" s="72"/>
      <c r="G4551" s="74"/>
      <c r="I4551" s="115">
        <f>IF(C4551=0,0,VLOOKUP(C4551,Tabla3[],3,FALSE))</f>
        <v>0</v>
      </c>
      <c r="K4551" s="84">
        <f>+F4551*I4551</f>
        <v>0</v>
      </c>
      <c r="L4551" s="116">
        <f>E4551*I4551</f>
        <v>0</v>
      </c>
    </row>
    <row r="4552" spans="2:12" x14ac:dyDescent="0.3">
      <c r="B4552" s="74"/>
      <c r="C4552" s="282"/>
      <c r="D4552" s="283"/>
      <c r="E4552" s="119"/>
      <c r="F4552" s="72"/>
      <c r="G4552" s="74"/>
      <c r="I4552" s="115">
        <f>IF(C4552=0,0,VLOOKUP(C4552,Tabla3[],3,FALSE))</f>
        <v>0</v>
      </c>
      <c r="K4552" s="84">
        <f>+F4552*I4552</f>
        <v>0</v>
      </c>
      <c r="L4552" s="116">
        <f>E4552*I4552</f>
        <v>0</v>
      </c>
    </row>
    <row r="4553" spans="2:12" x14ac:dyDescent="0.3">
      <c r="B4553" s="74"/>
      <c r="C4553" s="411"/>
      <c r="D4553" s="412"/>
      <c r="E4553" s="119"/>
      <c r="F4553" s="72"/>
      <c r="G4553" s="74"/>
      <c r="I4553" s="115">
        <f>IF(C4553=0,0,VLOOKUP(C4553,Tabla3[],3,FALSE))</f>
        <v>0</v>
      </c>
      <c r="K4553" s="84">
        <f>+F4553*I4553</f>
        <v>0</v>
      </c>
      <c r="L4553" s="116">
        <f>E4553*I4553</f>
        <v>0</v>
      </c>
    </row>
    <row r="4554" spans="2:12" ht="17.25" thickBot="1" x14ac:dyDescent="0.35"/>
    <row r="4555" spans="2:12" ht="17.25" thickBot="1" x14ac:dyDescent="0.35">
      <c r="F4555" s="402" t="s">
        <v>12</v>
      </c>
      <c r="G4555" s="403"/>
      <c r="H4555" s="403"/>
      <c r="I4555" s="404"/>
      <c r="K4555" s="224">
        <f>+SUM(K4550:K4553)</f>
        <v>0</v>
      </c>
      <c r="L4555" s="117">
        <f>+SUM(L4550:L4553)</f>
        <v>0</v>
      </c>
    </row>
    <row r="4556" spans="2:12" ht="17.25" thickBot="1" x14ac:dyDescent="0.35"/>
    <row r="4557" spans="2:12" ht="17.25" thickBot="1" x14ac:dyDescent="0.35">
      <c r="B4557" s="108" t="s">
        <v>13</v>
      </c>
      <c r="C4557" s="413" t="s">
        <v>14</v>
      </c>
      <c r="D4557" s="413"/>
      <c r="E4557" s="413"/>
      <c r="F4557" s="413"/>
      <c r="G4557" s="414"/>
    </row>
    <row r="4558" spans="2:12" x14ac:dyDescent="0.3">
      <c r="B4558" s="112" t="s">
        <v>6</v>
      </c>
      <c r="C4558" s="415" t="s">
        <v>1</v>
      </c>
      <c r="D4558" s="416"/>
      <c r="E4558" s="110" t="s">
        <v>192</v>
      </c>
      <c r="F4558" s="118" t="s">
        <v>2</v>
      </c>
      <c r="G4558" s="112" t="s">
        <v>3</v>
      </c>
      <c r="H4558" s="104"/>
      <c r="I4558" s="105" t="s">
        <v>7</v>
      </c>
      <c r="J4558" s="134"/>
      <c r="K4558" s="105" t="s">
        <v>8</v>
      </c>
      <c r="L4558" s="113" t="s">
        <v>193</v>
      </c>
    </row>
    <row r="4559" spans="2:12" x14ac:dyDescent="0.3">
      <c r="B4559" s="120">
        <v>1</v>
      </c>
      <c r="C4559" s="409" t="s">
        <v>194</v>
      </c>
      <c r="D4559" s="409"/>
      <c r="E4559" s="114">
        <f>I4531</f>
        <v>136</v>
      </c>
      <c r="F4559" s="83">
        <f>ROUND(E4559/I4531,2)</f>
        <v>1</v>
      </c>
      <c r="G4559" s="74" t="str">
        <f>IF(C4559=0,0,VLOOKUP(C4559,Tabla2[],2,FALSE))</f>
        <v>m²</v>
      </c>
      <c r="I4559" s="115">
        <f>IF(C4559=0,0,VLOOKUP(C4559,Tabla2[],3,FALSE))</f>
        <v>90</v>
      </c>
      <c r="K4559" s="84">
        <f>+F4559*I4559</f>
        <v>90</v>
      </c>
      <c r="L4559" s="116">
        <f>E4559*I4559</f>
        <v>12240</v>
      </c>
    </row>
    <row r="4560" spans="2:12" x14ac:dyDescent="0.3">
      <c r="B4560" s="120"/>
      <c r="C4560" s="409"/>
      <c r="D4560" s="409"/>
      <c r="E4560" s="114"/>
      <c r="F4560" s="83"/>
      <c r="G4560" s="74"/>
      <c r="I4560" s="115">
        <f>IF(C4560=0,0,VLOOKUP(C4560,Tabla2[],3,FALSE))</f>
        <v>0</v>
      </c>
      <c r="K4560" s="84">
        <f>+F4560*I4560</f>
        <v>0</v>
      </c>
      <c r="L4560" s="116">
        <f>E4560*I4560</f>
        <v>0</v>
      </c>
    </row>
    <row r="4561" spans="2:16" ht="17.25" thickBot="1" x14ac:dyDescent="0.35">
      <c r="B4561" s="121"/>
      <c r="C4561" s="417"/>
      <c r="D4561" s="418"/>
      <c r="E4561" s="122"/>
      <c r="F4561" s="123"/>
      <c r="G4561" s="74"/>
      <c r="I4561" s="115">
        <f>IF(C4561=0,0,VLOOKUP(C4561,Tabla2[],3,FALSE))</f>
        <v>0</v>
      </c>
      <c r="K4561" s="84">
        <f>+F4561*I4561</f>
        <v>0</v>
      </c>
      <c r="L4561" s="116">
        <f>E4561*I4561</f>
        <v>0</v>
      </c>
    </row>
    <row r="4562" spans="2:16" ht="17.25" thickBot="1" x14ac:dyDescent="0.35">
      <c r="B4562" s="419" t="s">
        <v>15</v>
      </c>
      <c r="C4562" s="420"/>
      <c r="D4562" s="420"/>
      <c r="E4562" s="420"/>
      <c r="F4562" s="420"/>
      <c r="G4562" s="421"/>
      <c r="I4562" s="84">
        <v>0</v>
      </c>
      <c r="K4562" s="84">
        <v>0</v>
      </c>
      <c r="L4562" s="116">
        <f>E4562*I4562</f>
        <v>0</v>
      </c>
    </row>
    <row r="4563" spans="2:16" ht="17.25" thickBot="1" x14ac:dyDescent="0.35"/>
    <row r="4564" spans="2:16" ht="17.25" thickBot="1" x14ac:dyDescent="0.35">
      <c r="F4564" s="402" t="s">
        <v>16</v>
      </c>
      <c r="G4564" s="403"/>
      <c r="H4564" s="403"/>
      <c r="I4564" s="404"/>
      <c r="K4564" s="224">
        <f>+SUM(K4559:K4562)</f>
        <v>90</v>
      </c>
      <c r="L4564" s="117">
        <f>+SUM(L4559:L4562)</f>
        <v>12240</v>
      </c>
    </row>
    <row r="4565" spans="2:16" ht="17.25" thickBot="1" x14ac:dyDescent="0.35"/>
    <row r="4566" spans="2:16" ht="17.25" thickBot="1" x14ac:dyDescent="0.35">
      <c r="B4566" s="108" t="s">
        <v>17</v>
      </c>
      <c r="C4566" s="413" t="s">
        <v>18</v>
      </c>
      <c r="D4566" s="413"/>
      <c r="E4566" s="413"/>
      <c r="F4566" s="413"/>
      <c r="G4566" s="414"/>
    </row>
    <row r="4567" spans="2:16" x14ac:dyDescent="0.3">
      <c r="B4567" s="112" t="s">
        <v>6</v>
      </c>
      <c r="C4567" s="415" t="s">
        <v>1</v>
      </c>
      <c r="D4567" s="416"/>
      <c r="E4567" s="124"/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74"/>
      <c r="C4568" s="411"/>
      <c r="D4568" s="412"/>
      <c r="E4568" s="125"/>
      <c r="F4568" s="72"/>
      <c r="G4568" s="74"/>
      <c r="I4568" s="84">
        <v>0</v>
      </c>
      <c r="K4568" s="84">
        <f>+F4568*I4568</f>
        <v>0</v>
      </c>
      <c r="L4568" s="116">
        <f>E4568*I4568</f>
        <v>0</v>
      </c>
    </row>
    <row r="4569" spans="2:16" x14ac:dyDescent="0.3">
      <c r="B4569" s="74"/>
      <c r="C4569" s="411"/>
      <c r="D4569" s="412"/>
      <c r="E4569" s="125"/>
      <c r="F4569" s="72"/>
      <c r="G4569" s="74"/>
      <c r="I4569" s="84"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411"/>
      <c r="D4570" s="412"/>
      <c r="E4570" s="125"/>
      <c r="F4570" s="72"/>
      <c r="G4570" s="74"/>
      <c r="I4570" s="84">
        <v>0</v>
      </c>
      <c r="K4570" s="84">
        <f>+F4570*I4570</f>
        <v>0</v>
      </c>
      <c r="L4570" s="116">
        <f>E4570*I4570</f>
        <v>0</v>
      </c>
    </row>
    <row r="4571" spans="2:16" ht="17.25" thickBot="1" x14ac:dyDescent="0.35">
      <c r="L4571" s="116"/>
    </row>
    <row r="4572" spans="2:16" ht="17.25" thickBot="1" x14ac:dyDescent="0.35">
      <c r="F4572" s="402" t="s">
        <v>19</v>
      </c>
      <c r="G4572" s="403"/>
      <c r="H4572" s="403"/>
      <c r="I4572" s="404"/>
      <c r="K4572" s="224">
        <f>+SUM(K4568:K4570)</f>
        <v>0</v>
      </c>
      <c r="L4572" s="117">
        <f>+SUM(L4567:L4570)</f>
        <v>0</v>
      </c>
    </row>
    <row r="4573" spans="2:16" ht="15" customHeight="1" x14ac:dyDescent="0.3">
      <c r="F4573" s="126"/>
      <c r="G4573" s="280"/>
      <c r="H4573" s="128"/>
      <c r="I4573" s="106"/>
      <c r="K4573" s="225"/>
    </row>
    <row r="4574" spans="2:16" ht="15" customHeight="1" thickBot="1" x14ac:dyDescent="0.35"/>
    <row r="4575" spans="2:16" ht="17.25" thickBot="1" x14ac:dyDescent="0.35">
      <c r="F4575" s="402" t="s">
        <v>20</v>
      </c>
      <c r="G4575" s="403"/>
      <c r="H4575" s="403"/>
      <c r="I4575" s="404"/>
      <c r="K4575" s="224">
        <f>(+K4546+K4555+K4564+K4572)</f>
        <v>90</v>
      </c>
      <c r="L4575" s="117">
        <f>(+L4546+L4555+L4564+L4572)</f>
        <v>12240</v>
      </c>
      <c r="N4575" s="129"/>
      <c r="O4575" s="39"/>
      <c r="P4575" s="40"/>
    </row>
    <row r="4576" spans="2:16" ht="7.5" customHeight="1" thickBot="1" x14ac:dyDescent="0.35">
      <c r="N4576" s="129"/>
      <c r="O4576" s="41"/>
      <c r="P4576" s="40"/>
    </row>
    <row r="4577" spans="1:16" ht="17.25" thickBot="1" x14ac:dyDescent="0.35">
      <c r="F4577" s="402" t="s">
        <v>21</v>
      </c>
      <c r="G4577" s="403"/>
      <c r="H4577" s="403"/>
      <c r="I4577" s="404"/>
      <c r="K4577" s="224">
        <f>K4575*$N$2</f>
        <v>36</v>
      </c>
      <c r="L4577" s="117">
        <f>L4575*$N$2</f>
        <v>4896</v>
      </c>
    </row>
    <row r="4578" spans="1:16" ht="7.5" customHeight="1" thickBot="1" x14ac:dyDescent="0.35"/>
    <row r="4579" spans="1:16" ht="17.25" thickBot="1" x14ac:dyDescent="0.35">
      <c r="F4579" s="402" t="s">
        <v>22</v>
      </c>
      <c r="G4579" s="403"/>
      <c r="H4579" s="403"/>
      <c r="I4579" s="404"/>
      <c r="K4579" s="224">
        <f>+K4575+K4577</f>
        <v>126</v>
      </c>
      <c r="L4579" s="117">
        <f>+L4575+L4577</f>
        <v>17136</v>
      </c>
    </row>
    <row r="4580" spans="1:16" ht="17.25" thickBot="1" x14ac:dyDescent="0.35">
      <c r="F4580" s="126"/>
      <c r="G4580" s="280"/>
      <c r="H4580" s="128"/>
      <c r="I4580" s="106"/>
      <c r="K4580" s="226"/>
      <c r="L4580" s="130">
        <f>L4579/I4531</f>
        <v>126</v>
      </c>
      <c r="M4580" s="131">
        <f>(K4579-L4580)*I4531</f>
        <v>0</v>
      </c>
    </row>
    <row r="4581" spans="1:16" x14ac:dyDescent="0.3">
      <c r="F4581" s="126"/>
      <c r="G4581" s="280"/>
      <c r="H4581" s="128"/>
      <c r="I4581" s="106"/>
      <c r="K4581" s="227"/>
      <c r="L4581" s="129"/>
      <c r="M4581" s="132"/>
      <c r="N4581" s="133"/>
    </row>
    <row r="4582" spans="1:16" ht="17.25" thickBot="1" x14ac:dyDescent="0.35">
      <c r="B4582" s="405"/>
      <c r="C4582" s="405"/>
      <c r="D4582" s="405"/>
    </row>
    <row r="4583" spans="1:16" x14ac:dyDescent="0.3">
      <c r="B4583" s="406" t="s">
        <v>23</v>
      </c>
      <c r="C4583" s="406"/>
      <c r="D4583" s="406"/>
    </row>
    <row r="4584" spans="1:16" x14ac:dyDescent="0.3">
      <c r="B4584" s="281"/>
      <c r="C4584" s="281"/>
      <c r="D4584" s="281"/>
    </row>
    <row r="4586" spans="1:16" x14ac:dyDescent="0.3">
      <c r="B4586" s="103" t="s">
        <v>43</v>
      </c>
      <c r="C4586" s="104"/>
      <c r="D4586" s="422" t="s">
        <v>1</v>
      </c>
      <c r="E4586" s="422"/>
      <c r="F4586" s="422"/>
      <c r="G4586" s="422"/>
      <c r="H4586" s="104"/>
      <c r="I4586" s="105" t="s">
        <v>2</v>
      </c>
      <c r="J4586" s="134"/>
      <c r="K4586" s="105" t="s">
        <v>3</v>
      </c>
    </row>
    <row r="4587" spans="1:16" s="58" customFormat="1" ht="30.75" customHeight="1" x14ac:dyDescent="0.25">
      <c r="A4587" s="56"/>
      <c r="B4587" s="287">
        <f>CATALOGO!B126</f>
        <v>114.03</v>
      </c>
      <c r="C4587" s="135"/>
      <c r="D4587" s="435" t="str">
        <f>CATALOGO!C126</f>
        <v>DESMONTAJE DE CUBIERTA DE TECHO</v>
      </c>
      <c r="E4587" s="435"/>
      <c r="F4587" s="435"/>
      <c r="G4587" s="435"/>
      <c r="H4587" s="135"/>
      <c r="I4587" s="287">
        <f>CATALOGO!D126</f>
        <v>156</v>
      </c>
      <c r="J4587" s="107"/>
      <c r="K4587" s="222" t="str">
        <f>CATALOGO!G126</f>
        <v>m²</v>
      </c>
      <c r="L4587" s="135"/>
      <c r="M4587" s="135"/>
      <c r="N4587" s="135"/>
      <c r="O4587" s="57"/>
      <c r="P4587" s="57"/>
    </row>
    <row r="4588" spans="1:16" ht="17.25" thickBot="1" x14ac:dyDescent="0.35"/>
    <row r="4589" spans="1:16" ht="17.25" thickBot="1" x14ac:dyDescent="0.35">
      <c r="B4589" s="108" t="s">
        <v>4</v>
      </c>
      <c r="C4589" s="413" t="s">
        <v>5</v>
      </c>
      <c r="D4589" s="413"/>
      <c r="E4589" s="413"/>
      <c r="F4589" s="413"/>
      <c r="G4589" s="414"/>
    </row>
    <row r="4590" spans="1:16" x14ac:dyDescent="0.3">
      <c r="B4590" s="109" t="s">
        <v>6</v>
      </c>
      <c r="C4590" s="424" t="s">
        <v>1</v>
      </c>
      <c r="D4590" s="425"/>
      <c r="E4590" s="110" t="s">
        <v>192</v>
      </c>
      <c r="F4590" s="111" t="s">
        <v>2</v>
      </c>
      <c r="G4590" s="112" t="s">
        <v>3</v>
      </c>
      <c r="H4590" s="104"/>
      <c r="I4590" s="105" t="s">
        <v>7</v>
      </c>
      <c r="J4590" s="134"/>
      <c r="K4590" s="223" t="s">
        <v>8</v>
      </c>
      <c r="L4590" s="113" t="s">
        <v>193</v>
      </c>
    </row>
    <row r="4591" spans="1:16" x14ac:dyDescent="0.3">
      <c r="B4591" s="74"/>
      <c r="C4591" s="409"/>
      <c r="D4591" s="409"/>
      <c r="E4591" s="114"/>
      <c r="F4591" s="83"/>
      <c r="G4591" s="74"/>
      <c r="I4591" s="115">
        <f>IF(C4591=0,0,VLOOKUP(C4591,Tabla1[],3,FALSE))</f>
        <v>0</v>
      </c>
      <c r="K4591" s="84">
        <f>+F4591*I4591</f>
        <v>0</v>
      </c>
      <c r="L4591" s="116">
        <f>E4591*I4591</f>
        <v>0</v>
      </c>
    </row>
    <row r="4592" spans="1:16" x14ac:dyDescent="0.3">
      <c r="B4592" s="74"/>
      <c r="C4592" s="409"/>
      <c r="D4592" s="409"/>
      <c r="E4592" s="114"/>
      <c r="F4592" s="83"/>
      <c r="G4592" s="74"/>
      <c r="I4592" s="115">
        <f>IF(C4592=0,0,VLOOKUP(C4592,Tabla1[],3,FALSE))</f>
        <v>0</v>
      </c>
      <c r="K4592" s="84">
        <f t="shared" ref="K4592:K4600" si="118">+F4592*I4592</f>
        <v>0</v>
      </c>
      <c r="L4592" s="116">
        <f t="shared" ref="L4592:L4600" si="119">E4592*I4592</f>
        <v>0</v>
      </c>
    </row>
    <row r="4593" spans="2:12" x14ac:dyDescent="0.3">
      <c r="B4593" s="74"/>
      <c r="C4593" s="409"/>
      <c r="D4593" s="409"/>
      <c r="E4593" s="114"/>
      <c r="F4593" s="83"/>
      <c r="G4593" s="74"/>
      <c r="I4593" s="115">
        <f>IF(C4593=0,0,VLOOKUP(C4593,Tabla1[],3,FALSE))</f>
        <v>0</v>
      </c>
      <c r="K4593" s="84">
        <f t="shared" si="118"/>
        <v>0</v>
      </c>
      <c r="L4593" s="116">
        <f t="shared" si="119"/>
        <v>0</v>
      </c>
    </row>
    <row r="4594" spans="2:12" x14ac:dyDescent="0.3">
      <c r="B4594" s="74"/>
      <c r="C4594" s="409"/>
      <c r="D4594" s="409"/>
      <c r="E4594" s="114"/>
      <c r="F4594" s="83"/>
      <c r="G4594" s="74"/>
      <c r="I4594" s="115">
        <f>IF(C4594=0,0,VLOOKUP(C4594,Tabla1[],3,FALSE))</f>
        <v>0</v>
      </c>
      <c r="K4594" s="84">
        <f t="shared" si="118"/>
        <v>0</v>
      </c>
      <c r="L4594" s="116">
        <f t="shared" si="119"/>
        <v>0</v>
      </c>
    </row>
    <row r="4595" spans="2:12" x14ac:dyDescent="0.3">
      <c r="B4595" s="74"/>
      <c r="C4595" s="410"/>
      <c r="D4595" s="410"/>
      <c r="E4595" s="114"/>
      <c r="F4595" s="83"/>
      <c r="G4595" s="74"/>
      <c r="I4595" s="115">
        <f>IF(C4595=0,0,VLOOKUP(C4595,Tabla1[],3,FALSE))</f>
        <v>0</v>
      </c>
      <c r="K4595" s="84">
        <f t="shared" si="118"/>
        <v>0</v>
      </c>
      <c r="L4595" s="116">
        <f t="shared" si="119"/>
        <v>0</v>
      </c>
    </row>
    <row r="4596" spans="2:12" x14ac:dyDescent="0.3">
      <c r="B4596" s="74"/>
      <c r="C4596" s="410"/>
      <c r="D4596" s="410"/>
      <c r="E4596" s="114"/>
      <c r="F4596" s="72"/>
      <c r="G4596" s="74"/>
      <c r="I4596" s="115">
        <f>IF(C4596=0,0,VLOOKUP(C4596,Tabla1[],3,FALSE))</f>
        <v>0</v>
      </c>
      <c r="K4596" s="84">
        <f t="shared" si="118"/>
        <v>0</v>
      </c>
      <c r="L4596" s="116">
        <f t="shared" si="119"/>
        <v>0</v>
      </c>
    </row>
    <row r="4597" spans="2:12" x14ac:dyDescent="0.3">
      <c r="B4597" s="74"/>
      <c r="C4597" s="410"/>
      <c r="D4597" s="410"/>
      <c r="E4597" s="114"/>
      <c r="F4597" s="72"/>
      <c r="G4597" s="74"/>
      <c r="I4597" s="115">
        <f>IF(C4597=0,0,VLOOKUP(C4597,Tabla1[],3,FALSE))</f>
        <v>0</v>
      </c>
      <c r="K4597" s="84">
        <f t="shared" si="118"/>
        <v>0</v>
      </c>
      <c r="L4597" s="116">
        <f t="shared" si="119"/>
        <v>0</v>
      </c>
    </row>
    <row r="4598" spans="2:12" x14ac:dyDescent="0.3">
      <c r="B4598" s="74"/>
      <c r="C4598" s="410"/>
      <c r="D4598" s="410"/>
      <c r="E4598" s="114"/>
      <c r="F4598" s="72"/>
      <c r="G4598" s="74"/>
      <c r="I4598" s="115">
        <f>IF(C4598=0,0,VLOOKUP(C4598,Tabla1[],3,FALSE))</f>
        <v>0</v>
      </c>
      <c r="K4598" s="84">
        <f t="shared" si="118"/>
        <v>0</v>
      </c>
      <c r="L4598" s="116">
        <f t="shared" si="119"/>
        <v>0</v>
      </c>
    </row>
    <row r="4599" spans="2:12" x14ac:dyDescent="0.3">
      <c r="B4599" s="74"/>
      <c r="C4599" s="410"/>
      <c r="D4599" s="410"/>
      <c r="E4599" s="114"/>
      <c r="F4599" s="72"/>
      <c r="G4599" s="74"/>
      <c r="I4599" s="115">
        <f>IF(C4599=0,0,VLOOKUP(C4599,Tabla1[],3,FALSE))</f>
        <v>0</v>
      </c>
      <c r="K4599" s="84">
        <f t="shared" si="118"/>
        <v>0</v>
      </c>
      <c r="L4599" s="116">
        <f t="shared" si="119"/>
        <v>0</v>
      </c>
    </row>
    <row r="4600" spans="2:12" x14ac:dyDescent="0.3">
      <c r="B4600" s="74"/>
      <c r="C4600" s="410"/>
      <c r="D4600" s="410"/>
      <c r="E4600" s="114"/>
      <c r="F4600" s="72"/>
      <c r="G4600" s="74"/>
      <c r="I4600" s="115">
        <f>IF(C4600=0,0,VLOOKUP(C4600,Tabla1[],3,FALSE))</f>
        <v>0</v>
      </c>
      <c r="K4600" s="84">
        <f t="shared" si="118"/>
        <v>0</v>
      </c>
      <c r="L4600" s="116">
        <f t="shared" si="119"/>
        <v>0</v>
      </c>
    </row>
    <row r="4601" spans="2:12" ht="17.25" thickBot="1" x14ac:dyDescent="0.35"/>
    <row r="4602" spans="2:12" ht="17.25" thickBot="1" x14ac:dyDescent="0.35">
      <c r="F4602" s="402" t="s">
        <v>9</v>
      </c>
      <c r="G4602" s="403"/>
      <c r="H4602" s="403"/>
      <c r="I4602" s="404"/>
      <c r="K4602" s="224">
        <f>+SUM(K4591:K4600)</f>
        <v>0</v>
      </c>
      <c r="L4602" s="117">
        <f>+SUM(L4591:L4600)</f>
        <v>0</v>
      </c>
    </row>
    <row r="4603" spans="2:12" ht="17.25" thickBot="1" x14ac:dyDescent="0.35"/>
    <row r="4604" spans="2:12" ht="17.25" thickBot="1" x14ac:dyDescent="0.35">
      <c r="B4604" s="108" t="s">
        <v>10</v>
      </c>
      <c r="C4604" s="413" t="s">
        <v>11</v>
      </c>
      <c r="D4604" s="413"/>
      <c r="E4604" s="413"/>
      <c r="F4604" s="413"/>
      <c r="G4604" s="414"/>
    </row>
    <row r="4605" spans="2:12" x14ac:dyDescent="0.3">
      <c r="B4605" s="112" t="s">
        <v>6</v>
      </c>
      <c r="C4605" s="415" t="s">
        <v>1</v>
      </c>
      <c r="D4605" s="416"/>
      <c r="E4605" s="110" t="s">
        <v>192</v>
      </c>
      <c r="F4605" s="118" t="s">
        <v>2</v>
      </c>
      <c r="G4605" s="112" t="s">
        <v>3</v>
      </c>
      <c r="H4605" s="104"/>
      <c r="I4605" s="105" t="s">
        <v>7</v>
      </c>
      <c r="J4605" s="134"/>
      <c r="K4605" s="105" t="s">
        <v>8</v>
      </c>
      <c r="L4605" s="113" t="s">
        <v>193</v>
      </c>
    </row>
    <row r="4606" spans="2:12" x14ac:dyDescent="0.3">
      <c r="B4606" s="120"/>
      <c r="C4606" s="409"/>
      <c r="D4606" s="409"/>
      <c r="E4606" s="114"/>
      <c r="F4606" s="83"/>
      <c r="G4606" s="74"/>
      <c r="I4606" s="115"/>
      <c r="K4606" s="84"/>
      <c r="L4606" s="116">
        <f>E4606*I4606</f>
        <v>0</v>
      </c>
    </row>
    <row r="4607" spans="2:12" x14ac:dyDescent="0.3">
      <c r="B4607" s="74"/>
      <c r="C4607" s="282"/>
      <c r="D4607" s="283"/>
      <c r="E4607" s="119"/>
      <c r="F4607" s="72"/>
      <c r="G4607" s="74"/>
      <c r="I4607" s="115">
        <f>IF(C4607=0,0,VLOOKUP(C4607,Tabla3[],3,FALSE))</f>
        <v>0</v>
      </c>
      <c r="K4607" s="84">
        <f>+F4607*I4607</f>
        <v>0</v>
      </c>
      <c r="L4607" s="116">
        <f>E4607*I4607</f>
        <v>0</v>
      </c>
    </row>
    <row r="4608" spans="2:12" x14ac:dyDescent="0.3">
      <c r="B4608" s="74"/>
      <c r="C4608" s="282"/>
      <c r="D4608" s="283"/>
      <c r="E4608" s="119"/>
      <c r="F4608" s="72"/>
      <c r="G4608" s="74"/>
      <c r="I4608" s="115">
        <f>IF(C4608=0,0,VLOOKUP(C4608,Tabla3[],3,FALSE))</f>
        <v>0</v>
      </c>
      <c r="K4608" s="84">
        <f>+F4608*I4608</f>
        <v>0</v>
      </c>
      <c r="L4608" s="116">
        <f>E4608*I4608</f>
        <v>0</v>
      </c>
    </row>
    <row r="4609" spans="2:12" x14ac:dyDescent="0.3">
      <c r="B4609" s="74"/>
      <c r="C4609" s="411"/>
      <c r="D4609" s="412"/>
      <c r="E4609" s="119"/>
      <c r="F4609" s="72"/>
      <c r="G4609" s="74"/>
      <c r="I4609" s="115">
        <f>IF(C4609=0,0,VLOOKUP(C4609,Tabla3[],3,FALSE))</f>
        <v>0</v>
      </c>
      <c r="K4609" s="84">
        <f>+F4609*I4609</f>
        <v>0</v>
      </c>
      <c r="L4609" s="116">
        <f>E4609*I4609</f>
        <v>0</v>
      </c>
    </row>
    <row r="4610" spans="2:12" ht="17.25" thickBot="1" x14ac:dyDescent="0.35"/>
    <row r="4611" spans="2:12" ht="17.25" thickBot="1" x14ac:dyDescent="0.35">
      <c r="F4611" s="402" t="s">
        <v>12</v>
      </c>
      <c r="G4611" s="403"/>
      <c r="H4611" s="403"/>
      <c r="I4611" s="404"/>
      <c r="K4611" s="224">
        <f>+SUM(K4606:K4609)</f>
        <v>0</v>
      </c>
      <c r="L4611" s="117">
        <f>+SUM(L4606:L4609)</f>
        <v>0</v>
      </c>
    </row>
    <row r="4612" spans="2:12" ht="17.25" thickBot="1" x14ac:dyDescent="0.35"/>
    <row r="4613" spans="2:12" ht="17.25" thickBot="1" x14ac:dyDescent="0.35">
      <c r="B4613" s="108" t="s">
        <v>13</v>
      </c>
      <c r="C4613" s="413" t="s">
        <v>14</v>
      </c>
      <c r="D4613" s="413"/>
      <c r="E4613" s="413"/>
      <c r="F4613" s="413"/>
      <c r="G4613" s="414"/>
    </row>
    <row r="4614" spans="2:12" x14ac:dyDescent="0.3">
      <c r="B4614" s="112" t="s">
        <v>6</v>
      </c>
      <c r="C4614" s="415" t="s">
        <v>1</v>
      </c>
      <c r="D4614" s="416"/>
      <c r="E4614" s="110" t="s">
        <v>192</v>
      </c>
      <c r="F4614" s="118" t="s">
        <v>2</v>
      </c>
      <c r="G4614" s="112" t="s">
        <v>3</v>
      </c>
      <c r="H4614" s="104"/>
      <c r="I4614" s="105" t="s">
        <v>7</v>
      </c>
      <c r="J4614" s="134"/>
      <c r="K4614" s="105" t="s">
        <v>8</v>
      </c>
      <c r="L4614" s="113" t="s">
        <v>193</v>
      </c>
    </row>
    <row r="4615" spans="2:12" x14ac:dyDescent="0.3">
      <c r="B4615" s="120">
        <v>1</v>
      </c>
      <c r="C4615" s="409" t="s">
        <v>276</v>
      </c>
      <c r="D4615" s="409"/>
      <c r="E4615" s="114">
        <f>I4587</f>
        <v>156</v>
      </c>
      <c r="F4615" s="83">
        <f>ROUND(E4615/I4587,2)</f>
        <v>1</v>
      </c>
      <c r="G4615" s="74" t="str">
        <f>IF(C4615=0,0,VLOOKUP(C4615,Tabla2[],2,FALSE))</f>
        <v>m²</v>
      </c>
      <c r="I4615" s="115">
        <f>IF(C4615=0,0,VLOOKUP(C4615,Tabla2[],3,FALSE))</f>
        <v>60</v>
      </c>
      <c r="K4615" s="84">
        <f>+F4615*I4615</f>
        <v>60</v>
      </c>
      <c r="L4615" s="116">
        <f>E4615*I4615</f>
        <v>9360</v>
      </c>
    </row>
    <row r="4616" spans="2:12" x14ac:dyDescent="0.3">
      <c r="B4616" s="120"/>
      <c r="C4616" s="409"/>
      <c r="D4616" s="409"/>
      <c r="E4616" s="114"/>
      <c r="F4616" s="83"/>
      <c r="G4616" s="74"/>
      <c r="I4616" s="115">
        <f>IF(C4616=0,0,VLOOKUP(C4616,Tabla2[],3,FALSE))</f>
        <v>0</v>
      </c>
      <c r="K4616" s="84">
        <f>+F4616*I4616</f>
        <v>0</v>
      </c>
      <c r="L4616" s="116">
        <f>E4616*I4616</f>
        <v>0</v>
      </c>
    </row>
    <row r="4617" spans="2:12" ht="17.25" thickBot="1" x14ac:dyDescent="0.35">
      <c r="B4617" s="121"/>
      <c r="C4617" s="417"/>
      <c r="D4617" s="418"/>
      <c r="E4617" s="122"/>
      <c r="F4617" s="123"/>
      <c r="G4617" s="74"/>
      <c r="I4617" s="115">
        <f>IF(C4617=0,0,VLOOKUP(C4617,Tabla2[],3,FALSE))</f>
        <v>0</v>
      </c>
      <c r="K4617" s="84">
        <f>+F4617*I4617</f>
        <v>0</v>
      </c>
      <c r="L4617" s="116">
        <f>E4617*I4617</f>
        <v>0</v>
      </c>
    </row>
    <row r="4618" spans="2:12" ht="17.25" thickBot="1" x14ac:dyDescent="0.35">
      <c r="B4618" s="419" t="s">
        <v>15</v>
      </c>
      <c r="C4618" s="420"/>
      <c r="D4618" s="420"/>
      <c r="E4618" s="420"/>
      <c r="F4618" s="420"/>
      <c r="G4618" s="421"/>
      <c r="I4618" s="84">
        <v>0</v>
      </c>
      <c r="K4618" s="84">
        <v>0</v>
      </c>
      <c r="L4618" s="116">
        <f>E4618*I4618</f>
        <v>0</v>
      </c>
    </row>
    <row r="4619" spans="2:12" ht="17.25" thickBot="1" x14ac:dyDescent="0.35"/>
    <row r="4620" spans="2:12" ht="17.25" thickBot="1" x14ac:dyDescent="0.35">
      <c r="F4620" s="402" t="s">
        <v>16</v>
      </c>
      <c r="G4620" s="403"/>
      <c r="H4620" s="403"/>
      <c r="I4620" s="404"/>
      <c r="K4620" s="224">
        <f>+SUM(K4615:K4618)</f>
        <v>60</v>
      </c>
      <c r="L4620" s="117">
        <f>+SUM(L4615:L4618)</f>
        <v>9360</v>
      </c>
    </row>
    <row r="4621" spans="2:12" ht="17.25" thickBot="1" x14ac:dyDescent="0.35"/>
    <row r="4622" spans="2:12" ht="17.25" thickBot="1" x14ac:dyDescent="0.35">
      <c r="B4622" s="108" t="s">
        <v>17</v>
      </c>
      <c r="C4622" s="413" t="s">
        <v>18</v>
      </c>
      <c r="D4622" s="413"/>
      <c r="E4622" s="413"/>
      <c r="F4622" s="413"/>
      <c r="G4622" s="414"/>
    </row>
    <row r="4623" spans="2:12" x14ac:dyDescent="0.3">
      <c r="B4623" s="112" t="s">
        <v>6</v>
      </c>
      <c r="C4623" s="415" t="s">
        <v>1</v>
      </c>
      <c r="D4623" s="416"/>
      <c r="E4623" s="124"/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2" x14ac:dyDescent="0.3">
      <c r="B4624" s="74"/>
      <c r="C4624" s="411"/>
      <c r="D4624" s="412"/>
      <c r="E4624" s="125"/>
      <c r="F4624" s="72"/>
      <c r="G4624" s="74"/>
      <c r="I4624" s="84">
        <v>0</v>
      </c>
      <c r="K4624" s="84">
        <f>+F4624*I4624</f>
        <v>0</v>
      </c>
      <c r="L4624" s="116">
        <f>E4624*I4624</f>
        <v>0</v>
      </c>
    </row>
    <row r="4625" spans="2:16" x14ac:dyDescent="0.3">
      <c r="B4625" s="74"/>
      <c r="C4625" s="411"/>
      <c r="D4625" s="412"/>
      <c r="E4625" s="125"/>
      <c r="F4625" s="72"/>
      <c r="G4625" s="74"/>
      <c r="I4625" s="84">
        <v>0</v>
      </c>
      <c r="K4625" s="84">
        <f>+F4625*I4625</f>
        <v>0</v>
      </c>
      <c r="L4625" s="116">
        <f>E4625*I4625</f>
        <v>0</v>
      </c>
    </row>
    <row r="4626" spans="2:16" x14ac:dyDescent="0.3">
      <c r="B4626" s="74"/>
      <c r="C4626" s="411"/>
      <c r="D4626" s="412"/>
      <c r="E4626" s="125"/>
      <c r="F4626" s="72"/>
      <c r="G4626" s="74"/>
      <c r="I4626" s="84">
        <v>0</v>
      </c>
      <c r="K4626" s="84">
        <f>+F4626*I4626</f>
        <v>0</v>
      </c>
      <c r="L4626" s="116">
        <f>E4626*I4626</f>
        <v>0</v>
      </c>
    </row>
    <row r="4627" spans="2:16" ht="17.25" thickBot="1" x14ac:dyDescent="0.35">
      <c r="L4627" s="116"/>
    </row>
    <row r="4628" spans="2:16" ht="17.25" thickBot="1" x14ac:dyDescent="0.35">
      <c r="F4628" s="402" t="s">
        <v>19</v>
      </c>
      <c r="G4628" s="403"/>
      <c r="H4628" s="403"/>
      <c r="I4628" s="404"/>
      <c r="K4628" s="224">
        <f>+SUM(K4624:K4626)</f>
        <v>0</v>
      </c>
      <c r="L4628" s="117">
        <f>+SUM(L4623:L4626)</f>
        <v>0</v>
      </c>
    </row>
    <row r="4629" spans="2:16" ht="15" customHeight="1" x14ac:dyDescent="0.3">
      <c r="F4629" s="126"/>
      <c r="G4629" s="280"/>
      <c r="H4629" s="128"/>
      <c r="I4629" s="106"/>
      <c r="K4629" s="225"/>
    </row>
    <row r="4630" spans="2:16" ht="15" customHeight="1" thickBot="1" x14ac:dyDescent="0.35"/>
    <row r="4631" spans="2:16" ht="17.25" thickBot="1" x14ac:dyDescent="0.35">
      <c r="F4631" s="402" t="s">
        <v>20</v>
      </c>
      <c r="G4631" s="403"/>
      <c r="H4631" s="403"/>
      <c r="I4631" s="404"/>
      <c r="K4631" s="224">
        <f>(+K4602+K4611+K4620+K4628)</f>
        <v>60</v>
      </c>
      <c r="L4631" s="117">
        <f>(+L4602+L4611+L4620+L4628)</f>
        <v>9360</v>
      </c>
      <c r="N4631" s="129"/>
      <c r="O4631" s="39"/>
      <c r="P4631" s="40"/>
    </row>
    <row r="4632" spans="2:16" ht="7.5" customHeight="1" thickBot="1" x14ac:dyDescent="0.35">
      <c r="N4632" s="129"/>
      <c r="O4632" s="41"/>
      <c r="P4632" s="40"/>
    </row>
    <row r="4633" spans="2:16" ht="17.25" thickBot="1" x14ac:dyDescent="0.35">
      <c r="F4633" s="402" t="s">
        <v>21</v>
      </c>
      <c r="G4633" s="403"/>
      <c r="H4633" s="403"/>
      <c r="I4633" s="404"/>
      <c r="K4633" s="224">
        <f>K4631*$N$2</f>
        <v>24</v>
      </c>
      <c r="L4633" s="117">
        <f>L4631*$N$2</f>
        <v>3744</v>
      </c>
    </row>
    <row r="4634" spans="2:16" ht="7.5" customHeight="1" thickBot="1" x14ac:dyDescent="0.35"/>
    <row r="4635" spans="2:16" ht="17.25" thickBot="1" x14ac:dyDescent="0.35">
      <c r="F4635" s="402" t="s">
        <v>22</v>
      </c>
      <c r="G4635" s="403"/>
      <c r="H4635" s="403"/>
      <c r="I4635" s="404"/>
      <c r="K4635" s="224">
        <f>+K4631+K4633</f>
        <v>84</v>
      </c>
      <c r="L4635" s="117">
        <f>+L4631+L4633</f>
        <v>13104</v>
      </c>
    </row>
    <row r="4636" spans="2:16" ht="17.25" thickBot="1" x14ac:dyDescent="0.35">
      <c r="F4636" s="126"/>
      <c r="G4636" s="280"/>
      <c r="H4636" s="128"/>
      <c r="I4636" s="106"/>
      <c r="K4636" s="226"/>
      <c r="L4636" s="130">
        <f>L4635/I4587</f>
        <v>84</v>
      </c>
      <c r="M4636" s="131">
        <f>(K4635-L4636)*I4587</f>
        <v>0</v>
      </c>
    </row>
    <row r="4637" spans="2:16" x14ac:dyDescent="0.3">
      <c r="F4637" s="126"/>
      <c r="G4637" s="280"/>
      <c r="H4637" s="128"/>
      <c r="I4637" s="106"/>
      <c r="K4637" s="227"/>
      <c r="L4637" s="129"/>
      <c r="M4637" s="132"/>
      <c r="N4637" s="133"/>
    </row>
    <row r="4638" spans="2:16" ht="17.25" thickBot="1" x14ac:dyDescent="0.35">
      <c r="B4638" s="405"/>
      <c r="C4638" s="405"/>
      <c r="D4638" s="405"/>
    </row>
    <row r="4639" spans="2:16" x14ac:dyDescent="0.3">
      <c r="B4639" s="406" t="s">
        <v>23</v>
      </c>
      <c r="C4639" s="406"/>
      <c r="D4639" s="406"/>
    </row>
    <row r="4640" spans="2:16" x14ac:dyDescent="0.3">
      <c r="B4640" s="281"/>
      <c r="C4640" s="281"/>
      <c r="D4640" s="281"/>
    </row>
    <row r="4641" spans="1:16" x14ac:dyDescent="0.3">
      <c r="B4641" s="281"/>
      <c r="C4641" s="281"/>
      <c r="D4641" s="281"/>
    </row>
    <row r="4642" spans="1:16" x14ac:dyDescent="0.3">
      <c r="B4642" s="103" t="s">
        <v>43</v>
      </c>
      <c r="C4642" s="104"/>
      <c r="D4642" s="422" t="s">
        <v>1</v>
      </c>
      <c r="E4642" s="422"/>
      <c r="F4642" s="422"/>
      <c r="G4642" s="422"/>
      <c r="H4642" s="104"/>
      <c r="I4642" s="105" t="s">
        <v>2</v>
      </c>
      <c r="J4642" s="134"/>
      <c r="K4642" s="105" t="s">
        <v>3</v>
      </c>
    </row>
    <row r="4643" spans="1:16" s="4" customFormat="1" ht="30.75" customHeight="1" x14ac:dyDescent="0.25">
      <c r="A4643" s="31"/>
      <c r="B4643" s="287">
        <f>CATALOGO!B127</f>
        <v>118.01</v>
      </c>
      <c r="C4643" s="135"/>
      <c r="D4643" s="435" t="str">
        <f>CATALOGO!C127</f>
        <v>DESMONTAJE DE ACCESORIOS ELÉCTRICOS</v>
      </c>
      <c r="E4643" s="435"/>
      <c r="F4643" s="435"/>
      <c r="G4643" s="435"/>
      <c r="H4643" s="135"/>
      <c r="I4643" s="287">
        <f>CATALOGO!D127</f>
        <v>14</v>
      </c>
      <c r="J4643" s="107"/>
      <c r="K4643" s="222" t="str">
        <f>CATALOGO!G127</f>
        <v>Unidad</v>
      </c>
      <c r="L4643" s="71"/>
      <c r="M4643" s="71"/>
      <c r="N4643" s="102"/>
      <c r="O4643" s="37"/>
      <c r="P4643" s="37"/>
    </row>
    <row r="4644" spans="1:16" ht="17.25" thickBot="1" x14ac:dyDescent="0.35"/>
    <row r="4645" spans="1:16" ht="17.25" thickBot="1" x14ac:dyDescent="0.35">
      <c r="B4645" s="108" t="s">
        <v>4</v>
      </c>
      <c r="C4645" s="413" t="s">
        <v>5</v>
      </c>
      <c r="D4645" s="413"/>
      <c r="E4645" s="413"/>
      <c r="F4645" s="413"/>
      <c r="G4645" s="414"/>
    </row>
    <row r="4646" spans="1:16" x14ac:dyDescent="0.3">
      <c r="B4646" s="109" t="s">
        <v>6</v>
      </c>
      <c r="C4646" s="424" t="s">
        <v>1</v>
      </c>
      <c r="D4646" s="425"/>
      <c r="E4646" s="110" t="s">
        <v>192</v>
      </c>
      <c r="F4646" s="111" t="s">
        <v>2</v>
      </c>
      <c r="G4646" s="112" t="s">
        <v>3</v>
      </c>
      <c r="H4646" s="104"/>
      <c r="I4646" s="105" t="s">
        <v>7</v>
      </c>
      <c r="J4646" s="134"/>
      <c r="K4646" s="223" t="s">
        <v>8</v>
      </c>
      <c r="L4646" s="113" t="s">
        <v>193</v>
      </c>
    </row>
    <row r="4647" spans="1:16" x14ac:dyDescent="0.3">
      <c r="B4647" s="74"/>
      <c r="C4647" s="409"/>
      <c r="D4647" s="409"/>
      <c r="E4647" s="114"/>
      <c r="F4647" s="83"/>
      <c r="G4647" s="74"/>
      <c r="I4647" s="115">
        <f>IF(C4647=0,0,VLOOKUP(C4647,Tabla1[],3,FALSE))</f>
        <v>0</v>
      </c>
      <c r="K4647" s="84">
        <f>+F4647*I4647</f>
        <v>0</v>
      </c>
      <c r="L4647" s="116">
        <f>E4647*I4647</f>
        <v>0</v>
      </c>
    </row>
    <row r="4648" spans="1:16" x14ac:dyDescent="0.3">
      <c r="B4648" s="74"/>
      <c r="C4648" s="409"/>
      <c r="D4648" s="409"/>
      <c r="E4648" s="114"/>
      <c r="F4648" s="83"/>
      <c r="G4648" s="74"/>
      <c r="I4648" s="115">
        <f>IF(C4648=0,0,VLOOKUP(C4648,Tabla1[],3,FALSE))</f>
        <v>0</v>
      </c>
      <c r="K4648" s="84">
        <f t="shared" ref="K4648:K4656" si="120">+F4648*I4648</f>
        <v>0</v>
      </c>
      <c r="L4648" s="116">
        <f t="shared" ref="L4648:L4656" si="121">E4648*I4648</f>
        <v>0</v>
      </c>
    </row>
    <row r="4649" spans="1:16" x14ac:dyDescent="0.3">
      <c r="B4649" s="74"/>
      <c r="C4649" s="409"/>
      <c r="D4649" s="409"/>
      <c r="E4649" s="114"/>
      <c r="F4649" s="83"/>
      <c r="G4649" s="74"/>
      <c r="I4649" s="115">
        <f>IF(C4649=0,0,VLOOKUP(C4649,Tabla1[],3,FALSE))</f>
        <v>0</v>
      </c>
      <c r="K4649" s="84">
        <f t="shared" si="120"/>
        <v>0</v>
      </c>
      <c r="L4649" s="116">
        <f t="shared" si="121"/>
        <v>0</v>
      </c>
    </row>
    <row r="4650" spans="1:16" x14ac:dyDescent="0.3">
      <c r="B4650" s="74"/>
      <c r="C4650" s="409"/>
      <c r="D4650" s="409"/>
      <c r="E4650" s="114"/>
      <c r="F4650" s="83"/>
      <c r="G4650" s="74"/>
      <c r="I4650" s="115">
        <f>IF(C4650=0,0,VLOOKUP(C4650,Tabla1[],3,FALSE))</f>
        <v>0</v>
      </c>
      <c r="K4650" s="84">
        <f t="shared" si="120"/>
        <v>0</v>
      </c>
      <c r="L4650" s="116">
        <f t="shared" si="121"/>
        <v>0</v>
      </c>
    </row>
    <row r="4651" spans="1:16" x14ac:dyDescent="0.3">
      <c r="B4651" s="74"/>
      <c r="C4651" s="410"/>
      <c r="D4651" s="410"/>
      <c r="E4651" s="114"/>
      <c r="F4651" s="83"/>
      <c r="G4651" s="74"/>
      <c r="I4651" s="115">
        <f>IF(C4651=0,0,VLOOKUP(C4651,Tabla1[],3,FALSE))</f>
        <v>0</v>
      </c>
      <c r="K4651" s="84">
        <f t="shared" si="120"/>
        <v>0</v>
      </c>
      <c r="L4651" s="116">
        <f t="shared" si="121"/>
        <v>0</v>
      </c>
    </row>
    <row r="4652" spans="1:16" x14ac:dyDescent="0.3">
      <c r="B4652" s="74"/>
      <c r="C4652" s="410"/>
      <c r="D4652" s="410"/>
      <c r="E4652" s="114"/>
      <c r="F4652" s="72"/>
      <c r="G4652" s="74"/>
      <c r="I4652" s="115">
        <f>IF(C4652=0,0,VLOOKUP(C4652,Tabla1[],3,FALSE))</f>
        <v>0</v>
      </c>
      <c r="K4652" s="84">
        <f t="shared" si="120"/>
        <v>0</v>
      </c>
      <c r="L4652" s="116">
        <f t="shared" si="121"/>
        <v>0</v>
      </c>
    </row>
    <row r="4653" spans="1:16" x14ac:dyDescent="0.3">
      <c r="B4653" s="74"/>
      <c r="C4653" s="410"/>
      <c r="D4653" s="410"/>
      <c r="E4653" s="114"/>
      <c r="F4653" s="72"/>
      <c r="G4653" s="74"/>
      <c r="I4653" s="115">
        <f>IF(C4653=0,0,VLOOKUP(C4653,Tabla1[],3,FALSE))</f>
        <v>0</v>
      </c>
      <c r="K4653" s="84">
        <f t="shared" si="120"/>
        <v>0</v>
      </c>
      <c r="L4653" s="116">
        <f t="shared" si="121"/>
        <v>0</v>
      </c>
    </row>
    <row r="4654" spans="1:16" x14ac:dyDescent="0.3">
      <c r="B4654" s="74"/>
      <c r="C4654" s="410"/>
      <c r="D4654" s="410"/>
      <c r="E4654" s="114"/>
      <c r="F4654" s="72"/>
      <c r="G4654" s="74"/>
      <c r="I4654" s="115">
        <f>IF(C4654=0,0,VLOOKUP(C4654,Tabla1[],3,FALSE))</f>
        <v>0</v>
      </c>
      <c r="K4654" s="84">
        <f t="shared" si="120"/>
        <v>0</v>
      </c>
      <c r="L4654" s="116">
        <f t="shared" si="121"/>
        <v>0</v>
      </c>
    </row>
    <row r="4655" spans="1:16" x14ac:dyDescent="0.3">
      <c r="B4655" s="74"/>
      <c r="C4655" s="410"/>
      <c r="D4655" s="410"/>
      <c r="E4655" s="114"/>
      <c r="F4655" s="72"/>
      <c r="G4655" s="74"/>
      <c r="I4655" s="115">
        <f>IF(C4655=0,0,VLOOKUP(C4655,Tabla1[],3,FALSE))</f>
        <v>0</v>
      </c>
      <c r="K4655" s="84">
        <f t="shared" si="120"/>
        <v>0</v>
      </c>
      <c r="L4655" s="116">
        <f t="shared" si="121"/>
        <v>0</v>
      </c>
    </row>
    <row r="4656" spans="1:16" x14ac:dyDescent="0.3">
      <c r="B4656" s="74"/>
      <c r="C4656" s="410"/>
      <c r="D4656" s="410"/>
      <c r="E4656" s="114"/>
      <c r="F4656" s="72"/>
      <c r="G4656" s="74"/>
      <c r="I4656" s="115">
        <f>IF(C4656=0,0,VLOOKUP(C4656,Tabla1[],3,FALSE))</f>
        <v>0</v>
      </c>
      <c r="K4656" s="84">
        <f t="shared" si="120"/>
        <v>0</v>
      </c>
      <c r="L4656" s="116">
        <f t="shared" si="121"/>
        <v>0</v>
      </c>
    </row>
    <row r="4657" spans="2:12" ht="17.25" thickBot="1" x14ac:dyDescent="0.35"/>
    <row r="4658" spans="2:12" ht="17.25" thickBot="1" x14ac:dyDescent="0.35">
      <c r="F4658" s="402" t="s">
        <v>9</v>
      </c>
      <c r="G4658" s="403"/>
      <c r="H4658" s="403"/>
      <c r="I4658" s="404"/>
      <c r="K4658" s="224">
        <f>+SUM(K4647:K4656)</f>
        <v>0</v>
      </c>
      <c r="L4658" s="117">
        <f>+SUM(L4647:L4656)</f>
        <v>0</v>
      </c>
    </row>
    <row r="4659" spans="2:12" ht="17.25" thickBot="1" x14ac:dyDescent="0.35"/>
    <row r="4660" spans="2:12" ht="17.25" thickBot="1" x14ac:dyDescent="0.35">
      <c r="B4660" s="108" t="s">
        <v>10</v>
      </c>
      <c r="C4660" s="413" t="s">
        <v>11</v>
      </c>
      <c r="D4660" s="413"/>
      <c r="E4660" s="413"/>
      <c r="F4660" s="413"/>
      <c r="G4660" s="414"/>
    </row>
    <row r="4661" spans="2:12" x14ac:dyDescent="0.3">
      <c r="B4661" s="112" t="s">
        <v>6</v>
      </c>
      <c r="C4661" s="415" t="s">
        <v>1</v>
      </c>
      <c r="D4661" s="416"/>
      <c r="E4661" s="110" t="s">
        <v>192</v>
      </c>
      <c r="F4661" s="118" t="s">
        <v>2</v>
      </c>
      <c r="G4661" s="112" t="s">
        <v>3</v>
      </c>
      <c r="H4661" s="104"/>
      <c r="I4661" s="105" t="s">
        <v>7</v>
      </c>
      <c r="J4661" s="134"/>
      <c r="K4661" s="105" t="s">
        <v>8</v>
      </c>
      <c r="L4661" s="113" t="s">
        <v>193</v>
      </c>
    </row>
    <row r="4662" spans="2:12" x14ac:dyDescent="0.3">
      <c r="B4662" s="120"/>
      <c r="C4662" s="409"/>
      <c r="D4662" s="409"/>
      <c r="E4662" s="114"/>
      <c r="F4662" s="83"/>
      <c r="G4662" s="74"/>
      <c r="I4662" s="115">
        <f>IF(C4662=0,0,VLOOKUP(C4662,Tabla3[],3,FALSE))</f>
        <v>0</v>
      </c>
      <c r="K4662" s="84">
        <f>+F4662*I4662</f>
        <v>0</v>
      </c>
      <c r="L4662" s="116">
        <f>E4662*I4662</f>
        <v>0</v>
      </c>
    </row>
    <row r="4663" spans="2:12" x14ac:dyDescent="0.3">
      <c r="B4663" s="74"/>
      <c r="C4663" s="282"/>
      <c r="D4663" s="283"/>
      <c r="E4663" s="119"/>
      <c r="F4663" s="72"/>
      <c r="G4663" s="74"/>
      <c r="I4663" s="115">
        <f>IF(C4663=0,0,VLOOKUP(C4663,Tabla3[],3,FALSE))</f>
        <v>0</v>
      </c>
      <c r="K4663" s="84">
        <f>+F4663*I4663</f>
        <v>0</v>
      </c>
      <c r="L4663" s="116">
        <f>E4663*I4663</f>
        <v>0</v>
      </c>
    </row>
    <row r="4664" spans="2:12" x14ac:dyDescent="0.3">
      <c r="B4664" s="74"/>
      <c r="C4664" s="282"/>
      <c r="D4664" s="283"/>
      <c r="E4664" s="119"/>
      <c r="F4664" s="72"/>
      <c r="G4664" s="74"/>
      <c r="I4664" s="115">
        <f>IF(C4664=0,0,VLOOKUP(C4664,Tabla3[],3,FALSE))</f>
        <v>0</v>
      </c>
      <c r="K4664" s="84">
        <f>+F4664*I4664</f>
        <v>0</v>
      </c>
      <c r="L4664" s="116">
        <f>E4664*I4664</f>
        <v>0</v>
      </c>
    </row>
    <row r="4665" spans="2:12" x14ac:dyDescent="0.3">
      <c r="B4665" s="74"/>
      <c r="C4665" s="411"/>
      <c r="D4665" s="412"/>
      <c r="E4665" s="119"/>
      <c r="F4665" s="72"/>
      <c r="G4665" s="74"/>
      <c r="I4665" s="115">
        <f>IF(C4665=0,0,VLOOKUP(C4665,Tabla3[],3,FALSE))</f>
        <v>0</v>
      </c>
      <c r="K4665" s="84">
        <f>+F4665*I4665</f>
        <v>0</v>
      </c>
      <c r="L4665" s="116">
        <f>E4665*I4665</f>
        <v>0</v>
      </c>
    </row>
    <row r="4666" spans="2:12" ht="17.25" thickBot="1" x14ac:dyDescent="0.35"/>
    <row r="4667" spans="2:12" ht="17.25" thickBot="1" x14ac:dyDescent="0.35">
      <c r="F4667" s="402" t="s">
        <v>12</v>
      </c>
      <c r="G4667" s="403"/>
      <c r="H4667" s="403"/>
      <c r="I4667" s="404"/>
      <c r="K4667" s="224">
        <f>+SUM(K4662:K4665)</f>
        <v>0</v>
      </c>
      <c r="L4667" s="117">
        <f>+SUM(L4662:L4665)</f>
        <v>0</v>
      </c>
    </row>
    <row r="4668" spans="2:12" ht="17.25" thickBot="1" x14ac:dyDescent="0.35"/>
    <row r="4669" spans="2:12" ht="17.25" thickBot="1" x14ac:dyDescent="0.35">
      <c r="B4669" s="108" t="s">
        <v>13</v>
      </c>
      <c r="C4669" s="413" t="s">
        <v>14</v>
      </c>
      <c r="D4669" s="413"/>
      <c r="E4669" s="413"/>
      <c r="F4669" s="413"/>
      <c r="G4669" s="414"/>
    </row>
    <row r="4670" spans="2:12" x14ac:dyDescent="0.3">
      <c r="B4670" s="112" t="s">
        <v>6</v>
      </c>
      <c r="C4670" s="415" t="s">
        <v>1</v>
      </c>
      <c r="D4670" s="416"/>
      <c r="E4670" s="110" t="s">
        <v>192</v>
      </c>
      <c r="F4670" s="118" t="s">
        <v>2</v>
      </c>
      <c r="G4670" s="112" t="s">
        <v>3</v>
      </c>
      <c r="H4670" s="104"/>
      <c r="I4670" s="105" t="s">
        <v>7</v>
      </c>
      <c r="J4670" s="134"/>
      <c r="K4670" s="105" t="s">
        <v>8</v>
      </c>
      <c r="L4670" s="113" t="s">
        <v>193</v>
      </c>
    </row>
    <row r="4671" spans="2:12" x14ac:dyDescent="0.3">
      <c r="B4671" s="120">
        <v>1</v>
      </c>
      <c r="C4671" s="409" t="s">
        <v>463</v>
      </c>
      <c r="D4671" s="409"/>
      <c r="E4671" s="114">
        <f>I4643</f>
        <v>14</v>
      </c>
      <c r="F4671" s="83">
        <f>ROUND(E4671/I4643,2)</f>
        <v>1</v>
      </c>
      <c r="G4671" s="74" t="str">
        <f>IF(C4671=0,0,VLOOKUP(C4671,Tabla2[],2,FALSE))</f>
        <v>Unidad</v>
      </c>
      <c r="I4671" s="115">
        <f>IF(C4671=0,0,VLOOKUP(C4671,Tabla2[],3,FALSE))</f>
        <v>60</v>
      </c>
      <c r="K4671" s="84">
        <f>+F4671*I4671</f>
        <v>60</v>
      </c>
      <c r="L4671" s="116">
        <f>E4671*I4671</f>
        <v>840</v>
      </c>
    </row>
    <row r="4672" spans="2:12" x14ac:dyDescent="0.3">
      <c r="B4672" s="120"/>
      <c r="C4672" s="409"/>
      <c r="D4672" s="409"/>
      <c r="E4672" s="114"/>
      <c r="F4672" s="83"/>
      <c r="G4672" s="74"/>
      <c r="I4672" s="115">
        <f>IF(C4672=0,0,VLOOKUP(C4672,Tabla2[],3,FALSE))</f>
        <v>0</v>
      </c>
      <c r="K4672" s="84">
        <f>+F4672*I4672</f>
        <v>0</v>
      </c>
      <c r="L4672" s="116">
        <f>E4672*I4672</f>
        <v>0</v>
      </c>
    </row>
    <row r="4673" spans="2:16" ht="17.25" thickBot="1" x14ac:dyDescent="0.35">
      <c r="B4673" s="121"/>
      <c r="C4673" s="417"/>
      <c r="D4673" s="418"/>
      <c r="E4673" s="122"/>
      <c r="F4673" s="123"/>
      <c r="G4673" s="74"/>
      <c r="I4673" s="115">
        <f>IF(C4673=0,0,VLOOKUP(C4673,Tabla2[],3,FALSE))</f>
        <v>0</v>
      </c>
      <c r="K4673" s="84">
        <f>+F4673*I4673</f>
        <v>0</v>
      </c>
      <c r="L4673" s="116">
        <f>E4673*I4673</f>
        <v>0</v>
      </c>
    </row>
    <row r="4674" spans="2:16" ht="17.25" thickBot="1" x14ac:dyDescent="0.35">
      <c r="B4674" s="419" t="s">
        <v>15</v>
      </c>
      <c r="C4674" s="420"/>
      <c r="D4674" s="420"/>
      <c r="E4674" s="420"/>
      <c r="F4674" s="420"/>
      <c r="G4674" s="421"/>
      <c r="I4674" s="84">
        <v>0</v>
      </c>
      <c r="K4674" s="84">
        <v>0</v>
      </c>
      <c r="L4674" s="116">
        <f>E4674*I4674</f>
        <v>0</v>
      </c>
    </row>
    <row r="4675" spans="2:16" ht="17.25" thickBot="1" x14ac:dyDescent="0.35"/>
    <row r="4676" spans="2:16" ht="17.25" thickBot="1" x14ac:dyDescent="0.35">
      <c r="F4676" s="402" t="s">
        <v>16</v>
      </c>
      <c r="G4676" s="403"/>
      <c r="H4676" s="403"/>
      <c r="I4676" s="404"/>
      <c r="K4676" s="224">
        <f>+SUM(K4671:K4674)</f>
        <v>60</v>
      </c>
      <c r="L4676" s="117">
        <f>+SUM(L4671:L4674)</f>
        <v>840</v>
      </c>
    </row>
    <row r="4677" spans="2:16" ht="17.25" thickBot="1" x14ac:dyDescent="0.35"/>
    <row r="4678" spans="2:16" ht="17.25" thickBot="1" x14ac:dyDescent="0.35">
      <c r="B4678" s="108" t="s">
        <v>17</v>
      </c>
      <c r="C4678" s="413" t="s">
        <v>18</v>
      </c>
      <c r="D4678" s="413"/>
      <c r="E4678" s="413"/>
      <c r="F4678" s="413"/>
      <c r="G4678" s="414"/>
    </row>
    <row r="4679" spans="2:16" x14ac:dyDescent="0.3">
      <c r="B4679" s="112" t="s">
        <v>6</v>
      </c>
      <c r="C4679" s="415" t="s">
        <v>1</v>
      </c>
      <c r="D4679" s="416"/>
      <c r="E4679" s="124"/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74"/>
      <c r="C4680" s="411"/>
      <c r="D4680" s="412"/>
      <c r="E4680" s="125"/>
      <c r="F4680" s="72"/>
      <c r="G4680" s="74"/>
      <c r="I4680" s="84">
        <v>0</v>
      </c>
      <c r="K4680" s="84">
        <f>+F4680*I4680</f>
        <v>0</v>
      </c>
      <c r="L4680" s="116">
        <f>E4680*I4680</f>
        <v>0</v>
      </c>
    </row>
    <row r="4681" spans="2:16" x14ac:dyDescent="0.3">
      <c r="B4681" s="74"/>
      <c r="C4681" s="411"/>
      <c r="D4681" s="412"/>
      <c r="E4681" s="125"/>
      <c r="F4681" s="72"/>
      <c r="G4681" s="74"/>
      <c r="I4681" s="84"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411"/>
      <c r="D4682" s="412"/>
      <c r="E4682" s="125"/>
      <c r="F4682" s="72"/>
      <c r="G4682" s="74"/>
      <c r="I4682" s="84">
        <v>0</v>
      </c>
      <c r="K4682" s="84">
        <f>+F4682*I4682</f>
        <v>0</v>
      </c>
      <c r="L4682" s="116">
        <f>E4682*I4682</f>
        <v>0</v>
      </c>
    </row>
    <row r="4683" spans="2:16" ht="17.25" thickBot="1" x14ac:dyDescent="0.35">
      <c r="L4683" s="116"/>
    </row>
    <row r="4684" spans="2:16" ht="17.25" thickBot="1" x14ac:dyDescent="0.35">
      <c r="F4684" s="402" t="s">
        <v>19</v>
      </c>
      <c r="G4684" s="403"/>
      <c r="H4684" s="403"/>
      <c r="I4684" s="404"/>
      <c r="K4684" s="224">
        <f>+SUM(K4680:K4682)</f>
        <v>0</v>
      </c>
      <c r="L4684" s="117">
        <f>+SUM(L4679:L4682)</f>
        <v>0</v>
      </c>
    </row>
    <row r="4685" spans="2:16" ht="15" customHeight="1" x14ac:dyDescent="0.3">
      <c r="F4685" s="126"/>
      <c r="G4685" s="280"/>
      <c r="H4685" s="128"/>
      <c r="I4685" s="106"/>
      <c r="K4685" s="225"/>
    </row>
    <row r="4686" spans="2:16" ht="15" customHeight="1" thickBot="1" x14ac:dyDescent="0.35"/>
    <row r="4687" spans="2:16" ht="17.25" thickBot="1" x14ac:dyDescent="0.35">
      <c r="F4687" s="402" t="s">
        <v>20</v>
      </c>
      <c r="G4687" s="403"/>
      <c r="H4687" s="403"/>
      <c r="I4687" s="404"/>
      <c r="K4687" s="224">
        <f>(+K4658+K4667+K4676+K4684)</f>
        <v>60</v>
      </c>
      <c r="L4687" s="117">
        <f>(+L4658+L4667+L4676+L4684)</f>
        <v>840</v>
      </c>
      <c r="N4687" s="129"/>
      <c r="O4687" s="39"/>
      <c r="P4687" s="40"/>
    </row>
    <row r="4688" spans="2:16" ht="7.5" customHeight="1" thickBot="1" x14ac:dyDescent="0.35">
      <c r="N4688" s="129"/>
      <c r="O4688" s="41"/>
      <c r="P4688" s="40"/>
    </row>
    <row r="4689" spans="1:16" ht="17.25" thickBot="1" x14ac:dyDescent="0.35">
      <c r="F4689" s="402" t="s">
        <v>21</v>
      </c>
      <c r="G4689" s="403"/>
      <c r="H4689" s="403"/>
      <c r="I4689" s="404"/>
      <c r="K4689" s="224">
        <f>K4687*$N$2</f>
        <v>24</v>
      </c>
      <c r="L4689" s="117">
        <f>L4687*$N$2</f>
        <v>336</v>
      </c>
    </row>
    <row r="4690" spans="1:16" ht="7.5" customHeight="1" thickBot="1" x14ac:dyDescent="0.35"/>
    <row r="4691" spans="1:16" ht="17.25" thickBot="1" x14ac:dyDescent="0.35">
      <c r="F4691" s="402" t="s">
        <v>22</v>
      </c>
      <c r="G4691" s="403"/>
      <c r="H4691" s="403"/>
      <c r="I4691" s="404"/>
      <c r="K4691" s="224">
        <f>+K4687+K4689</f>
        <v>84</v>
      </c>
      <c r="L4691" s="117">
        <f>+L4687+L4689</f>
        <v>1176</v>
      </c>
    </row>
    <row r="4692" spans="1:16" ht="17.25" thickBot="1" x14ac:dyDescent="0.35">
      <c r="F4692" s="126"/>
      <c r="G4692" s="280"/>
      <c r="H4692" s="128"/>
      <c r="I4692" s="106"/>
      <c r="K4692" s="226"/>
      <c r="L4692" s="130">
        <f>L4691/I4643</f>
        <v>84</v>
      </c>
      <c r="M4692" s="131">
        <f>(K4691-L4692)*I4643</f>
        <v>0</v>
      </c>
    </row>
    <row r="4693" spans="1:16" x14ac:dyDescent="0.3">
      <c r="F4693" s="126"/>
      <c r="G4693" s="280"/>
      <c r="H4693" s="128"/>
      <c r="I4693" s="106"/>
      <c r="K4693" s="227"/>
      <c r="L4693" s="129"/>
      <c r="M4693" s="132"/>
      <c r="N4693" s="133"/>
    </row>
    <row r="4694" spans="1:16" ht="17.25" thickBot="1" x14ac:dyDescent="0.35">
      <c r="B4694" s="405"/>
      <c r="C4694" s="405"/>
      <c r="D4694" s="405"/>
    </row>
    <row r="4695" spans="1:16" x14ac:dyDescent="0.3">
      <c r="B4695" s="406" t="s">
        <v>23</v>
      </c>
      <c r="C4695" s="406"/>
      <c r="D4695" s="406"/>
    </row>
    <row r="4696" spans="1:16" x14ac:dyDescent="0.3">
      <c r="B4696" s="281"/>
      <c r="C4696" s="281"/>
      <c r="D4696" s="281"/>
    </row>
    <row r="4698" spans="1:16" x14ac:dyDescent="0.3">
      <c r="B4698" s="103" t="s">
        <v>43</v>
      </c>
      <c r="C4698" s="104"/>
      <c r="D4698" s="422" t="s">
        <v>1</v>
      </c>
      <c r="E4698" s="422"/>
      <c r="F4698" s="422"/>
      <c r="G4698" s="422"/>
      <c r="H4698" s="104"/>
      <c r="I4698" s="105" t="s">
        <v>2</v>
      </c>
      <c r="J4698" s="134"/>
      <c r="K4698" s="105" t="s">
        <v>3</v>
      </c>
    </row>
    <row r="4699" spans="1:16" s="4" customFormat="1" ht="30.75" customHeight="1" x14ac:dyDescent="0.25">
      <c r="A4699" s="31"/>
      <c r="B4699" s="287">
        <f>CATALOGO!B146</f>
        <v>105.02</v>
      </c>
      <c r="C4699" s="71"/>
      <c r="D4699" s="437" t="str">
        <f>CATALOGO!C146</f>
        <v>DESMONTAJE DE PUERTA DE METAL (UNA HOJA)</v>
      </c>
      <c r="E4699" s="437"/>
      <c r="F4699" s="437"/>
      <c r="G4699" s="437"/>
      <c r="H4699" s="71"/>
      <c r="I4699" s="287">
        <f>CATALOGO!D146</f>
        <v>3</v>
      </c>
      <c r="J4699" s="107"/>
      <c r="K4699" s="222" t="str">
        <f>CATALOGO!G146</f>
        <v>Unidad</v>
      </c>
      <c r="L4699" s="71"/>
      <c r="M4699" s="71"/>
      <c r="N4699" s="102"/>
      <c r="O4699" s="37"/>
      <c r="P4699" s="37"/>
    </row>
    <row r="4700" spans="1:16" ht="17.25" thickBot="1" x14ac:dyDescent="0.35"/>
    <row r="4701" spans="1:16" ht="17.25" thickBot="1" x14ac:dyDescent="0.35">
      <c r="B4701" s="108" t="s">
        <v>4</v>
      </c>
      <c r="C4701" s="413" t="s">
        <v>5</v>
      </c>
      <c r="D4701" s="413"/>
      <c r="E4701" s="413"/>
      <c r="F4701" s="413"/>
      <c r="G4701" s="414"/>
    </row>
    <row r="4702" spans="1:16" x14ac:dyDescent="0.25">
      <c r="B4702" s="109" t="s">
        <v>6</v>
      </c>
      <c r="C4702" s="424" t="s">
        <v>1</v>
      </c>
      <c r="D4702" s="425"/>
      <c r="E4702" s="110" t="s">
        <v>192</v>
      </c>
      <c r="F4702" s="111" t="s">
        <v>2</v>
      </c>
      <c r="G4702" s="112" t="s">
        <v>3</v>
      </c>
      <c r="H4702" s="104"/>
      <c r="I4702" s="105" t="s">
        <v>7</v>
      </c>
      <c r="J4702" s="134"/>
      <c r="K4702" s="223" t="s">
        <v>8</v>
      </c>
      <c r="L4702" s="113" t="s">
        <v>193</v>
      </c>
      <c r="O4702" s="438"/>
      <c r="P4702" s="438"/>
    </row>
    <row r="4703" spans="1:16" ht="16.5" customHeight="1" x14ac:dyDescent="0.25">
      <c r="B4703" s="120"/>
      <c r="C4703" s="407"/>
      <c r="D4703" s="408"/>
      <c r="E4703" s="114"/>
      <c r="F4703" s="83"/>
      <c r="G4703" s="74"/>
      <c r="I4703" s="115">
        <f>IF(C4703=0,0,VLOOKUP(C4703,Tabla1[],3,FALSE))</f>
        <v>0</v>
      </c>
      <c r="K4703" s="84">
        <f>F4703*I4703</f>
        <v>0</v>
      </c>
      <c r="L4703" s="116">
        <f t="shared" ref="L4703:L4712" si="122">E4703*I4703</f>
        <v>0</v>
      </c>
      <c r="O4703" s="44"/>
      <c r="P4703" s="45"/>
    </row>
    <row r="4704" spans="1:16" x14ac:dyDescent="0.25">
      <c r="B4704" s="120"/>
      <c r="C4704" s="407"/>
      <c r="D4704" s="408"/>
      <c r="E4704" s="114"/>
      <c r="F4704" s="83"/>
      <c r="G4704" s="74"/>
      <c r="I4704" s="115">
        <f>IF(C4704=0,0,VLOOKUP(C4704,Tabla1[],3,FALSE))</f>
        <v>0</v>
      </c>
      <c r="K4704" s="84">
        <f>+F4704*I4704</f>
        <v>0</v>
      </c>
      <c r="L4704" s="116">
        <f t="shared" si="122"/>
        <v>0</v>
      </c>
      <c r="O4704" s="44"/>
      <c r="P4704" s="47"/>
    </row>
    <row r="4705" spans="2:16" x14ac:dyDescent="0.3">
      <c r="B4705" s="120"/>
      <c r="C4705" s="407"/>
      <c r="D4705" s="408"/>
      <c r="E4705" s="114"/>
      <c r="F4705" s="83"/>
      <c r="G4705" s="74"/>
      <c r="I4705" s="115">
        <f>IF(C4705=0,0,VLOOKUP(C4705,Tabla1[],3,FALSE))</f>
        <v>0</v>
      </c>
      <c r="K4705" s="84">
        <f>+F4705*I4705</f>
        <v>0</v>
      </c>
      <c r="L4705" s="116">
        <f t="shared" si="122"/>
        <v>0</v>
      </c>
      <c r="O4705" s="48"/>
      <c r="P4705" s="49"/>
    </row>
    <row r="4706" spans="2:16" ht="16.5" customHeight="1" x14ac:dyDescent="0.25">
      <c r="B4706" s="120"/>
      <c r="C4706" s="407"/>
      <c r="D4706" s="408"/>
      <c r="E4706" s="114"/>
      <c r="F4706" s="83"/>
      <c r="G4706" s="74"/>
      <c r="I4706" s="115">
        <f>IF(C4706=0,0,VLOOKUP(C4706,Tabla1[],3,FALSE))</f>
        <v>0</v>
      </c>
      <c r="K4706" s="84">
        <f>F4706*I4706</f>
        <v>0</v>
      </c>
      <c r="L4706" s="116">
        <f t="shared" si="122"/>
        <v>0</v>
      </c>
      <c r="O4706" s="44"/>
      <c r="P4706" s="45"/>
    </row>
    <row r="4707" spans="2:16" ht="16.5" customHeight="1" x14ac:dyDescent="0.25">
      <c r="B4707" s="120"/>
      <c r="C4707" s="407"/>
      <c r="D4707" s="408"/>
      <c r="E4707" s="114"/>
      <c r="F4707" s="83"/>
      <c r="G4707" s="74"/>
      <c r="I4707" s="115">
        <f>IF(C4707=0,0,VLOOKUP(C4707,Tabla1[],3,FALSE))</f>
        <v>0</v>
      </c>
      <c r="K4707" s="84">
        <f t="shared" ref="K4707:K4712" si="123">+F4707*I4707</f>
        <v>0</v>
      </c>
      <c r="L4707" s="116">
        <f t="shared" si="122"/>
        <v>0</v>
      </c>
      <c r="O4707" s="44"/>
      <c r="P4707" s="46"/>
    </row>
    <row r="4708" spans="2:16" x14ac:dyDescent="0.25">
      <c r="B4708" s="120"/>
      <c r="C4708" s="407"/>
      <c r="D4708" s="408"/>
      <c r="E4708" s="114"/>
      <c r="F4708" s="83"/>
      <c r="G4708" s="74"/>
      <c r="I4708" s="115">
        <f>IF(C4708=0,0,VLOOKUP(C4708,Tabla1[],3,FALSE))</f>
        <v>0</v>
      </c>
      <c r="K4708" s="84">
        <f t="shared" si="123"/>
        <v>0</v>
      </c>
      <c r="L4708" s="116">
        <f t="shared" si="122"/>
        <v>0</v>
      </c>
      <c r="O4708" s="44"/>
      <c r="P4708" s="46"/>
    </row>
    <row r="4709" spans="2:16" x14ac:dyDescent="0.3">
      <c r="B4709" s="120"/>
      <c r="C4709" s="407"/>
      <c r="D4709" s="408"/>
      <c r="E4709" s="114"/>
      <c r="F4709" s="83"/>
      <c r="G4709" s="74"/>
      <c r="I4709" s="115">
        <f>IF(C4709=0,0,VLOOKUP(C4709,Tabla1[],3,FALSE))</f>
        <v>0</v>
      </c>
      <c r="K4709" s="84">
        <f t="shared" si="123"/>
        <v>0</v>
      </c>
      <c r="L4709" s="116">
        <f t="shared" si="122"/>
        <v>0</v>
      </c>
      <c r="O4709" s="48"/>
      <c r="P4709" s="49"/>
    </row>
    <row r="4710" spans="2:16" x14ac:dyDescent="0.3">
      <c r="B4710" s="120"/>
      <c r="C4710" s="430"/>
      <c r="D4710" s="429"/>
      <c r="E4710" s="114"/>
      <c r="F4710" s="83"/>
      <c r="G4710" s="74"/>
      <c r="I4710" s="115">
        <f>IF(C4710=0,0,VLOOKUP(C4710,Tabla1[],3,FALSE))</f>
        <v>0</v>
      </c>
      <c r="K4710" s="84">
        <f t="shared" si="123"/>
        <v>0</v>
      </c>
      <c r="L4710" s="116">
        <f t="shared" si="122"/>
        <v>0</v>
      </c>
      <c r="O4710" s="48"/>
      <c r="P4710" s="49"/>
    </row>
    <row r="4711" spans="2:16" x14ac:dyDescent="0.3">
      <c r="B4711" s="120"/>
      <c r="C4711" s="430"/>
      <c r="D4711" s="429"/>
      <c r="E4711" s="114"/>
      <c r="F4711" s="83"/>
      <c r="G4711" s="74"/>
      <c r="I4711" s="115">
        <f>IF(C4711=0,0,VLOOKUP(C4711,Tabla1[],3,FALSE))</f>
        <v>0</v>
      </c>
      <c r="K4711" s="84">
        <f t="shared" si="123"/>
        <v>0</v>
      </c>
      <c r="L4711" s="116">
        <f t="shared" si="122"/>
        <v>0</v>
      </c>
      <c r="O4711" s="48"/>
      <c r="P4711" s="49"/>
    </row>
    <row r="4712" spans="2:16" x14ac:dyDescent="0.3">
      <c r="B4712" s="120"/>
      <c r="C4712" s="430"/>
      <c r="D4712" s="429"/>
      <c r="E4712" s="114"/>
      <c r="F4712" s="83"/>
      <c r="G4712" s="74"/>
      <c r="I4712" s="115">
        <f>IF(C4712=0,0,VLOOKUP(C4712,Tabla1[],3,FALSE))</f>
        <v>0</v>
      </c>
      <c r="K4712" s="84">
        <f t="shared" si="123"/>
        <v>0</v>
      </c>
      <c r="L4712" s="116">
        <f t="shared" si="122"/>
        <v>0</v>
      </c>
      <c r="O4712" s="48"/>
      <c r="P4712" s="49"/>
    </row>
    <row r="4713" spans="2:16" ht="17.25" thickBot="1" x14ac:dyDescent="0.35"/>
    <row r="4714" spans="2:16" ht="17.25" thickBot="1" x14ac:dyDescent="0.3">
      <c r="F4714" s="402" t="s">
        <v>9</v>
      </c>
      <c r="G4714" s="403"/>
      <c r="H4714" s="403"/>
      <c r="I4714" s="404"/>
      <c r="K4714" s="224">
        <f>+SUM(K4703:K4712)</f>
        <v>0</v>
      </c>
      <c r="L4714" s="117">
        <f>+SUM(L4703:L4712)</f>
        <v>0</v>
      </c>
      <c r="O4714" s="38"/>
      <c r="P4714" s="38"/>
    </row>
    <row r="4715" spans="2:16" ht="17.25" thickBot="1" x14ac:dyDescent="0.35">
      <c r="O4715" s="42"/>
      <c r="P4715" s="43"/>
    </row>
    <row r="4716" spans="2:16" ht="17.25" thickBot="1" x14ac:dyDescent="0.35">
      <c r="B4716" s="108" t="s">
        <v>10</v>
      </c>
      <c r="C4716" s="413" t="s">
        <v>11</v>
      </c>
      <c r="D4716" s="413"/>
      <c r="E4716" s="413"/>
      <c r="F4716" s="413"/>
      <c r="G4716" s="414"/>
    </row>
    <row r="4717" spans="2:16" x14ac:dyDescent="0.3">
      <c r="B4717" s="112" t="s">
        <v>6</v>
      </c>
      <c r="C4717" s="415" t="s">
        <v>1</v>
      </c>
      <c r="D4717" s="416"/>
      <c r="E4717" s="110" t="s">
        <v>192</v>
      </c>
      <c r="F4717" s="118" t="s">
        <v>2</v>
      </c>
      <c r="G4717" s="112" t="s">
        <v>3</v>
      </c>
      <c r="H4717" s="104"/>
      <c r="I4717" s="105" t="s">
        <v>7</v>
      </c>
      <c r="J4717" s="134"/>
      <c r="K4717" s="105" t="s">
        <v>8</v>
      </c>
      <c r="L4717" s="113" t="s">
        <v>193</v>
      </c>
    </row>
    <row r="4718" spans="2:16" x14ac:dyDescent="0.3">
      <c r="B4718" s="120"/>
      <c r="C4718" s="409"/>
      <c r="D4718" s="409"/>
      <c r="E4718" s="114"/>
      <c r="F4718" s="83"/>
      <c r="G4718" s="74"/>
      <c r="I4718" s="115">
        <f>IF(C4718=0,0,VLOOKUP(C4718,Tabla1[],3,FALSE))</f>
        <v>0</v>
      </c>
      <c r="K4718" s="84">
        <f>F4718*I4718</f>
        <v>0</v>
      </c>
      <c r="L4718" s="116">
        <f>E4718*I4718</f>
        <v>0</v>
      </c>
    </row>
    <row r="4719" spans="2:16" x14ac:dyDescent="0.3">
      <c r="B4719" s="74"/>
      <c r="C4719" s="431"/>
      <c r="D4719" s="432"/>
      <c r="E4719" s="119"/>
      <c r="F4719" s="72"/>
      <c r="G4719" s="74"/>
      <c r="I4719" s="115">
        <f>IF(C4719=0,0,VLOOKUP(C4719,Tabla1[],3,FALSE))</f>
        <v>0</v>
      </c>
      <c r="K4719" s="84">
        <f>+F4719*I4719</f>
        <v>0</v>
      </c>
      <c r="L4719" s="116">
        <f>E4719*I4719</f>
        <v>0</v>
      </c>
    </row>
    <row r="4720" spans="2:16" x14ac:dyDescent="0.3">
      <c r="B4720" s="74"/>
      <c r="C4720" s="431"/>
      <c r="D4720" s="432"/>
      <c r="E4720" s="119"/>
      <c r="F4720" s="72"/>
      <c r="G4720" s="74"/>
      <c r="I4720" s="115">
        <f>IF(C4720=0,0,VLOOKUP(C4720,Tabla1[],3,FALSE))</f>
        <v>0</v>
      </c>
      <c r="K4720" s="84">
        <f>+F4720*I4720</f>
        <v>0</v>
      </c>
      <c r="L4720" s="116">
        <f>E4720*I4720</f>
        <v>0</v>
      </c>
    </row>
    <row r="4721" spans="2:12" x14ac:dyDescent="0.3">
      <c r="B4721" s="74"/>
      <c r="C4721" s="411"/>
      <c r="D4721" s="412"/>
      <c r="E4721" s="119"/>
      <c r="F4721" s="72"/>
      <c r="G4721" s="74"/>
      <c r="I4721" s="115">
        <f>IF(C4721=0,0,VLOOKUP(C4721,Tabla1[],3,FALSE))</f>
        <v>0</v>
      </c>
      <c r="K4721" s="84">
        <f>+F4721*I4721</f>
        <v>0</v>
      </c>
      <c r="L4721" s="116">
        <f>E4721*I4721</f>
        <v>0</v>
      </c>
    </row>
    <row r="4722" spans="2:12" ht="17.25" thickBot="1" x14ac:dyDescent="0.35"/>
    <row r="4723" spans="2:12" ht="17.25" thickBot="1" x14ac:dyDescent="0.35">
      <c r="F4723" s="402" t="s">
        <v>12</v>
      </c>
      <c r="G4723" s="403"/>
      <c r="H4723" s="403"/>
      <c r="I4723" s="404"/>
      <c r="K4723" s="224">
        <f>+SUM(K4718:K4721)</f>
        <v>0</v>
      </c>
      <c r="L4723" s="117">
        <f>+SUM(L4718:L4721)</f>
        <v>0</v>
      </c>
    </row>
    <row r="4724" spans="2:12" ht="17.25" thickBot="1" x14ac:dyDescent="0.35"/>
    <row r="4725" spans="2:12" ht="17.25" thickBot="1" x14ac:dyDescent="0.35">
      <c r="B4725" s="108" t="s">
        <v>13</v>
      </c>
      <c r="C4725" s="413" t="s">
        <v>14</v>
      </c>
      <c r="D4725" s="413"/>
      <c r="E4725" s="413"/>
      <c r="F4725" s="413"/>
      <c r="G4725" s="414"/>
    </row>
    <row r="4726" spans="2:12" x14ac:dyDescent="0.3">
      <c r="B4726" s="112" t="s">
        <v>6</v>
      </c>
      <c r="C4726" s="415" t="s">
        <v>1</v>
      </c>
      <c r="D4726" s="416"/>
      <c r="E4726" s="110" t="s">
        <v>192</v>
      </c>
      <c r="F4726" s="118" t="s">
        <v>2</v>
      </c>
      <c r="G4726" s="112" t="s">
        <v>3</v>
      </c>
      <c r="H4726" s="104"/>
      <c r="I4726" s="105" t="s">
        <v>7</v>
      </c>
      <c r="J4726" s="134"/>
      <c r="K4726" s="105" t="s">
        <v>8</v>
      </c>
      <c r="L4726" s="113" t="s">
        <v>193</v>
      </c>
    </row>
    <row r="4727" spans="2:12" x14ac:dyDescent="0.3">
      <c r="B4727" s="120">
        <v>1</v>
      </c>
      <c r="C4727" s="409" t="s">
        <v>393</v>
      </c>
      <c r="D4727" s="409"/>
      <c r="E4727" s="114">
        <f>I4699</f>
        <v>3</v>
      </c>
      <c r="F4727" s="83">
        <f>ROUND(E4727/I4699,2)</f>
        <v>1</v>
      </c>
      <c r="G4727" s="74" t="str">
        <f>IF(C4727=0,0,VLOOKUP(C4727,Tabla2[],2,FALSE))</f>
        <v>Unidad</v>
      </c>
      <c r="I4727" s="115">
        <f>IF(C4727=0,0,VLOOKUP(C4727,Tabla2[],3,FALSE))</f>
        <v>220</v>
      </c>
      <c r="K4727" s="84">
        <f>+F4727*I4727</f>
        <v>220</v>
      </c>
      <c r="L4727" s="116">
        <f>E4727*I4727</f>
        <v>660</v>
      </c>
    </row>
    <row r="4728" spans="2:12" x14ac:dyDescent="0.3">
      <c r="B4728" s="120"/>
      <c r="C4728" s="409"/>
      <c r="D4728" s="409"/>
      <c r="E4728" s="114"/>
      <c r="F4728" s="83"/>
      <c r="G4728" s="74"/>
      <c r="I4728" s="115">
        <f>IF(C4728=0,0,VLOOKUP(C4728,Tabla2[],3,FALSE))</f>
        <v>0</v>
      </c>
      <c r="K4728" s="84">
        <f>+F4728*I4728</f>
        <v>0</v>
      </c>
      <c r="L4728" s="116">
        <f>E4728*I4728</f>
        <v>0</v>
      </c>
    </row>
    <row r="4729" spans="2:12" ht="17.25" thickBot="1" x14ac:dyDescent="0.35">
      <c r="B4729" s="121"/>
      <c r="C4729" s="417"/>
      <c r="D4729" s="418"/>
      <c r="E4729" s="122"/>
      <c r="F4729" s="123"/>
      <c r="G4729" s="74"/>
      <c r="I4729" s="115">
        <f>IF(C4729=0,0,VLOOKUP(C4729,Tabla2[],3,FALSE))</f>
        <v>0</v>
      </c>
      <c r="K4729" s="84">
        <f>+F4729*I4729</f>
        <v>0</v>
      </c>
      <c r="L4729" s="116">
        <f>E4729*I4729</f>
        <v>0</v>
      </c>
    </row>
    <row r="4730" spans="2:12" ht="17.25" thickBot="1" x14ac:dyDescent="0.35">
      <c r="B4730" s="419" t="s">
        <v>15</v>
      </c>
      <c r="C4730" s="420"/>
      <c r="D4730" s="420"/>
      <c r="E4730" s="420"/>
      <c r="F4730" s="420"/>
      <c r="G4730" s="421"/>
      <c r="I4730" s="115">
        <f>IF(C4730=0,0,VLOOKUP(C4730,Tabla2[],3,FALSE))</f>
        <v>0</v>
      </c>
      <c r="K4730" s="84">
        <v>0</v>
      </c>
      <c r="L4730" s="116">
        <f>E4730*I4730</f>
        <v>0</v>
      </c>
    </row>
    <row r="4731" spans="2:12" ht="17.25" thickBot="1" x14ac:dyDescent="0.35"/>
    <row r="4732" spans="2:12" ht="17.25" thickBot="1" x14ac:dyDescent="0.35">
      <c r="F4732" s="402" t="s">
        <v>16</v>
      </c>
      <c r="G4732" s="403"/>
      <c r="H4732" s="403"/>
      <c r="I4732" s="404"/>
      <c r="K4732" s="224">
        <f>+SUM(K4727:K4730)</f>
        <v>220</v>
      </c>
      <c r="L4732" s="117">
        <f>+SUM(L4727:L4730)</f>
        <v>660</v>
      </c>
    </row>
    <row r="4733" spans="2:12" ht="17.25" thickBot="1" x14ac:dyDescent="0.35"/>
    <row r="4734" spans="2:12" ht="17.25" thickBot="1" x14ac:dyDescent="0.35">
      <c r="B4734" s="108" t="s">
        <v>17</v>
      </c>
      <c r="C4734" s="413" t="s">
        <v>18</v>
      </c>
      <c r="D4734" s="413"/>
      <c r="E4734" s="413"/>
      <c r="F4734" s="413"/>
      <c r="G4734" s="414"/>
    </row>
    <row r="4735" spans="2:12" x14ac:dyDescent="0.3">
      <c r="B4735" s="112" t="s">
        <v>6</v>
      </c>
      <c r="C4735" s="415" t="s">
        <v>1</v>
      </c>
      <c r="D4735" s="416"/>
      <c r="E4735" s="124"/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2" x14ac:dyDescent="0.3">
      <c r="B4736" s="74"/>
      <c r="C4736" s="411"/>
      <c r="D4736" s="412"/>
      <c r="E4736" s="125"/>
      <c r="F4736" s="72"/>
      <c r="G4736" s="74"/>
      <c r="I4736" s="84">
        <v>0</v>
      </c>
      <c r="K4736" s="84">
        <f>+F4736*I4736</f>
        <v>0</v>
      </c>
      <c r="L4736" s="116">
        <f>E4736*I4736</f>
        <v>0</v>
      </c>
    </row>
    <row r="4737" spans="2:16" x14ac:dyDescent="0.3">
      <c r="B4737" s="74"/>
      <c r="C4737" s="411"/>
      <c r="D4737" s="412"/>
      <c r="E4737" s="125"/>
      <c r="F4737" s="72"/>
      <c r="G4737" s="74"/>
      <c r="I4737" s="84">
        <v>0</v>
      </c>
      <c r="K4737" s="84">
        <f>+F4737*I4737</f>
        <v>0</v>
      </c>
      <c r="L4737" s="116">
        <f>E4737*I4737</f>
        <v>0</v>
      </c>
    </row>
    <row r="4738" spans="2:16" x14ac:dyDescent="0.3">
      <c r="B4738" s="74"/>
      <c r="C4738" s="411"/>
      <c r="D4738" s="412"/>
      <c r="E4738" s="125"/>
      <c r="F4738" s="72"/>
      <c r="G4738" s="74"/>
      <c r="I4738" s="84">
        <v>0</v>
      </c>
      <c r="K4738" s="84">
        <f>+F4738*I4738</f>
        <v>0</v>
      </c>
      <c r="L4738" s="116">
        <f>E4738*I4738</f>
        <v>0</v>
      </c>
    </row>
    <row r="4739" spans="2:16" ht="17.25" thickBot="1" x14ac:dyDescent="0.35">
      <c r="L4739" s="116"/>
    </row>
    <row r="4740" spans="2:16" ht="17.25" thickBot="1" x14ac:dyDescent="0.35">
      <c r="F4740" s="402" t="s">
        <v>19</v>
      </c>
      <c r="G4740" s="403"/>
      <c r="H4740" s="403"/>
      <c r="I4740" s="404"/>
      <c r="K4740" s="224">
        <f>+SUM(K4736:K4738)</f>
        <v>0</v>
      </c>
      <c r="L4740" s="117">
        <f>+SUM(L4735:L4738)</f>
        <v>0</v>
      </c>
    </row>
    <row r="4741" spans="2:16" ht="15" customHeight="1" x14ac:dyDescent="0.3">
      <c r="F4741" s="126"/>
      <c r="G4741" s="280"/>
      <c r="H4741" s="128"/>
      <c r="I4741" s="106"/>
      <c r="K4741" s="225"/>
    </row>
    <row r="4742" spans="2:16" ht="15" customHeight="1" thickBot="1" x14ac:dyDescent="0.35"/>
    <row r="4743" spans="2:16" ht="17.25" thickBot="1" x14ac:dyDescent="0.35">
      <c r="F4743" s="402" t="s">
        <v>20</v>
      </c>
      <c r="G4743" s="403"/>
      <c r="H4743" s="403"/>
      <c r="I4743" s="404"/>
      <c r="K4743" s="224">
        <f>(+K4714+K4723+K4732+K4740)</f>
        <v>220</v>
      </c>
      <c r="L4743" s="117">
        <f>(+L4714+L4723+L4732+L4740)</f>
        <v>660</v>
      </c>
      <c r="N4743" s="129"/>
      <c r="O4743" s="39"/>
      <c r="P4743" s="40"/>
    </row>
    <row r="4744" spans="2:16" ht="7.5" customHeight="1" thickBot="1" x14ac:dyDescent="0.35">
      <c r="N4744" s="129"/>
      <c r="O4744" s="41"/>
      <c r="P4744" s="40"/>
    </row>
    <row r="4745" spans="2:16" ht="17.25" thickBot="1" x14ac:dyDescent="0.35">
      <c r="F4745" s="402" t="s">
        <v>21</v>
      </c>
      <c r="G4745" s="403"/>
      <c r="H4745" s="403"/>
      <c r="I4745" s="404"/>
      <c r="K4745" s="224">
        <f>K4743*$N$2</f>
        <v>88</v>
      </c>
      <c r="L4745" s="117">
        <f>L4743*$N$2</f>
        <v>264</v>
      </c>
    </row>
    <row r="4746" spans="2:16" ht="7.5" customHeight="1" thickBot="1" x14ac:dyDescent="0.35"/>
    <row r="4747" spans="2:16" ht="17.25" thickBot="1" x14ac:dyDescent="0.35">
      <c r="F4747" s="402" t="s">
        <v>22</v>
      </c>
      <c r="G4747" s="403"/>
      <c r="H4747" s="403"/>
      <c r="I4747" s="404"/>
      <c r="K4747" s="224">
        <f>+K4743+K4745</f>
        <v>308</v>
      </c>
      <c r="L4747" s="117">
        <f>+L4743+L4745</f>
        <v>924</v>
      </c>
    </row>
    <row r="4748" spans="2:16" ht="17.25" thickBot="1" x14ac:dyDescent="0.35">
      <c r="F4748" s="126"/>
      <c r="G4748" s="280"/>
      <c r="H4748" s="128"/>
      <c r="I4748" s="106"/>
      <c r="K4748" s="226"/>
      <c r="L4748" s="130">
        <f>L4747/I4699</f>
        <v>308</v>
      </c>
      <c r="M4748" s="131">
        <f>(K4747-L4748)*I4699</f>
        <v>0</v>
      </c>
    </row>
    <row r="4749" spans="2:16" x14ac:dyDescent="0.3">
      <c r="F4749" s="126"/>
      <c r="G4749" s="280"/>
      <c r="H4749" s="128"/>
      <c r="I4749" s="106"/>
      <c r="K4749" s="227"/>
      <c r="L4749" s="129"/>
      <c r="M4749" s="132"/>
      <c r="N4749" s="133"/>
    </row>
    <row r="4750" spans="2:16" ht="17.25" thickBot="1" x14ac:dyDescent="0.35">
      <c r="B4750" s="405"/>
      <c r="C4750" s="405"/>
      <c r="D4750" s="405"/>
    </row>
    <row r="4751" spans="2:16" x14ac:dyDescent="0.3">
      <c r="B4751" s="406" t="s">
        <v>23</v>
      </c>
      <c r="C4751" s="406"/>
      <c r="D4751" s="406"/>
    </row>
    <row r="4754" spans="1:16" x14ac:dyDescent="0.3">
      <c r="B4754" s="103" t="s">
        <v>43</v>
      </c>
      <c r="C4754" s="104"/>
      <c r="D4754" s="422" t="s">
        <v>1</v>
      </c>
      <c r="E4754" s="422"/>
      <c r="F4754" s="422"/>
      <c r="G4754" s="422"/>
      <c r="H4754" s="104"/>
      <c r="I4754" s="105" t="s">
        <v>2</v>
      </c>
      <c r="J4754" s="134"/>
      <c r="K4754" s="105" t="s">
        <v>3</v>
      </c>
    </row>
    <row r="4755" spans="1:16" s="4" customFormat="1" ht="30.75" customHeight="1" x14ac:dyDescent="0.25">
      <c r="A4755" s="31"/>
      <c r="B4755" s="287">
        <f>CATALOGO!B150</f>
        <v>605.08000000000004</v>
      </c>
      <c r="C4755" s="71"/>
      <c r="D4755" s="437" t="str">
        <f>CATALOGO!C150</f>
        <v>PISO CERÁMICO ANTIDESLIZANTE</v>
      </c>
      <c r="E4755" s="437"/>
      <c r="F4755" s="437"/>
      <c r="G4755" s="437"/>
      <c r="H4755" s="71"/>
      <c r="I4755" s="287">
        <f>CATALOGO!D150</f>
        <v>6</v>
      </c>
      <c r="J4755" s="107"/>
      <c r="K4755" s="222" t="str">
        <f>CATALOGO!G150</f>
        <v>m²</v>
      </c>
      <c r="L4755" s="71"/>
      <c r="M4755" s="71"/>
      <c r="N4755" s="102"/>
      <c r="O4755" s="37"/>
      <c r="P4755" s="37"/>
    </row>
    <row r="4756" spans="1:16" ht="17.25" thickBot="1" x14ac:dyDescent="0.35"/>
    <row r="4757" spans="1:16" ht="17.25" thickBot="1" x14ac:dyDescent="0.35">
      <c r="B4757" s="108" t="s">
        <v>4</v>
      </c>
      <c r="C4757" s="413" t="s">
        <v>5</v>
      </c>
      <c r="D4757" s="413"/>
      <c r="E4757" s="413"/>
      <c r="F4757" s="413"/>
      <c r="G4757" s="414"/>
    </row>
    <row r="4758" spans="1:16" x14ac:dyDescent="0.25">
      <c r="B4758" s="109" t="s">
        <v>6</v>
      </c>
      <c r="C4758" s="424" t="s">
        <v>1</v>
      </c>
      <c r="D4758" s="425"/>
      <c r="E4758" s="110" t="s">
        <v>192</v>
      </c>
      <c r="F4758" s="111" t="s">
        <v>2</v>
      </c>
      <c r="G4758" s="112" t="s">
        <v>3</v>
      </c>
      <c r="H4758" s="104"/>
      <c r="I4758" s="105" t="s">
        <v>7</v>
      </c>
      <c r="J4758" s="134"/>
      <c r="K4758" s="223" t="s">
        <v>8</v>
      </c>
      <c r="L4758" s="113" t="s">
        <v>193</v>
      </c>
      <c r="O4758" s="438"/>
      <c r="P4758" s="438"/>
    </row>
    <row r="4759" spans="1:16" ht="16.5" customHeight="1" x14ac:dyDescent="0.25">
      <c r="B4759" s="120">
        <v>1</v>
      </c>
      <c r="C4759" s="428" t="s">
        <v>213</v>
      </c>
      <c r="D4759" s="429"/>
      <c r="E4759" s="114">
        <f>I4755*0.7</f>
        <v>4.1999999999999993</v>
      </c>
      <c r="F4759" s="83">
        <f>ROUND(E4759/I4755,2)</f>
        <v>0.7</v>
      </c>
      <c r="G4759" s="74" t="str">
        <f>IF(C4759=0,0,VLOOKUP(C4759,Tabla1[],2,FALSE))</f>
        <v>Saco</v>
      </c>
      <c r="I4759" s="115">
        <f>IF(C4759=0,0,VLOOKUP(C4759,Tabla1[],3,FALSE))</f>
        <v>80</v>
      </c>
      <c r="K4759" s="84">
        <f>F4759*I4759</f>
        <v>56</v>
      </c>
      <c r="L4759" s="116">
        <f>E4759*I4759</f>
        <v>335.99999999999994</v>
      </c>
      <c r="O4759" s="44"/>
      <c r="P4759" s="45"/>
    </row>
    <row r="4760" spans="1:16" x14ac:dyDescent="0.25">
      <c r="B4760" s="120">
        <v>2</v>
      </c>
      <c r="C4760" s="430" t="s">
        <v>72</v>
      </c>
      <c r="D4760" s="429"/>
      <c r="E4760" s="114">
        <f>I4755*0.02</f>
        <v>0.12</v>
      </c>
      <c r="F4760" s="83">
        <f>ROUND(E4760/I4755,2)</f>
        <v>0.02</v>
      </c>
      <c r="G4760" s="74" t="str">
        <f>IF(C4760=0,0,VLOOKUP(C4760,Tabla1[],2,FALSE))</f>
        <v>m³</v>
      </c>
      <c r="I4760" s="115">
        <f>IF(C4760=0,0,VLOOKUP(C4760,Tabla1[],3,FALSE))</f>
        <v>250</v>
      </c>
      <c r="K4760" s="84">
        <f>+F4760*I4760</f>
        <v>5</v>
      </c>
      <c r="L4760" s="116">
        <f>E4760*I4760</f>
        <v>30</v>
      </c>
      <c r="O4760" s="44"/>
      <c r="P4760" s="47"/>
    </row>
    <row r="4761" spans="1:16" x14ac:dyDescent="0.3">
      <c r="B4761" s="120">
        <v>3</v>
      </c>
      <c r="C4761" s="430" t="s">
        <v>214</v>
      </c>
      <c r="D4761" s="429"/>
      <c r="E4761" s="114">
        <f>I4755*0.03</f>
        <v>0.18</v>
      </c>
      <c r="F4761" s="83">
        <f>ROUND(E4761/I4755,2)</f>
        <v>0.03</v>
      </c>
      <c r="G4761" s="74" t="str">
        <f>IF(C4761=0,0,VLOOKUP(C4761,Tabla1[],2,FALSE))</f>
        <v>Bolsa</v>
      </c>
      <c r="I4761" s="115">
        <f>IF(C4761=0,0,VLOOKUP(C4761,Tabla1[],3,FALSE))</f>
        <v>50</v>
      </c>
      <c r="K4761" s="84">
        <f>+F4761*I4761</f>
        <v>1.5</v>
      </c>
      <c r="L4761" s="116">
        <f>E4761*I4761</f>
        <v>9</v>
      </c>
      <c r="O4761" s="48"/>
      <c r="P4761" s="49"/>
    </row>
    <row r="4762" spans="1:16" ht="16.5" customHeight="1" x14ac:dyDescent="0.25">
      <c r="B4762" s="120">
        <v>4</v>
      </c>
      <c r="C4762" s="407" t="s">
        <v>599</v>
      </c>
      <c r="D4762" s="408"/>
      <c r="E4762" s="114">
        <f>I4755*0.7</f>
        <v>4.1999999999999993</v>
      </c>
      <c r="F4762" s="83">
        <f>ROUND(E4762/I4755,2)</f>
        <v>0.7</v>
      </c>
      <c r="G4762" s="74" t="str">
        <f>IF(C4762=0,0,VLOOKUP(C4762,Tabla1[],2,FALSE))</f>
        <v>m²</v>
      </c>
      <c r="I4762" s="115">
        <f>IF(C4762=0,0,VLOOKUP(C4762,Tabla1[],3,FALSE))</f>
        <v>125</v>
      </c>
      <c r="K4762" s="84">
        <f>+F4762*I4762</f>
        <v>87.5</v>
      </c>
      <c r="L4762" s="116">
        <f>E4762*I4762</f>
        <v>524.99999999999989</v>
      </c>
      <c r="O4762" s="44"/>
      <c r="P4762" s="45"/>
    </row>
    <row r="4763" spans="1:16" x14ac:dyDescent="0.3">
      <c r="B4763" s="120"/>
      <c r="C4763" s="430"/>
      <c r="D4763" s="429"/>
      <c r="E4763" s="114"/>
      <c r="F4763" s="83"/>
      <c r="G4763" s="74"/>
      <c r="I4763" s="115">
        <f>IF(C4763=0,0,VLOOKUP(C4763,Tabla1[],3,FALSE))</f>
        <v>0</v>
      </c>
      <c r="K4763" s="84">
        <f>+F4763*I4763</f>
        <v>0</v>
      </c>
      <c r="L4763" s="116">
        <f>E4763*I4763</f>
        <v>0</v>
      </c>
      <c r="O4763" s="48"/>
      <c r="P4763" s="49"/>
    </row>
    <row r="4764" spans="1:16" ht="17.25" thickBot="1" x14ac:dyDescent="0.35"/>
    <row r="4765" spans="1:16" ht="17.25" thickBot="1" x14ac:dyDescent="0.3">
      <c r="F4765" s="402" t="s">
        <v>9</v>
      </c>
      <c r="G4765" s="403"/>
      <c r="H4765" s="403"/>
      <c r="I4765" s="404"/>
      <c r="K4765" s="224">
        <f>+SUM(K4759:K4763)</f>
        <v>150</v>
      </c>
      <c r="L4765" s="117">
        <f>+SUM(L4759:L4763)</f>
        <v>899.99999999999977</v>
      </c>
      <c r="O4765" s="38"/>
      <c r="P4765" s="38"/>
    </row>
    <row r="4766" spans="1:16" ht="17.25" thickBot="1" x14ac:dyDescent="0.35">
      <c r="O4766" s="42"/>
      <c r="P4766" s="43"/>
    </row>
    <row r="4767" spans="1:16" ht="17.25" thickBot="1" x14ac:dyDescent="0.35">
      <c r="B4767" s="108" t="s">
        <v>10</v>
      </c>
      <c r="C4767" s="413" t="s">
        <v>11</v>
      </c>
      <c r="D4767" s="413"/>
      <c r="E4767" s="413"/>
      <c r="F4767" s="413"/>
      <c r="G4767" s="414"/>
    </row>
    <row r="4768" spans="1:16" x14ac:dyDescent="0.3">
      <c r="B4768" s="112" t="s">
        <v>6</v>
      </c>
      <c r="C4768" s="415" t="s">
        <v>1</v>
      </c>
      <c r="D4768" s="416"/>
      <c r="E4768" s="110" t="s">
        <v>192</v>
      </c>
      <c r="F4768" s="118" t="s">
        <v>2</v>
      </c>
      <c r="G4768" s="112" t="s">
        <v>3</v>
      </c>
      <c r="H4768" s="104"/>
      <c r="I4768" s="105" t="s">
        <v>7</v>
      </c>
      <c r="J4768" s="134"/>
      <c r="K4768" s="105" t="s">
        <v>8</v>
      </c>
      <c r="L4768" s="113" t="s">
        <v>193</v>
      </c>
    </row>
    <row r="4769" spans="2:12" x14ac:dyDescent="0.3">
      <c r="B4769" s="120"/>
      <c r="C4769" s="409"/>
      <c r="D4769" s="409"/>
      <c r="E4769" s="114"/>
      <c r="F4769" s="83"/>
      <c r="G4769" s="74"/>
      <c r="I4769" s="115">
        <f>IF(C4769=0,0,VLOOKUP(C4769,Tabla3[],3,FALSE))</f>
        <v>0</v>
      </c>
      <c r="K4769" s="84">
        <f>F4769*I4769</f>
        <v>0</v>
      </c>
      <c r="L4769" s="116">
        <f>E4769*I4769</f>
        <v>0</v>
      </c>
    </row>
    <row r="4770" spans="2:12" x14ac:dyDescent="0.3">
      <c r="B4770" s="74"/>
      <c r="C4770" s="431"/>
      <c r="D4770" s="432"/>
      <c r="E4770" s="119"/>
      <c r="F4770" s="72"/>
      <c r="G4770" s="74"/>
      <c r="I4770" s="115">
        <f>IF(C4770=0,0,VLOOKUP(C4770,Tabla3[],3,FALSE))</f>
        <v>0</v>
      </c>
      <c r="K4770" s="84">
        <f>+F4770*I4770</f>
        <v>0</v>
      </c>
      <c r="L4770" s="116">
        <f>E4770*I4770</f>
        <v>0</v>
      </c>
    </row>
    <row r="4771" spans="2:12" x14ac:dyDescent="0.3">
      <c r="B4771" s="74"/>
      <c r="C4771" s="431"/>
      <c r="D4771" s="432"/>
      <c r="E4771" s="119"/>
      <c r="F4771" s="72"/>
      <c r="G4771" s="74"/>
      <c r="I4771" s="115">
        <f>IF(C4771=0,0,VLOOKUP(C4771,Tabla3[],3,FALSE))</f>
        <v>0</v>
      </c>
      <c r="K4771" s="84">
        <f>+F4771*I4771</f>
        <v>0</v>
      </c>
      <c r="L4771" s="116">
        <f>E4771*I4771</f>
        <v>0</v>
      </c>
    </row>
    <row r="4772" spans="2:12" x14ac:dyDescent="0.3">
      <c r="B4772" s="74"/>
      <c r="C4772" s="411"/>
      <c r="D4772" s="412"/>
      <c r="E4772" s="119"/>
      <c r="F4772" s="72"/>
      <c r="G4772" s="74"/>
      <c r="I4772" s="115">
        <f>IF(C4772=0,0,VLOOKUP(C4772,Tabla3[],3,FALSE))</f>
        <v>0</v>
      </c>
      <c r="K4772" s="84">
        <f>+F4772*I4772</f>
        <v>0</v>
      </c>
      <c r="L4772" s="116">
        <f>E4772*I4772</f>
        <v>0</v>
      </c>
    </row>
    <row r="4773" spans="2:12" ht="17.25" thickBot="1" x14ac:dyDescent="0.35"/>
    <row r="4774" spans="2:12" ht="17.25" thickBot="1" x14ac:dyDescent="0.35">
      <c r="F4774" s="402" t="s">
        <v>12</v>
      </c>
      <c r="G4774" s="403"/>
      <c r="H4774" s="403"/>
      <c r="I4774" s="404"/>
      <c r="K4774" s="224">
        <f>+SUM(K4769:K4772)</f>
        <v>0</v>
      </c>
      <c r="L4774" s="117">
        <f>+SUM(L4769:L4772)</f>
        <v>0</v>
      </c>
    </row>
    <row r="4775" spans="2:12" ht="17.25" thickBot="1" x14ac:dyDescent="0.35"/>
    <row r="4776" spans="2:12" ht="17.25" thickBot="1" x14ac:dyDescent="0.35">
      <c r="B4776" s="108" t="s">
        <v>13</v>
      </c>
      <c r="C4776" s="413" t="s">
        <v>14</v>
      </c>
      <c r="D4776" s="413"/>
      <c r="E4776" s="413"/>
      <c r="F4776" s="413"/>
      <c r="G4776" s="414"/>
    </row>
    <row r="4777" spans="2:12" x14ac:dyDescent="0.3">
      <c r="B4777" s="112" t="s">
        <v>6</v>
      </c>
      <c r="C4777" s="415" t="s">
        <v>1</v>
      </c>
      <c r="D4777" s="416"/>
      <c r="E4777" s="110" t="s">
        <v>192</v>
      </c>
      <c r="F4777" s="118" t="s">
        <v>2</v>
      </c>
      <c r="G4777" s="112" t="s">
        <v>3</v>
      </c>
      <c r="H4777" s="104"/>
      <c r="I4777" s="105" t="s">
        <v>7</v>
      </c>
      <c r="J4777" s="134"/>
      <c r="K4777" s="105" t="s">
        <v>8</v>
      </c>
      <c r="L4777" s="113" t="s">
        <v>193</v>
      </c>
    </row>
    <row r="4778" spans="2:12" x14ac:dyDescent="0.3">
      <c r="B4778" s="120">
        <v>1</v>
      </c>
      <c r="C4778" s="409" t="s">
        <v>215</v>
      </c>
      <c r="D4778" s="409"/>
      <c r="E4778" s="114">
        <f>I4755</f>
        <v>6</v>
      </c>
      <c r="F4778" s="83">
        <f>ROUND(E4778/I4755,2)</f>
        <v>1</v>
      </c>
      <c r="G4778" s="74" t="str">
        <f>IF(C4778=0,0,VLOOKUP(C4778,Tabla2[],2,FALSE))</f>
        <v>m²</v>
      </c>
      <c r="I4778" s="115">
        <f>IF(C4778=0,0,VLOOKUP(C4778,Tabla2[],3,FALSE))</f>
        <v>100</v>
      </c>
      <c r="K4778" s="84">
        <f>+F4778*I4778</f>
        <v>100</v>
      </c>
      <c r="L4778" s="116">
        <f>E4778*I4778</f>
        <v>600</v>
      </c>
    </row>
    <row r="4779" spans="2:12" x14ac:dyDescent="0.3">
      <c r="B4779" s="120"/>
      <c r="C4779" s="409"/>
      <c r="D4779" s="409"/>
      <c r="E4779" s="114"/>
      <c r="F4779" s="83"/>
      <c r="G4779" s="74"/>
      <c r="I4779" s="115">
        <f>IF(C4779=0,0,VLOOKUP(C4779,Tabla2[],3,FALSE))</f>
        <v>0</v>
      </c>
      <c r="K4779" s="84">
        <f>+F4779*I4779</f>
        <v>0</v>
      </c>
      <c r="L4779" s="116">
        <f>E4779*I4779</f>
        <v>0</v>
      </c>
    </row>
    <row r="4780" spans="2:12" ht="17.25" thickBot="1" x14ac:dyDescent="0.35">
      <c r="B4780" s="121"/>
      <c r="C4780" s="417"/>
      <c r="D4780" s="418"/>
      <c r="E4780" s="122"/>
      <c r="F4780" s="123"/>
      <c r="G4780" s="74"/>
      <c r="I4780" s="115">
        <f>IF(C4780=0,0,VLOOKUP(C4780,Tabla2[],3,FALSE))</f>
        <v>0</v>
      </c>
      <c r="K4780" s="84">
        <f>+F4780*I4780</f>
        <v>0</v>
      </c>
      <c r="L4780" s="116">
        <f>E4780*I4780</f>
        <v>0</v>
      </c>
    </row>
    <row r="4781" spans="2:12" ht="17.25" thickBot="1" x14ac:dyDescent="0.35">
      <c r="B4781" s="419" t="s">
        <v>15</v>
      </c>
      <c r="C4781" s="420"/>
      <c r="D4781" s="420"/>
      <c r="E4781" s="420"/>
      <c r="F4781" s="420"/>
      <c r="G4781" s="421"/>
      <c r="I4781" s="115">
        <f>IF(C4781=0,0,VLOOKUP(C4781,Tabla2[],3,FALSE))</f>
        <v>0</v>
      </c>
      <c r="K4781" s="84">
        <v>0</v>
      </c>
      <c r="L4781" s="116">
        <f>E4781*I4781</f>
        <v>0</v>
      </c>
    </row>
    <row r="4782" spans="2:12" ht="17.25" thickBot="1" x14ac:dyDescent="0.35"/>
    <row r="4783" spans="2:12" ht="17.25" thickBot="1" x14ac:dyDescent="0.35">
      <c r="F4783" s="402" t="s">
        <v>16</v>
      </c>
      <c r="G4783" s="403"/>
      <c r="H4783" s="403"/>
      <c r="I4783" s="404"/>
      <c r="K4783" s="224">
        <f>+SUM(K4778:K4781)</f>
        <v>100</v>
      </c>
      <c r="L4783" s="117">
        <f>+SUM(L4778:L4781)</f>
        <v>600</v>
      </c>
    </row>
    <row r="4784" spans="2:12" ht="17.25" thickBot="1" x14ac:dyDescent="0.35"/>
    <row r="4785" spans="2:16" ht="17.25" thickBot="1" x14ac:dyDescent="0.35">
      <c r="B4785" s="108" t="s">
        <v>17</v>
      </c>
      <c r="C4785" s="413" t="s">
        <v>18</v>
      </c>
      <c r="D4785" s="413"/>
      <c r="E4785" s="413"/>
      <c r="F4785" s="413"/>
      <c r="G4785" s="414"/>
    </row>
    <row r="4786" spans="2:16" x14ac:dyDescent="0.3">
      <c r="B4786" s="112" t="s">
        <v>6</v>
      </c>
      <c r="C4786" s="415" t="s">
        <v>1</v>
      </c>
      <c r="D4786" s="416"/>
      <c r="E4786" s="124"/>
      <c r="F4786" s="118" t="s">
        <v>2</v>
      </c>
      <c r="G4786" s="112" t="s">
        <v>3</v>
      </c>
      <c r="H4786" s="104"/>
      <c r="I4786" s="105" t="s">
        <v>7</v>
      </c>
      <c r="J4786" s="134"/>
      <c r="K4786" s="105" t="s">
        <v>8</v>
      </c>
      <c r="L4786" s="113" t="s">
        <v>193</v>
      </c>
    </row>
    <row r="4787" spans="2:16" x14ac:dyDescent="0.3">
      <c r="B4787" s="74"/>
      <c r="C4787" s="411"/>
      <c r="D4787" s="412"/>
      <c r="E4787" s="125"/>
      <c r="F4787" s="72"/>
      <c r="G4787" s="74"/>
      <c r="I4787" s="84">
        <v>0</v>
      </c>
      <c r="K4787" s="84">
        <f>+F4787*I4787</f>
        <v>0</v>
      </c>
      <c r="L4787" s="116">
        <f>E4787*I4787</f>
        <v>0</v>
      </c>
    </row>
    <row r="4788" spans="2:16" x14ac:dyDescent="0.3">
      <c r="B4788" s="74"/>
      <c r="C4788" s="411"/>
      <c r="D4788" s="412"/>
      <c r="E4788" s="125"/>
      <c r="F4788" s="72"/>
      <c r="G4788" s="74"/>
      <c r="I4788" s="84">
        <v>0</v>
      </c>
      <c r="K4788" s="84">
        <f>+F4788*I4788</f>
        <v>0</v>
      </c>
      <c r="L4788" s="116">
        <f>E4788*I4788</f>
        <v>0</v>
      </c>
    </row>
    <row r="4789" spans="2:16" x14ac:dyDescent="0.3">
      <c r="B4789" s="74"/>
      <c r="C4789" s="411"/>
      <c r="D4789" s="412"/>
      <c r="E4789" s="125"/>
      <c r="F4789" s="72"/>
      <c r="G4789" s="74"/>
      <c r="I4789" s="84">
        <v>0</v>
      </c>
      <c r="K4789" s="84">
        <f>+F4789*I4789</f>
        <v>0</v>
      </c>
      <c r="L4789" s="116">
        <f>E4789*I4789</f>
        <v>0</v>
      </c>
    </row>
    <row r="4790" spans="2:16" ht="17.25" thickBot="1" x14ac:dyDescent="0.35">
      <c r="L4790" s="116"/>
    </row>
    <row r="4791" spans="2:16" ht="17.25" thickBot="1" x14ac:dyDescent="0.35">
      <c r="F4791" s="402" t="s">
        <v>19</v>
      </c>
      <c r="G4791" s="403"/>
      <c r="H4791" s="403"/>
      <c r="I4791" s="404"/>
      <c r="K4791" s="224">
        <f>+SUM(K4787:K4789)</f>
        <v>0</v>
      </c>
      <c r="L4791" s="117">
        <f>+SUM(L4786:L4789)</f>
        <v>0</v>
      </c>
    </row>
    <row r="4792" spans="2:16" ht="15" customHeight="1" x14ac:dyDescent="0.3">
      <c r="F4792" s="126"/>
      <c r="G4792" s="280"/>
      <c r="H4792" s="128"/>
      <c r="I4792" s="106"/>
      <c r="K4792" s="225"/>
    </row>
    <row r="4793" spans="2:16" ht="15" customHeight="1" thickBot="1" x14ac:dyDescent="0.35"/>
    <row r="4794" spans="2:16" ht="17.25" thickBot="1" x14ac:dyDescent="0.35">
      <c r="F4794" s="402" t="s">
        <v>20</v>
      </c>
      <c r="G4794" s="403"/>
      <c r="H4794" s="403"/>
      <c r="I4794" s="404"/>
      <c r="K4794" s="224">
        <f>(+K4765+K4774+K4783+K4791)</f>
        <v>250</v>
      </c>
      <c r="L4794" s="117">
        <f>(+L4765+L4774+L4783+L4791)</f>
        <v>1499.9999999999998</v>
      </c>
      <c r="N4794" s="129"/>
      <c r="O4794" s="39"/>
      <c r="P4794" s="40"/>
    </row>
    <row r="4795" spans="2:16" ht="7.5" customHeight="1" thickBot="1" x14ac:dyDescent="0.35">
      <c r="N4795" s="129"/>
      <c r="O4795" s="41"/>
      <c r="P4795" s="40"/>
    </row>
    <row r="4796" spans="2:16" ht="17.25" thickBot="1" x14ac:dyDescent="0.35">
      <c r="F4796" s="402" t="s">
        <v>21</v>
      </c>
      <c r="G4796" s="403"/>
      <c r="H4796" s="403"/>
      <c r="I4796" s="404"/>
      <c r="K4796" s="224">
        <f>K4794*$N$2</f>
        <v>100</v>
      </c>
      <c r="L4796" s="117">
        <f>L4794*$N$2</f>
        <v>599.99999999999989</v>
      </c>
    </row>
    <row r="4797" spans="2:16" ht="7.5" customHeight="1" thickBot="1" x14ac:dyDescent="0.35"/>
    <row r="4798" spans="2:16" ht="17.25" thickBot="1" x14ac:dyDescent="0.35">
      <c r="F4798" s="402" t="s">
        <v>22</v>
      </c>
      <c r="G4798" s="403"/>
      <c r="H4798" s="403"/>
      <c r="I4798" s="404"/>
      <c r="K4798" s="224">
        <f>+K4794+K4796</f>
        <v>350</v>
      </c>
      <c r="L4798" s="117">
        <f>+L4794+L4796</f>
        <v>2099.9999999999995</v>
      </c>
    </row>
    <row r="4799" spans="2:16" ht="17.25" thickBot="1" x14ac:dyDescent="0.35">
      <c r="F4799" s="126"/>
      <c r="G4799" s="280"/>
      <c r="H4799" s="128"/>
      <c r="I4799" s="106"/>
      <c r="K4799" s="226"/>
      <c r="L4799" s="130">
        <f>L4798/I4755</f>
        <v>349.99999999999994</v>
      </c>
      <c r="M4799" s="131">
        <f>(K4798-L4799)*I4755</f>
        <v>3.4106051316484809E-13</v>
      </c>
    </row>
    <row r="4800" spans="2:16" x14ac:dyDescent="0.3">
      <c r="F4800" s="126"/>
      <c r="G4800" s="280"/>
      <c r="H4800" s="128"/>
      <c r="I4800" s="106"/>
      <c r="K4800" s="227"/>
      <c r="L4800" s="129"/>
      <c r="M4800" s="132"/>
      <c r="N4800" s="133"/>
    </row>
    <row r="4801" spans="1:16" ht="17.25" thickBot="1" x14ac:dyDescent="0.35">
      <c r="B4801" s="405"/>
      <c r="C4801" s="405"/>
      <c r="D4801" s="405"/>
    </row>
    <row r="4802" spans="1:16" x14ac:dyDescent="0.3">
      <c r="B4802" s="406" t="s">
        <v>23</v>
      </c>
      <c r="C4802" s="406"/>
      <c r="D4802" s="406"/>
    </row>
    <row r="4803" spans="1:16" x14ac:dyDescent="0.3">
      <c r="B4803" s="281"/>
      <c r="C4803" s="281"/>
      <c r="D4803" s="281"/>
    </row>
    <row r="4804" spans="1:16" x14ac:dyDescent="0.3">
      <c r="B4804" s="281"/>
      <c r="C4804" s="281"/>
      <c r="D4804" s="281"/>
    </row>
    <row r="4805" spans="1:16" x14ac:dyDescent="0.3">
      <c r="B4805" s="103" t="s">
        <v>43</v>
      </c>
      <c r="C4805" s="104"/>
      <c r="D4805" s="422" t="s">
        <v>1</v>
      </c>
      <c r="E4805" s="422"/>
      <c r="F4805" s="422"/>
      <c r="G4805" s="422"/>
      <c r="H4805" s="104"/>
      <c r="I4805" s="105" t="s">
        <v>2</v>
      </c>
      <c r="J4805" s="134"/>
      <c r="K4805" s="105" t="s">
        <v>3</v>
      </c>
    </row>
    <row r="4806" spans="1:16" s="4" customFormat="1" ht="30.75" customHeight="1" x14ac:dyDescent="0.25">
      <c r="A4806" s="31"/>
      <c r="B4806" s="287">
        <f>CATALOGO!B151</f>
        <v>609.01</v>
      </c>
      <c r="C4806" s="71"/>
      <c r="D4806" s="423" t="str">
        <f>CATALOGO!C151</f>
        <v xml:space="preserve">AZULEJO  </v>
      </c>
      <c r="E4806" s="423"/>
      <c r="F4806" s="423"/>
      <c r="G4806" s="423"/>
      <c r="H4806" s="71"/>
      <c r="I4806" s="287">
        <f>CATALOGO!D151</f>
        <v>17</v>
      </c>
      <c r="J4806" s="107"/>
      <c r="K4806" s="222" t="str">
        <f>CATALOGO!G151</f>
        <v>m²</v>
      </c>
      <c r="L4806" s="71"/>
      <c r="M4806" s="71"/>
      <c r="N4806" s="102"/>
      <c r="O4806" s="37"/>
      <c r="P4806" s="37"/>
    </row>
    <row r="4807" spans="1:16" ht="17.25" thickBot="1" x14ac:dyDescent="0.35"/>
    <row r="4808" spans="1:16" ht="17.25" thickBot="1" x14ac:dyDescent="0.35">
      <c r="B4808" s="108" t="s">
        <v>4</v>
      </c>
      <c r="C4808" s="413" t="s">
        <v>5</v>
      </c>
      <c r="D4808" s="413"/>
      <c r="E4808" s="413"/>
      <c r="F4808" s="413"/>
      <c r="G4808" s="414"/>
    </row>
    <row r="4809" spans="1:16" x14ac:dyDescent="0.25">
      <c r="B4809" s="109" t="s">
        <v>6</v>
      </c>
      <c r="C4809" s="424" t="s">
        <v>1</v>
      </c>
      <c r="D4809" s="425"/>
      <c r="E4809" s="110" t="s">
        <v>192</v>
      </c>
      <c r="F4809" s="111" t="s">
        <v>2</v>
      </c>
      <c r="G4809" s="112" t="s">
        <v>3</v>
      </c>
      <c r="H4809" s="104"/>
      <c r="I4809" s="105" t="s">
        <v>7</v>
      </c>
      <c r="J4809" s="134"/>
      <c r="K4809" s="223" t="s">
        <v>8</v>
      </c>
      <c r="L4809" s="113" t="s">
        <v>193</v>
      </c>
      <c r="O4809" s="438"/>
      <c r="P4809" s="438"/>
    </row>
    <row r="4810" spans="1:16" x14ac:dyDescent="0.25">
      <c r="B4810" s="120">
        <v>1</v>
      </c>
      <c r="C4810" s="407" t="s">
        <v>469</v>
      </c>
      <c r="D4810" s="408"/>
      <c r="E4810" s="114">
        <f>I4806</f>
        <v>17</v>
      </c>
      <c r="F4810" s="83">
        <f>ROUND(E4810/I4806,3)</f>
        <v>1</v>
      </c>
      <c r="G4810" s="74" t="str">
        <f>IF(C4810=0,0,VLOOKUP(C4810,Tabla1[],2,FALSE))</f>
        <v>m²</v>
      </c>
      <c r="I4810" s="115">
        <f>IF(C4810=0,0,VLOOKUP(C4810,Tabla1[],3,FALSE))</f>
        <v>120</v>
      </c>
      <c r="K4810" s="84">
        <f>F4810*I4810</f>
        <v>120</v>
      </c>
      <c r="L4810" s="116">
        <f t="shared" ref="L4810:L4816" si="124">E4810*I4810</f>
        <v>2040</v>
      </c>
      <c r="O4810" s="44"/>
      <c r="P4810" s="45"/>
    </row>
    <row r="4811" spans="1:16" x14ac:dyDescent="0.3">
      <c r="B4811" s="120">
        <v>2</v>
      </c>
      <c r="C4811" s="428" t="s">
        <v>95</v>
      </c>
      <c r="D4811" s="429"/>
      <c r="E4811" s="114">
        <f>I4806*0.05</f>
        <v>0.85000000000000009</v>
      </c>
      <c r="F4811" s="83">
        <f>ROUND(E4811/I4806,2)</f>
        <v>0.05</v>
      </c>
      <c r="G4811" s="74" t="str">
        <f>IF(C4811=0,0,VLOOKUP(C4811,Tabla1[],2,FALSE))</f>
        <v>Libra</v>
      </c>
      <c r="I4811" s="115">
        <f>IF(C4811=0,0,VLOOKUP(C4811,Tabla1[],3,FALSE))</f>
        <v>20</v>
      </c>
      <c r="K4811" s="84">
        <f t="shared" ref="K4811:K4816" si="125">+F4811*I4811</f>
        <v>1</v>
      </c>
      <c r="L4811" s="116">
        <f t="shared" si="124"/>
        <v>17</v>
      </c>
      <c r="P4811" s="45"/>
    </row>
    <row r="4812" spans="1:16" x14ac:dyDescent="0.25">
      <c r="B4812" s="120">
        <v>3</v>
      </c>
      <c r="C4812" s="430" t="s">
        <v>284</v>
      </c>
      <c r="D4812" s="429"/>
      <c r="E4812" s="114">
        <f>I4806*0.02</f>
        <v>0.34</v>
      </c>
      <c r="F4812" s="83">
        <f>ROUND(E4812/I4806,2)</f>
        <v>0.02</v>
      </c>
      <c r="G4812" s="74" t="str">
        <f>IF(C4812=0,0,VLOOKUP(C4812,Tabla1[],2,FALSE))</f>
        <v>Bolsa</v>
      </c>
      <c r="I4812" s="115">
        <f>IF(C4812=0,0,VLOOKUP(C4812,Tabla1[],3,FALSE))</f>
        <v>50</v>
      </c>
      <c r="K4812" s="84">
        <f t="shared" si="125"/>
        <v>1</v>
      </c>
      <c r="L4812" s="116">
        <f t="shared" si="124"/>
        <v>17</v>
      </c>
      <c r="O4812" s="44"/>
      <c r="P4812" s="46"/>
    </row>
    <row r="4813" spans="1:16" x14ac:dyDescent="0.25">
      <c r="B4813" s="120"/>
      <c r="C4813" s="430"/>
      <c r="D4813" s="429"/>
      <c r="E4813" s="114"/>
      <c r="F4813" s="83"/>
      <c r="G4813" s="74"/>
      <c r="I4813" s="115">
        <f>IF(C4813=0,0,VLOOKUP(C4813,Tabla1[],3,FALSE))</f>
        <v>0</v>
      </c>
      <c r="K4813" s="84">
        <f t="shared" si="125"/>
        <v>0</v>
      </c>
      <c r="L4813" s="116">
        <f t="shared" si="124"/>
        <v>0</v>
      </c>
      <c r="O4813" s="44"/>
      <c r="P4813" s="47"/>
    </row>
    <row r="4814" spans="1:16" x14ac:dyDescent="0.3">
      <c r="B4814" s="120"/>
      <c r="C4814" s="430"/>
      <c r="D4814" s="429"/>
      <c r="E4814" s="114"/>
      <c r="F4814" s="83"/>
      <c r="G4814" s="74"/>
      <c r="I4814" s="115">
        <f>IF(C4814=0,0,VLOOKUP(C4814,Tabla1[],3,FALSE))</f>
        <v>0</v>
      </c>
      <c r="K4814" s="84">
        <f t="shared" si="125"/>
        <v>0</v>
      </c>
      <c r="L4814" s="116">
        <f t="shared" si="124"/>
        <v>0</v>
      </c>
      <c r="O4814" s="48"/>
      <c r="P4814" s="49"/>
    </row>
    <row r="4815" spans="1:16" x14ac:dyDescent="0.3">
      <c r="B4815" s="120"/>
      <c r="C4815" s="430"/>
      <c r="D4815" s="429"/>
      <c r="E4815" s="114"/>
      <c r="F4815" s="83"/>
      <c r="G4815" s="74"/>
      <c r="I4815" s="115">
        <f>IF(C4815=0,0,VLOOKUP(C4815,Tabla1[],3,FALSE))</f>
        <v>0</v>
      </c>
      <c r="K4815" s="84">
        <f t="shared" si="125"/>
        <v>0</v>
      </c>
      <c r="L4815" s="116">
        <f t="shared" si="124"/>
        <v>0</v>
      </c>
      <c r="O4815" s="48"/>
      <c r="P4815" s="43"/>
    </row>
    <row r="4816" spans="1:16" x14ac:dyDescent="0.3">
      <c r="B4816" s="120"/>
      <c r="C4816" s="430"/>
      <c r="D4816" s="429"/>
      <c r="E4816" s="114"/>
      <c r="F4816" s="83"/>
      <c r="G4816" s="74"/>
      <c r="I4816" s="115">
        <f>IF(C4816=0,0,VLOOKUP(C4816,Tabla1[],3,FALSE))</f>
        <v>0</v>
      </c>
      <c r="K4816" s="84">
        <f t="shared" si="125"/>
        <v>0</v>
      </c>
      <c r="L4816" s="116">
        <f t="shared" si="124"/>
        <v>0</v>
      </c>
      <c r="O4816" s="48"/>
      <c r="P4816" s="49"/>
    </row>
    <row r="4817" spans="2:16" ht="17.25" thickBot="1" x14ac:dyDescent="0.35"/>
    <row r="4818" spans="2:16" ht="17.25" thickBot="1" x14ac:dyDescent="0.3">
      <c r="F4818" s="402" t="s">
        <v>9</v>
      </c>
      <c r="G4818" s="403"/>
      <c r="H4818" s="403"/>
      <c r="I4818" s="404"/>
      <c r="K4818" s="224">
        <f>+SUM(K4810:K4816)</f>
        <v>122</v>
      </c>
      <c r="L4818" s="117">
        <f>+SUM(L4810:L4816)</f>
        <v>2074</v>
      </c>
      <c r="O4818" s="38"/>
      <c r="P4818" s="38"/>
    </row>
    <row r="4819" spans="2:16" ht="17.25" thickBot="1" x14ac:dyDescent="0.35">
      <c r="O4819" s="42"/>
      <c r="P4819" s="43"/>
    </row>
    <row r="4820" spans="2:16" ht="17.25" thickBot="1" x14ac:dyDescent="0.35">
      <c r="B4820" s="108" t="s">
        <v>10</v>
      </c>
      <c r="C4820" s="413" t="s">
        <v>11</v>
      </c>
      <c r="D4820" s="413"/>
      <c r="E4820" s="413"/>
      <c r="F4820" s="413"/>
      <c r="G4820" s="414"/>
    </row>
    <row r="4821" spans="2:16" x14ac:dyDescent="0.3">
      <c r="B4821" s="112" t="s">
        <v>6</v>
      </c>
      <c r="C4821" s="415" t="s">
        <v>1</v>
      </c>
      <c r="D4821" s="416"/>
      <c r="E4821" s="110" t="s">
        <v>192</v>
      </c>
      <c r="F4821" s="118" t="s">
        <v>2</v>
      </c>
      <c r="G4821" s="112" t="s">
        <v>3</v>
      </c>
      <c r="H4821" s="104"/>
      <c r="I4821" s="105" t="s">
        <v>7</v>
      </c>
      <c r="J4821" s="134"/>
      <c r="K4821" s="105" t="s">
        <v>8</v>
      </c>
      <c r="L4821" s="113" t="s">
        <v>193</v>
      </c>
    </row>
    <row r="4822" spans="2:16" x14ac:dyDescent="0.3">
      <c r="B4822" s="120"/>
      <c r="C4822" s="409"/>
      <c r="D4822" s="409"/>
      <c r="E4822" s="114"/>
      <c r="F4822" s="83"/>
      <c r="G4822" s="74"/>
      <c r="I4822" s="115">
        <f>IF(C4822=0,0,VLOOKUP(C4822,Tabla3[],3,FALSE))</f>
        <v>0</v>
      </c>
      <c r="K4822" s="84">
        <f>F4822*I4822</f>
        <v>0</v>
      </c>
      <c r="L4822" s="116">
        <f>E4822*I4822</f>
        <v>0</v>
      </c>
    </row>
    <row r="4823" spans="2:16" x14ac:dyDescent="0.3">
      <c r="B4823" s="74"/>
      <c r="C4823" s="431"/>
      <c r="D4823" s="432"/>
      <c r="E4823" s="119"/>
      <c r="F4823" s="72"/>
      <c r="G4823" s="74"/>
      <c r="I4823" s="115">
        <f>IF(C4823=0,0,VLOOKUP(C4823,Tabla3[],3,FALSE))</f>
        <v>0</v>
      </c>
      <c r="K4823" s="84">
        <f>+F4823*I4823</f>
        <v>0</v>
      </c>
      <c r="L4823" s="116">
        <f>E4823*I4823</f>
        <v>0</v>
      </c>
    </row>
    <row r="4824" spans="2:16" x14ac:dyDescent="0.3">
      <c r="B4824" s="74"/>
      <c r="C4824" s="431"/>
      <c r="D4824" s="432"/>
      <c r="E4824" s="119"/>
      <c r="F4824" s="72"/>
      <c r="G4824" s="74"/>
      <c r="I4824" s="115">
        <f>IF(C4824=0,0,VLOOKUP(C4824,Tabla3[],3,FALSE))</f>
        <v>0</v>
      </c>
      <c r="K4824" s="84">
        <f>+F4824*I4824</f>
        <v>0</v>
      </c>
      <c r="L4824" s="116">
        <f>E4824*I4824</f>
        <v>0</v>
      </c>
    </row>
    <row r="4825" spans="2:16" x14ac:dyDescent="0.3">
      <c r="B4825" s="74"/>
      <c r="C4825" s="411"/>
      <c r="D4825" s="412"/>
      <c r="E4825" s="119"/>
      <c r="F4825" s="72"/>
      <c r="G4825" s="74"/>
      <c r="I4825" s="115">
        <f>IF(C4825=0,0,VLOOKUP(C4825,Tabla3[],3,FALSE))</f>
        <v>0</v>
      </c>
      <c r="K4825" s="84">
        <f>+F4825*I4825</f>
        <v>0</v>
      </c>
      <c r="L4825" s="116">
        <f>E4825*I4825</f>
        <v>0</v>
      </c>
    </row>
    <row r="4826" spans="2:16" ht="17.25" thickBot="1" x14ac:dyDescent="0.35"/>
    <row r="4827" spans="2:16" ht="17.25" thickBot="1" x14ac:dyDescent="0.35">
      <c r="F4827" s="402" t="s">
        <v>12</v>
      </c>
      <c r="G4827" s="403"/>
      <c r="H4827" s="403"/>
      <c r="I4827" s="404"/>
      <c r="K4827" s="224">
        <f>+SUM(K4822:K4825)</f>
        <v>0</v>
      </c>
      <c r="L4827" s="117">
        <f>+SUM(L4822:L4825)</f>
        <v>0</v>
      </c>
    </row>
    <row r="4828" spans="2:16" ht="17.25" thickBot="1" x14ac:dyDescent="0.35"/>
    <row r="4829" spans="2:16" ht="17.25" thickBot="1" x14ac:dyDescent="0.35">
      <c r="B4829" s="108" t="s">
        <v>13</v>
      </c>
      <c r="C4829" s="413" t="s">
        <v>14</v>
      </c>
      <c r="D4829" s="413"/>
      <c r="E4829" s="413"/>
      <c r="F4829" s="413"/>
      <c r="G4829" s="414"/>
    </row>
    <row r="4830" spans="2:16" x14ac:dyDescent="0.3">
      <c r="B4830" s="112" t="s">
        <v>6</v>
      </c>
      <c r="C4830" s="415" t="s">
        <v>1</v>
      </c>
      <c r="D4830" s="416"/>
      <c r="E4830" s="110" t="s">
        <v>192</v>
      </c>
      <c r="F4830" s="118" t="s">
        <v>2</v>
      </c>
      <c r="G4830" s="112" t="s">
        <v>3</v>
      </c>
      <c r="H4830" s="104"/>
      <c r="I4830" s="105" t="s">
        <v>7</v>
      </c>
      <c r="J4830" s="134"/>
      <c r="K4830" s="105" t="s">
        <v>8</v>
      </c>
      <c r="L4830" s="113" t="s">
        <v>193</v>
      </c>
    </row>
    <row r="4831" spans="2:16" x14ac:dyDescent="0.3">
      <c r="B4831" s="120">
        <v>1</v>
      </c>
      <c r="C4831" s="409" t="s">
        <v>468</v>
      </c>
      <c r="D4831" s="409"/>
      <c r="E4831" s="114">
        <f>I4806</f>
        <v>17</v>
      </c>
      <c r="F4831" s="83">
        <f>ROUND(E4831/I4806,2)</f>
        <v>1</v>
      </c>
      <c r="G4831" s="74" t="str">
        <f>IF(C4831=0,0,VLOOKUP(C4831,Tabla2[],2,FALSE))</f>
        <v>m²</v>
      </c>
      <c r="I4831" s="115">
        <f>IF(C4831=0,0,VLOOKUP(C4831,Tabla2[],3,FALSE))</f>
        <v>48</v>
      </c>
      <c r="K4831" s="84">
        <f>+F4831*I4831</f>
        <v>48</v>
      </c>
      <c r="L4831" s="116">
        <f>E4831*I4831</f>
        <v>816</v>
      </c>
    </row>
    <row r="4832" spans="2:16" x14ac:dyDescent="0.3">
      <c r="B4832" s="120"/>
      <c r="C4832" s="409"/>
      <c r="D4832" s="409"/>
      <c r="E4832" s="114"/>
      <c r="F4832" s="83"/>
      <c r="G4832" s="74"/>
      <c r="I4832" s="115">
        <f>IF(C4832=0,0,VLOOKUP(C4832,Tabla2[],3,FALSE))</f>
        <v>0</v>
      </c>
      <c r="K4832" s="84">
        <f>+F4832*I4832</f>
        <v>0</v>
      </c>
      <c r="L4832" s="116">
        <f>E4832*I4832</f>
        <v>0</v>
      </c>
    </row>
    <row r="4833" spans="2:16" ht="17.25" thickBot="1" x14ac:dyDescent="0.35">
      <c r="B4833" s="121"/>
      <c r="C4833" s="417"/>
      <c r="D4833" s="418"/>
      <c r="E4833" s="122"/>
      <c r="F4833" s="123"/>
      <c r="G4833" s="74"/>
      <c r="I4833" s="115">
        <f>IF(C4833=0,0,VLOOKUP(C4833,Tabla2[],3,FALSE))</f>
        <v>0</v>
      </c>
      <c r="K4833" s="84">
        <f>+F4833*I4833</f>
        <v>0</v>
      </c>
      <c r="L4833" s="116">
        <f>E4833*I4833</f>
        <v>0</v>
      </c>
    </row>
    <row r="4834" spans="2:16" ht="17.25" thickBot="1" x14ac:dyDescent="0.35">
      <c r="B4834" s="419" t="s">
        <v>15</v>
      </c>
      <c r="C4834" s="420"/>
      <c r="D4834" s="420"/>
      <c r="E4834" s="420"/>
      <c r="F4834" s="420"/>
      <c r="G4834" s="421"/>
      <c r="I4834" s="84">
        <v>0</v>
      </c>
      <c r="K4834" s="84">
        <v>0</v>
      </c>
      <c r="L4834" s="116">
        <f>E4834*I4834</f>
        <v>0</v>
      </c>
    </row>
    <row r="4835" spans="2:16" ht="17.25" thickBot="1" x14ac:dyDescent="0.35"/>
    <row r="4836" spans="2:16" ht="17.25" thickBot="1" x14ac:dyDescent="0.35">
      <c r="F4836" s="402" t="s">
        <v>16</v>
      </c>
      <c r="G4836" s="403"/>
      <c r="H4836" s="403"/>
      <c r="I4836" s="404"/>
      <c r="K4836" s="224">
        <f>+SUM(K4831:K4834)</f>
        <v>48</v>
      </c>
      <c r="L4836" s="117">
        <f>+SUM(L4831:L4834)</f>
        <v>816</v>
      </c>
    </row>
    <row r="4837" spans="2:16" ht="17.25" thickBot="1" x14ac:dyDescent="0.35"/>
    <row r="4838" spans="2:16" ht="17.25" thickBot="1" x14ac:dyDescent="0.35">
      <c r="B4838" s="108" t="s">
        <v>17</v>
      </c>
      <c r="C4838" s="413" t="s">
        <v>18</v>
      </c>
      <c r="D4838" s="413"/>
      <c r="E4838" s="413"/>
      <c r="F4838" s="413"/>
      <c r="G4838" s="414"/>
    </row>
    <row r="4839" spans="2:16" x14ac:dyDescent="0.3">
      <c r="B4839" s="112" t="s">
        <v>6</v>
      </c>
      <c r="C4839" s="415" t="s">
        <v>1</v>
      </c>
      <c r="D4839" s="416"/>
      <c r="E4839" s="124"/>
      <c r="F4839" s="118" t="s">
        <v>2</v>
      </c>
      <c r="G4839" s="112" t="s">
        <v>3</v>
      </c>
      <c r="H4839" s="104"/>
      <c r="I4839" s="105" t="s">
        <v>7</v>
      </c>
      <c r="J4839" s="134"/>
      <c r="K4839" s="105" t="s">
        <v>8</v>
      </c>
      <c r="L4839" s="113" t="s">
        <v>193</v>
      </c>
    </row>
    <row r="4840" spans="2:16" x14ac:dyDescent="0.3">
      <c r="B4840" s="74"/>
      <c r="C4840" s="411"/>
      <c r="D4840" s="412"/>
      <c r="E4840" s="125"/>
      <c r="F4840" s="72"/>
      <c r="G4840" s="74"/>
      <c r="I4840" s="84">
        <v>0</v>
      </c>
      <c r="K4840" s="84">
        <f>+F4840*I4840</f>
        <v>0</v>
      </c>
      <c r="L4840" s="116">
        <f>E4840*I4840</f>
        <v>0</v>
      </c>
    </row>
    <row r="4841" spans="2:16" x14ac:dyDescent="0.3">
      <c r="B4841" s="74"/>
      <c r="C4841" s="411"/>
      <c r="D4841" s="412"/>
      <c r="E4841" s="125"/>
      <c r="F4841" s="72"/>
      <c r="G4841" s="74"/>
      <c r="I4841" s="84">
        <v>0</v>
      </c>
      <c r="K4841" s="84">
        <f>+F4841*I4841</f>
        <v>0</v>
      </c>
      <c r="L4841" s="116">
        <f>E4841*I4841</f>
        <v>0</v>
      </c>
    </row>
    <row r="4842" spans="2:16" x14ac:dyDescent="0.3">
      <c r="B4842" s="74"/>
      <c r="C4842" s="411"/>
      <c r="D4842" s="412"/>
      <c r="E4842" s="125"/>
      <c r="F4842" s="72"/>
      <c r="G4842" s="74"/>
      <c r="I4842" s="84">
        <v>0</v>
      </c>
      <c r="K4842" s="84">
        <f>+F4842*I4842</f>
        <v>0</v>
      </c>
      <c r="L4842" s="116">
        <f>E4842*I4842</f>
        <v>0</v>
      </c>
    </row>
    <row r="4843" spans="2:16" ht="17.25" thickBot="1" x14ac:dyDescent="0.35">
      <c r="L4843" s="116"/>
    </row>
    <row r="4844" spans="2:16" ht="17.25" thickBot="1" x14ac:dyDescent="0.35">
      <c r="F4844" s="402" t="s">
        <v>19</v>
      </c>
      <c r="G4844" s="403"/>
      <c r="H4844" s="403"/>
      <c r="I4844" s="404"/>
      <c r="K4844" s="224">
        <f>+SUM(K4840:K4842)</f>
        <v>0</v>
      </c>
      <c r="L4844" s="117">
        <f>+SUM(L4839:L4842)</f>
        <v>0</v>
      </c>
    </row>
    <row r="4845" spans="2:16" ht="15" customHeight="1" x14ac:dyDescent="0.3">
      <c r="F4845" s="126"/>
      <c r="G4845" s="280"/>
      <c r="H4845" s="128"/>
      <c r="I4845" s="106"/>
      <c r="K4845" s="225"/>
    </row>
    <row r="4846" spans="2:16" ht="15" customHeight="1" thickBot="1" x14ac:dyDescent="0.35"/>
    <row r="4847" spans="2:16" ht="17.25" thickBot="1" x14ac:dyDescent="0.35">
      <c r="F4847" s="402" t="s">
        <v>20</v>
      </c>
      <c r="G4847" s="403"/>
      <c r="H4847" s="403"/>
      <c r="I4847" s="404"/>
      <c r="K4847" s="224">
        <f>(+K4818+K4827+K4836+K4844)</f>
        <v>170</v>
      </c>
      <c r="L4847" s="117">
        <f>(+L4818+L4827+L4836+L4844)</f>
        <v>2890</v>
      </c>
      <c r="N4847" s="129"/>
      <c r="O4847" s="39"/>
      <c r="P4847" s="40"/>
    </row>
    <row r="4848" spans="2:16" ht="7.5" customHeight="1" thickBot="1" x14ac:dyDescent="0.35">
      <c r="N4848" s="129"/>
      <c r="O4848" s="41"/>
      <c r="P4848" s="40"/>
    </row>
    <row r="4849" spans="1:16" ht="17.25" thickBot="1" x14ac:dyDescent="0.35">
      <c r="F4849" s="402" t="s">
        <v>21</v>
      </c>
      <c r="G4849" s="403"/>
      <c r="H4849" s="403"/>
      <c r="I4849" s="404"/>
      <c r="K4849" s="224">
        <f>K4847*$N$2</f>
        <v>68</v>
      </c>
      <c r="L4849" s="117">
        <f>L4847*$N$2</f>
        <v>1156</v>
      </c>
    </row>
    <row r="4850" spans="1:16" ht="7.5" customHeight="1" thickBot="1" x14ac:dyDescent="0.35"/>
    <row r="4851" spans="1:16" ht="17.25" thickBot="1" x14ac:dyDescent="0.35">
      <c r="F4851" s="402" t="s">
        <v>22</v>
      </c>
      <c r="G4851" s="403"/>
      <c r="H4851" s="403"/>
      <c r="I4851" s="404"/>
      <c r="K4851" s="224">
        <f>+K4847+K4849</f>
        <v>238</v>
      </c>
      <c r="L4851" s="117">
        <f>+L4847+L4849</f>
        <v>4046</v>
      </c>
    </row>
    <row r="4852" spans="1:16" ht="17.25" thickBot="1" x14ac:dyDescent="0.35">
      <c r="F4852" s="126"/>
      <c r="G4852" s="280"/>
      <c r="H4852" s="128"/>
      <c r="I4852" s="106"/>
      <c r="K4852" s="226"/>
      <c r="L4852" s="130">
        <f>L4851/I4806</f>
        <v>238</v>
      </c>
      <c r="M4852" s="131">
        <f>(K4851-L4852)*I4806</f>
        <v>0</v>
      </c>
    </row>
    <row r="4853" spans="1:16" x14ac:dyDescent="0.3">
      <c r="F4853" s="126"/>
      <c r="G4853" s="280"/>
      <c r="H4853" s="128"/>
      <c r="I4853" s="106"/>
      <c r="K4853" s="227"/>
      <c r="L4853" s="129"/>
      <c r="M4853" s="132"/>
      <c r="N4853" s="133"/>
    </row>
    <row r="4854" spans="1:16" ht="17.25" thickBot="1" x14ac:dyDescent="0.35">
      <c r="B4854" s="405"/>
      <c r="C4854" s="405"/>
      <c r="D4854" s="405"/>
    </row>
    <row r="4855" spans="1:16" x14ac:dyDescent="0.3">
      <c r="B4855" s="406" t="s">
        <v>23</v>
      </c>
      <c r="C4855" s="406"/>
      <c r="D4855" s="406"/>
    </row>
    <row r="4856" spans="1:16" x14ac:dyDescent="0.3">
      <c r="B4856" s="281"/>
      <c r="C4856" s="281"/>
      <c r="D4856" s="281"/>
    </row>
    <row r="4857" spans="1:16" x14ac:dyDescent="0.3">
      <c r="B4857" s="281"/>
      <c r="C4857" s="281"/>
      <c r="D4857" s="281"/>
    </row>
    <row r="4858" spans="1:16" x14ac:dyDescent="0.3">
      <c r="B4858" s="103" t="s">
        <v>43</v>
      </c>
      <c r="C4858" s="104"/>
      <c r="D4858" s="422" t="s">
        <v>1</v>
      </c>
      <c r="E4858" s="422"/>
      <c r="F4858" s="422"/>
      <c r="G4858" s="422"/>
      <c r="H4858" s="104"/>
      <c r="I4858" s="105" t="s">
        <v>2</v>
      </c>
      <c r="J4858" s="134"/>
      <c r="K4858" s="105" t="s">
        <v>3</v>
      </c>
    </row>
    <row r="4859" spans="1:16" s="4" customFormat="1" ht="30.75" customHeight="1" x14ac:dyDescent="0.25">
      <c r="A4859" s="31"/>
      <c r="B4859" s="287">
        <f>CATALOGO!B153</f>
        <v>701.02</v>
      </c>
      <c r="C4859" s="71"/>
      <c r="D4859" s="436" t="str">
        <f>CATALOGO!C153</f>
        <v>PUERTA METAL + CHAPA (1 hoja)</v>
      </c>
      <c r="E4859" s="436"/>
      <c r="F4859" s="436"/>
      <c r="G4859" s="436"/>
      <c r="H4859" s="71"/>
      <c r="I4859" s="287">
        <f>CATALOGO!D153</f>
        <v>3</v>
      </c>
      <c r="J4859" s="107"/>
      <c r="K4859" s="222" t="str">
        <f>CATALOGO!G153</f>
        <v>Unidad</v>
      </c>
      <c r="L4859" s="71"/>
      <c r="M4859" s="71"/>
      <c r="N4859" s="71"/>
      <c r="O4859" s="37"/>
      <c r="P4859" s="37"/>
    </row>
    <row r="4860" spans="1:16" ht="17.25" thickBot="1" x14ac:dyDescent="0.35"/>
    <row r="4861" spans="1:16" ht="17.25" thickBot="1" x14ac:dyDescent="0.35">
      <c r="B4861" s="108" t="s">
        <v>4</v>
      </c>
      <c r="C4861" s="413" t="s">
        <v>5</v>
      </c>
      <c r="D4861" s="413"/>
      <c r="E4861" s="413"/>
      <c r="F4861" s="413"/>
      <c r="G4861" s="414"/>
    </row>
    <row r="4862" spans="1:16" x14ac:dyDescent="0.25">
      <c r="B4862" s="109" t="s">
        <v>6</v>
      </c>
      <c r="C4862" s="424" t="s">
        <v>1</v>
      </c>
      <c r="D4862" s="425"/>
      <c r="E4862" s="110" t="s">
        <v>192</v>
      </c>
      <c r="F4862" s="111" t="s">
        <v>2</v>
      </c>
      <c r="G4862" s="112" t="s">
        <v>3</v>
      </c>
      <c r="H4862" s="104"/>
      <c r="I4862" s="105" t="s">
        <v>7</v>
      </c>
      <c r="J4862" s="134"/>
      <c r="K4862" s="223" t="s">
        <v>8</v>
      </c>
      <c r="L4862" s="113" t="s">
        <v>193</v>
      </c>
      <c r="O4862" s="438"/>
      <c r="P4862" s="438"/>
    </row>
    <row r="4863" spans="1:16" ht="17.25" customHeight="1" x14ac:dyDescent="0.25">
      <c r="B4863" s="120"/>
      <c r="C4863" s="428"/>
      <c r="D4863" s="429"/>
      <c r="E4863" s="114"/>
      <c r="F4863" s="83"/>
      <c r="G4863" s="74"/>
      <c r="I4863" s="115">
        <f>IF(C4863=0,0,VLOOKUP(C4863,Tabla1[],3,FALSE))</f>
        <v>0</v>
      </c>
      <c r="K4863" s="84">
        <f>F4863*I4863</f>
        <v>0</v>
      </c>
      <c r="L4863" s="116">
        <f t="shared" ref="L4863:L4872" si="126">E4863*I4863</f>
        <v>0</v>
      </c>
      <c r="O4863" s="44"/>
      <c r="P4863" s="45"/>
    </row>
    <row r="4864" spans="1:16" x14ac:dyDescent="0.3">
      <c r="B4864" s="120"/>
      <c r="C4864" s="428"/>
      <c r="D4864" s="429"/>
      <c r="E4864" s="114"/>
      <c r="F4864" s="83"/>
      <c r="G4864" s="74"/>
      <c r="I4864" s="115">
        <f>IF(C4864=0,0,VLOOKUP(C4864,Tabla1[],3,FALSE))</f>
        <v>0</v>
      </c>
      <c r="K4864" s="84">
        <f t="shared" ref="K4864:K4872" si="127">+F4864*I4864</f>
        <v>0</v>
      </c>
      <c r="L4864" s="116">
        <f t="shared" si="126"/>
        <v>0</v>
      </c>
      <c r="P4864" s="45"/>
    </row>
    <row r="4865" spans="2:16" x14ac:dyDescent="0.3">
      <c r="B4865" s="120"/>
      <c r="C4865" s="428"/>
      <c r="D4865" s="429"/>
      <c r="E4865" s="114"/>
      <c r="F4865" s="83"/>
      <c r="G4865" s="74"/>
      <c r="I4865" s="115">
        <f>IF(C4865=0,0,VLOOKUP(C4865,Tabla1[],3,FALSE))</f>
        <v>0</v>
      </c>
      <c r="K4865" s="84">
        <f t="shared" si="127"/>
        <v>0</v>
      </c>
      <c r="L4865" s="116">
        <f t="shared" si="126"/>
        <v>0</v>
      </c>
      <c r="O4865" s="48"/>
      <c r="P4865" s="49"/>
    </row>
    <row r="4866" spans="2:16" x14ac:dyDescent="0.3">
      <c r="B4866" s="120"/>
      <c r="C4866" s="428"/>
      <c r="D4866" s="429"/>
      <c r="E4866" s="114"/>
      <c r="F4866" s="83"/>
      <c r="G4866" s="74"/>
      <c r="I4866" s="115">
        <f>IF(C4866=0,0,VLOOKUP(C4866,Tabla1[],3,FALSE))</f>
        <v>0</v>
      </c>
      <c r="K4866" s="84">
        <f t="shared" si="127"/>
        <v>0</v>
      </c>
      <c r="L4866" s="116">
        <f t="shared" si="126"/>
        <v>0</v>
      </c>
      <c r="O4866" s="48"/>
      <c r="P4866" s="49"/>
    </row>
    <row r="4867" spans="2:16" x14ac:dyDescent="0.3">
      <c r="B4867" s="120"/>
      <c r="C4867" s="428"/>
      <c r="D4867" s="429"/>
      <c r="E4867" s="114"/>
      <c r="F4867" s="83"/>
      <c r="G4867" s="74"/>
      <c r="I4867" s="115">
        <f>IF(C4867=0,0,VLOOKUP(C4867,Tabla1[],3,FALSE))</f>
        <v>0</v>
      </c>
      <c r="K4867" s="84">
        <f t="shared" si="127"/>
        <v>0</v>
      </c>
      <c r="L4867" s="116">
        <f t="shared" si="126"/>
        <v>0</v>
      </c>
      <c r="O4867" s="48"/>
      <c r="P4867" s="49"/>
    </row>
    <row r="4868" spans="2:16" x14ac:dyDescent="0.3">
      <c r="B4868" s="120"/>
      <c r="C4868" s="429"/>
      <c r="D4868" s="409"/>
      <c r="E4868" s="114"/>
      <c r="F4868" s="83"/>
      <c r="G4868" s="74"/>
      <c r="I4868" s="115">
        <f>IF(C4868=0,0,VLOOKUP(C4868,Tabla1[],3,FALSE))</f>
        <v>0</v>
      </c>
      <c r="K4868" s="84">
        <f t="shared" si="127"/>
        <v>0</v>
      </c>
      <c r="L4868" s="116">
        <f t="shared" si="126"/>
        <v>0</v>
      </c>
      <c r="O4868" s="48"/>
      <c r="P4868" s="49"/>
    </row>
    <row r="4869" spans="2:16" x14ac:dyDescent="0.3">
      <c r="B4869" s="120"/>
      <c r="C4869" s="429"/>
      <c r="D4869" s="409"/>
      <c r="E4869" s="114"/>
      <c r="F4869" s="83"/>
      <c r="G4869" s="74"/>
      <c r="I4869" s="115">
        <f>IF(C4869=0,0,VLOOKUP(C4869,Tabla1[],3,FALSE))</f>
        <v>0</v>
      </c>
      <c r="K4869" s="84">
        <f t="shared" si="127"/>
        <v>0</v>
      </c>
      <c r="L4869" s="116">
        <f t="shared" si="126"/>
        <v>0</v>
      </c>
      <c r="O4869" s="48"/>
      <c r="P4869" s="49"/>
    </row>
    <row r="4870" spans="2:16" x14ac:dyDescent="0.3">
      <c r="B4870" s="120"/>
      <c r="C4870" s="428"/>
      <c r="D4870" s="429"/>
      <c r="E4870" s="114"/>
      <c r="F4870" s="83"/>
      <c r="G4870" s="74"/>
      <c r="I4870" s="115">
        <f>IF(C4870=0,0,VLOOKUP(C4870,Tabla1[],3,FALSE))</f>
        <v>0</v>
      </c>
      <c r="K4870" s="84">
        <f t="shared" si="127"/>
        <v>0</v>
      </c>
      <c r="L4870" s="116">
        <f t="shared" si="126"/>
        <v>0</v>
      </c>
      <c r="O4870" s="48"/>
      <c r="P4870" s="49"/>
    </row>
    <row r="4871" spans="2:16" x14ac:dyDescent="0.3">
      <c r="B4871" s="120"/>
      <c r="C4871" s="428"/>
      <c r="D4871" s="429"/>
      <c r="E4871" s="114"/>
      <c r="F4871" s="83"/>
      <c r="G4871" s="74"/>
      <c r="I4871" s="115">
        <f>IF(C4871=0,0,VLOOKUP(C4871,Tabla1[],3,FALSE))</f>
        <v>0</v>
      </c>
      <c r="K4871" s="84">
        <f t="shared" si="127"/>
        <v>0</v>
      </c>
      <c r="L4871" s="116">
        <f t="shared" si="126"/>
        <v>0</v>
      </c>
      <c r="O4871" s="48"/>
      <c r="P4871" s="49"/>
    </row>
    <row r="4872" spans="2:16" x14ac:dyDescent="0.3">
      <c r="B4872" s="120"/>
      <c r="C4872" s="430"/>
      <c r="D4872" s="429"/>
      <c r="E4872" s="114"/>
      <c r="F4872" s="83"/>
      <c r="G4872" s="74"/>
      <c r="I4872" s="115">
        <f>IF(C4872=0,0,VLOOKUP(C4872,Tabla1[],3,FALSE))</f>
        <v>0</v>
      </c>
      <c r="K4872" s="84">
        <f t="shared" si="127"/>
        <v>0</v>
      </c>
      <c r="L4872" s="116">
        <f t="shared" si="126"/>
        <v>0</v>
      </c>
      <c r="O4872" s="48"/>
      <c r="P4872" s="43"/>
    </row>
    <row r="4873" spans="2:16" ht="17.25" thickBot="1" x14ac:dyDescent="0.35"/>
    <row r="4874" spans="2:16" ht="17.25" thickBot="1" x14ac:dyDescent="0.3">
      <c r="F4874" s="402" t="s">
        <v>9</v>
      </c>
      <c r="G4874" s="403"/>
      <c r="H4874" s="403"/>
      <c r="I4874" s="404"/>
      <c r="K4874" s="224">
        <f>+SUM(K4863:K4872)</f>
        <v>0</v>
      </c>
      <c r="L4874" s="117">
        <f>+SUM(L4863:L4872)</f>
        <v>0</v>
      </c>
      <c r="O4874" s="38"/>
      <c r="P4874" s="38"/>
    </row>
    <row r="4875" spans="2:16" ht="17.25" thickBot="1" x14ac:dyDescent="0.35">
      <c r="O4875" s="42"/>
      <c r="P4875" s="43"/>
    </row>
    <row r="4876" spans="2:16" ht="17.25" thickBot="1" x14ac:dyDescent="0.35">
      <c r="B4876" s="108" t="s">
        <v>10</v>
      </c>
      <c r="C4876" s="413" t="s">
        <v>11</v>
      </c>
      <c r="D4876" s="413"/>
      <c r="E4876" s="413"/>
      <c r="F4876" s="413"/>
      <c r="G4876" s="414"/>
    </row>
    <row r="4877" spans="2:16" x14ac:dyDescent="0.3">
      <c r="B4877" s="112" t="s">
        <v>6</v>
      </c>
      <c r="C4877" s="415" t="s">
        <v>1</v>
      </c>
      <c r="D4877" s="416"/>
      <c r="E4877" s="110" t="s">
        <v>192</v>
      </c>
      <c r="F4877" s="118" t="s">
        <v>2</v>
      </c>
      <c r="G4877" s="112" t="s">
        <v>3</v>
      </c>
      <c r="H4877" s="104"/>
      <c r="I4877" s="105" t="s">
        <v>7</v>
      </c>
      <c r="J4877" s="134"/>
      <c r="K4877" s="105" t="s">
        <v>8</v>
      </c>
      <c r="L4877" s="113" t="s">
        <v>193</v>
      </c>
    </row>
    <row r="4878" spans="2:16" x14ac:dyDescent="0.3">
      <c r="B4878" s="120"/>
      <c r="C4878" s="409"/>
      <c r="D4878" s="409"/>
      <c r="E4878" s="114"/>
      <c r="F4878" s="83"/>
      <c r="G4878" s="74"/>
      <c r="I4878" s="115">
        <f>IF(C4878=0,0,VLOOKUP(C4878,Tabla3[],3,FALSE))</f>
        <v>0</v>
      </c>
      <c r="K4878" s="84">
        <f>F4878*I4878</f>
        <v>0</v>
      </c>
      <c r="L4878" s="116">
        <f>E4878*I4878</f>
        <v>0</v>
      </c>
    </row>
    <row r="4879" spans="2:16" x14ac:dyDescent="0.3">
      <c r="B4879" s="74"/>
      <c r="C4879" s="431"/>
      <c r="D4879" s="432"/>
      <c r="E4879" s="119"/>
      <c r="F4879" s="72"/>
      <c r="G4879" s="74"/>
      <c r="I4879" s="115">
        <f>IF(C4879=0,0,VLOOKUP(C4879,Tabla3[],3,FALSE))</f>
        <v>0</v>
      </c>
      <c r="K4879" s="84">
        <f>+F4879*I4879</f>
        <v>0</v>
      </c>
      <c r="L4879" s="116">
        <f>E4879*I4879</f>
        <v>0</v>
      </c>
    </row>
    <row r="4880" spans="2:16" x14ac:dyDescent="0.3">
      <c r="B4880" s="74"/>
      <c r="C4880" s="431"/>
      <c r="D4880" s="432"/>
      <c r="E4880" s="119"/>
      <c r="F4880" s="72"/>
      <c r="G4880" s="74"/>
      <c r="I4880" s="115">
        <f>IF(C4880=0,0,VLOOKUP(C4880,Tabla3[],3,FALSE))</f>
        <v>0</v>
      </c>
      <c r="K4880" s="84">
        <f>+F4880*I4880</f>
        <v>0</v>
      </c>
      <c r="L4880" s="116">
        <f>E4880*I4880</f>
        <v>0</v>
      </c>
    </row>
    <row r="4881" spans="2:12" x14ac:dyDescent="0.3">
      <c r="B4881" s="74"/>
      <c r="C4881" s="411"/>
      <c r="D4881" s="412"/>
      <c r="E4881" s="119"/>
      <c r="F4881" s="72"/>
      <c r="G4881" s="74"/>
      <c r="I4881" s="115">
        <f>IF(C4881=0,0,VLOOKUP(C4881,Tabla3[],3,FALSE))</f>
        <v>0</v>
      </c>
      <c r="K4881" s="84">
        <f>+F4881*I4881</f>
        <v>0</v>
      </c>
      <c r="L4881" s="116">
        <f>E4881*I4881</f>
        <v>0</v>
      </c>
    </row>
    <row r="4882" spans="2:12" ht="17.25" thickBot="1" x14ac:dyDescent="0.35"/>
    <row r="4883" spans="2:12" ht="17.25" thickBot="1" x14ac:dyDescent="0.35">
      <c r="F4883" s="402" t="s">
        <v>12</v>
      </c>
      <c r="G4883" s="403"/>
      <c r="H4883" s="403"/>
      <c r="I4883" s="404"/>
      <c r="K4883" s="224">
        <f>+SUM(K4878:K4881)</f>
        <v>0</v>
      </c>
      <c r="L4883" s="117">
        <f>+SUM(L4878:L4881)</f>
        <v>0</v>
      </c>
    </row>
    <row r="4884" spans="2:12" ht="17.25" thickBot="1" x14ac:dyDescent="0.35"/>
    <row r="4885" spans="2:12" ht="17.25" thickBot="1" x14ac:dyDescent="0.35">
      <c r="B4885" s="108" t="s">
        <v>13</v>
      </c>
      <c r="C4885" s="413" t="s">
        <v>14</v>
      </c>
      <c r="D4885" s="413"/>
      <c r="E4885" s="413"/>
      <c r="F4885" s="413"/>
      <c r="G4885" s="414"/>
    </row>
    <row r="4886" spans="2:12" x14ac:dyDescent="0.3">
      <c r="B4886" s="112" t="s">
        <v>6</v>
      </c>
      <c r="C4886" s="415" t="s">
        <v>1</v>
      </c>
      <c r="D4886" s="416"/>
      <c r="E4886" s="110" t="s">
        <v>192</v>
      </c>
      <c r="F4886" s="118" t="s">
        <v>2</v>
      </c>
      <c r="G4886" s="112" t="s">
        <v>3</v>
      </c>
      <c r="H4886" s="104"/>
      <c r="I4886" s="105" t="s">
        <v>7</v>
      </c>
      <c r="J4886" s="134"/>
      <c r="K4886" s="105" t="s">
        <v>8</v>
      </c>
      <c r="L4886" s="113" t="s">
        <v>193</v>
      </c>
    </row>
    <row r="4887" spans="2:12" x14ac:dyDescent="0.3">
      <c r="B4887" s="120">
        <v>1</v>
      </c>
      <c r="C4887" s="434" t="s">
        <v>223</v>
      </c>
      <c r="D4887" s="434"/>
      <c r="E4887" s="114">
        <f>I4859</f>
        <v>3</v>
      </c>
      <c r="F4887" s="83">
        <f>ROUND(E4887/I4859,2)</f>
        <v>1</v>
      </c>
      <c r="G4887" s="74" t="str">
        <f>IF(C4887=0,0,VLOOKUP(C4887,Tabla2[],2,FALSE))</f>
        <v>Unidad</v>
      </c>
      <c r="I4887" s="115">
        <f>IF(C4887=0,0,VLOOKUP(C4887,Tabla2[],3,FALSE))</f>
        <v>1845</v>
      </c>
      <c r="K4887" s="84">
        <f>+F4887*I4887</f>
        <v>1845</v>
      </c>
      <c r="L4887" s="116">
        <f>E4887*I4887</f>
        <v>5535</v>
      </c>
    </row>
    <row r="4888" spans="2:12" x14ac:dyDescent="0.3">
      <c r="B4888" s="120"/>
      <c r="C4888" s="409"/>
      <c r="D4888" s="409"/>
      <c r="E4888" s="114"/>
      <c r="F4888" s="83"/>
      <c r="G4888" s="74"/>
      <c r="I4888" s="115">
        <f>IF(C4888=0,0,VLOOKUP(C4888,Tabla2[],3,FALSE))</f>
        <v>0</v>
      </c>
      <c r="K4888" s="84">
        <f>+F4888*I4888</f>
        <v>0</v>
      </c>
      <c r="L4888" s="116">
        <f>E4888*I4888</f>
        <v>0</v>
      </c>
    </row>
    <row r="4889" spans="2:12" ht="17.25" thickBot="1" x14ac:dyDescent="0.35">
      <c r="B4889" s="121"/>
      <c r="C4889" s="417"/>
      <c r="D4889" s="418"/>
      <c r="E4889" s="122"/>
      <c r="F4889" s="123"/>
      <c r="G4889" s="74"/>
      <c r="I4889" s="115">
        <f>IF(C4889=0,0,VLOOKUP(C4889,Tabla2[],3,FALSE))</f>
        <v>0</v>
      </c>
      <c r="K4889" s="84">
        <f>+F4889*I4889</f>
        <v>0</v>
      </c>
      <c r="L4889" s="116">
        <f>E4889*I4889</f>
        <v>0</v>
      </c>
    </row>
    <row r="4890" spans="2:12" ht="17.25" thickBot="1" x14ac:dyDescent="0.35">
      <c r="B4890" s="419" t="s">
        <v>15</v>
      </c>
      <c r="C4890" s="420"/>
      <c r="D4890" s="420"/>
      <c r="E4890" s="420"/>
      <c r="F4890" s="420"/>
      <c r="G4890" s="421"/>
      <c r="I4890" s="84">
        <v>0</v>
      </c>
      <c r="K4890" s="84">
        <v>0</v>
      </c>
      <c r="L4890" s="116">
        <f>E4890*I4890</f>
        <v>0</v>
      </c>
    </row>
    <row r="4891" spans="2:12" ht="17.25" thickBot="1" x14ac:dyDescent="0.35"/>
    <row r="4892" spans="2:12" ht="17.25" thickBot="1" x14ac:dyDescent="0.35">
      <c r="F4892" s="402" t="s">
        <v>16</v>
      </c>
      <c r="G4892" s="403"/>
      <c r="H4892" s="403"/>
      <c r="I4892" s="404"/>
      <c r="K4892" s="224">
        <f>+SUM(K4887:K4890)</f>
        <v>1845</v>
      </c>
      <c r="L4892" s="117">
        <f>+SUM(L4887:L4890)</f>
        <v>5535</v>
      </c>
    </row>
    <row r="4893" spans="2:12" ht="17.25" thickBot="1" x14ac:dyDescent="0.35"/>
    <row r="4894" spans="2:12" ht="17.25" thickBot="1" x14ac:dyDescent="0.35">
      <c r="B4894" s="108" t="s">
        <v>17</v>
      </c>
      <c r="C4894" s="413" t="s">
        <v>18</v>
      </c>
      <c r="D4894" s="413"/>
      <c r="E4894" s="413"/>
      <c r="F4894" s="413"/>
      <c r="G4894" s="414"/>
    </row>
    <row r="4895" spans="2:12" x14ac:dyDescent="0.3">
      <c r="B4895" s="112" t="s">
        <v>6</v>
      </c>
      <c r="C4895" s="415" t="s">
        <v>1</v>
      </c>
      <c r="D4895" s="416"/>
      <c r="E4895" s="124"/>
      <c r="F4895" s="118" t="s">
        <v>2</v>
      </c>
      <c r="G4895" s="112" t="s">
        <v>3</v>
      </c>
      <c r="H4895" s="104"/>
      <c r="I4895" s="105" t="s">
        <v>7</v>
      </c>
      <c r="J4895" s="134"/>
      <c r="K4895" s="105" t="s">
        <v>8</v>
      </c>
      <c r="L4895" s="113" t="s">
        <v>193</v>
      </c>
    </row>
    <row r="4896" spans="2:12" x14ac:dyDescent="0.3">
      <c r="B4896" s="74"/>
      <c r="C4896" s="411"/>
      <c r="D4896" s="412"/>
      <c r="E4896" s="125"/>
      <c r="F4896" s="72"/>
      <c r="G4896" s="74"/>
      <c r="I4896" s="84">
        <v>0</v>
      </c>
      <c r="K4896" s="84">
        <f>+F4896*I4896</f>
        <v>0</v>
      </c>
      <c r="L4896" s="116">
        <f>E4896*I4896</f>
        <v>0</v>
      </c>
    </row>
    <row r="4897" spans="2:16" x14ac:dyDescent="0.3">
      <c r="B4897" s="74"/>
      <c r="C4897" s="411"/>
      <c r="D4897" s="412"/>
      <c r="E4897" s="125"/>
      <c r="F4897" s="72"/>
      <c r="G4897" s="74"/>
      <c r="I4897" s="84">
        <v>0</v>
      </c>
      <c r="K4897" s="84">
        <f>+F4897*I4897</f>
        <v>0</v>
      </c>
      <c r="L4897" s="116">
        <f>E4897*I4897</f>
        <v>0</v>
      </c>
    </row>
    <row r="4898" spans="2:16" x14ac:dyDescent="0.3">
      <c r="B4898" s="74"/>
      <c r="C4898" s="411"/>
      <c r="D4898" s="412"/>
      <c r="E4898" s="125"/>
      <c r="F4898" s="72"/>
      <c r="G4898" s="74"/>
      <c r="I4898" s="84">
        <v>0</v>
      </c>
      <c r="K4898" s="84">
        <f>+F4898*I4898</f>
        <v>0</v>
      </c>
      <c r="L4898" s="116">
        <f>E4898*I4898</f>
        <v>0</v>
      </c>
    </row>
    <row r="4899" spans="2:16" ht="17.25" thickBot="1" x14ac:dyDescent="0.35">
      <c r="L4899" s="116"/>
    </row>
    <row r="4900" spans="2:16" ht="17.25" thickBot="1" x14ac:dyDescent="0.35">
      <c r="F4900" s="402" t="s">
        <v>19</v>
      </c>
      <c r="G4900" s="403"/>
      <c r="H4900" s="403"/>
      <c r="I4900" s="404"/>
      <c r="K4900" s="224">
        <f>+SUM(K4896:K4898)</f>
        <v>0</v>
      </c>
      <c r="L4900" s="117">
        <f>+SUM(L4895:L4898)</f>
        <v>0</v>
      </c>
    </row>
    <row r="4901" spans="2:16" ht="15" customHeight="1" x14ac:dyDescent="0.3">
      <c r="F4901" s="126"/>
      <c r="G4901" s="280"/>
      <c r="H4901" s="128"/>
      <c r="I4901" s="106"/>
      <c r="K4901" s="225"/>
    </row>
    <row r="4902" spans="2:16" ht="15" customHeight="1" thickBot="1" x14ac:dyDescent="0.35"/>
    <row r="4903" spans="2:16" ht="17.25" thickBot="1" x14ac:dyDescent="0.35">
      <c r="F4903" s="402" t="s">
        <v>20</v>
      </c>
      <c r="G4903" s="403"/>
      <c r="H4903" s="403"/>
      <c r="I4903" s="404"/>
      <c r="K4903" s="224">
        <f>(+K4874+K4883+K4892+K4900)</f>
        <v>1845</v>
      </c>
      <c r="L4903" s="117">
        <f>(+L4874+L4883+L4892+L4900)</f>
        <v>5535</v>
      </c>
      <c r="N4903" s="129"/>
      <c r="O4903" s="39"/>
      <c r="P4903" s="40"/>
    </row>
    <row r="4904" spans="2:16" ht="7.5" customHeight="1" thickBot="1" x14ac:dyDescent="0.35">
      <c r="N4904" s="129"/>
      <c r="O4904" s="41"/>
      <c r="P4904" s="40"/>
    </row>
    <row r="4905" spans="2:16" ht="17.25" thickBot="1" x14ac:dyDescent="0.35">
      <c r="F4905" s="402" t="s">
        <v>21</v>
      </c>
      <c r="G4905" s="403"/>
      <c r="H4905" s="403"/>
      <c r="I4905" s="404"/>
      <c r="K4905" s="224">
        <f>K4903*$N$2</f>
        <v>738</v>
      </c>
      <c r="L4905" s="117">
        <f>L4903*$N$2</f>
        <v>2214</v>
      </c>
    </row>
    <row r="4906" spans="2:16" ht="7.5" customHeight="1" thickBot="1" x14ac:dyDescent="0.35"/>
    <row r="4907" spans="2:16" ht="17.25" thickBot="1" x14ac:dyDescent="0.35">
      <c r="F4907" s="402" t="s">
        <v>22</v>
      </c>
      <c r="G4907" s="403"/>
      <c r="H4907" s="403"/>
      <c r="I4907" s="404"/>
      <c r="K4907" s="224">
        <f>+K4903+K4905</f>
        <v>2583</v>
      </c>
      <c r="L4907" s="117">
        <f>+L4903+L4905</f>
        <v>7749</v>
      </c>
    </row>
    <row r="4908" spans="2:16" ht="17.25" thickBot="1" x14ac:dyDescent="0.35">
      <c r="F4908" s="126"/>
      <c r="G4908" s="280"/>
      <c r="H4908" s="128"/>
      <c r="I4908" s="106"/>
      <c r="K4908" s="226"/>
      <c r="L4908" s="130">
        <f>L4907/I4859</f>
        <v>2583</v>
      </c>
      <c r="M4908" s="131">
        <f>(K4907-L4908)*I4859</f>
        <v>0</v>
      </c>
    </row>
    <row r="4909" spans="2:16" x14ac:dyDescent="0.3">
      <c r="F4909" s="126"/>
      <c r="G4909" s="280"/>
      <c r="H4909" s="128"/>
      <c r="I4909" s="106"/>
      <c r="K4909" s="227"/>
      <c r="L4909" s="129"/>
      <c r="M4909" s="132"/>
      <c r="N4909" s="133"/>
    </row>
    <row r="4910" spans="2:16" ht="17.25" thickBot="1" x14ac:dyDescent="0.35">
      <c r="B4910" s="405"/>
      <c r="C4910" s="405"/>
      <c r="D4910" s="405"/>
    </row>
    <row r="4911" spans="2:16" x14ac:dyDescent="0.3">
      <c r="B4911" s="406" t="s">
        <v>23</v>
      </c>
      <c r="C4911" s="406"/>
      <c r="D4911" s="406"/>
    </row>
    <row r="4912" spans="2:16" x14ac:dyDescent="0.3">
      <c r="B4912" s="281"/>
      <c r="C4912" s="281"/>
      <c r="D4912" s="281"/>
    </row>
    <row r="4913" spans="1:16" x14ac:dyDescent="0.3">
      <c r="B4913" s="281"/>
      <c r="C4913" s="281"/>
      <c r="D4913" s="281"/>
    </row>
    <row r="4914" spans="1:16" x14ac:dyDescent="0.3">
      <c r="B4914" s="103" t="s">
        <v>43</v>
      </c>
      <c r="C4914" s="104"/>
      <c r="D4914" s="422" t="s">
        <v>1</v>
      </c>
      <c r="E4914" s="422"/>
      <c r="F4914" s="422"/>
      <c r="G4914" s="422"/>
      <c r="H4914" s="104"/>
      <c r="I4914" s="105" t="s">
        <v>2</v>
      </c>
      <c r="J4914" s="134"/>
      <c r="K4914" s="105" t="s">
        <v>3</v>
      </c>
    </row>
    <row r="4915" spans="1:16" s="4" customFormat="1" ht="30.75" customHeight="1" x14ac:dyDescent="0.25">
      <c r="A4915" s="31"/>
      <c r="B4915" s="287">
        <f>CATALOGO!B155</f>
        <v>1001.01</v>
      </c>
      <c r="C4915" s="71"/>
      <c r="D4915" s="437" t="str">
        <f>CATALOGO!C155</f>
        <v>INODORO</v>
      </c>
      <c r="E4915" s="437"/>
      <c r="F4915" s="437"/>
      <c r="G4915" s="437"/>
      <c r="H4915" s="71"/>
      <c r="I4915" s="287">
        <f>CATALOGO!D155</f>
        <v>3</v>
      </c>
      <c r="J4915" s="107"/>
      <c r="K4915" s="222" t="str">
        <f>CATALOGO!G155</f>
        <v>Unidad</v>
      </c>
      <c r="L4915" s="71"/>
      <c r="M4915" s="71"/>
      <c r="N4915" s="102"/>
      <c r="O4915" s="37"/>
      <c r="P4915" s="37"/>
    </row>
    <row r="4916" spans="1:16" ht="17.25" thickBot="1" x14ac:dyDescent="0.35"/>
    <row r="4917" spans="1:16" ht="17.25" thickBot="1" x14ac:dyDescent="0.35">
      <c r="B4917" s="108" t="s">
        <v>4</v>
      </c>
      <c r="C4917" s="413" t="s">
        <v>5</v>
      </c>
      <c r="D4917" s="413"/>
      <c r="E4917" s="413"/>
      <c r="F4917" s="413"/>
      <c r="G4917" s="414"/>
    </row>
    <row r="4918" spans="1:16" x14ac:dyDescent="0.25">
      <c r="B4918" s="109" t="s">
        <v>6</v>
      </c>
      <c r="C4918" s="424" t="s">
        <v>1</v>
      </c>
      <c r="D4918" s="425"/>
      <c r="E4918" s="110" t="s">
        <v>192</v>
      </c>
      <c r="F4918" s="111" t="s">
        <v>2</v>
      </c>
      <c r="G4918" s="112" t="s">
        <v>3</v>
      </c>
      <c r="H4918" s="104"/>
      <c r="I4918" s="105" t="s">
        <v>7</v>
      </c>
      <c r="J4918" s="134"/>
      <c r="K4918" s="223" t="s">
        <v>8</v>
      </c>
      <c r="L4918" s="113" t="s">
        <v>193</v>
      </c>
      <c r="O4918" s="438"/>
      <c r="P4918" s="438"/>
    </row>
    <row r="4919" spans="1:16" ht="17.25" customHeight="1" x14ac:dyDescent="0.25">
      <c r="B4919" s="120">
        <v>1</v>
      </c>
      <c r="C4919" s="407" t="s">
        <v>316</v>
      </c>
      <c r="D4919" s="408"/>
      <c r="E4919" s="114">
        <f>I4915</f>
        <v>3</v>
      </c>
      <c r="F4919" s="83">
        <f>ROUND(E4919/I4915,2)</f>
        <v>1</v>
      </c>
      <c r="G4919" s="74" t="str">
        <f>IF(C4919=0,0,VLOOKUP(C4919,Tabla1[],2,FALSE))</f>
        <v>Unidad</v>
      </c>
      <c r="I4919" s="115">
        <f>IF(C4919=0,0,VLOOKUP(C4919,Tabla1[],3,FALSE))</f>
        <v>1265</v>
      </c>
      <c r="K4919" s="84">
        <f>F4919*I4919</f>
        <v>1265</v>
      </c>
      <c r="L4919" s="116">
        <f t="shared" ref="L4919:L4928" si="128">E4919*I4919</f>
        <v>3795</v>
      </c>
      <c r="O4919" s="44"/>
      <c r="P4919" s="45"/>
    </row>
    <row r="4920" spans="1:16" ht="16.5" customHeight="1" x14ac:dyDescent="0.3">
      <c r="B4920" s="120">
        <v>2</v>
      </c>
      <c r="C4920" s="407" t="s">
        <v>114</v>
      </c>
      <c r="D4920" s="408"/>
      <c r="E4920" s="114">
        <f>I4915</f>
        <v>3</v>
      </c>
      <c r="F4920" s="83">
        <f>ROUND(E4920/I4915,2)</f>
        <v>1</v>
      </c>
      <c r="G4920" s="74" t="str">
        <f>IF(C4920=0,0,VLOOKUP(C4920,Tabla1[],2,FALSE))</f>
        <v>Unidad</v>
      </c>
      <c r="I4920" s="115">
        <f>IF(C4920=0,0,VLOOKUP(C4920,Tabla1[],3,FALSE))</f>
        <v>150</v>
      </c>
      <c r="K4920" s="84">
        <f t="shared" ref="K4920:K4928" si="129">+F4920*I4920</f>
        <v>150</v>
      </c>
      <c r="L4920" s="116">
        <f t="shared" si="128"/>
        <v>450</v>
      </c>
      <c r="P4920" s="45"/>
    </row>
    <row r="4921" spans="1:16" x14ac:dyDescent="0.3">
      <c r="B4921" s="120"/>
      <c r="C4921" s="428"/>
      <c r="D4921" s="429"/>
      <c r="E4921" s="114"/>
      <c r="F4921" s="83"/>
      <c r="G4921" s="74"/>
      <c r="I4921" s="115">
        <f>IF(C4921=0,0,VLOOKUP(C4921,Tabla1[],3,FALSE))</f>
        <v>0</v>
      </c>
      <c r="K4921" s="84">
        <f t="shared" si="129"/>
        <v>0</v>
      </c>
      <c r="L4921" s="116">
        <f t="shared" si="128"/>
        <v>0</v>
      </c>
      <c r="O4921" s="48"/>
      <c r="P4921" s="49"/>
    </row>
    <row r="4922" spans="1:16" x14ac:dyDescent="0.3">
      <c r="B4922" s="120"/>
      <c r="C4922" s="430"/>
      <c r="D4922" s="429"/>
      <c r="E4922" s="114"/>
      <c r="F4922" s="83"/>
      <c r="G4922" s="74"/>
      <c r="I4922" s="115">
        <f>IF(C4922=0,0,VLOOKUP(C4922,Tabla1[],3,FALSE))</f>
        <v>0</v>
      </c>
      <c r="K4922" s="84">
        <f t="shared" si="129"/>
        <v>0</v>
      </c>
      <c r="L4922" s="116">
        <f t="shared" si="128"/>
        <v>0</v>
      </c>
      <c r="O4922" s="48"/>
      <c r="P4922" s="49"/>
    </row>
    <row r="4923" spans="1:16" x14ac:dyDescent="0.3">
      <c r="B4923" s="120"/>
      <c r="C4923" s="430"/>
      <c r="D4923" s="429"/>
      <c r="E4923" s="114"/>
      <c r="F4923" s="83"/>
      <c r="G4923" s="74"/>
      <c r="I4923" s="115">
        <f>IF(C4923=0,0,VLOOKUP(C4923,Tabla1[],3,FALSE))</f>
        <v>0</v>
      </c>
      <c r="K4923" s="84">
        <f t="shared" si="129"/>
        <v>0</v>
      </c>
      <c r="L4923" s="116">
        <f t="shared" si="128"/>
        <v>0</v>
      </c>
      <c r="O4923" s="48"/>
      <c r="P4923" s="49"/>
    </row>
    <row r="4924" spans="1:16" x14ac:dyDescent="0.3">
      <c r="B4924" s="120"/>
      <c r="C4924" s="430"/>
      <c r="D4924" s="429"/>
      <c r="E4924" s="114"/>
      <c r="F4924" s="83"/>
      <c r="G4924" s="74"/>
      <c r="I4924" s="115">
        <f>IF(C4924=0,0,VLOOKUP(C4924,Tabla1[],3,FALSE))</f>
        <v>0</v>
      </c>
      <c r="K4924" s="84">
        <f t="shared" si="129"/>
        <v>0</v>
      </c>
      <c r="L4924" s="116">
        <f t="shared" si="128"/>
        <v>0</v>
      </c>
      <c r="O4924" s="48"/>
      <c r="P4924" s="49"/>
    </row>
    <row r="4925" spans="1:16" x14ac:dyDescent="0.3">
      <c r="B4925" s="120"/>
      <c r="C4925" s="430"/>
      <c r="D4925" s="429"/>
      <c r="E4925" s="114"/>
      <c r="F4925" s="83"/>
      <c r="G4925" s="74"/>
      <c r="I4925" s="115">
        <f>IF(C4925=0,0,VLOOKUP(C4925,Tabla1[],3,FALSE))</f>
        <v>0</v>
      </c>
      <c r="K4925" s="84">
        <f t="shared" si="129"/>
        <v>0</v>
      </c>
      <c r="L4925" s="116">
        <f t="shared" si="128"/>
        <v>0</v>
      </c>
      <c r="O4925" s="48"/>
      <c r="P4925" s="49"/>
    </row>
    <row r="4926" spans="1:16" x14ac:dyDescent="0.3">
      <c r="B4926" s="120"/>
      <c r="C4926" s="428"/>
      <c r="D4926" s="429"/>
      <c r="E4926" s="114"/>
      <c r="F4926" s="83"/>
      <c r="G4926" s="74"/>
      <c r="I4926" s="115">
        <f>IF(C4926=0,0,VLOOKUP(C4926,Tabla1[],3,FALSE))</f>
        <v>0</v>
      </c>
      <c r="K4926" s="84">
        <f t="shared" si="129"/>
        <v>0</v>
      </c>
      <c r="L4926" s="116">
        <f t="shared" si="128"/>
        <v>0</v>
      </c>
      <c r="O4926" s="48"/>
      <c r="P4926" s="49"/>
    </row>
    <row r="4927" spans="1:16" x14ac:dyDescent="0.3">
      <c r="B4927" s="120"/>
      <c r="C4927" s="431"/>
      <c r="D4927" s="432"/>
      <c r="E4927" s="114"/>
      <c r="F4927" s="83"/>
      <c r="G4927" s="74"/>
      <c r="I4927" s="115">
        <f>IF(C4927=0,0,VLOOKUP(C4927,Tabla1[],3,FALSE))</f>
        <v>0</v>
      </c>
      <c r="K4927" s="84">
        <f t="shared" si="129"/>
        <v>0</v>
      </c>
      <c r="L4927" s="116">
        <f t="shared" si="128"/>
        <v>0</v>
      </c>
      <c r="O4927" s="48"/>
      <c r="P4927" s="49"/>
    </row>
    <row r="4928" spans="1:16" x14ac:dyDescent="0.3">
      <c r="B4928" s="120"/>
      <c r="C4928" s="430"/>
      <c r="D4928" s="429"/>
      <c r="E4928" s="114"/>
      <c r="F4928" s="83"/>
      <c r="G4928" s="74"/>
      <c r="I4928" s="115">
        <f>IF(C4928=0,0,VLOOKUP(C4928,Tabla1[],3,FALSE))</f>
        <v>0</v>
      </c>
      <c r="K4928" s="84">
        <f t="shared" si="129"/>
        <v>0</v>
      </c>
      <c r="L4928" s="116">
        <f t="shared" si="128"/>
        <v>0</v>
      </c>
      <c r="O4928" s="48"/>
      <c r="P4928" s="49"/>
    </row>
    <row r="4929" spans="2:16" ht="17.25" thickBot="1" x14ac:dyDescent="0.35"/>
    <row r="4930" spans="2:16" ht="17.25" thickBot="1" x14ac:dyDescent="0.3">
      <c r="F4930" s="402" t="s">
        <v>9</v>
      </c>
      <c r="G4930" s="403"/>
      <c r="H4930" s="403"/>
      <c r="I4930" s="404"/>
      <c r="K4930" s="224">
        <f>+SUM(K4919:K4928)</f>
        <v>1415</v>
      </c>
      <c r="L4930" s="117">
        <f>+SUM(L4919:L4928)</f>
        <v>4245</v>
      </c>
      <c r="O4930" s="38"/>
      <c r="P4930" s="38"/>
    </row>
    <row r="4931" spans="2:16" ht="17.25" thickBot="1" x14ac:dyDescent="0.35">
      <c r="O4931" s="42"/>
      <c r="P4931" s="43"/>
    </row>
    <row r="4932" spans="2:16" ht="17.25" thickBot="1" x14ac:dyDescent="0.35">
      <c r="B4932" s="108" t="s">
        <v>10</v>
      </c>
      <c r="C4932" s="413" t="s">
        <v>11</v>
      </c>
      <c r="D4932" s="413"/>
      <c r="E4932" s="413"/>
      <c r="F4932" s="413"/>
      <c r="G4932" s="414"/>
    </row>
    <row r="4933" spans="2:16" x14ac:dyDescent="0.3">
      <c r="B4933" s="112" t="s">
        <v>6</v>
      </c>
      <c r="C4933" s="415" t="s">
        <v>1</v>
      </c>
      <c r="D4933" s="416"/>
      <c r="E4933" s="110" t="s">
        <v>192</v>
      </c>
      <c r="F4933" s="118" t="s">
        <v>2</v>
      </c>
      <c r="G4933" s="112" t="s">
        <v>3</v>
      </c>
      <c r="H4933" s="104"/>
      <c r="I4933" s="105" t="s">
        <v>7</v>
      </c>
      <c r="J4933" s="134"/>
      <c r="K4933" s="105" t="s">
        <v>8</v>
      </c>
      <c r="L4933" s="113" t="s">
        <v>193</v>
      </c>
    </row>
    <row r="4934" spans="2:16" x14ac:dyDescent="0.3">
      <c r="B4934" s="120"/>
      <c r="C4934" s="409"/>
      <c r="D4934" s="409"/>
      <c r="E4934" s="114"/>
      <c r="F4934" s="83"/>
      <c r="G4934" s="74"/>
      <c r="I4934" s="115">
        <f>IF(C4934=0,0,VLOOKUP(C4934,Tabla3[],3,FALSE))</f>
        <v>0</v>
      </c>
      <c r="K4934" s="84">
        <f>F4934*I4934</f>
        <v>0</v>
      </c>
      <c r="L4934" s="116">
        <f>E4934*I4934</f>
        <v>0</v>
      </c>
    </row>
    <row r="4935" spans="2:16" x14ac:dyDescent="0.3">
      <c r="B4935" s="74"/>
      <c r="C4935" s="431"/>
      <c r="D4935" s="432"/>
      <c r="E4935" s="119"/>
      <c r="F4935" s="72"/>
      <c r="G4935" s="74"/>
      <c r="I4935" s="115">
        <f>IF(C4935=0,0,VLOOKUP(C4935,Tabla3[],3,FALSE))</f>
        <v>0</v>
      </c>
      <c r="K4935" s="84">
        <f>+F4935*I4935</f>
        <v>0</v>
      </c>
      <c r="L4935" s="116">
        <f>E4935*I4935</f>
        <v>0</v>
      </c>
    </row>
    <row r="4936" spans="2:16" x14ac:dyDescent="0.3">
      <c r="B4936" s="74"/>
      <c r="C4936" s="431"/>
      <c r="D4936" s="432"/>
      <c r="E4936" s="119"/>
      <c r="F4936" s="72"/>
      <c r="G4936" s="74"/>
      <c r="I4936" s="115">
        <f>IF(C4936=0,0,VLOOKUP(C4936,Tabla3[],3,FALSE))</f>
        <v>0</v>
      </c>
      <c r="K4936" s="84">
        <f>+F4936*I4936</f>
        <v>0</v>
      </c>
      <c r="L4936" s="116">
        <f>E4936*I4936</f>
        <v>0</v>
      </c>
    </row>
    <row r="4937" spans="2:16" x14ac:dyDescent="0.3">
      <c r="B4937" s="74"/>
      <c r="C4937" s="411"/>
      <c r="D4937" s="412"/>
      <c r="E4937" s="119"/>
      <c r="F4937" s="72"/>
      <c r="G4937" s="74"/>
      <c r="I4937" s="115">
        <f>IF(C4937=0,0,VLOOKUP(C4937,Tabla3[],3,FALSE))</f>
        <v>0</v>
      </c>
      <c r="K4937" s="84">
        <f>+F4937*I4937</f>
        <v>0</v>
      </c>
      <c r="L4937" s="116">
        <f>E4937*I4937</f>
        <v>0</v>
      </c>
    </row>
    <row r="4938" spans="2:16" ht="17.25" thickBot="1" x14ac:dyDescent="0.35"/>
    <row r="4939" spans="2:16" ht="17.25" thickBot="1" x14ac:dyDescent="0.35">
      <c r="F4939" s="402" t="s">
        <v>12</v>
      </c>
      <c r="G4939" s="403"/>
      <c r="H4939" s="403"/>
      <c r="I4939" s="404"/>
      <c r="K4939" s="224">
        <f>+SUM(K4934:K4937)</f>
        <v>0</v>
      </c>
      <c r="L4939" s="117">
        <f>+SUM(L4934:L4937)</f>
        <v>0</v>
      </c>
    </row>
    <row r="4940" spans="2:16" ht="17.25" thickBot="1" x14ac:dyDescent="0.35"/>
    <row r="4941" spans="2:16" ht="17.25" thickBot="1" x14ac:dyDescent="0.35">
      <c r="B4941" s="108" t="s">
        <v>13</v>
      </c>
      <c r="C4941" s="413" t="s">
        <v>14</v>
      </c>
      <c r="D4941" s="413"/>
      <c r="E4941" s="413"/>
      <c r="F4941" s="413"/>
      <c r="G4941" s="414"/>
    </row>
    <row r="4942" spans="2:16" x14ac:dyDescent="0.3">
      <c r="B4942" s="112" t="s">
        <v>6</v>
      </c>
      <c r="C4942" s="415" t="s">
        <v>1</v>
      </c>
      <c r="D4942" s="416"/>
      <c r="E4942" s="110" t="s">
        <v>192</v>
      </c>
      <c r="F4942" s="118" t="s">
        <v>2</v>
      </c>
      <c r="G4942" s="112" t="s">
        <v>3</v>
      </c>
      <c r="H4942" s="104"/>
      <c r="I4942" s="105" t="s">
        <v>7</v>
      </c>
      <c r="J4942" s="134"/>
      <c r="K4942" s="105" t="s">
        <v>8</v>
      </c>
      <c r="L4942" s="113" t="s">
        <v>193</v>
      </c>
    </row>
    <row r="4943" spans="2:16" x14ac:dyDescent="0.3">
      <c r="B4943" s="120">
        <v>1</v>
      </c>
      <c r="C4943" s="409" t="s">
        <v>317</v>
      </c>
      <c r="D4943" s="409"/>
      <c r="E4943" s="114">
        <f>I4915</f>
        <v>3</v>
      </c>
      <c r="F4943" s="83">
        <f>ROUND(E4943/I4915,2)</f>
        <v>1</v>
      </c>
      <c r="G4943" s="74" t="str">
        <f>IF(C4943=0,0,VLOOKUP(C4943,Tabla2[],2,FALSE))</f>
        <v>Unidad</v>
      </c>
      <c r="I4943" s="115">
        <f>IF(C4943=0,0,VLOOKUP(C4943,Tabla2[],3,FALSE))</f>
        <v>50</v>
      </c>
      <c r="K4943" s="84">
        <f>+F4943*I4943</f>
        <v>50</v>
      </c>
      <c r="L4943" s="116">
        <f>E4943*I4943</f>
        <v>150</v>
      </c>
    </row>
    <row r="4944" spans="2:16" x14ac:dyDescent="0.3">
      <c r="B4944" s="120"/>
      <c r="C4944" s="409"/>
      <c r="D4944" s="409"/>
      <c r="E4944" s="114"/>
      <c r="F4944" s="83"/>
      <c r="G4944" s="74"/>
      <c r="I4944" s="115">
        <f>IF(C4944=0,0,VLOOKUP(C4944,Tabla2[],3,FALSE))</f>
        <v>0</v>
      </c>
      <c r="K4944" s="84">
        <f>+F4944*I4944</f>
        <v>0</v>
      </c>
      <c r="L4944" s="116">
        <f>E4944*I4944</f>
        <v>0</v>
      </c>
    </row>
    <row r="4945" spans="2:16" ht="17.25" thickBot="1" x14ac:dyDescent="0.35">
      <c r="B4945" s="121"/>
      <c r="C4945" s="417"/>
      <c r="D4945" s="418"/>
      <c r="E4945" s="122"/>
      <c r="F4945" s="123"/>
      <c r="G4945" s="74"/>
      <c r="I4945" s="115">
        <f>IF(C4945=0,0,VLOOKUP(C4945,Tabla2[],3,FALSE))</f>
        <v>0</v>
      </c>
      <c r="K4945" s="84">
        <f>+F4945*I4945</f>
        <v>0</v>
      </c>
      <c r="L4945" s="116">
        <f>E4945*I4945</f>
        <v>0</v>
      </c>
    </row>
    <row r="4946" spans="2:16" ht="17.25" thickBot="1" x14ac:dyDescent="0.35">
      <c r="B4946" s="419" t="s">
        <v>15</v>
      </c>
      <c r="C4946" s="420"/>
      <c r="D4946" s="420"/>
      <c r="E4946" s="420"/>
      <c r="F4946" s="420"/>
      <c r="G4946" s="421"/>
      <c r="I4946" s="84">
        <v>0</v>
      </c>
      <c r="K4946" s="84">
        <v>0</v>
      </c>
      <c r="L4946" s="116">
        <f>E4946*I4946</f>
        <v>0</v>
      </c>
    </row>
    <row r="4947" spans="2:16" ht="17.25" thickBot="1" x14ac:dyDescent="0.35"/>
    <row r="4948" spans="2:16" ht="17.25" thickBot="1" x14ac:dyDescent="0.35">
      <c r="F4948" s="402" t="s">
        <v>16</v>
      </c>
      <c r="G4948" s="403"/>
      <c r="H4948" s="403"/>
      <c r="I4948" s="404"/>
      <c r="K4948" s="224">
        <f>+SUM(K4943:K4946)</f>
        <v>50</v>
      </c>
      <c r="L4948" s="117">
        <f>+SUM(L4943:L4946)</f>
        <v>150</v>
      </c>
    </row>
    <row r="4949" spans="2:16" ht="17.25" thickBot="1" x14ac:dyDescent="0.35"/>
    <row r="4950" spans="2:16" ht="17.25" thickBot="1" x14ac:dyDescent="0.35">
      <c r="B4950" s="108" t="s">
        <v>17</v>
      </c>
      <c r="C4950" s="413" t="s">
        <v>18</v>
      </c>
      <c r="D4950" s="413"/>
      <c r="E4950" s="413"/>
      <c r="F4950" s="413"/>
      <c r="G4950" s="414"/>
    </row>
    <row r="4951" spans="2:16" x14ac:dyDescent="0.3">
      <c r="B4951" s="112" t="s">
        <v>6</v>
      </c>
      <c r="C4951" s="415" t="s">
        <v>1</v>
      </c>
      <c r="D4951" s="416"/>
      <c r="E4951" s="124"/>
      <c r="F4951" s="118" t="s">
        <v>2</v>
      </c>
      <c r="G4951" s="112" t="s">
        <v>3</v>
      </c>
      <c r="H4951" s="104"/>
      <c r="I4951" s="105" t="s">
        <v>7</v>
      </c>
      <c r="J4951" s="134"/>
      <c r="K4951" s="105" t="s">
        <v>8</v>
      </c>
      <c r="L4951" s="113" t="s">
        <v>193</v>
      </c>
    </row>
    <row r="4952" spans="2:16" x14ac:dyDescent="0.3">
      <c r="B4952" s="74"/>
      <c r="C4952" s="411"/>
      <c r="D4952" s="412"/>
      <c r="E4952" s="125"/>
      <c r="F4952" s="72"/>
      <c r="G4952" s="74"/>
      <c r="I4952" s="84">
        <v>0</v>
      </c>
      <c r="K4952" s="84">
        <f>+F4952*I4952</f>
        <v>0</v>
      </c>
      <c r="L4952" s="116">
        <f>E4952*I4952</f>
        <v>0</v>
      </c>
    </row>
    <row r="4953" spans="2:16" x14ac:dyDescent="0.3">
      <c r="B4953" s="74"/>
      <c r="C4953" s="411"/>
      <c r="D4953" s="412"/>
      <c r="E4953" s="125"/>
      <c r="F4953" s="72"/>
      <c r="G4953" s="74"/>
      <c r="I4953" s="84">
        <v>0</v>
      </c>
      <c r="K4953" s="84">
        <f>+F4953*I4953</f>
        <v>0</v>
      </c>
      <c r="L4953" s="116">
        <f>E4953*I4953</f>
        <v>0</v>
      </c>
    </row>
    <row r="4954" spans="2:16" x14ac:dyDescent="0.3">
      <c r="B4954" s="74"/>
      <c r="C4954" s="411"/>
      <c r="D4954" s="412"/>
      <c r="E4954" s="125"/>
      <c r="F4954" s="72"/>
      <c r="G4954" s="74"/>
      <c r="I4954" s="84">
        <v>0</v>
      </c>
      <c r="K4954" s="84">
        <f>+F4954*I4954</f>
        <v>0</v>
      </c>
      <c r="L4954" s="116">
        <f>E4954*I4954</f>
        <v>0</v>
      </c>
    </row>
    <row r="4955" spans="2:16" ht="17.25" thickBot="1" x14ac:dyDescent="0.35">
      <c r="L4955" s="116"/>
    </row>
    <row r="4956" spans="2:16" ht="17.25" thickBot="1" x14ac:dyDescent="0.35">
      <c r="F4956" s="402" t="s">
        <v>19</v>
      </c>
      <c r="G4956" s="403"/>
      <c r="H4956" s="403"/>
      <c r="I4956" s="404"/>
      <c r="K4956" s="224">
        <f>+SUM(K4952:K4954)</f>
        <v>0</v>
      </c>
      <c r="L4956" s="117">
        <f>+SUM(L4951:L4954)</f>
        <v>0</v>
      </c>
    </row>
    <row r="4957" spans="2:16" ht="15" customHeight="1" x14ac:dyDescent="0.3">
      <c r="F4957" s="126"/>
      <c r="G4957" s="280"/>
      <c r="H4957" s="128"/>
      <c r="I4957" s="106"/>
      <c r="K4957" s="225"/>
    </row>
    <row r="4958" spans="2:16" ht="15" customHeight="1" thickBot="1" x14ac:dyDescent="0.35"/>
    <row r="4959" spans="2:16" ht="17.25" thickBot="1" x14ac:dyDescent="0.35">
      <c r="F4959" s="402" t="s">
        <v>20</v>
      </c>
      <c r="G4959" s="403"/>
      <c r="H4959" s="403"/>
      <c r="I4959" s="404"/>
      <c r="K4959" s="224">
        <f>(+K4930+K4939+K4948+K4956)</f>
        <v>1465</v>
      </c>
      <c r="L4959" s="117">
        <f>(+L4930+L4939+L4948+L4956)</f>
        <v>4395</v>
      </c>
      <c r="N4959" s="129"/>
      <c r="O4959" s="39"/>
      <c r="P4959" s="40"/>
    </row>
    <row r="4960" spans="2:16" ht="7.5" customHeight="1" thickBot="1" x14ac:dyDescent="0.35">
      <c r="N4960" s="129"/>
      <c r="O4960" s="41"/>
      <c r="P4960" s="40"/>
    </row>
    <row r="4961" spans="1:16" ht="17.25" thickBot="1" x14ac:dyDescent="0.35">
      <c r="F4961" s="402" t="s">
        <v>21</v>
      </c>
      <c r="G4961" s="403"/>
      <c r="H4961" s="403"/>
      <c r="I4961" s="404"/>
      <c r="K4961" s="224">
        <f>K4959*$N$2</f>
        <v>586</v>
      </c>
      <c r="L4961" s="117">
        <f>L4959*$N$2</f>
        <v>1758</v>
      </c>
    </row>
    <row r="4962" spans="1:16" ht="7.5" customHeight="1" thickBot="1" x14ac:dyDescent="0.35"/>
    <row r="4963" spans="1:16" ht="17.25" thickBot="1" x14ac:dyDescent="0.35">
      <c r="F4963" s="402" t="s">
        <v>22</v>
      </c>
      <c r="G4963" s="403"/>
      <c r="H4963" s="403"/>
      <c r="I4963" s="404"/>
      <c r="K4963" s="224">
        <f>+K4959+K4961</f>
        <v>2051</v>
      </c>
      <c r="L4963" s="117">
        <f>+L4959+L4961</f>
        <v>6153</v>
      </c>
    </row>
    <row r="4964" spans="1:16" ht="17.25" thickBot="1" x14ac:dyDescent="0.35">
      <c r="F4964" s="126"/>
      <c r="G4964" s="280"/>
      <c r="H4964" s="128"/>
      <c r="I4964" s="106"/>
      <c r="K4964" s="226"/>
      <c r="L4964" s="130">
        <f>L4963/I4915</f>
        <v>2051</v>
      </c>
      <c r="M4964" s="131">
        <f>(K4963-L4964)*I4915</f>
        <v>0</v>
      </c>
    </row>
    <row r="4965" spans="1:16" x14ac:dyDescent="0.3">
      <c r="F4965" s="126"/>
      <c r="G4965" s="280"/>
      <c r="H4965" s="128"/>
      <c r="I4965" s="106"/>
      <c r="K4965" s="227"/>
      <c r="L4965" s="129"/>
      <c r="M4965" s="132"/>
      <c r="N4965" s="133"/>
    </row>
    <row r="4966" spans="1:16" ht="17.25" thickBot="1" x14ac:dyDescent="0.35">
      <c r="B4966" s="405"/>
      <c r="C4966" s="405"/>
      <c r="D4966" s="405"/>
    </row>
    <row r="4967" spans="1:16" x14ac:dyDescent="0.3">
      <c r="B4967" s="406" t="s">
        <v>23</v>
      </c>
      <c r="C4967" s="406"/>
      <c r="D4967" s="406"/>
    </row>
    <row r="4968" spans="1:16" x14ac:dyDescent="0.3">
      <c r="B4968" s="281"/>
      <c r="C4968" s="281"/>
      <c r="D4968" s="281"/>
    </row>
    <row r="4969" spans="1:16" x14ac:dyDescent="0.3">
      <c r="B4969" s="281"/>
      <c r="C4969" s="281"/>
      <c r="D4969" s="281"/>
    </row>
    <row r="4970" spans="1:16" x14ac:dyDescent="0.3">
      <c r="B4970" s="103" t="s">
        <v>43</v>
      </c>
      <c r="C4970" s="104"/>
      <c r="D4970" s="422" t="s">
        <v>1</v>
      </c>
      <c r="E4970" s="422"/>
      <c r="F4970" s="422"/>
      <c r="G4970" s="422"/>
      <c r="H4970" s="104"/>
      <c r="I4970" s="105" t="s">
        <v>2</v>
      </c>
      <c r="J4970" s="134"/>
      <c r="K4970" s="105" t="s">
        <v>3</v>
      </c>
    </row>
    <row r="4971" spans="1:16" s="4" customFormat="1" ht="30.75" customHeight="1" x14ac:dyDescent="0.25">
      <c r="A4971" s="31"/>
      <c r="B4971" s="287">
        <f>CATALOGO!B156</f>
        <v>1002.02</v>
      </c>
      <c r="C4971" s="71"/>
      <c r="D4971" s="437" t="str">
        <f>CATALOGO!C156</f>
        <v>LAVAMANOS EMPOTRADO</v>
      </c>
      <c r="E4971" s="437"/>
      <c r="F4971" s="437"/>
      <c r="G4971" s="437"/>
      <c r="H4971" s="71"/>
      <c r="I4971" s="287">
        <f>CATALOGO!D156</f>
        <v>3</v>
      </c>
      <c r="J4971" s="107"/>
      <c r="K4971" s="222" t="str">
        <f>CATALOGO!G156</f>
        <v>Unidad</v>
      </c>
      <c r="L4971" s="71"/>
      <c r="M4971" s="71"/>
      <c r="N4971" s="102"/>
      <c r="O4971" s="37"/>
      <c r="P4971" s="37"/>
    </row>
    <row r="4972" spans="1:16" ht="17.25" thickBot="1" x14ac:dyDescent="0.35"/>
    <row r="4973" spans="1:16" ht="17.25" thickBot="1" x14ac:dyDescent="0.35">
      <c r="B4973" s="108" t="s">
        <v>4</v>
      </c>
      <c r="C4973" s="413" t="s">
        <v>5</v>
      </c>
      <c r="D4973" s="413"/>
      <c r="E4973" s="413"/>
      <c r="F4973" s="413"/>
      <c r="G4973" s="414"/>
    </row>
    <row r="4974" spans="1:16" x14ac:dyDescent="0.25">
      <c r="B4974" s="109" t="s">
        <v>6</v>
      </c>
      <c r="C4974" s="424" t="s">
        <v>1</v>
      </c>
      <c r="D4974" s="425"/>
      <c r="E4974" s="110" t="s">
        <v>192</v>
      </c>
      <c r="F4974" s="111" t="s">
        <v>2</v>
      </c>
      <c r="G4974" s="112" t="s">
        <v>3</v>
      </c>
      <c r="H4974" s="104"/>
      <c r="I4974" s="105" t="s">
        <v>7</v>
      </c>
      <c r="J4974" s="134"/>
      <c r="K4974" s="223" t="s">
        <v>8</v>
      </c>
      <c r="L4974" s="113" t="s">
        <v>193</v>
      </c>
      <c r="O4974" s="438"/>
      <c r="P4974" s="438"/>
    </row>
    <row r="4975" spans="1:16" ht="17.25" customHeight="1" x14ac:dyDescent="0.25">
      <c r="B4975" s="120">
        <v>1</v>
      </c>
      <c r="C4975" s="407" t="s">
        <v>391</v>
      </c>
      <c r="D4975" s="408"/>
      <c r="E4975" s="114">
        <f>1*I4971</f>
        <v>3</v>
      </c>
      <c r="F4975" s="83">
        <f>ROUND(E4975/I4971,2)</f>
        <v>1</v>
      </c>
      <c r="G4975" s="74" t="str">
        <f>IF(C4975=0,0,VLOOKUP(C4975,Tabla1[],2,FALSE))</f>
        <v>Unidad</v>
      </c>
      <c r="I4975" s="115">
        <f>IF(C4975=0,0,VLOOKUP(C4975,Tabla1[],3,FALSE))</f>
        <v>700</v>
      </c>
      <c r="K4975" s="84">
        <f>F4975*I4975</f>
        <v>700</v>
      </c>
      <c r="L4975" s="116">
        <f t="shared" ref="L4975:L4984" si="130">E4975*I4975</f>
        <v>2100</v>
      </c>
      <c r="O4975" s="44"/>
      <c r="P4975" s="45"/>
    </row>
    <row r="4976" spans="1:16" ht="16.5" customHeight="1" x14ac:dyDescent="0.3">
      <c r="B4976" s="120">
        <v>2</v>
      </c>
      <c r="C4976" s="430" t="s">
        <v>95</v>
      </c>
      <c r="D4976" s="429"/>
      <c r="E4976" s="114">
        <f>I4971*0.5</f>
        <v>1.5</v>
      </c>
      <c r="F4976" s="83">
        <f>ROUND(E4976/I4971,2)</f>
        <v>0.5</v>
      </c>
      <c r="G4976" s="74" t="str">
        <f>IF(C4976=0,0,VLOOKUP(C4976,Tabla1[],2,FALSE))</f>
        <v>Libra</v>
      </c>
      <c r="I4976" s="115">
        <f>IF(C4976=0,0,VLOOKUP(C4976,Tabla1[],3,FALSE))</f>
        <v>20</v>
      </c>
      <c r="K4976" s="84">
        <f t="shared" ref="K4976:K4984" si="131">+F4976*I4976</f>
        <v>10</v>
      </c>
      <c r="L4976" s="116">
        <f t="shared" si="130"/>
        <v>30</v>
      </c>
      <c r="P4976" s="45"/>
    </row>
    <row r="4977" spans="2:16" x14ac:dyDescent="0.3">
      <c r="B4977" s="120">
        <v>3</v>
      </c>
      <c r="C4977" s="430" t="s">
        <v>589</v>
      </c>
      <c r="D4977" s="429"/>
      <c r="E4977" s="114">
        <f>I4971</f>
        <v>3</v>
      </c>
      <c r="F4977" s="83">
        <f>ROUND(E4977/I4971,2)</f>
        <v>1</v>
      </c>
      <c r="G4977" s="74" t="str">
        <f>IF(C4977=0,0,VLOOKUP(C4977,Tabla1[],2,FALSE))</f>
        <v>Unidad</v>
      </c>
      <c r="I4977" s="115">
        <f>IF(C4977=0,0,VLOOKUP(C4977,Tabla1[],3,FALSE))</f>
        <v>250</v>
      </c>
      <c r="K4977" s="84">
        <f t="shared" si="131"/>
        <v>250</v>
      </c>
      <c r="L4977" s="116">
        <f t="shared" si="130"/>
        <v>750</v>
      </c>
      <c r="O4977" s="48"/>
      <c r="P4977" s="49"/>
    </row>
    <row r="4978" spans="2:16" x14ac:dyDescent="0.3">
      <c r="B4978" s="120"/>
      <c r="C4978" s="430"/>
      <c r="D4978" s="429"/>
      <c r="E4978" s="114"/>
      <c r="F4978" s="83"/>
      <c r="G4978" s="74"/>
      <c r="I4978" s="115">
        <f>IF(C4978=0,0,VLOOKUP(C4978,Tabla1[],3,FALSE))</f>
        <v>0</v>
      </c>
      <c r="K4978" s="84">
        <f t="shared" si="131"/>
        <v>0</v>
      </c>
      <c r="L4978" s="116">
        <f t="shared" si="130"/>
        <v>0</v>
      </c>
      <c r="O4978" s="48"/>
      <c r="P4978" s="49"/>
    </row>
    <row r="4979" spans="2:16" x14ac:dyDescent="0.3">
      <c r="B4979" s="120"/>
      <c r="C4979" s="430"/>
      <c r="D4979" s="429"/>
      <c r="E4979" s="114"/>
      <c r="F4979" s="83"/>
      <c r="G4979" s="74"/>
      <c r="I4979" s="115">
        <f>IF(C4979=0,0,VLOOKUP(C4979,Tabla1[],3,FALSE))</f>
        <v>0</v>
      </c>
      <c r="K4979" s="84">
        <f t="shared" si="131"/>
        <v>0</v>
      </c>
      <c r="L4979" s="116">
        <f t="shared" si="130"/>
        <v>0</v>
      </c>
      <c r="O4979" s="48"/>
      <c r="P4979" s="49"/>
    </row>
    <row r="4980" spans="2:16" x14ac:dyDescent="0.3">
      <c r="B4980" s="120"/>
      <c r="C4980" s="430"/>
      <c r="D4980" s="429"/>
      <c r="E4980" s="114"/>
      <c r="F4980" s="83"/>
      <c r="G4980" s="74"/>
      <c r="I4980" s="115">
        <f>IF(C4980=0,0,VLOOKUP(C4980,Tabla1[],3,FALSE))</f>
        <v>0</v>
      </c>
      <c r="K4980" s="84">
        <f t="shared" si="131"/>
        <v>0</v>
      </c>
      <c r="L4980" s="116">
        <f t="shared" si="130"/>
        <v>0</v>
      </c>
      <c r="O4980" s="48"/>
      <c r="P4980" s="49"/>
    </row>
    <row r="4981" spans="2:16" x14ac:dyDescent="0.3">
      <c r="B4981" s="120"/>
      <c r="C4981" s="430"/>
      <c r="D4981" s="429"/>
      <c r="E4981" s="114"/>
      <c r="F4981" s="83"/>
      <c r="G4981" s="74"/>
      <c r="I4981" s="115">
        <f>IF(C4981=0,0,VLOOKUP(C4981,Tabla1[],3,FALSE))</f>
        <v>0</v>
      </c>
      <c r="K4981" s="84">
        <f t="shared" si="131"/>
        <v>0</v>
      </c>
      <c r="L4981" s="116">
        <f t="shared" si="130"/>
        <v>0</v>
      </c>
      <c r="O4981" s="48"/>
      <c r="P4981" s="49"/>
    </row>
    <row r="4982" spans="2:16" x14ac:dyDescent="0.3">
      <c r="B4982" s="120"/>
      <c r="C4982" s="428"/>
      <c r="D4982" s="429"/>
      <c r="E4982" s="114"/>
      <c r="F4982" s="83"/>
      <c r="G4982" s="74"/>
      <c r="I4982" s="115">
        <f>IF(C4982=0,0,VLOOKUP(C4982,Tabla1[],3,FALSE))</f>
        <v>0</v>
      </c>
      <c r="K4982" s="84">
        <f t="shared" si="131"/>
        <v>0</v>
      </c>
      <c r="L4982" s="116">
        <f t="shared" si="130"/>
        <v>0</v>
      </c>
      <c r="O4982" s="48"/>
      <c r="P4982" s="49"/>
    </row>
    <row r="4983" spans="2:16" x14ac:dyDescent="0.3">
      <c r="B4983" s="120"/>
      <c r="C4983" s="431"/>
      <c r="D4983" s="432"/>
      <c r="E4983" s="114"/>
      <c r="F4983" s="83"/>
      <c r="G4983" s="74"/>
      <c r="I4983" s="115">
        <f>IF(C4983=0,0,VLOOKUP(C4983,Tabla1[],3,FALSE))</f>
        <v>0</v>
      </c>
      <c r="K4983" s="84">
        <f t="shared" si="131"/>
        <v>0</v>
      </c>
      <c r="L4983" s="116">
        <f t="shared" si="130"/>
        <v>0</v>
      </c>
      <c r="O4983" s="48"/>
      <c r="P4983" s="49"/>
    </row>
    <row r="4984" spans="2:16" x14ac:dyDescent="0.3">
      <c r="B4984" s="120"/>
      <c r="C4984" s="430"/>
      <c r="D4984" s="429"/>
      <c r="E4984" s="114"/>
      <c r="F4984" s="83"/>
      <c r="G4984" s="74"/>
      <c r="I4984" s="115">
        <f>IF(C4984=0,0,VLOOKUP(C4984,Tabla1[],3,FALSE))</f>
        <v>0</v>
      </c>
      <c r="K4984" s="84">
        <f t="shared" si="131"/>
        <v>0</v>
      </c>
      <c r="L4984" s="116">
        <f t="shared" si="130"/>
        <v>0</v>
      </c>
      <c r="O4984" s="48"/>
      <c r="P4984" s="49"/>
    </row>
    <row r="4985" spans="2:16" ht="17.25" thickBot="1" x14ac:dyDescent="0.35"/>
    <row r="4986" spans="2:16" ht="17.25" thickBot="1" x14ac:dyDescent="0.3">
      <c r="F4986" s="402" t="s">
        <v>9</v>
      </c>
      <c r="G4986" s="403"/>
      <c r="H4986" s="403"/>
      <c r="I4986" s="404"/>
      <c r="K4986" s="224">
        <f>+SUM(K4975:K4984)</f>
        <v>960</v>
      </c>
      <c r="L4986" s="117">
        <f>+SUM(L4975:L4984)</f>
        <v>2880</v>
      </c>
      <c r="O4986" s="38"/>
      <c r="P4986" s="38"/>
    </row>
    <row r="4987" spans="2:16" ht="17.25" thickBot="1" x14ac:dyDescent="0.35">
      <c r="O4987" s="42"/>
      <c r="P4987" s="43"/>
    </row>
    <row r="4988" spans="2:16" ht="17.25" thickBot="1" x14ac:dyDescent="0.35">
      <c r="B4988" s="108" t="s">
        <v>10</v>
      </c>
      <c r="C4988" s="413" t="s">
        <v>11</v>
      </c>
      <c r="D4988" s="413"/>
      <c r="E4988" s="413"/>
      <c r="F4988" s="413"/>
      <c r="G4988" s="414"/>
    </row>
    <row r="4989" spans="2:16" x14ac:dyDescent="0.3">
      <c r="B4989" s="112" t="s">
        <v>6</v>
      </c>
      <c r="C4989" s="415" t="s">
        <v>1</v>
      </c>
      <c r="D4989" s="416"/>
      <c r="E4989" s="110" t="s">
        <v>192</v>
      </c>
      <c r="F4989" s="118" t="s">
        <v>2</v>
      </c>
      <c r="G4989" s="112" t="s">
        <v>3</v>
      </c>
      <c r="H4989" s="104"/>
      <c r="I4989" s="105" t="s">
        <v>7</v>
      </c>
      <c r="J4989" s="134"/>
      <c r="K4989" s="105" t="s">
        <v>8</v>
      </c>
      <c r="L4989" s="113" t="s">
        <v>193</v>
      </c>
    </row>
    <row r="4990" spans="2:16" x14ac:dyDescent="0.3">
      <c r="B4990" s="120"/>
      <c r="C4990" s="409"/>
      <c r="D4990" s="409"/>
      <c r="E4990" s="114"/>
      <c r="F4990" s="83"/>
      <c r="G4990" s="74"/>
      <c r="I4990" s="115">
        <f>IF(C4990=0,0,VLOOKUP(C4990,Tabla3[],3,FALSE))</f>
        <v>0</v>
      </c>
      <c r="K4990" s="84">
        <f>F4990*I4990</f>
        <v>0</v>
      </c>
      <c r="L4990" s="116">
        <f>E4990*I4990</f>
        <v>0</v>
      </c>
    </row>
    <row r="4991" spans="2:16" x14ac:dyDescent="0.3">
      <c r="B4991" s="74"/>
      <c r="C4991" s="431"/>
      <c r="D4991" s="432"/>
      <c r="E4991" s="119"/>
      <c r="F4991" s="72"/>
      <c r="G4991" s="74"/>
      <c r="I4991" s="115">
        <f>IF(C4991=0,0,VLOOKUP(C4991,Tabla3[],3,FALSE))</f>
        <v>0</v>
      </c>
      <c r="K4991" s="84">
        <f>+F4991*I4991</f>
        <v>0</v>
      </c>
      <c r="L4991" s="116">
        <f>E4991*I4991</f>
        <v>0</v>
      </c>
    </row>
    <row r="4992" spans="2:16" x14ac:dyDescent="0.3">
      <c r="B4992" s="74"/>
      <c r="C4992" s="431"/>
      <c r="D4992" s="432"/>
      <c r="E4992" s="119"/>
      <c r="F4992" s="72"/>
      <c r="G4992" s="74"/>
      <c r="I4992" s="115">
        <f>IF(C4992=0,0,VLOOKUP(C4992,Tabla3[],3,FALSE))</f>
        <v>0</v>
      </c>
      <c r="K4992" s="84">
        <f>+F4992*I4992</f>
        <v>0</v>
      </c>
      <c r="L4992" s="116">
        <f>E4992*I4992</f>
        <v>0</v>
      </c>
    </row>
    <row r="4993" spans="2:12" x14ac:dyDescent="0.3">
      <c r="B4993" s="74"/>
      <c r="C4993" s="411"/>
      <c r="D4993" s="412"/>
      <c r="E4993" s="119"/>
      <c r="F4993" s="72"/>
      <c r="G4993" s="74"/>
      <c r="I4993" s="115">
        <f>IF(C4993=0,0,VLOOKUP(C4993,Tabla3[],3,FALSE))</f>
        <v>0</v>
      </c>
      <c r="K4993" s="84">
        <f>+F4993*I4993</f>
        <v>0</v>
      </c>
      <c r="L4993" s="116">
        <f>E4993*I4993</f>
        <v>0</v>
      </c>
    </row>
    <row r="4994" spans="2:12" ht="17.25" thickBot="1" x14ac:dyDescent="0.35"/>
    <row r="4995" spans="2:12" ht="17.25" thickBot="1" x14ac:dyDescent="0.35">
      <c r="F4995" s="402" t="s">
        <v>12</v>
      </c>
      <c r="G4995" s="403"/>
      <c r="H4995" s="403"/>
      <c r="I4995" s="404"/>
      <c r="K4995" s="224">
        <f>+SUM(K4990:K4993)</f>
        <v>0</v>
      </c>
      <c r="L4995" s="117">
        <f>+SUM(L4990:L4993)</f>
        <v>0</v>
      </c>
    </row>
    <row r="4996" spans="2:12" ht="17.25" thickBot="1" x14ac:dyDescent="0.35"/>
    <row r="4997" spans="2:12" ht="17.25" thickBot="1" x14ac:dyDescent="0.35">
      <c r="B4997" s="108" t="s">
        <v>13</v>
      </c>
      <c r="C4997" s="413" t="s">
        <v>14</v>
      </c>
      <c r="D4997" s="413"/>
      <c r="E4997" s="413"/>
      <c r="F4997" s="413"/>
      <c r="G4997" s="414"/>
    </row>
    <row r="4998" spans="2:12" x14ac:dyDescent="0.3">
      <c r="B4998" s="112" t="s">
        <v>6</v>
      </c>
      <c r="C4998" s="415" t="s">
        <v>1</v>
      </c>
      <c r="D4998" s="416"/>
      <c r="E4998" s="110" t="s">
        <v>192</v>
      </c>
      <c r="F4998" s="118" t="s">
        <v>2</v>
      </c>
      <c r="G4998" s="112" t="s">
        <v>3</v>
      </c>
      <c r="H4998" s="104"/>
      <c r="I4998" s="105" t="s">
        <v>7</v>
      </c>
      <c r="J4998" s="134"/>
      <c r="K4998" s="105" t="s">
        <v>8</v>
      </c>
      <c r="L4998" s="113" t="s">
        <v>193</v>
      </c>
    </row>
    <row r="4999" spans="2:12" x14ac:dyDescent="0.3">
      <c r="B4999" s="120">
        <v>1</v>
      </c>
      <c r="C4999" s="409" t="s">
        <v>343</v>
      </c>
      <c r="D4999" s="409"/>
      <c r="E4999" s="114">
        <f>I4971</f>
        <v>3</v>
      </c>
      <c r="F4999" s="83">
        <f>ROUND(E4999/I4971,2)</f>
        <v>1</v>
      </c>
      <c r="G4999" s="74" t="str">
        <f>IF(C4999=0,0,VLOOKUP(C4999,Tabla2[],2,FALSE))</f>
        <v>Unidad</v>
      </c>
      <c r="I4999" s="115">
        <f>IF(C4999=0,0,VLOOKUP(C4999,Tabla2[],3,FALSE))</f>
        <v>60</v>
      </c>
      <c r="K4999" s="84">
        <f>+F4999*I4999</f>
        <v>60</v>
      </c>
      <c r="L4999" s="116">
        <f>E4999*I4999</f>
        <v>180</v>
      </c>
    </row>
    <row r="5000" spans="2:12" x14ac:dyDescent="0.3">
      <c r="B5000" s="120"/>
      <c r="C5000" s="409"/>
      <c r="D5000" s="409"/>
      <c r="E5000" s="114"/>
      <c r="F5000" s="83"/>
      <c r="G5000" s="74"/>
      <c r="I5000" s="115">
        <f>IF(C5000=0,0,VLOOKUP(C5000,Tabla2[],3,FALSE))</f>
        <v>0</v>
      </c>
      <c r="K5000" s="84">
        <f>+F5000*I5000</f>
        <v>0</v>
      </c>
      <c r="L5000" s="116">
        <f>E5000*I5000</f>
        <v>0</v>
      </c>
    </row>
    <row r="5001" spans="2:12" ht="17.25" thickBot="1" x14ac:dyDescent="0.35">
      <c r="B5001" s="121"/>
      <c r="C5001" s="417"/>
      <c r="D5001" s="418"/>
      <c r="E5001" s="122"/>
      <c r="F5001" s="123"/>
      <c r="G5001" s="74"/>
      <c r="I5001" s="115">
        <f>IF(C5001=0,0,VLOOKUP(C5001,Tabla2[],3,FALSE))</f>
        <v>0</v>
      </c>
      <c r="K5001" s="84">
        <f>+F5001*I5001</f>
        <v>0</v>
      </c>
      <c r="L5001" s="116">
        <f>E5001*I5001</f>
        <v>0</v>
      </c>
    </row>
    <row r="5002" spans="2:12" ht="17.25" thickBot="1" x14ac:dyDescent="0.35">
      <c r="B5002" s="419" t="s">
        <v>15</v>
      </c>
      <c r="C5002" s="420"/>
      <c r="D5002" s="420"/>
      <c r="E5002" s="420"/>
      <c r="F5002" s="420"/>
      <c r="G5002" s="421"/>
      <c r="I5002" s="84">
        <v>0</v>
      </c>
      <c r="K5002" s="84">
        <v>0</v>
      </c>
      <c r="L5002" s="116">
        <f>E5002*I5002</f>
        <v>0</v>
      </c>
    </row>
    <row r="5003" spans="2:12" ht="17.25" thickBot="1" x14ac:dyDescent="0.35"/>
    <row r="5004" spans="2:12" ht="17.25" thickBot="1" x14ac:dyDescent="0.35">
      <c r="F5004" s="402" t="s">
        <v>16</v>
      </c>
      <c r="G5004" s="403"/>
      <c r="H5004" s="403"/>
      <c r="I5004" s="404"/>
      <c r="K5004" s="224">
        <f>+SUM(K4999:K5002)</f>
        <v>60</v>
      </c>
      <c r="L5004" s="117">
        <f>+SUM(L4999:L5002)</f>
        <v>180</v>
      </c>
    </row>
    <row r="5005" spans="2:12" ht="17.25" thickBot="1" x14ac:dyDescent="0.35"/>
    <row r="5006" spans="2:12" ht="17.25" thickBot="1" x14ac:dyDescent="0.35">
      <c r="B5006" s="108" t="s">
        <v>17</v>
      </c>
      <c r="C5006" s="413" t="s">
        <v>18</v>
      </c>
      <c r="D5006" s="413"/>
      <c r="E5006" s="413"/>
      <c r="F5006" s="413"/>
      <c r="G5006" s="414"/>
    </row>
    <row r="5007" spans="2:12" x14ac:dyDescent="0.3">
      <c r="B5007" s="112" t="s">
        <v>6</v>
      </c>
      <c r="C5007" s="415" t="s">
        <v>1</v>
      </c>
      <c r="D5007" s="416"/>
      <c r="E5007" s="124"/>
      <c r="F5007" s="118" t="s">
        <v>2</v>
      </c>
      <c r="G5007" s="112" t="s">
        <v>3</v>
      </c>
      <c r="H5007" s="104"/>
      <c r="I5007" s="105" t="s">
        <v>7</v>
      </c>
      <c r="J5007" s="134"/>
      <c r="K5007" s="105" t="s">
        <v>8</v>
      </c>
      <c r="L5007" s="113" t="s">
        <v>193</v>
      </c>
    </row>
    <row r="5008" spans="2:12" x14ac:dyDescent="0.3">
      <c r="B5008" s="74"/>
      <c r="C5008" s="411"/>
      <c r="D5008" s="412"/>
      <c r="E5008" s="125"/>
      <c r="F5008" s="72"/>
      <c r="G5008" s="74"/>
      <c r="I5008" s="84">
        <v>0</v>
      </c>
      <c r="K5008" s="84">
        <f>+F5008*I5008</f>
        <v>0</v>
      </c>
      <c r="L5008" s="116">
        <f>E5008*I5008</f>
        <v>0</v>
      </c>
    </row>
    <row r="5009" spans="2:16" x14ac:dyDescent="0.3">
      <c r="B5009" s="74"/>
      <c r="C5009" s="411"/>
      <c r="D5009" s="412"/>
      <c r="E5009" s="125"/>
      <c r="F5009" s="72"/>
      <c r="G5009" s="74"/>
      <c r="I5009" s="84">
        <v>0</v>
      </c>
      <c r="K5009" s="84">
        <f>+F5009*I5009</f>
        <v>0</v>
      </c>
      <c r="L5009" s="116">
        <f>E5009*I5009</f>
        <v>0</v>
      </c>
    </row>
    <row r="5010" spans="2:16" x14ac:dyDescent="0.3">
      <c r="B5010" s="74"/>
      <c r="C5010" s="411"/>
      <c r="D5010" s="412"/>
      <c r="E5010" s="125"/>
      <c r="F5010" s="72"/>
      <c r="G5010" s="74"/>
      <c r="I5010" s="84">
        <v>0</v>
      </c>
      <c r="K5010" s="84">
        <f>+F5010*I5010</f>
        <v>0</v>
      </c>
      <c r="L5010" s="116">
        <f>E5010*I5010</f>
        <v>0</v>
      </c>
    </row>
    <row r="5011" spans="2:16" ht="17.25" thickBot="1" x14ac:dyDescent="0.35">
      <c r="L5011" s="116"/>
    </row>
    <row r="5012" spans="2:16" ht="17.25" thickBot="1" x14ac:dyDescent="0.35">
      <c r="F5012" s="402" t="s">
        <v>19</v>
      </c>
      <c r="G5012" s="403"/>
      <c r="H5012" s="403"/>
      <c r="I5012" s="404"/>
      <c r="K5012" s="224">
        <f>+SUM(K5008:K5010)</f>
        <v>0</v>
      </c>
      <c r="L5012" s="117">
        <f>+SUM(L5007:L5010)</f>
        <v>0</v>
      </c>
    </row>
    <row r="5013" spans="2:16" ht="15" customHeight="1" x14ac:dyDescent="0.3">
      <c r="F5013" s="126"/>
      <c r="G5013" s="280"/>
      <c r="H5013" s="128"/>
      <c r="I5013" s="106"/>
      <c r="K5013" s="225"/>
    </row>
    <row r="5014" spans="2:16" ht="15" customHeight="1" thickBot="1" x14ac:dyDescent="0.35"/>
    <row r="5015" spans="2:16" ht="17.25" thickBot="1" x14ac:dyDescent="0.35">
      <c r="F5015" s="402" t="s">
        <v>20</v>
      </c>
      <c r="G5015" s="403"/>
      <c r="H5015" s="403"/>
      <c r="I5015" s="404"/>
      <c r="K5015" s="224">
        <f>(+K4986+K4995+K5004+K5012)</f>
        <v>1020</v>
      </c>
      <c r="L5015" s="117">
        <f>(+L4986+L4995+L5004+L5012)</f>
        <v>3060</v>
      </c>
      <c r="N5015" s="129"/>
      <c r="O5015" s="39"/>
      <c r="P5015" s="40"/>
    </row>
    <row r="5016" spans="2:16" ht="7.5" customHeight="1" thickBot="1" x14ac:dyDescent="0.35">
      <c r="N5016" s="129"/>
      <c r="O5016" s="41"/>
      <c r="P5016" s="40"/>
    </row>
    <row r="5017" spans="2:16" ht="17.25" thickBot="1" x14ac:dyDescent="0.35">
      <c r="F5017" s="402" t="s">
        <v>21</v>
      </c>
      <c r="G5017" s="403"/>
      <c r="H5017" s="403"/>
      <c r="I5017" s="404"/>
      <c r="K5017" s="224">
        <f>K5015*$N$2</f>
        <v>408</v>
      </c>
      <c r="L5017" s="117">
        <f>L5015*$N$2</f>
        <v>1224</v>
      </c>
    </row>
    <row r="5018" spans="2:16" ht="7.5" customHeight="1" thickBot="1" x14ac:dyDescent="0.35"/>
    <row r="5019" spans="2:16" ht="17.25" thickBot="1" x14ac:dyDescent="0.35">
      <c r="F5019" s="402" t="s">
        <v>22</v>
      </c>
      <c r="G5019" s="403"/>
      <c r="H5019" s="403"/>
      <c r="I5019" s="404"/>
      <c r="K5019" s="224">
        <f>+K5015+K5017</f>
        <v>1428</v>
      </c>
      <c r="L5019" s="117">
        <f>+L5015+L5017</f>
        <v>4284</v>
      </c>
    </row>
    <row r="5020" spans="2:16" ht="17.25" thickBot="1" x14ac:dyDescent="0.35">
      <c r="F5020" s="126"/>
      <c r="G5020" s="280"/>
      <c r="H5020" s="128"/>
      <c r="I5020" s="106"/>
      <c r="K5020" s="226"/>
      <c r="L5020" s="130">
        <f>L5019/I4971</f>
        <v>1428</v>
      </c>
      <c r="M5020" s="131">
        <f>(K5019-L5020)*I4971</f>
        <v>0</v>
      </c>
    </row>
    <row r="5021" spans="2:16" x14ac:dyDescent="0.3">
      <c r="F5021" s="126"/>
      <c r="G5021" s="280"/>
      <c r="H5021" s="128"/>
      <c r="I5021" s="106"/>
      <c r="K5021" s="227"/>
      <c r="L5021" s="129"/>
      <c r="M5021" s="132"/>
      <c r="N5021" s="133"/>
    </row>
    <row r="5022" spans="2:16" ht="17.25" thickBot="1" x14ac:dyDescent="0.35">
      <c r="B5022" s="405"/>
      <c r="C5022" s="405"/>
      <c r="D5022" s="405"/>
    </row>
    <row r="5023" spans="2:16" x14ac:dyDescent="0.3">
      <c r="B5023" s="406" t="s">
        <v>23</v>
      </c>
      <c r="C5023" s="406"/>
      <c r="D5023" s="406"/>
    </row>
    <row r="5024" spans="2:16" x14ac:dyDescent="0.3">
      <c r="B5024" s="281"/>
      <c r="C5024" s="281"/>
      <c r="D5024" s="281"/>
    </row>
    <row r="5026" spans="1:16" x14ac:dyDescent="0.3">
      <c r="B5026" s="103" t="s">
        <v>43</v>
      </c>
      <c r="C5026" s="104"/>
      <c r="D5026" s="422" t="s">
        <v>1</v>
      </c>
      <c r="E5026" s="422"/>
      <c r="F5026" s="422"/>
      <c r="G5026" s="422"/>
      <c r="H5026" s="104"/>
      <c r="I5026" s="105" t="s">
        <v>2</v>
      </c>
      <c r="J5026" s="134"/>
      <c r="K5026" s="105" t="s">
        <v>3</v>
      </c>
    </row>
    <row r="5027" spans="1:16" s="58" customFormat="1" ht="30.75" customHeight="1" x14ac:dyDescent="0.25">
      <c r="A5027" s="56"/>
      <c r="B5027" s="287">
        <f>CATALOGO!B147</f>
        <v>111.03</v>
      </c>
      <c r="C5027" s="135"/>
      <c r="D5027" s="435" t="str">
        <f>CATALOGO!C147</f>
        <v>DEMOLICIÓN DE PISO CERÁMICO/PORCELANATO</v>
      </c>
      <c r="E5027" s="435"/>
      <c r="F5027" s="435"/>
      <c r="G5027" s="435"/>
      <c r="H5027" s="135"/>
      <c r="I5027" s="287">
        <f>CATALOGO!D147</f>
        <v>6</v>
      </c>
      <c r="J5027" s="107"/>
      <c r="K5027" s="222" t="str">
        <f>CATALOGO!G147</f>
        <v>m²</v>
      </c>
      <c r="L5027" s="135"/>
      <c r="M5027" s="135"/>
      <c r="N5027" s="135"/>
      <c r="O5027" s="57"/>
      <c r="P5027" s="57"/>
    </row>
    <row r="5028" spans="1:16" ht="17.25" thickBot="1" x14ac:dyDescent="0.35"/>
    <row r="5029" spans="1:16" ht="17.25" thickBot="1" x14ac:dyDescent="0.35">
      <c r="B5029" s="108" t="s">
        <v>4</v>
      </c>
      <c r="C5029" s="413" t="s">
        <v>5</v>
      </c>
      <c r="D5029" s="413"/>
      <c r="E5029" s="413"/>
      <c r="F5029" s="413"/>
      <c r="G5029" s="414"/>
    </row>
    <row r="5030" spans="1:16" x14ac:dyDescent="0.3">
      <c r="B5030" s="109" t="s">
        <v>6</v>
      </c>
      <c r="C5030" s="424" t="s">
        <v>1</v>
      </c>
      <c r="D5030" s="425"/>
      <c r="E5030" s="110" t="s">
        <v>192</v>
      </c>
      <c r="F5030" s="111" t="s">
        <v>2</v>
      </c>
      <c r="G5030" s="112" t="s">
        <v>3</v>
      </c>
      <c r="H5030" s="104"/>
      <c r="I5030" s="105" t="s">
        <v>7</v>
      </c>
      <c r="J5030" s="134"/>
      <c r="K5030" s="223" t="s">
        <v>8</v>
      </c>
      <c r="L5030" s="113" t="s">
        <v>193</v>
      </c>
    </row>
    <row r="5031" spans="1:16" x14ac:dyDescent="0.3">
      <c r="B5031" s="74"/>
      <c r="C5031" s="409"/>
      <c r="D5031" s="409"/>
      <c r="E5031" s="114"/>
      <c r="F5031" s="83"/>
      <c r="G5031" s="74"/>
      <c r="I5031" s="115">
        <f>IF(C5031=0,0,VLOOKUP(C5031,Tabla1[],3,FALSE))</f>
        <v>0</v>
      </c>
      <c r="K5031" s="84">
        <f>+F5031*I5031</f>
        <v>0</v>
      </c>
      <c r="L5031" s="116">
        <f>E5031*I5031</f>
        <v>0</v>
      </c>
    </row>
    <row r="5032" spans="1:16" x14ac:dyDescent="0.3">
      <c r="B5032" s="74"/>
      <c r="C5032" s="409"/>
      <c r="D5032" s="409"/>
      <c r="E5032" s="114"/>
      <c r="F5032" s="83"/>
      <c r="G5032" s="74"/>
      <c r="I5032" s="115">
        <f>IF(C5032=0,0,VLOOKUP(C5032,Tabla1[],3,FALSE))</f>
        <v>0</v>
      </c>
      <c r="K5032" s="84">
        <f t="shared" ref="K5032:K5040" si="132">+F5032*I5032</f>
        <v>0</v>
      </c>
      <c r="L5032" s="116">
        <f t="shared" ref="L5032:L5040" si="133">E5032*I5032</f>
        <v>0</v>
      </c>
    </row>
    <row r="5033" spans="1:16" x14ac:dyDescent="0.3">
      <c r="B5033" s="74"/>
      <c r="C5033" s="409"/>
      <c r="D5033" s="409"/>
      <c r="E5033" s="114"/>
      <c r="F5033" s="83"/>
      <c r="G5033" s="74"/>
      <c r="I5033" s="115">
        <f>IF(C5033=0,0,VLOOKUP(C5033,Tabla1[],3,FALSE))</f>
        <v>0</v>
      </c>
      <c r="K5033" s="84">
        <f t="shared" si="132"/>
        <v>0</v>
      </c>
      <c r="L5033" s="116">
        <f t="shared" si="133"/>
        <v>0</v>
      </c>
    </row>
    <row r="5034" spans="1:16" x14ac:dyDescent="0.3">
      <c r="B5034" s="74"/>
      <c r="C5034" s="409"/>
      <c r="D5034" s="409"/>
      <c r="E5034" s="114"/>
      <c r="F5034" s="83"/>
      <c r="G5034" s="74"/>
      <c r="I5034" s="115">
        <f>IF(C5034=0,0,VLOOKUP(C5034,Tabla1[],3,FALSE))</f>
        <v>0</v>
      </c>
      <c r="K5034" s="84">
        <f t="shared" si="132"/>
        <v>0</v>
      </c>
      <c r="L5034" s="116">
        <f t="shared" si="133"/>
        <v>0</v>
      </c>
    </row>
    <row r="5035" spans="1:16" x14ac:dyDescent="0.3">
      <c r="B5035" s="74"/>
      <c r="C5035" s="410"/>
      <c r="D5035" s="410"/>
      <c r="E5035" s="114"/>
      <c r="F5035" s="83"/>
      <c r="G5035" s="74"/>
      <c r="I5035" s="115">
        <f>IF(C5035=0,0,VLOOKUP(C5035,Tabla1[],3,FALSE))</f>
        <v>0</v>
      </c>
      <c r="K5035" s="84">
        <f t="shared" si="132"/>
        <v>0</v>
      </c>
      <c r="L5035" s="116">
        <f t="shared" si="133"/>
        <v>0</v>
      </c>
    </row>
    <row r="5036" spans="1:16" x14ac:dyDescent="0.3">
      <c r="B5036" s="74"/>
      <c r="C5036" s="410"/>
      <c r="D5036" s="410"/>
      <c r="E5036" s="114"/>
      <c r="F5036" s="72"/>
      <c r="G5036" s="74"/>
      <c r="I5036" s="115">
        <f>IF(C5036=0,0,VLOOKUP(C5036,Tabla1[],3,FALSE))</f>
        <v>0</v>
      </c>
      <c r="K5036" s="84">
        <f t="shared" si="132"/>
        <v>0</v>
      </c>
      <c r="L5036" s="116">
        <f t="shared" si="133"/>
        <v>0</v>
      </c>
    </row>
    <row r="5037" spans="1:16" x14ac:dyDescent="0.3">
      <c r="B5037" s="74"/>
      <c r="C5037" s="410"/>
      <c r="D5037" s="410"/>
      <c r="E5037" s="114"/>
      <c r="F5037" s="72"/>
      <c r="G5037" s="74"/>
      <c r="I5037" s="115">
        <f>IF(C5037=0,0,VLOOKUP(C5037,Tabla1[],3,FALSE))</f>
        <v>0</v>
      </c>
      <c r="K5037" s="84">
        <f t="shared" si="132"/>
        <v>0</v>
      </c>
      <c r="L5037" s="116">
        <f t="shared" si="133"/>
        <v>0</v>
      </c>
    </row>
    <row r="5038" spans="1:16" x14ac:dyDescent="0.3">
      <c r="B5038" s="74"/>
      <c r="C5038" s="410"/>
      <c r="D5038" s="410"/>
      <c r="E5038" s="114"/>
      <c r="F5038" s="72"/>
      <c r="G5038" s="74"/>
      <c r="I5038" s="115">
        <f>IF(C5038=0,0,VLOOKUP(C5038,Tabla1[],3,FALSE))</f>
        <v>0</v>
      </c>
      <c r="K5038" s="84">
        <f t="shared" si="132"/>
        <v>0</v>
      </c>
      <c r="L5038" s="116">
        <f t="shared" si="133"/>
        <v>0</v>
      </c>
    </row>
    <row r="5039" spans="1:16" x14ac:dyDescent="0.3">
      <c r="B5039" s="74"/>
      <c r="C5039" s="410"/>
      <c r="D5039" s="410"/>
      <c r="E5039" s="114"/>
      <c r="F5039" s="72"/>
      <c r="G5039" s="74"/>
      <c r="I5039" s="115">
        <f>IF(C5039=0,0,VLOOKUP(C5039,Tabla1[],3,FALSE))</f>
        <v>0</v>
      </c>
      <c r="K5039" s="84">
        <f t="shared" si="132"/>
        <v>0</v>
      </c>
      <c r="L5039" s="116">
        <f t="shared" si="133"/>
        <v>0</v>
      </c>
    </row>
    <row r="5040" spans="1:16" x14ac:dyDescent="0.3">
      <c r="B5040" s="74"/>
      <c r="C5040" s="410"/>
      <c r="D5040" s="410"/>
      <c r="E5040" s="114"/>
      <c r="F5040" s="72"/>
      <c r="G5040" s="74"/>
      <c r="I5040" s="115">
        <f>IF(C5040=0,0,VLOOKUP(C5040,Tabla1[],3,FALSE))</f>
        <v>0</v>
      </c>
      <c r="K5040" s="84">
        <f t="shared" si="132"/>
        <v>0</v>
      </c>
      <c r="L5040" s="116">
        <f t="shared" si="133"/>
        <v>0</v>
      </c>
    </row>
    <row r="5041" spans="2:12" ht="17.25" thickBot="1" x14ac:dyDescent="0.35"/>
    <row r="5042" spans="2:12" ht="17.25" thickBot="1" x14ac:dyDescent="0.35">
      <c r="F5042" s="402" t="s">
        <v>9</v>
      </c>
      <c r="G5042" s="403"/>
      <c r="H5042" s="403"/>
      <c r="I5042" s="404"/>
      <c r="K5042" s="224">
        <f>+SUM(K5031:K5040)</f>
        <v>0</v>
      </c>
      <c r="L5042" s="117">
        <f>+SUM(L5031:L5040)</f>
        <v>0</v>
      </c>
    </row>
    <row r="5043" spans="2:12" ht="17.25" thickBot="1" x14ac:dyDescent="0.35"/>
    <row r="5044" spans="2:12" ht="17.25" thickBot="1" x14ac:dyDescent="0.35">
      <c r="B5044" s="108" t="s">
        <v>10</v>
      </c>
      <c r="C5044" s="413" t="s">
        <v>11</v>
      </c>
      <c r="D5044" s="413"/>
      <c r="E5044" s="413"/>
      <c r="F5044" s="413"/>
      <c r="G5044" s="414"/>
    </row>
    <row r="5045" spans="2:12" x14ac:dyDescent="0.3">
      <c r="B5045" s="112" t="s">
        <v>6</v>
      </c>
      <c r="C5045" s="415" t="s">
        <v>1</v>
      </c>
      <c r="D5045" s="416"/>
      <c r="E5045" s="110" t="s">
        <v>192</v>
      </c>
      <c r="F5045" s="118" t="s">
        <v>2</v>
      </c>
      <c r="G5045" s="112" t="s">
        <v>3</v>
      </c>
      <c r="H5045" s="104"/>
      <c r="I5045" s="105" t="s">
        <v>7</v>
      </c>
      <c r="J5045" s="134"/>
      <c r="K5045" s="105" t="s">
        <v>8</v>
      </c>
      <c r="L5045" s="113" t="s">
        <v>193</v>
      </c>
    </row>
    <row r="5046" spans="2:12" x14ac:dyDescent="0.3">
      <c r="B5046" s="120"/>
      <c r="C5046" s="409"/>
      <c r="D5046" s="409"/>
      <c r="E5046" s="114"/>
      <c r="F5046" s="83"/>
      <c r="G5046" s="74"/>
      <c r="I5046" s="115"/>
      <c r="K5046" s="84"/>
      <c r="L5046" s="116">
        <f>E5046*I5046</f>
        <v>0</v>
      </c>
    </row>
    <row r="5047" spans="2:12" x14ac:dyDescent="0.3">
      <c r="B5047" s="74"/>
      <c r="C5047" s="282"/>
      <c r="D5047" s="283"/>
      <c r="E5047" s="119"/>
      <c r="F5047" s="72"/>
      <c r="G5047" s="74"/>
      <c r="I5047" s="115">
        <f>IF(C5047=0,0,VLOOKUP(C5047,Tabla3[],3,FALSE))</f>
        <v>0</v>
      </c>
      <c r="K5047" s="84">
        <f>+F5047*I5047</f>
        <v>0</v>
      </c>
      <c r="L5047" s="116">
        <f>E5047*I5047</f>
        <v>0</v>
      </c>
    </row>
    <row r="5048" spans="2:12" x14ac:dyDescent="0.3">
      <c r="B5048" s="74"/>
      <c r="C5048" s="282"/>
      <c r="D5048" s="283"/>
      <c r="E5048" s="119"/>
      <c r="F5048" s="72"/>
      <c r="G5048" s="74"/>
      <c r="I5048" s="115">
        <f>IF(C5048=0,0,VLOOKUP(C5048,Tabla3[],3,FALSE))</f>
        <v>0</v>
      </c>
      <c r="K5048" s="84">
        <f>+F5048*I5048</f>
        <v>0</v>
      </c>
      <c r="L5048" s="116">
        <f>E5048*I5048</f>
        <v>0</v>
      </c>
    </row>
    <row r="5049" spans="2:12" x14ac:dyDescent="0.3">
      <c r="B5049" s="74"/>
      <c r="C5049" s="411"/>
      <c r="D5049" s="412"/>
      <c r="E5049" s="119"/>
      <c r="F5049" s="72"/>
      <c r="G5049" s="74"/>
      <c r="I5049" s="115">
        <f>IF(C5049=0,0,VLOOKUP(C5049,Tabla3[],3,FALSE))</f>
        <v>0</v>
      </c>
      <c r="K5049" s="84">
        <f>+F5049*I5049</f>
        <v>0</v>
      </c>
      <c r="L5049" s="116">
        <f>E5049*I5049</f>
        <v>0</v>
      </c>
    </row>
    <row r="5050" spans="2:12" ht="17.25" thickBot="1" x14ac:dyDescent="0.35"/>
    <row r="5051" spans="2:12" ht="17.25" thickBot="1" x14ac:dyDescent="0.35">
      <c r="F5051" s="402" t="s">
        <v>12</v>
      </c>
      <c r="G5051" s="403"/>
      <c r="H5051" s="403"/>
      <c r="I5051" s="404"/>
      <c r="K5051" s="224">
        <f>+SUM(K5046:K5049)</f>
        <v>0</v>
      </c>
      <c r="L5051" s="117">
        <f>+SUM(L5046:L5049)</f>
        <v>0</v>
      </c>
    </row>
    <row r="5052" spans="2:12" ht="17.25" thickBot="1" x14ac:dyDescent="0.35"/>
    <row r="5053" spans="2:12" ht="17.25" thickBot="1" x14ac:dyDescent="0.35">
      <c r="B5053" s="108" t="s">
        <v>13</v>
      </c>
      <c r="C5053" s="413" t="s">
        <v>14</v>
      </c>
      <c r="D5053" s="413"/>
      <c r="E5053" s="413"/>
      <c r="F5053" s="413"/>
      <c r="G5053" s="414"/>
    </row>
    <row r="5054" spans="2:12" x14ac:dyDescent="0.3">
      <c r="B5054" s="112" t="s">
        <v>6</v>
      </c>
      <c r="C5054" s="415" t="s">
        <v>1</v>
      </c>
      <c r="D5054" s="416"/>
      <c r="E5054" s="110" t="s">
        <v>192</v>
      </c>
      <c r="F5054" s="118" t="s">
        <v>2</v>
      </c>
      <c r="G5054" s="112" t="s">
        <v>3</v>
      </c>
      <c r="H5054" s="104"/>
      <c r="I5054" s="105" t="s">
        <v>7</v>
      </c>
      <c r="J5054" s="134"/>
      <c r="K5054" s="105" t="s">
        <v>8</v>
      </c>
      <c r="L5054" s="113" t="s">
        <v>193</v>
      </c>
    </row>
    <row r="5055" spans="2:12" x14ac:dyDescent="0.3">
      <c r="B5055" s="120">
        <v>1</v>
      </c>
      <c r="C5055" s="409" t="s">
        <v>194</v>
      </c>
      <c r="D5055" s="409"/>
      <c r="E5055" s="114">
        <f>I5027</f>
        <v>6</v>
      </c>
      <c r="F5055" s="83">
        <f>ROUND(E5055/I5027,2)</f>
        <v>1</v>
      </c>
      <c r="G5055" s="74" t="str">
        <f>IF(C5055=0,0,VLOOKUP(C5055,Tabla2[],2,FALSE))</f>
        <v>m²</v>
      </c>
      <c r="I5055" s="115">
        <f>IF(C5055=0,0,VLOOKUP(C5055,Tabla2[],3,FALSE))</f>
        <v>90</v>
      </c>
      <c r="K5055" s="84">
        <f>+F5055*I5055</f>
        <v>90</v>
      </c>
      <c r="L5055" s="116">
        <f>E5055*I5055</f>
        <v>540</v>
      </c>
    </row>
    <row r="5056" spans="2:12" x14ac:dyDescent="0.3">
      <c r="B5056" s="120"/>
      <c r="C5056" s="409"/>
      <c r="D5056" s="409"/>
      <c r="E5056" s="114"/>
      <c r="F5056" s="83"/>
      <c r="G5056" s="74"/>
      <c r="I5056" s="115">
        <f>IF(C5056=0,0,VLOOKUP(C5056,Tabla2[],3,FALSE))</f>
        <v>0</v>
      </c>
      <c r="K5056" s="84">
        <f>+F5056*I5056</f>
        <v>0</v>
      </c>
      <c r="L5056" s="116">
        <f>E5056*I5056</f>
        <v>0</v>
      </c>
    </row>
    <row r="5057" spans="2:16" ht="17.25" thickBot="1" x14ac:dyDescent="0.35">
      <c r="B5057" s="121"/>
      <c r="C5057" s="417"/>
      <c r="D5057" s="418"/>
      <c r="E5057" s="122"/>
      <c r="F5057" s="123"/>
      <c r="G5057" s="74"/>
      <c r="I5057" s="115">
        <f>IF(C5057=0,0,VLOOKUP(C5057,Tabla2[],3,FALSE))</f>
        <v>0</v>
      </c>
      <c r="K5057" s="84">
        <f>+F5057*I5057</f>
        <v>0</v>
      </c>
      <c r="L5057" s="116">
        <f>E5057*I5057</f>
        <v>0</v>
      </c>
    </row>
    <row r="5058" spans="2:16" ht="17.25" thickBot="1" x14ac:dyDescent="0.35">
      <c r="B5058" s="419" t="s">
        <v>15</v>
      </c>
      <c r="C5058" s="420"/>
      <c r="D5058" s="420"/>
      <c r="E5058" s="420"/>
      <c r="F5058" s="420"/>
      <c r="G5058" s="421"/>
      <c r="I5058" s="84">
        <v>0</v>
      </c>
      <c r="K5058" s="84">
        <v>0</v>
      </c>
      <c r="L5058" s="116">
        <f>E5058*I5058</f>
        <v>0</v>
      </c>
    </row>
    <row r="5059" spans="2:16" ht="17.25" thickBot="1" x14ac:dyDescent="0.35"/>
    <row r="5060" spans="2:16" ht="17.25" thickBot="1" x14ac:dyDescent="0.35">
      <c r="F5060" s="402" t="s">
        <v>16</v>
      </c>
      <c r="G5060" s="403"/>
      <c r="H5060" s="403"/>
      <c r="I5060" s="404"/>
      <c r="K5060" s="224">
        <f>+SUM(K5055:K5058)</f>
        <v>90</v>
      </c>
      <c r="L5060" s="117">
        <f>+SUM(L5055:L5058)</f>
        <v>540</v>
      </c>
    </row>
    <row r="5061" spans="2:16" ht="17.25" thickBot="1" x14ac:dyDescent="0.35"/>
    <row r="5062" spans="2:16" ht="17.25" thickBot="1" x14ac:dyDescent="0.35">
      <c r="B5062" s="108" t="s">
        <v>17</v>
      </c>
      <c r="C5062" s="413" t="s">
        <v>18</v>
      </c>
      <c r="D5062" s="413"/>
      <c r="E5062" s="413"/>
      <c r="F5062" s="413"/>
      <c r="G5062" s="414"/>
    </row>
    <row r="5063" spans="2:16" x14ac:dyDescent="0.3">
      <c r="B5063" s="112" t="s">
        <v>6</v>
      </c>
      <c r="C5063" s="415" t="s">
        <v>1</v>
      </c>
      <c r="D5063" s="416"/>
      <c r="E5063" s="124"/>
      <c r="F5063" s="118" t="s">
        <v>2</v>
      </c>
      <c r="G5063" s="112" t="s">
        <v>3</v>
      </c>
      <c r="H5063" s="104"/>
      <c r="I5063" s="105" t="s">
        <v>7</v>
      </c>
      <c r="J5063" s="134"/>
      <c r="K5063" s="105" t="s">
        <v>8</v>
      </c>
      <c r="L5063" s="113" t="s">
        <v>193</v>
      </c>
    </row>
    <row r="5064" spans="2:16" x14ac:dyDescent="0.3">
      <c r="B5064" s="74"/>
      <c r="C5064" s="411"/>
      <c r="D5064" s="412"/>
      <c r="E5064" s="125"/>
      <c r="F5064" s="72"/>
      <c r="G5064" s="74"/>
      <c r="I5064" s="84">
        <v>0</v>
      </c>
      <c r="K5064" s="84">
        <f>+F5064*I5064</f>
        <v>0</v>
      </c>
      <c r="L5064" s="116">
        <f>E5064*I5064</f>
        <v>0</v>
      </c>
    </row>
    <row r="5065" spans="2:16" x14ac:dyDescent="0.3">
      <c r="B5065" s="74"/>
      <c r="C5065" s="411"/>
      <c r="D5065" s="412"/>
      <c r="E5065" s="125"/>
      <c r="F5065" s="72"/>
      <c r="G5065" s="74"/>
      <c r="I5065" s="84">
        <v>0</v>
      </c>
      <c r="K5065" s="84">
        <f>+F5065*I5065</f>
        <v>0</v>
      </c>
      <c r="L5065" s="116">
        <f>E5065*I5065</f>
        <v>0</v>
      </c>
    </row>
    <row r="5066" spans="2:16" x14ac:dyDescent="0.3">
      <c r="B5066" s="74"/>
      <c r="C5066" s="411"/>
      <c r="D5066" s="412"/>
      <c r="E5066" s="125"/>
      <c r="F5066" s="72"/>
      <c r="G5066" s="74"/>
      <c r="I5066" s="84">
        <v>0</v>
      </c>
      <c r="K5066" s="84">
        <f>+F5066*I5066</f>
        <v>0</v>
      </c>
      <c r="L5066" s="116">
        <f>E5066*I5066</f>
        <v>0</v>
      </c>
    </row>
    <row r="5067" spans="2:16" ht="17.25" thickBot="1" x14ac:dyDescent="0.35">
      <c r="L5067" s="116"/>
    </row>
    <row r="5068" spans="2:16" ht="17.25" thickBot="1" x14ac:dyDescent="0.35">
      <c r="F5068" s="402" t="s">
        <v>19</v>
      </c>
      <c r="G5068" s="403"/>
      <c r="H5068" s="403"/>
      <c r="I5068" s="404"/>
      <c r="K5068" s="224">
        <f>+SUM(K5064:K5066)</f>
        <v>0</v>
      </c>
      <c r="L5068" s="117">
        <f>+SUM(L5063:L5066)</f>
        <v>0</v>
      </c>
    </row>
    <row r="5069" spans="2:16" ht="15" customHeight="1" x14ac:dyDescent="0.3">
      <c r="F5069" s="126"/>
      <c r="G5069" s="280"/>
      <c r="H5069" s="128"/>
      <c r="I5069" s="106"/>
      <c r="K5069" s="225"/>
    </row>
    <row r="5070" spans="2:16" ht="15" customHeight="1" thickBot="1" x14ac:dyDescent="0.35"/>
    <row r="5071" spans="2:16" ht="17.25" thickBot="1" x14ac:dyDescent="0.35">
      <c r="F5071" s="402" t="s">
        <v>20</v>
      </c>
      <c r="G5071" s="403"/>
      <c r="H5071" s="403"/>
      <c r="I5071" s="404"/>
      <c r="K5071" s="224">
        <f>(+K5042+K5051+K5060+K5068)</f>
        <v>90</v>
      </c>
      <c r="L5071" s="117">
        <f>(+L5042+L5051+L5060+L5068)</f>
        <v>540</v>
      </c>
      <c r="N5071" s="129"/>
      <c r="O5071" s="39"/>
      <c r="P5071" s="40"/>
    </row>
    <row r="5072" spans="2:16" ht="7.5" customHeight="1" thickBot="1" x14ac:dyDescent="0.35">
      <c r="N5072" s="129"/>
      <c r="O5072" s="41"/>
      <c r="P5072" s="40"/>
    </row>
    <row r="5073" spans="1:16" ht="17.25" thickBot="1" x14ac:dyDescent="0.35">
      <c r="F5073" s="402" t="s">
        <v>21</v>
      </c>
      <c r="G5073" s="403"/>
      <c r="H5073" s="403"/>
      <c r="I5073" s="404"/>
      <c r="K5073" s="224">
        <f>K5071*$N$2</f>
        <v>36</v>
      </c>
      <c r="L5073" s="117">
        <f>L5071*$N$2</f>
        <v>216</v>
      </c>
    </row>
    <row r="5074" spans="1:16" ht="7.5" customHeight="1" thickBot="1" x14ac:dyDescent="0.35"/>
    <row r="5075" spans="1:16" ht="17.25" thickBot="1" x14ac:dyDescent="0.35">
      <c r="F5075" s="402" t="s">
        <v>22</v>
      </c>
      <c r="G5075" s="403"/>
      <c r="H5075" s="403"/>
      <c r="I5075" s="404"/>
      <c r="K5075" s="224">
        <f>+K5071+K5073</f>
        <v>126</v>
      </c>
      <c r="L5075" s="117">
        <f>+L5071+L5073</f>
        <v>756</v>
      </c>
    </row>
    <row r="5076" spans="1:16" ht="17.25" thickBot="1" x14ac:dyDescent="0.35">
      <c r="F5076" s="126"/>
      <c r="G5076" s="280"/>
      <c r="H5076" s="128"/>
      <c r="I5076" s="106"/>
      <c r="K5076" s="226"/>
      <c r="L5076" s="130">
        <f>L5075/I5027</f>
        <v>126</v>
      </c>
      <c r="M5076" s="131">
        <f>(K5075-L5076)*I5027</f>
        <v>0</v>
      </c>
    </row>
    <row r="5077" spans="1:16" x14ac:dyDescent="0.3">
      <c r="F5077" s="126"/>
      <c r="G5077" s="280"/>
      <c r="H5077" s="128"/>
      <c r="I5077" s="106"/>
      <c r="K5077" s="227"/>
      <c r="L5077" s="129"/>
      <c r="M5077" s="132"/>
      <c r="N5077" s="133"/>
    </row>
    <row r="5078" spans="1:16" ht="17.25" thickBot="1" x14ac:dyDescent="0.35">
      <c r="B5078" s="405"/>
      <c r="C5078" s="405"/>
      <c r="D5078" s="405"/>
    </row>
    <row r="5079" spans="1:16" x14ac:dyDescent="0.3">
      <c r="B5079" s="406" t="s">
        <v>23</v>
      </c>
      <c r="C5079" s="406"/>
      <c r="D5079" s="406"/>
    </row>
    <row r="5080" spans="1:16" x14ac:dyDescent="0.3">
      <c r="B5080" s="281"/>
      <c r="C5080" s="281"/>
      <c r="D5080" s="281"/>
    </row>
    <row r="5082" spans="1:16" x14ac:dyDescent="0.3">
      <c r="B5082" s="103" t="s">
        <v>43</v>
      </c>
      <c r="C5082" s="104"/>
      <c r="D5082" s="422" t="s">
        <v>1</v>
      </c>
      <c r="E5082" s="422"/>
      <c r="F5082" s="422"/>
      <c r="G5082" s="422"/>
      <c r="H5082" s="104"/>
      <c r="I5082" s="105" t="s">
        <v>2</v>
      </c>
      <c r="J5082" s="134"/>
      <c r="K5082" s="105" t="s">
        <v>3</v>
      </c>
    </row>
    <row r="5083" spans="1:16" s="58" customFormat="1" ht="30.75" customHeight="1" x14ac:dyDescent="0.25">
      <c r="A5083" s="56"/>
      <c r="B5083" s="287">
        <f>CATALOGO!B148</f>
        <v>117.01</v>
      </c>
      <c r="C5083" s="135"/>
      <c r="D5083" s="435" t="str">
        <f>CATALOGO!C148</f>
        <v>DESMONTAJE DE ARTEFACTOS SANITARIOS</v>
      </c>
      <c r="E5083" s="435"/>
      <c r="F5083" s="435"/>
      <c r="G5083" s="435"/>
      <c r="H5083" s="135"/>
      <c r="I5083" s="287">
        <f>CATALOGO!D148</f>
        <v>6</v>
      </c>
      <c r="J5083" s="107"/>
      <c r="K5083" s="222" t="str">
        <f>CATALOGO!G148</f>
        <v>Unidad</v>
      </c>
      <c r="L5083" s="135"/>
      <c r="M5083" s="135"/>
      <c r="N5083" s="135"/>
      <c r="O5083" s="57"/>
      <c r="P5083" s="57"/>
    </row>
    <row r="5084" spans="1:16" ht="17.25" thickBot="1" x14ac:dyDescent="0.35"/>
    <row r="5085" spans="1:16" ht="17.25" thickBot="1" x14ac:dyDescent="0.35">
      <c r="B5085" s="108" t="s">
        <v>4</v>
      </c>
      <c r="C5085" s="413" t="s">
        <v>5</v>
      </c>
      <c r="D5085" s="413"/>
      <c r="E5085" s="413"/>
      <c r="F5085" s="413"/>
      <c r="G5085" s="414"/>
    </row>
    <row r="5086" spans="1:16" x14ac:dyDescent="0.3">
      <c r="B5086" s="109" t="s">
        <v>6</v>
      </c>
      <c r="C5086" s="424" t="s">
        <v>1</v>
      </c>
      <c r="D5086" s="425"/>
      <c r="E5086" s="110" t="s">
        <v>192</v>
      </c>
      <c r="F5086" s="111" t="s">
        <v>2</v>
      </c>
      <c r="G5086" s="112" t="s">
        <v>3</v>
      </c>
      <c r="H5086" s="104"/>
      <c r="I5086" s="105" t="s">
        <v>7</v>
      </c>
      <c r="J5086" s="134"/>
      <c r="K5086" s="223" t="s">
        <v>8</v>
      </c>
      <c r="L5086" s="113" t="s">
        <v>193</v>
      </c>
    </row>
    <row r="5087" spans="1:16" x14ac:dyDescent="0.3">
      <c r="B5087" s="74"/>
      <c r="C5087" s="409"/>
      <c r="D5087" s="409"/>
      <c r="E5087" s="114"/>
      <c r="F5087" s="83"/>
      <c r="G5087" s="74"/>
      <c r="I5087" s="115">
        <f>IF(C5087=0,0,VLOOKUP(C5087,Tabla1[],3,FALSE))</f>
        <v>0</v>
      </c>
      <c r="K5087" s="84">
        <f>+F5087*I5087</f>
        <v>0</v>
      </c>
      <c r="L5087" s="116">
        <f>E5087*I5087</f>
        <v>0</v>
      </c>
    </row>
    <row r="5088" spans="1:16" x14ac:dyDescent="0.3">
      <c r="B5088" s="74"/>
      <c r="C5088" s="409"/>
      <c r="D5088" s="409"/>
      <c r="E5088" s="114"/>
      <c r="F5088" s="83"/>
      <c r="G5088" s="74"/>
      <c r="I5088" s="115">
        <f>IF(C5088=0,0,VLOOKUP(C5088,Tabla1[],3,FALSE))</f>
        <v>0</v>
      </c>
      <c r="K5088" s="84">
        <f t="shared" ref="K5088:K5096" si="134">+F5088*I5088</f>
        <v>0</v>
      </c>
      <c r="L5088" s="116">
        <f t="shared" ref="L5088:L5096" si="135">E5088*I5088</f>
        <v>0</v>
      </c>
    </row>
    <row r="5089" spans="2:12" x14ac:dyDescent="0.3">
      <c r="B5089" s="74"/>
      <c r="C5089" s="409"/>
      <c r="D5089" s="409"/>
      <c r="E5089" s="114"/>
      <c r="F5089" s="83"/>
      <c r="G5089" s="74"/>
      <c r="I5089" s="115">
        <f>IF(C5089=0,0,VLOOKUP(C5089,Tabla1[],3,FALSE))</f>
        <v>0</v>
      </c>
      <c r="K5089" s="84">
        <f t="shared" si="134"/>
        <v>0</v>
      </c>
      <c r="L5089" s="116">
        <f t="shared" si="135"/>
        <v>0</v>
      </c>
    </row>
    <row r="5090" spans="2:12" x14ac:dyDescent="0.3">
      <c r="B5090" s="74"/>
      <c r="C5090" s="409"/>
      <c r="D5090" s="409"/>
      <c r="E5090" s="114"/>
      <c r="F5090" s="83"/>
      <c r="G5090" s="74"/>
      <c r="I5090" s="115">
        <f>IF(C5090=0,0,VLOOKUP(C5090,Tabla1[],3,FALSE))</f>
        <v>0</v>
      </c>
      <c r="K5090" s="84">
        <f t="shared" si="134"/>
        <v>0</v>
      </c>
      <c r="L5090" s="116">
        <f t="shared" si="135"/>
        <v>0</v>
      </c>
    </row>
    <row r="5091" spans="2:12" x14ac:dyDescent="0.3">
      <c r="B5091" s="74"/>
      <c r="C5091" s="410"/>
      <c r="D5091" s="410"/>
      <c r="E5091" s="114"/>
      <c r="F5091" s="83"/>
      <c r="G5091" s="74"/>
      <c r="I5091" s="115">
        <f>IF(C5091=0,0,VLOOKUP(C5091,Tabla1[],3,FALSE))</f>
        <v>0</v>
      </c>
      <c r="K5091" s="84">
        <f t="shared" si="134"/>
        <v>0</v>
      </c>
      <c r="L5091" s="116">
        <f t="shared" si="135"/>
        <v>0</v>
      </c>
    </row>
    <row r="5092" spans="2:12" x14ac:dyDescent="0.3">
      <c r="B5092" s="74"/>
      <c r="C5092" s="410"/>
      <c r="D5092" s="410"/>
      <c r="E5092" s="114"/>
      <c r="F5092" s="72"/>
      <c r="G5092" s="74"/>
      <c r="I5092" s="115">
        <f>IF(C5092=0,0,VLOOKUP(C5092,Tabla1[],3,FALSE))</f>
        <v>0</v>
      </c>
      <c r="K5092" s="84">
        <f t="shared" si="134"/>
        <v>0</v>
      </c>
      <c r="L5092" s="116">
        <f t="shared" si="135"/>
        <v>0</v>
      </c>
    </row>
    <row r="5093" spans="2:12" x14ac:dyDescent="0.3">
      <c r="B5093" s="74"/>
      <c r="C5093" s="410"/>
      <c r="D5093" s="410"/>
      <c r="E5093" s="114"/>
      <c r="F5093" s="72"/>
      <c r="G5093" s="74"/>
      <c r="I5093" s="115">
        <f>IF(C5093=0,0,VLOOKUP(C5093,Tabla1[],3,FALSE))</f>
        <v>0</v>
      </c>
      <c r="K5093" s="84">
        <f t="shared" si="134"/>
        <v>0</v>
      </c>
      <c r="L5093" s="116">
        <f t="shared" si="135"/>
        <v>0</v>
      </c>
    </row>
    <row r="5094" spans="2:12" x14ac:dyDescent="0.3">
      <c r="B5094" s="74"/>
      <c r="C5094" s="410"/>
      <c r="D5094" s="410"/>
      <c r="E5094" s="114"/>
      <c r="F5094" s="72"/>
      <c r="G5094" s="74"/>
      <c r="I5094" s="115">
        <f>IF(C5094=0,0,VLOOKUP(C5094,Tabla1[],3,FALSE))</f>
        <v>0</v>
      </c>
      <c r="K5094" s="84">
        <f t="shared" si="134"/>
        <v>0</v>
      </c>
      <c r="L5094" s="116">
        <f t="shared" si="135"/>
        <v>0</v>
      </c>
    </row>
    <row r="5095" spans="2:12" x14ac:dyDescent="0.3">
      <c r="B5095" s="74"/>
      <c r="C5095" s="410"/>
      <c r="D5095" s="410"/>
      <c r="E5095" s="114"/>
      <c r="F5095" s="72"/>
      <c r="G5095" s="74"/>
      <c r="I5095" s="115">
        <f>IF(C5095=0,0,VLOOKUP(C5095,Tabla1[],3,FALSE))</f>
        <v>0</v>
      </c>
      <c r="K5095" s="84">
        <f t="shared" si="134"/>
        <v>0</v>
      </c>
      <c r="L5095" s="116">
        <f t="shared" si="135"/>
        <v>0</v>
      </c>
    </row>
    <row r="5096" spans="2:12" x14ac:dyDescent="0.3">
      <c r="B5096" s="74"/>
      <c r="C5096" s="410"/>
      <c r="D5096" s="410"/>
      <c r="E5096" s="114"/>
      <c r="F5096" s="72"/>
      <c r="G5096" s="74"/>
      <c r="I5096" s="115">
        <f>IF(C5096=0,0,VLOOKUP(C5096,Tabla1[],3,FALSE))</f>
        <v>0</v>
      </c>
      <c r="K5096" s="84">
        <f t="shared" si="134"/>
        <v>0</v>
      </c>
      <c r="L5096" s="116">
        <f t="shared" si="135"/>
        <v>0</v>
      </c>
    </row>
    <row r="5097" spans="2:12" ht="17.25" thickBot="1" x14ac:dyDescent="0.35"/>
    <row r="5098" spans="2:12" ht="17.25" thickBot="1" x14ac:dyDescent="0.35">
      <c r="F5098" s="402" t="s">
        <v>9</v>
      </c>
      <c r="G5098" s="403"/>
      <c r="H5098" s="403"/>
      <c r="I5098" s="404"/>
      <c r="K5098" s="224">
        <f>+SUM(K5087:K5096)</f>
        <v>0</v>
      </c>
      <c r="L5098" s="117">
        <f>+SUM(L5087:L5096)</f>
        <v>0</v>
      </c>
    </row>
    <row r="5099" spans="2:12" ht="17.25" thickBot="1" x14ac:dyDescent="0.35"/>
    <row r="5100" spans="2:12" ht="17.25" thickBot="1" x14ac:dyDescent="0.35">
      <c r="B5100" s="108" t="s">
        <v>10</v>
      </c>
      <c r="C5100" s="413" t="s">
        <v>11</v>
      </c>
      <c r="D5100" s="413"/>
      <c r="E5100" s="413"/>
      <c r="F5100" s="413"/>
      <c r="G5100" s="414"/>
    </row>
    <row r="5101" spans="2:12" x14ac:dyDescent="0.3">
      <c r="B5101" s="112" t="s">
        <v>6</v>
      </c>
      <c r="C5101" s="415" t="s">
        <v>1</v>
      </c>
      <c r="D5101" s="416"/>
      <c r="E5101" s="110" t="s">
        <v>192</v>
      </c>
      <c r="F5101" s="118" t="s">
        <v>2</v>
      </c>
      <c r="G5101" s="112" t="s">
        <v>3</v>
      </c>
      <c r="H5101" s="104"/>
      <c r="I5101" s="105" t="s">
        <v>7</v>
      </c>
      <c r="J5101" s="134"/>
      <c r="K5101" s="105" t="s">
        <v>8</v>
      </c>
      <c r="L5101" s="113" t="s">
        <v>193</v>
      </c>
    </row>
    <row r="5102" spans="2:12" x14ac:dyDescent="0.3">
      <c r="B5102" s="120">
        <v>1</v>
      </c>
      <c r="C5102" s="409" t="s">
        <v>189</v>
      </c>
      <c r="D5102" s="409"/>
      <c r="E5102" s="114">
        <f>I5083*0.6</f>
        <v>3.5999999999999996</v>
      </c>
      <c r="F5102" s="83">
        <f>ROUND(E5102/I5083,2)</f>
        <v>0.6</v>
      </c>
      <c r="G5102" s="74" t="str">
        <f>IF(C5102=0,0,VLOOKUP(C5102,Tabla3[],2,FALSE))</f>
        <v>Viaje</v>
      </c>
      <c r="I5102" s="115">
        <f>IF(C5102=0,0,VLOOKUP(C5102,Tabla3[],3,FALSE))</f>
        <v>200</v>
      </c>
      <c r="K5102" s="84">
        <f>+F5102*I5102</f>
        <v>120</v>
      </c>
      <c r="L5102" s="116">
        <f>E5102*I5102</f>
        <v>719.99999999999989</v>
      </c>
    </row>
    <row r="5103" spans="2:12" x14ac:dyDescent="0.3">
      <c r="B5103" s="74"/>
      <c r="C5103" s="282"/>
      <c r="D5103" s="283"/>
      <c r="E5103" s="119"/>
      <c r="F5103" s="72"/>
      <c r="G5103" s="74"/>
      <c r="I5103" s="115">
        <f>IF(C5103=0,0,VLOOKUP(C5103,Tabla3[],3,FALSE))</f>
        <v>0</v>
      </c>
      <c r="K5103" s="84">
        <f>+F5103*I5103</f>
        <v>0</v>
      </c>
      <c r="L5103" s="116">
        <f>E5103*I5103</f>
        <v>0</v>
      </c>
    </row>
    <row r="5104" spans="2:12" x14ac:dyDescent="0.3">
      <c r="B5104" s="74"/>
      <c r="C5104" s="282"/>
      <c r="D5104" s="283"/>
      <c r="E5104" s="119"/>
      <c r="F5104" s="72"/>
      <c r="G5104" s="74"/>
      <c r="I5104" s="115">
        <f>IF(C5104=0,0,VLOOKUP(C5104,Tabla3[],3,FALSE))</f>
        <v>0</v>
      </c>
      <c r="K5104" s="84">
        <f>+F5104*I5104</f>
        <v>0</v>
      </c>
      <c r="L5104" s="116">
        <f>E5104*I5104</f>
        <v>0</v>
      </c>
    </row>
    <row r="5105" spans="2:12" x14ac:dyDescent="0.3">
      <c r="B5105" s="74"/>
      <c r="C5105" s="411"/>
      <c r="D5105" s="412"/>
      <c r="E5105" s="119"/>
      <c r="F5105" s="72"/>
      <c r="G5105" s="74"/>
      <c r="I5105" s="115">
        <f>IF(C5105=0,0,VLOOKUP(C5105,Tabla3[],3,FALSE))</f>
        <v>0</v>
      </c>
      <c r="K5105" s="84">
        <f>+F5105*I5105</f>
        <v>0</v>
      </c>
      <c r="L5105" s="116">
        <f>E5105*I5105</f>
        <v>0</v>
      </c>
    </row>
    <row r="5106" spans="2:12" ht="17.25" thickBot="1" x14ac:dyDescent="0.35"/>
    <row r="5107" spans="2:12" ht="17.25" thickBot="1" x14ac:dyDescent="0.35">
      <c r="F5107" s="402" t="s">
        <v>12</v>
      </c>
      <c r="G5107" s="403"/>
      <c r="H5107" s="403"/>
      <c r="I5107" s="404"/>
      <c r="K5107" s="224">
        <f>+SUM(K5102:K5105)</f>
        <v>120</v>
      </c>
      <c r="L5107" s="117">
        <f>+SUM(L5102:L5105)</f>
        <v>719.99999999999989</v>
      </c>
    </row>
    <row r="5108" spans="2:12" ht="17.25" thickBot="1" x14ac:dyDescent="0.35"/>
    <row r="5109" spans="2:12" ht="17.25" thickBot="1" x14ac:dyDescent="0.35">
      <c r="B5109" s="108" t="s">
        <v>13</v>
      </c>
      <c r="C5109" s="413" t="s">
        <v>14</v>
      </c>
      <c r="D5109" s="413"/>
      <c r="E5109" s="413"/>
      <c r="F5109" s="413"/>
      <c r="G5109" s="414"/>
    </row>
    <row r="5110" spans="2:12" x14ac:dyDescent="0.3">
      <c r="B5110" s="112" t="s">
        <v>6</v>
      </c>
      <c r="C5110" s="415" t="s">
        <v>1</v>
      </c>
      <c r="D5110" s="416"/>
      <c r="E5110" s="110" t="s">
        <v>192</v>
      </c>
      <c r="F5110" s="118" t="s">
        <v>2</v>
      </c>
      <c r="G5110" s="112" t="s">
        <v>3</v>
      </c>
      <c r="H5110" s="104"/>
      <c r="I5110" s="105" t="s">
        <v>7</v>
      </c>
      <c r="J5110" s="134"/>
      <c r="K5110" s="105" t="s">
        <v>8</v>
      </c>
      <c r="L5110" s="113" t="s">
        <v>193</v>
      </c>
    </row>
    <row r="5111" spans="2:12" x14ac:dyDescent="0.3">
      <c r="B5111" s="120">
        <v>1</v>
      </c>
      <c r="C5111" s="409" t="s">
        <v>328</v>
      </c>
      <c r="D5111" s="409"/>
      <c r="E5111" s="114">
        <f>I5083</f>
        <v>6</v>
      </c>
      <c r="F5111" s="83">
        <f>ROUND(E5111/I5083,2)</f>
        <v>1</v>
      </c>
      <c r="G5111" s="74" t="str">
        <f>IF(C5111=0,0,VLOOKUP(C5111,Tabla2[],2,FALSE))</f>
        <v>Unidad</v>
      </c>
      <c r="I5111" s="115">
        <f>IF(C5111=0,0,VLOOKUP(C5111,Tabla2[],3,FALSE))</f>
        <v>140</v>
      </c>
      <c r="K5111" s="84">
        <f>+F5111*I5111</f>
        <v>140</v>
      </c>
      <c r="L5111" s="116">
        <f>E5111*I5111</f>
        <v>840</v>
      </c>
    </row>
    <row r="5112" spans="2:12" x14ac:dyDescent="0.3">
      <c r="B5112" s="120"/>
      <c r="C5112" s="409"/>
      <c r="D5112" s="409"/>
      <c r="E5112" s="114"/>
      <c r="F5112" s="83"/>
      <c r="G5112" s="74"/>
      <c r="I5112" s="115">
        <f>IF(C5112=0,0,VLOOKUP(C5112,Tabla2[],3,FALSE))</f>
        <v>0</v>
      </c>
      <c r="K5112" s="84">
        <f>+F5112*I5112</f>
        <v>0</v>
      </c>
      <c r="L5112" s="116">
        <f>E5112*I5112</f>
        <v>0</v>
      </c>
    </row>
    <row r="5113" spans="2:12" ht="17.25" thickBot="1" x14ac:dyDescent="0.35">
      <c r="B5113" s="121"/>
      <c r="C5113" s="417"/>
      <c r="D5113" s="418"/>
      <c r="E5113" s="122"/>
      <c r="F5113" s="123"/>
      <c r="G5113" s="74"/>
      <c r="I5113" s="115">
        <f>IF(C5113=0,0,VLOOKUP(C5113,Tabla2[],3,FALSE))</f>
        <v>0</v>
      </c>
      <c r="K5113" s="84">
        <f>+F5113*I5113</f>
        <v>0</v>
      </c>
      <c r="L5113" s="116">
        <f>E5113*I5113</f>
        <v>0</v>
      </c>
    </row>
    <row r="5114" spans="2:12" ht="17.25" thickBot="1" x14ac:dyDescent="0.35">
      <c r="B5114" s="419" t="s">
        <v>15</v>
      </c>
      <c r="C5114" s="420"/>
      <c r="D5114" s="420"/>
      <c r="E5114" s="420"/>
      <c r="F5114" s="420"/>
      <c r="G5114" s="421"/>
      <c r="I5114" s="84">
        <v>0</v>
      </c>
      <c r="K5114" s="84">
        <v>0</v>
      </c>
      <c r="L5114" s="116">
        <f>E5114*I5114</f>
        <v>0</v>
      </c>
    </row>
    <row r="5115" spans="2:12" ht="17.25" thickBot="1" x14ac:dyDescent="0.35"/>
    <row r="5116" spans="2:12" ht="17.25" thickBot="1" x14ac:dyDescent="0.35">
      <c r="F5116" s="402" t="s">
        <v>16</v>
      </c>
      <c r="G5116" s="403"/>
      <c r="H5116" s="403"/>
      <c r="I5116" s="404"/>
      <c r="K5116" s="224">
        <f>+SUM(K5111:K5114)</f>
        <v>140</v>
      </c>
      <c r="L5116" s="117">
        <f>+SUM(L5111:L5114)</f>
        <v>840</v>
      </c>
    </row>
    <row r="5117" spans="2:12" ht="17.25" thickBot="1" x14ac:dyDescent="0.35"/>
    <row r="5118" spans="2:12" ht="17.25" thickBot="1" x14ac:dyDescent="0.35">
      <c r="B5118" s="108" t="s">
        <v>17</v>
      </c>
      <c r="C5118" s="413" t="s">
        <v>18</v>
      </c>
      <c r="D5118" s="413"/>
      <c r="E5118" s="413"/>
      <c r="F5118" s="413"/>
      <c r="G5118" s="414"/>
    </row>
    <row r="5119" spans="2:12" x14ac:dyDescent="0.3">
      <c r="B5119" s="112" t="s">
        <v>6</v>
      </c>
      <c r="C5119" s="415" t="s">
        <v>1</v>
      </c>
      <c r="D5119" s="416"/>
      <c r="E5119" s="124"/>
      <c r="F5119" s="118" t="s">
        <v>2</v>
      </c>
      <c r="G5119" s="112" t="s">
        <v>3</v>
      </c>
      <c r="H5119" s="104"/>
      <c r="I5119" s="105" t="s">
        <v>7</v>
      </c>
      <c r="J5119" s="134"/>
      <c r="K5119" s="105" t="s">
        <v>8</v>
      </c>
      <c r="L5119" s="113" t="s">
        <v>193</v>
      </c>
    </row>
    <row r="5120" spans="2:12" x14ac:dyDescent="0.3">
      <c r="B5120" s="74"/>
      <c r="C5120" s="411"/>
      <c r="D5120" s="412"/>
      <c r="E5120" s="125"/>
      <c r="F5120" s="72"/>
      <c r="G5120" s="74"/>
      <c r="I5120" s="84">
        <v>0</v>
      </c>
      <c r="K5120" s="84">
        <f>+F5120*I5120</f>
        <v>0</v>
      </c>
      <c r="L5120" s="116">
        <f>E5120*I5120</f>
        <v>0</v>
      </c>
    </row>
    <row r="5121" spans="2:16" x14ac:dyDescent="0.3">
      <c r="B5121" s="74"/>
      <c r="C5121" s="411"/>
      <c r="D5121" s="412"/>
      <c r="E5121" s="125"/>
      <c r="F5121" s="72"/>
      <c r="G5121" s="74"/>
      <c r="I5121" s="84">
        <v>0</v>
      </c>
      <c r="K5121" s="84">
        <f>+F5121*I5121</f>
        <v>0</v>
      </c>
      <c r="L5121" s="116">
        <f>E5121*I5121</f>
        <v>0</v>
      </c>
    </row>
    <row r="5122" spans="2:16" x14ac:dyDescent="0.3">
      <c r="B5122" s="74"/>
      <c r="C5122" s="411"/>
      <c r="D5122" s="412"/>
      <c r="E5122" s="125"/>
      <c r="F5122" s="72"/>
      <c r="G5122" s="74"/>
      <c r="I5122" s="84">
        <v>0</v>
      </c>
      <c r="K5122" s="84">
        <f>+F5122*I5122</f>
        <v>0</v>
      </c>
      <c r="L5122" s="116">
        <f>E5122*I5122</f>
        <v>0</v>
      </c>
    </row>
    <row r="5123" spans="2:16" ht="17.25" thickBot="1" x14ac:dyDescent="0.35">
      <c r="L5123" s="116"/>
    </row>
    <row r="5124" spans="2:16" ht="17.25" thickBot="1" x14ac:dyDescent="0.35">
      <c r="F5124" s="402" t="s">
        <v>19</v>
      </c>
      <c r="G5124" s="403"/>
      <c r="H5124" s="403"/>
      <c r="I5124" s="404"/>
      <c r="K5124" s="224">
        <f>+SUM(K5120:K5122)</f>
        <v>0</v>
      </c>
      <c r="L5124" s="117">
        <f>+SUM(L5119:L5122)</f>
        <v>0</v>
      </c>
    </row>
    <row r="5125" spans="2:16" ht="15" customHeight="1" x14ac:dyDescent="0.3">
      <c r="F5125" s="126"/>
      <c r="G5125" s="280"/>
      <c r="H5125" s="128"/>
      <c r="I5125" s="106"/>
      <c r="K5125" s="225"/>
    </row>
    <row r="5126" spans="2:16" ht="15" customHeight="1" thickBot="1" x14ac:dyDescent="0.35"/>
    <row r="5127" spans="2:16" ht="17.25" thickBot="1" x14ac:dyDescent="0.35">
      <c r="F5127" s="402" t="s">
        <v>20</v>
      </c>
      <c r="G5127" s="403"/>
      <c r="H5127" s="403"/>
      <c r="I5127" s="404"/>
      <c r="K5127" s="224">
        <f>(+K5098+K5107+K5116+K5124)</f>
        <v>260</v>
      </c>
      <c r="L5127" s="117">
        <f>(+L5098+L5107+L5116+L5124)</f>
        <v>1560</v>
      </c>
      <c r="N5127" s="129"/>
      <c r="O5127" s="39"/>
      <c r="P5127" s="40"/>
    </row>
    <row r="5128" spans="2:16" ht="7.5" customHeight="1" thickBot="1" x14ac:dyDescent="0.35">
      <c r="N5128" s="129"/>
      <c r="O5128" s="41"/>
      <c r="P5128" s="40"/>
    </row>
    <row r="5129" spans="2:16" ht="17.25" thickBot="1" x14ac:dyDescent="0.35">
      <c r="F5129" s="402" t="s">
        <v>21</v>
      </c>
      <c r="G5129" s="403"/>
      <c r="H5129" s="403"/>
      <c r="I5129" s="404"/>
      <c r="K5129" s="224">
        <f>K5127*$N$2</f>
        <v>104</v>
      </c>
      <c r="L5129" s="117">
        <f>L5127*$N$2</f>
        <v>624</v>
      </c>
    </row>
    <row r="5130" spans="2:16" ht="7.5" customHeight="1" thickBot="1" x14ac:dyDescent="0.35"/>
    <row r="5131" spans="2:16" ht="17.25" thickBot="1" x14ac:dyDescent="0.35">
      <c r="F5131" s="402" t="s">
        <v>22</v>
      </c>
      <c r="G5131" s="403"/>
      <c r="H5131" s="403"/>
      <c r="I5131" s="404"/>
      <c r="K5131" s="224">
        <f>+K5127+K5129</f>
        <v>364</v>
      </c>
      <c r="L5131" s="117">
        <f>+L5127+L5129</f>
        <v>2184</v>
      </c>
    </row>
    <row r="5132" spans="2:16" ht="17.25" thickBot="1" x14ac:dyDescent="0.35">
      <c r="F5132" s="126"/>
      <c r="G5132" s="280"/>
      <c r="H5132" s="128"/>
      <c r="I5132" s="106"/>
      <c r="K5132" s="226"/>
      <c r="L5132" s="130">
        <f>L5131/I5083</f>
        <v>364</v>
      </c>
      <c r="M5132" s="131">
        <f>(K5131-L5132)*I5083</f>
        <v>0</v>
      </c>
    </row>
    <row r="5133" spans="2:16" x14ac:dyDescent="0.3">
      <c r="F5133" s="126"/>
      <c r="G5133" s="280"/>
      <c r="H5133" s="128"/>
      <c r="I5133" s="106"/>
      <c r="K5133" s="227"/>
      <c r="L5133" s="129"/>
      <c r="M5133" s="132"/>
      <c r="N5133" s="133"/>
    </row>
    <row r="5134" spans="2:16" ht="17.25" thickBot="1" x14ac:dyDescent="0.35">
      <c r="B5134" s="405"/>
      <c r="C5134" s="405"/>
      <c r="D5134" s="405"/>
    </row>
    <row r="5135" spans="2:16" x14ac:dyDescent="0.3">
      <c r="B5135" s="406" t="s">
        <v>23</v>
      </c>
      <c r="C5135" s="406"/>
      <c r="D5135" s="406"/>
    </row>
    <row r="5136" spans="2:16" x14ac:dyDescent="0.3">
      <c r="B5136" s="281"/>
      <c r="C5136" s="281"/>
      <c r="D5136" s="281"/>
    </row>
    <row r="5138" spans="1:16" x14ac:dyDescent="0.3">
      <c r="B5138" s="103" t="s">
        <v>43</v>
      </c>
      <c r="C5138" s="104"/>
      <c r="D5138" s="422" t="s">
        <v>1</v>
      </c>
      <c r="E5138" s="422"/>
      <c r="F5138" s="422"/>
      <c r="G5138" s="422"/>
      <c r="H5138" s="104"/>
      <c r="I5138" s="105" t="s">
        <v>2</v>
      </c>
      <c r="J5138" s="134"/>
      <c r="K5138" s="105" t="s">
        <v>3</v>
      </c>
    </row>
    <row r="5139" spans="1:16" s="58" customFormat="1" ht="30.75" customHeight="1" x14ac:dyDescent="0.25">
      <c r="A5139" s="56"/>
      <c r="B5139" s="287">
        <f>CATALOGO!B159</f>
        <v>711.07</v>
      </c>
      <c r="C5139" s="135"/>
      <c r="D5139" s="435" t="str">
        <f>CATALOGO!C159</f>
        <v>REMOZAMIENTO DE PORTÓN DE METAL + CHAPA</v>
      </c>
      <c r="E5139" s="435"/>
      <c r="F5139" s="435"/>
      <c r="G5139" s="435"/>
      <c r="H5139" s="135"/>
      <c r="I5139" s="287">
        <f>CATALOGO!D159</f>
        <v>1</v>
      </c>
      <c r="J5139" s="107"/>
      <c r="K5139" s="222" t="str">
        <f>CATALOGO!G159</f>
        <v>Unidad</v>
      </c>
      <c r="L5139" s="135"/>
      <c r="M5139" s="135"/>
      <c r="N5139" s="135"/>
      <c r="O5139" s="57"/>
      <c r="P5139" s="57"/>
    </row>
    <row r="5140" spans="1:16" ht="17.25" thickBot="1" x14ac:dyDescent="0.35"/>
    <row r="5141" spans="1:16" ht="17.25" thickBot="1" x14ac:dyDescent="0.35">
      <c r="B5141" s="108" t="s">
        <v>4</v>
      </c>
      <c r="C5141" s="413" t="s">
        <v>5</v>
      </c>
      <c r="D5141" s="413"/>
      <c r="E5141" s="413"/>
      <c r="F5141" s="413"/>
      <c r="G5141" s="414"/>
    </row>
    <row r="5142" spans="1:16" x14ac:dyDescent="0.3">
      <c r="B5142" s="109" t="s">
        <v>6</v>
      </c>
      <c r="C5142" s="424" t="s">
        <v>1</v>
      </c>
      <c r="D5142" s="425"/>
      <c r="E5142" s="110" t="s">
        <v>192</v>
      </c>
      <c r="F5142" s="111" t="s">
        <v>2</v>
      </c>
      <c r="G5142" s="112" t="s">
        <v>3</v>
      </c>
      <c r="H5142" s="104"/>
      <c r="I5142" s="105" t="s">
        <v>7</v>
      </c>
      <c r="J5142" s="134"/>
      <c r="K5142" s="223" t="s">
        <v>8</v>
      </c>
      <c r="L5142" s="113" t="s">
        <v>193</v>
      </c>
    </row>
    <row r="5143" spans="1:16" x14ac:dyDescent="0.3">
      <c r="B5143" s="74"/>
      <c r="C5143" s="409"/>
      <c r="D5143" s="409"/>
      <c r="E5143" s="114"/>
      <c r="F5143" s="83"/>
      <c r="G5143" s="74"/>
      <c r="I5143" s="115">
        <f>IF(C5143=0,0,VLOOKUP(C5143,Tabla1[],3,FALSE))</f>
        <v>0</v>
      </c>
      <c r="K5143" s="84">
        <f>+F5143*I5143</f>
        <v>0</v>
      </c>
      <c r="L5143" s="116">
        <f>E5143*I5143</f>
        <v>0</v>
      </c>
    </row>
    <row r="5144" spans="1:16" x14ac:dyDescent="0.3">
      <c r="B5144" s="74"/>
      <c r="C5144" s="409"/>
      <c r="D5144" s="409"/>
      <c r="E5144" s="114"/>
      <c r="F5144" s="83"/>
      <c r="G5144" s="74"/>
      <c r="I5144" s="115">
        <f>IF(C5144=0,0,VLOOKUP(C5144,Tabla1[],3,FALSE))</f>
        <v>0</v>
      </c>
      <c r="K5144" s="84">
        <f t="shared" ref="K5144:K5152" si="136">+F5144*I5144</f>
        <v>0</v>
      </c>
      <c r="L5144" s="116">
        <f t="shared" ref="L5144:L5152" si="137">E5144*I5144</f>
        <v>0</v>
      </c>
    </row>
    <row r="5145" spans="1:16" x14ac:dyDescent="0.3">
      <c r="B5145" s="74"/>
      <c r="C5145" s="409"/>
      <c r="D5145" s="409"/>
      <c r="E5145" s="114"/>
      <c r="F5145" s="83"/>
      <c r="G5145" s="74"/>
      <c r="I5145" s="115">
        <f>IF(C5145=0,0,VLOOKUP(C5145,Tabla1[],3,FALSE))</f>
        <v>0</v>
      </c>
      <c r="K5145" s="84">
        <f t="shared" si="136"/>
        <v>0</v>
      </c>
      <c r="L5145" s="116">
        <f t="shared" si="137"/>
        <v>0</v>
      </c>
    </row>
    <row r="5146" spans="1:16" x14ac:dyDescent="0.3">
      <c r="B5146" s="74"/>
      <c r="C5146" s="409"/>
      <c r="D5146" s="409"/>
      <c r="E5146" s="114"/>
      <c r="F5146" s="83"/>
      <c r="G5146" s="74"/>
      <c r="I5146" s="115">
        <f>IF(C5146=0,0,VLOOKUP(C5146,Tabla1[],3,FALSE))</f>
        <v>0</v>
      </c>
      <c r="K5146" s="84">
        <f t="shared" si="136"/>
        <v>0</v>
      </c>
      <c r="L5146" s="116">
        <f t="shared" si="137"/>
        <v>0</v>
      </c>
    </row>
    <row r="5147" spans="1:16" x14ac:dyDescent="0.3">
      <c r="B5147" s="74"/>
      <c r="C5147" s="410"/>
      <c r="D5147" s="410"/>
      <c r="E5147" s="114"/>
      <c r="F5147" s="83"/>
      <c r="G5147" s="74"/>
      <c r="I5147" s="115">
        <f>IF(C5147=0,0,VLOOKUP(C5147,Tabla1[],3,FALSE))</f>
        <v>0</v>
      </c>
      <c r="K5147" s="84">
        <f t="shared" si="136"/>
        <v>0</v>
      </c>
      <c r="L5147" s="116">
        <f t="shared" si="137"/>
        <v>0</v>
      </c>
    </row>
    <row r="5148" spans="1:16" x14ac:dyDescent="0.3">
      <c r="B5148" s="74"/>
      <c r="C5148" s="410"/>
      <c r="D5148" s="410"/>
      <c r="E5148" s="114"/>
      <c r="F5148" s="72"/>
      <c r="G5148" s="74"/>
      <c r="I5148" s="115">
        <f>IF(C5148=0,0,VLOOKUP(C5148,Tabla1[],3,FALSE))</f>
        <v>0</v>
      </c>
      <c r="K5148" s="84">
        <f t="shared" si="136"/>
        <v>0</v>
      </c>
      <c r="L5148" s="116">
        <f t="shared" si="137"/>
        <v>0</v>
      </c>
    </row>
    <row r="5149" spans="1:16" x14ac:dyDescent="0.3">
      <c r="B5149" s="74"/>
      <c r="C5149" s="410"/>
      <c r="D5149" s="410"/>
      <c r="E5149" s="114"/>
      <c r="F5149" s="72"/>
      <c r="G5149" s="74"/>
      <c r="I5149" s="115">
        <f>IF(C5149=0,0,VLOOKUP(C5149,Tabla1[],3,FALSE))</f>
        <v>0</v>
      </c>
      <c r="K5149" s="84">
        <f t="shared" si="136"/>
        <v>0</v>
      </c>
      <c r="L5149" s="116">
        <f t="shared" si="137"/>
        <v>0</v>
      </c>
    </row>
    <row r="5150" spans="1:16" x14ac:dyDescent="0.3">
      <c r="B5150" s="74"/>
      <c r="C5150" s="410"/>
      <c r="D5150" s="410"/>
      <c r="E5150" s="114"/>
      <c r="F5150" s="72"/>
      <c r="G5150" s="74"/>
      <c r="I5150" s="115">
        <f>IF(C5150=0,0,VLOOKUP(C5150,Tabla1[],3,FALSE))</f>
        <v>0</v>
      </c>
      <c r="K5150" s="84">
        <f t="shared" si="136"/>
        <v>0</v>
      </c>
      <c r="L5150" s="116">
        <f t="shared" si="137"/>
        <v>0</v>
      </c>
    </row>
    <row r="5151" spans="1:16" x14ac:dyDescent="0.3">
      <c r="B5151" s="74"/>
      <c r="C5151" s="410"/>
      <c r="D5151" s="410"/>
      <c r="E5151" s="114"/>
      <c r="F5151" s="72"/>
      <c r="G5151" s="74"/>
      <c r="I5151" s="115">
        <f>IF(C5151=0,0,VLOOKUP(C5151,Tabla1[],3,FALSE))</f>
        <v>0</v>
      </c>
      <c r="K5151" s="84">
        <f t="shared" si="136"/>
        <v>0</v>
      </c>
      <c r="L5151" s="116">
        <f t="shared" si="137"/>
        <v>0</v>
      </c>
    </row>
    <row r="5152" spans="1:16" x14ac:dyDescent="0.3">
      <c r="B5152" s="74"/>
      <c r="C5152" s="410"/>
      <c r="D5152" s="410"/>
      <c r="E5152" s="114"/>
      <c r="F5152" s="72"/>
      <c r="G5152" s="74"/>
      <c r="I5152" s="115">
        <f>IF(C5152=0,0,VLOOKUP(C5152,Tabla1[],3,FALSE))</f>
        <v>0</v>
      </c>
      <c r="K5152" s="84">
        <f t="shared" si="136"/>
        <v>0</v>
      </c>
      <c r="L5152" s="116">
        <f t="shared" si="137"/>
        <v>0</v>
      </c>
    </row>
    <row r="5153" spans="2:12" ht="17.25" thickBot="1" x14ac:dyDescent="0.35"/>
    <row r="5154" spans="2:12" ht="17.25" thickBot="1" x14ac:dyDescent="0.35">
      <c r="F5154" s="402" t="s">
        <v>9</v>
      </c>
      <c r="G5154" s="403"/>
      <c r="H5154" s="403"/>
      <c r="I5154" s="404"/>
      <c r="K5154" s="224">
        <f>+SUM(K5143:K5152)</f>
        <v>0</v>
      </c>
      <c r="L5154" s="117">
        <f>+SUM(L5143:L5152)</f>
        <v>0</v>
      </c>
    </row>
    <row r="5155" spans="2:12" ht="17.25" thickBot="1" x14ac:dyDescent="0.35"/>
    <row r="5156" spans="2:12" ht="17.25" thickBot="1" x14ac:dyDescent="0.35">
      <c r="B5156" s="108" t="s">
        <v>10</v>
      </c>
      <c r="C5156" s="413" t="s">
        <v>11</v>
      </c>
      <c r="D5156" s="413"/>
      <c r="E5156" s="413"/>
      <c r="F5156" s="413"/>
      <c r="G5156" s="414"/>
    </row>
    <row r="5157" spans="2:12" x14ac:dyDescent="0.3">
      <c r="B5157" s="112" t="s">
        <v>6</v>
      </c>
      <c r="C5157" s="415" t="s">
        <v>1</v>
      </c>
      <c r="D5157" s="416"/>
      <c r="E5157" s="110" t="s">
        <v>192</v>
      </c>
      <c r="F5157" s="118" t="s">
        <v>2</v>
      </c>
      <c r="G5157" s="112" t="s">
        <v>3</v>
      </c>
      <c r="H5157" s="104"/>
      <c r="I5157" s="105" t="s">
        <v>7</v>
      </c>
      <c r="J5157" s="134"/>
      <c r="K5157" s="105" t="s">
        <v>8</v>
      </c>
      <c r="L5157" s="113" t="s">
        <v>193</v>
      </c>
    </row>
    <row r="5158" spans="2:12" x14ac:dyDescent="0.3">
      <c r="B5158" s="120"/>
      <c r="C5158" s="409"/>
      <c r="D5158" s="409"/>
      <c r="E5158" s="114"/>
      <c r="F5158" s="83"/>
      <c r="G5158" s="74"/>
      <c r="I5158" s="115">
        <f>IF(C5158=0,0,VLOOKUP(C5158,Tabla3[],3,FALSE))</f>
        <v>0</v>
      </c>
      <c r="K5158" s="84">
        <f>+F5158*I5158</f>
        <v>0</v>
      </c>
      <c r="L5158" s="116">
        <f>E5158*I5158</f>
        <v>0</v>
      </c>
    </row>
    <row r="5159" spans="2:12" x14ac:dyDescent="0.3">
      <c r="B5159" s="74"/>
      <c r="C5159" s="282"/>
      <c r="D5159" s="283"/>
      <c r="E5159" s="119"/>
      <c r="F5159" s="72"/>
      <c r="G5159" s="74"/>
      <c r="I5159" s="115">
        <f>IF(C5159=0,0,VLOOKUP(C5159,Tabla3[],3,FALSE))</f>
        <v>0</v>
      </c>
      <c r="K5159" s="84">
        <f>+F5159*I5159</f>
        <v>0</v>
      </c>
      <c r="L5159" s="116">
        <f>E5159*I5159</f>
        <v>0</v>
      </c>
    </row>
    <row r="5160" spans="2:12" x14ac:dyDescent="0.3">
      <c r="B5160" s="74"/>
      <c r="C5160" s="282"/>
      <c r="D5160" s="283"/>
      <c r="E5160" s="119"/>
      <c r="F5160" s="72"/>
      <c r="G5160" s="74"/>
      <c r="I5160" s="115">
        <f>IF(C5160=0,0,VLOOKUP(C5160,Tabla3[],3,FALSE))</f>
        <v>0</v>
      </c>
      <c r="K5160" s="84">
        <f>+F5160*I5160</f>
        <v>0</v>
      </c>
      <c r="L5160" s="116">
        <f>E5160*I5160</f>
        <v>0</v>
      </c>
    </row>
    <row r="5161" spans="2:12" x14ac:dyDescent="0.3">
      <c r="B5161" s="74"/>
      <c r="C5161" s="411"/>
      <c r="D5161" s="412"/>
      <c r="E5161" s="119"/>
      <c r="F5161" s="72"/>
      <c r="G5161" s="74"/>
      <c r="I5161" s="115">
        <f>IF(C5161=0,0,VLOOKUP(C5161,Tabla3[],3,FALSE))</f>
        <v>0</v>
      </c>
      <c r="K5161" s="84">
        <f>+F5161*I5161</f>
        <v>0</v>
      </c>
      <c r="L5161" s="116">
        <f>E5161*I5161</f>
        <v>0</v>
      </c>
    </row>
    <row r="5162" spans="2:12" ht="17.25" thickBot="1" x14ac:dyDescent="0.35"/>
    <row r="5163" spans="2:12" ht="17.25" thickBot="1" x14ac:dyDescent="0.35">
      <c r="F5163" s="402" t="s">
        <v>12</v>
      </c>
      <c r="G5163" s="403"/>
      <c r="H5163" s="403"/>
      <c r="I5163" s="404"/>
      <c r="K5163" s="224">
        <f>+SUM(K5158:K5161)</f>
        <v>0</v>
      </c>
      <c r="L5163" s="117">
        <f>+SUM(L5158:L5161)</f>
        <v>0</v>
      </c>
    </row>
    <row r="5164" spans="2:12" ht="17.25" thickBot="1" x14ac:dyDescent="0.35"/>
    <row r="5165" spans="2:12" ht="17.25" thickBot="1" x14ac:dyDescent="0.35">
      <c r="B5165" s="108" t="s">
        <v>13</v>
      </c>
      <c r="C5165" s="413" t="s">
        <v>14</v>
      </c>
      <c r="D5165" s="413"/>
      <c r="E5165" s="413"/>
      <c r="F5165" s="413"/>
      <c r="G5165" s="414"/>
    </row>
    <row r="5166" spans="2:12" x14ac:dyDescent="0.3">
      <c r="B5166" s="112" t="s">
        <v>6</v>
      </c>
      <c r="C5166" s="415" t="s">
        <v>1</v>
      </c>
      <c r="D5166" s="416"/>
      <c r="E5166" s="110" t="s">
        <v>192</v>
      </c>
      <c r="F5166" s="118" t="s">
        <v>2</v>
      </c>
      <c r="G5166" s="112" t="s">
        <v>3</v>
      </c>
      <c r="H5166" s="104"/>
      <c r="I5166" s="105" t="s">
        <v>7</v>
      </c>
      <c r="J5166" s="134"/>
      <c r="K5166" s="105" t="s">
        <v>8</v>
      </c>
      <c r="L5166" s="113" t="s">
        <v>193</v>
      </c>
    </row>
    <row r="5167" spans="2:12" x14ac:dyDescent="0.3">
      <c r="B5167" s="120">
        <v>1</v>
      </c>
      <c r="C5167" s="409" t="s">
        <v>565</v>
      </c>
      <c r="D5167" s="409"/>
      <c r="E5167" s="114">
        <f>I5139</f>
        <v>1</v>
      </c>
      <c r="F5167" s="83">
        <f>ROUND(E5167/I5139,2)</f>
        <v>1</v>
      </c>
      <c r="G5167" s="74" t="str">
        <f>IF(C5167=0,0,VLOOKUP(C5167,Tabla2[],2,FALSE))</f>
        <v>Unidad</v>
      </c>
      <c r="I5167" s="115">
        <f>IF(C5167=0,0,VLOOKUP(C5167,Tabla2[],3,FALSE))</f>
        <v>1500</v>
      </c>
      <c r="K5167" s="84">
        <f>+F5167*I5167</f>
        <v>1500</v>
      </c>
      <c r="L5167" s="116">
        <f>E5167*I5167</f>
        <v>1500</v>
      </c>
    </row>
    <row r="5168" spans="2:12" x14ac:dyDescent="0.3">
      <c r="B5168" s="120"/>
      <c r="C5168" s="409" t="s">
        <v>351</v>
      </c>
      <c r="D5168" s="409"/>
      <c r="E5168" s="114">
        <f>I5139</f>
        <v>1</v>
      </c>
      <c r="F5168" s="83">
        <f>ROUND(E5168/I5139,2)</f>
        <v>1</v>
      </c>
      <c r="G5168" s="74" t="str">
        <f>IF(C5168=0,0,VLOOKUP(C5168,Tabla2[],2,FALSE))</f>
        <v>Unidad</v>
      </c>
      <c r="I5168" s="115">
        <f>IF(C5168=0,0,VLOOKUP(C5168,Tabla2[],3,FALSE))</f>
        <v>315</v>
      </c>
      <c r="K5168" s="84">
        <f>+F5168*I5168</f>
        <v>315</v>
      </c>
      <c r="L5168" s="116">
        <f>E5168*I5168</f>
        <v>315</v>
      </c>
    </row>
    <row r="5169" spans="2:16" ht="17.25" thickBot="1" x14ac:dyDescent="0.35">
      <c r="B5169" s="121"/>
      <c r="C5169" s="417"/>
      <c r="D5169" s="418"/>
      <c r="E5169" s="122"/>
      <c r="F5169" s="123"/>
      <c r="G5169" s="74"/>
      <c r="I5169" s="115">
        <f>IF(C5169=0,0,VLOOKUP(C5169,Tabla2[],3,FALSE))</f>
        <v>0</v>
      </c>
      <c r="K5169" s="84">
        <f>+F5169*I5169</f>
        <v>0</v>
      </c>
      <c r="L5169" s="116">
        <f>E5169*I5169</f>
        <v>0</v>
      </c>
    </row>
    <row r="5170" spans="2:16" ht="17.25" thickBot="1" x14ac:dyDescent="0.35">
      <c r="B5170" s="419" t="s">
        <v>15</v>
      </c>
      <c r="C5170" s="420"/>
      <c r="D5170" s="420"/>
      <c r="E5170" s="420"/>
      <c r="F5170" s="420"/>
      <c r="G5170" s="421"/>
      <c r="I5170" s="84">
        <v>0</v>
      </c>
      <c r="K5170" s="84">
        <v>0</v>
      </c>
      <c r="L5170" s="116">
        <f>E5170*I5170</f>
        <v>0</v>
      </c>
    </row>
    <row r="5171" spans="2:16" ht="17.25" thickBot="1" x14ac:dyDescent="0.35"/>
    <row r="5172" spans="2:16" ht="17.25" thickBot="1" x14ac:dyDescent="0.35">
      <c r="F5172" s="402" t="s">
        <v>16</v>
      </c>
      <c r="G5172" s="403"/>
      <c r="H5172" s="403"/>
      <c r="I5172" s="404"/>
      <c r="K5172" s="224">
        <f>+SUM(K5167:K5170)</f>
        <v>1815</v>
      </c>
      <c r="L5172" s="117">
        <f>+SUM(L5167:L5170)</f>
        <v>1815</v>
      </c>
    </row>
    <row r="5173" spans="2:16" ht="17.25" thickBot="1" x14ac:dyDescent="0.35"/>
    <row r="5174" spans="2:16" ht="17.25" thickBot="1" x14ac:dyDescent="0.35">
      <c r="B5174" s="108" t="s">
        <v>17</v>
      </c>
      <c r="C5174" s="413" t="s">
        <v>18</v>
      </c>
      <c r="D5174" s="413"/>
      <c r="E5174" s="413"/>
      <c r="F5174" s="413"/>
      <c r="G5174" s="414"/>
    </row>
    <row r="5175" spans="2:16" x14ac:dyDescent="0.3">
      <c r="B5175" s="112" t="s">
        <v>6</v>
      </c>
      <c r="C5175" s="415" t="s">
        <v>1</v>
      </c>
      <c r="D5175" s="416"/>
      <c r="E5175" s="124"/>
      <c r="F5175" s="118" t="s">
        <v>2</v>
      </c>
      <c r="G5175" s="112" t="s">
        <v>3</v>
      </c>
      <c r="H5175" s="104"/>
      <c r="I5175" s="105" t="s">
        <v>7</v>
      </c>
      <c r="J5175" s="134"/>
      <c r="K5175" s="105" t="s">
        <v>8</v>
      </c>
      <c r="L5175" s="113" t="s">
        <v>193</v>
      </c>
    </row>
    <row r="5176" spans="2:16" x14ac:dyDescent="0.3">
      <c r="B5176" s="74"/>
      <c r="C5176" s="411"/>
      <c r="D5176" s="412"/>
      <c r="E5176" s="125"/>
      <c r="F5176" s="72"/>
      <c r="G5176" s="74"/>
      <c r="I5176" s="84">
        <v>0</v>
      </c>
      <c r="K5176" s="84">
        <f>+F5176*I5176</f>
        <v>0</v>
      </c>
      <c r="L5176" s="116">
        <f>E5176*I5176</f>
        <v>0</v>
      </c>
    </row>
    <row r="5177" spans="2:16" x14ac:dyDescent="0.3">
      <c r="B5177" s="74"/>
      <c r="C5177" s="411"/>
      <c r="D5177" s="412"/>
      <c r="E5177" s="125"/>
      <c r="F5177" s="72"/>
      <c r="G5177" s="74"/>
      <c r="I5177" s="84">
        <v>0</v>
      </c>
      <c r="K5177" s="84">
        <f>+F5177*I5177</f>
        <v>0</v>
      </c>
      <c r="L5177" s="116">
        <f>E5177*I5177</f>
        <v>0</v>
      </c>
    </row>
    <row r="5178" spans="2:16" x14ac:dyDescent="0.3">
      <c r="B5178" s="74"/>
      <c r="C5178" s="411"/>
      <c r="D5178" s="412"/>
      <c r="E5178" s="125"/>
      <c r="F5178" s="72"/>
      <c r="G5178" s="74"/>
      <c r="I5178" s="84">
        <v>0</v>
      </c>
      <c r="K5178" s="84">
        <f>+F5178*I5178</f>
        <v>0</v>
      </c>
      <c r="L5178" s="116">
        <f>E5178*I5178</f>
        <v>0</v>
      </c>
    </row>
    <row r="5179" spans="2:16" ht="17.25" thickBot="1" x14ac:dyDescent="0.35">
      <c r="L5179" s="116"/>
    </row>
    <row r="5180" spans="2:16" ht="17.25" thickBot="1" x14ac:dyDescent="0.35">
      <c r="F5180" s="402" t="s">
        <v>19</v>
      </c>
      <c r="G5180" s="403"/>
      <c r="H5180" s="403"/>
      <c r="I5180" s="404"/>
      <c r="K5180" s="224">
        <f>+SUM(K5176:K5178)</f>
        <v>0</v>
      </c>
      <c r="L5180" s="117">
        <f>+SUM(L5175:L5178)</f>
        <v>0</v>
      </c>
    </row>
    <row r="5181" spans="2:16" ht="15" customHeight="1" x14ac:dyDescent="0.3">
      <c r="F5181" s="126"/>
      <c r="G5181" s="280"/>
      <c r="H5181" s="128"/>
      <c r="I5181" s="106"/>
      <c r="K5181" s="225"/>
    </row>
    <row r="5182" spans="2:16" ht="15" customHeight="1" thickBot="1" x14ac:dyDescent="0.35"/>
    <row r="5183" spans="2:16" ht="17.25" thickBot="1" x14ac:dyDescent="0.35">
      <c r="F5183" s="402" t="s">
        <v>20</v>
      </c>
      <c r="G5183" s="403"/>
      <c r="H5183" s="403"/>
      <c r="I5183" s="404"/>
      <c r="K5183" s="224">
        <f>(+K5154+K5163+K5172+K5180)</f>
        <v>1815</v>
      </c>
      <c r="L5183" s="117">
        <f>(+L5154+L5163+L5172+L5180)</f>
        <v>1815</v>
      </c>
      <c r="N5183" s="129"/>
      <c r="O5183" s="39"/>
      <c r="P5183" s="40"/>
    </row>
    <row r="5184" spans="2:16" ht="7.5" customHeight="1" thickBot="1" x14ac:dyDescent="0.35">
      <c r="N5184" s="129"/>
      <c r="O5184" s="41"/>
      <c r="P5184" s="40"/>
    </row>
    <row r="5185" spans="1:16" ht="17.25" thickBot="1" x14ac:dyDescent="0.35">
      <c r="F5185" s="402" t="s">
        <v>21</v>
      </c>
      <c r="G5185" s="403"/>
      <c r="H5185" s="403"/>
      <c r="I5185" s="404"/>
      <c r="K5185" s="224">
        <f>K5183*$N$2</f>
        <v>726</v>
      </c>
      <c r="L5185" s="117">
        <f>L5183*$N$2</f>
        <v>726</v>
      </c>
    </row>
    <row r="5186" spans="1:16" ht="7.5" customHeight="1" thickBot="1" x14ac:dyDescent="0.35"/>
    <row r="5187" spans="1:16" ht="17.25" thickBot="1" x14ac:dyDescent="0.35">
      <c r="F5187" s="402" t="s">
        <v>22</v>
      </c>
      <c r="G5187" s="403"/>
      <c r="H5187" s="403"/>
      <c r="I5187" s="404"/>
      <c r="K5187" s="224">
        <f>+K5183+K5185</f>
        <v>2541</v>
      </c>
      <c r="L5187" s="117">
        <f>+L5183+L5185</f>
        <v>2541</v>
      </c>
    </row>
    <row r="5188" spans="1:16" ht="17.25" thickBot="1" x14ac:dyDescent="0.35">
      <c r="F5188" s="126"/>
      <c r="G5188" s="280"/>
      <c r="H5188" s="128"/>
      <c r="I5188" s="106"/>
      <c r="K5188" s="226"/>
      <c r="L5188" s="130">
        <f>L5187/I5139</f>
        <v>2541</v>
      </c>
      <c r="M5188" s="131">
        <f>(K5187-L5188)*I5139</f>
        <v>0</v>
      </c>
    </row>
    <row r="5189" spans="1:16" x14ac:dyDescent="0.3">
      <c r="F5189" s="126"/>
      <c r="G5189" s="280"/>
      <c r="H5189" s="128"/>
      <c r="I5189" s="106"/>
      <c r="K5189" s="227"/>
      <c r="L5189" s="129"/>
      <c r="M5189" s="132"/>
      <c r="N5189" s="133"/>
    </row>
    <row r="5190" spans="1:16" ht="17.25" thickBot="1" x14ac:dyDescent="0.35">
      <c r="B5190" s="405"/>
      <c r="C5190" s="405"/>
      <c r="D5190" s="405"/>
    </row>
    <row r="5191" spans="1:16" x14ac:dyDescent="0.3">
      <c r="B5191" s="406" t="s">
        <v>23</v>
      </c>
      <c r="C5191" s="406"/>
      <c r="D5191" s="406"/>
    </row>
    <row r="5192" spans="1:16" x14ac:dyDescent="0.3">
      <c r="B5192" s="281"/>
      <c r="C5192" s="281"/>
      <c r="D5192" s="281"/>
    </row>
    <row r="5194" spans="1:16" x14ac:dyDescent="0.3">
      <c r="B5194" s="103" t="s">
        <v>43</v>
      </c>
      <c r="C5194" s="104"/>
      <c r="D5194" s="422" t="s">
        <v>1</v>
      </c>
      <c r="E5194" s="422"/>
      <c r="F5194" s="422"/>
      <c r="G5194" s="422"/>
      <c r="H5194" s="104"/>
      <c r="I5194" s="105" t="s">
        <v>2</v>
      </c>
      <c r="J5194" s="134"/>
      <c r="K5194" s="105" t="s">
        <v>3</v>
      </c>
    </row>
    <row r="5195" spans="1:16" s="58" customFormat="1" ht="30.75" customHeight="1" x14ac:dyDescent="0.25">
      <c r="A5195" s="56"/>
      <c r="B5195" s="287">
        <f>CATALOGO!B161</f>
        <v>909.04</v>
      </c>
      <c r="C5195" s="135"/>
      <c r="D5195" s="435" t="str">
        <f>CATALOGO!C161</f>
        <v>TINACO (2500 LTS)</v>
      </c>
      <c r="E5195" s="435"/>
      <c r="F5195" s="435"/>
      <c r="G5195" s="435"/>
      <c r="H5195" s="135"/>
      <c r="I5195" s="287">
        <f>CATALOGO!D161</f>
        <v>1</v>
      </c>
      <c r="J5195" s="107"/>
      <c r="K5195" s="222" t="str">
        <f>CATALOGO!G161</f>
        <v>Unidad</v>
      </c>
      <c r="L5195" s="135"/>
      <c r="M5195" s="135"/>
      <c r="N5195" s="135"/>
      <c r="O5195" s="57"/>
      <c r="P5195" s="57"/>
    </row>
    <row r="5196" spans="1:16" ht="17.25" thickBot="1" x14ac:dyDescent="0.35"/>
    <row r="5197" spans="1:16" ht="17.25" thickBot="1" x14ac:dyDescent="0.35">
      <c r="B5197" s="108" t="s">
        <v>4</v>
      </c>
      <c r="C5197" s="413" t="s">
        <v>5</v>
      </c>
      <c r="D5197" s="413"/>
      <c r="E5197" s="413"/>
      <c r="F5197" s="413"/>
      <c r="G5197" s="414"/>
    </row>
    <row r="5198" spans="1:16" x14ac:dyDescent="0.3">
      <c r="B5198" s="109" t="s">
        <v>6</v>
      </c>
      <c r="C5198" s="424" t="s">
        <v>1</v>
      </c>
      <c r="D5198" s="425"/>
      <c r="E5198" s="110" t="s">
        <v>192</v>
      </c>
      <c r="F5198" s="111" t="s">
        <v>2</v>
      </c>
      <c r="G5198" s="112" t="s">
        <v>3</v>
      </c>
      <c r="H5198" s="104"/>
      <c r="I5198" s="105" t="s">
        <v>7</v>
      </c>
      <c r="J5198" s="134"/>
      <c r="K5198" s="223" t="s">
        <v>8</v>
      </c>
      <c r="L5198" s="113" t="s">
        <v>193</v>
      </c>
    </row>
    <row r="5199" spans="1:16" ht="17.25" customHeight="1" x14ac:dyDescent="0.25">
      <c r="B5199" s="120">
        <v>1</v>
      </c>
      <c r="C5199" s="407" t="s">
        <v>481</v>
      </c>
      <c r="D5199" s="408"/>
      <c r="E5199" s="114">
        <f>1*I5195</f>
        <v>1</v>
      </c>
      <c r="F5199" s="83">
        <f>ROUND(E5199/I5195,2)</f>
        <v>1</v>
      </c>
      <c r="G5199" s="74" t="str">
        <f>IF(C5199=0,0,VLOOKUP(C5199,Tabla1[],2,FALSE))</f>
        <v>Unidad</v>
      </c>
      <c r="I5199" s="115">
        <f>IF(C5199=0,0,VLOOKUP(C5199,Tabla1[],3,FALSE))</f>
        <v>6155</v>
      </c>
      <c r="K5199" s="84">
        <f>F5199*I5199</f>
        <v>6155</v>
      </c>
      <c r="L5199" s="116">
        <f t="shared" ref="L5199:L5208" si="138">E5199*I5199</f>
        <v>6155</v>
      </c>
      <c r="O5199" s="44"/>
      <c r="P5199" s="45"/>
    </row>
    <row r="5200" spans="1:16" x14ac:dyDescent="0.3">
      <c r="B5200" s="74"/>
      <c r="C5200" s="409"/>
      <c r="D5200" s="409"/>
      <c r="E5200" s="114"/>
      <c r="F5200" s="83"/>
      <c r="G5200" s="74"/>
      <c r="I5200" s="115">
        <f>IF(C5200=0,0,VLOOKUP(C5200,Tabla1[],3,FALSE))</f>
        <v>0</v>
      </c>
      <c r="K5200" s="84">
        <f t="shared" ref="K5200:K5208" si="139">+F5200*I5200</f>
        <v>0</v>
      </c>
      <c r="L5200" s="116">
        <f t="shared" si="138"/>
        <v>0</v>
      </c>
    </row>
    <row r="5201" spans="2:12" x14ac:dyDescent="0.3">
      <c r="B5201" s="74"/>
      <c r="C5201" s="409"/>
      <c r="D5201" s="409"/>
      <c r="E5201" s="114"/>
      <c r="F5201" s="83"/>
      <c r="G5201" s="74"/>
      <c r="I5201" s="115">
        <f>IF(C5201=0,0,VLOOKUP(C5201,Tabla1[],3,FALSE))</f>
        <v>0</v>
      </c>
      <c r="K5201" s="84">
        <f t="shared" si="139"/>
        <v>0</v>
      </c>
      <c r="L5201" s="116">
        <f t="shared" si="138"/>
        <v>0</v>
      </c>
    </row>
    <row r="5202" spans="2:12" x14ac:dyDescent="0.3">
      <c r="B5202" s="74"/>
      <c r="C5202" s="409"/>
      <c r="D5202" s="409"/>
      <c r="E5202" s="114"/>
      <c r="F5202" s="83"/>
      <c r="G5202" s="74"/>
      <c r="I5202" s="115">
        <f>IF(C5202=0,0,VLOOKUP(C5202,Tabla1[],3,FALSE))</f>
        <v>0</v>
      </c>
      <c r="K5202" s="84">
        <f t="shared" si="139"/>
        <v>0</v>
      </c>
      <c r="L5202" s="116">
        <f t="shared" si="138"/>
        <v>0</v>
      </c>
    </row>
    <row r="5203" spans="2:12" x14ac:dyDescent="0.3">
      <c r="B5203" s="74"/>
      <c r="C5203" s="410"/>
      <c r="D5203" s="410"/>
      <c r="E5203" s="114"/>
      <c r="F5203" s="83"/>
      <c r="G5203" s="74"/>
      <c r="I5203" s="115">
        <f>IF(C5203=0,0,VLOOKUP(C5203,Tabla1[],3,FALSE))</f>
        <v>0</v>
      </c>
      <c r="K5203" s="84">
        <f t="shared" si="139"/>
        <v>0</v>
      </c>
      <c r="L5203" s="116">
        <f t="shared" si="138"/>
        <v>0</v>
      </c>
    </row>
    <row r="5204" spans="2:12" x14ac:dyDescent="0.3">
      <c r="B5204" s="74"/>
      <c r="C5204" s="410"/>
      <c r="D5204" s="410"/>
      <c r="E5204" s="114"/>
      <c r="F5204" s="72"/>
      <c r="G5204" s="74"/>
      <c r="I5204" s="115">
        <f>IF(C5204=0,0,VLOOKUP(C5204,Tabla1[],3,FALSE))</f>
        <v>0</v>
      </c>
      <c r="K5204" s="84">
        <f t="shared" si="139"/>
        <v>0</v>
      </c>
      <c r="L5204" s="116">
        <f t="shared" si="138"/>
        <v>0</v>
      </c>
    </row>
    <row r="5205" spans="2:12" x14ac:dyDescent="0.3">
      <c r="B5205" s="74"/>
      <c r="C5205" s="410"/>
      <c r="D5205" s="410"/>
      <c r="E5205" s="114"/>
      <c r="F5205" s="72"/>
      <c r="G5205" s="74"/>
      <c r="I5205" s="115">
        <f>IF(C5205=0,0,VLOOKUP(C5205,Tabla1[],3,FALSE))</f>
        <v>0</v>
      </c>
      <c r="K5205" s="84">
        <f t="shared" si="139"/>
        <v>0</v>
      </c>
      <c r="L5205" s="116">
        <f t="shared" si="138"/>
        <v>0</v>
      </c>
    </row>
    <row r="5206" spans="2:12" x14ac:dyDescent="0.3">
      <c r="B5206" s="74"/>
      <c r="C5206" s="410"/>
      <c r="D5206" s="410"/>
      <c r="E5206" s="114"/>
      <c r="F5206" s="72"/>
      <c r="G5206" s="74"/>
      <c r="I5206" s="115">
        <f>IF(C5206=0,0,VLOOKUP(C5206,Tabla1[],3,FALSE))</f>
        <v>0</v>
      </c>
      <c r="K5206" s="84">
        <f t="shared" si="139"/>
        <v>0</v>
      </c>
      <c r="L5206" s="116">
        <f t="shared" si="138"/>
        <v>0</v>
      </c>
    </row>
    <row r="5207" spans="2:12" x14ac:dyDescent="0.3">
      <c r="B5207" s="74"/>
      <c r="C5207" s="410"/>
      <c r="D5207" s="410"/>
      <c r="E5207" s="114"/>
      <c r="F5207" s="72"/>
      <c r="G5207" s="74"/>
      <c r="I5207" s="115">
        <f>IF(C5207=0,0,VLOOKUP(C5207,Tabla1[],3,FALSE))</f>
        <v>0</v>
      </c>
      <c r="K5207" s="84">
        <f t="shared" si="139"/>
        <v>0</v>
      </c>
      <c r="L5207" s="116">
        <f t="shared" si="138"/>
        <v>0</v>
      </c>
    </row>
    <row r="5208" spans="2:12" x14ac:dyDescent="0.3">
      <c r="B5208" s="74"/>
      <c r="C5208" s="410"/>
      <c r="D5208" s="410"/>
      <c r="E5208" s="114"/>
      <c r="F5208" s="72"/>
      <c r="G5208" s="74"/>
      <c r="I5208" s="115">
        <f>IF(C5208=0,0,VLOOKUP(C5208,Tabla1[],3,FALSE))</f>
        <v>0</v>
      </c>
      <c r="K5208" s="84">
        <f t="shared" si="139"/>
        <v>0</v>
      </c>
      <c r="L5208" s="116">
        <f t="shared" si="138"/>
        <v>0</v>
      </c>
    </row>
    <row r="5209" spans="2:12" ht="17.25" thickBot="1" x14ac:dyDescent="0.35"/>
    <row r="5210" spans="2:12" ht="17.25" thickBot="1" x14ac:dyDescent="0.35">
      <c r="F5210" s="402" t="s">
        <v>9</v>
      </c>
      <c r="G5210" s="403"/>
      <c r="H5210" s="403"/>
      <c r="I5210" s="404"/>
      <c r="K5210" s="224">
        <f>+SUM(K5199:K5208)</f>
        <v>6155</v>
      </c>
      <c r="L5210" s="117">
        <f>+SUM(L5199:L5208)</f>
        <v>6155</v>
      </c>
    </row>
    <row r="5211" spans="2:12" ht="17.25" thickBot="1" x14ac:dyDescent="0.35"/>
    <row r="5212" spans="2:12" ht="17.25" thickBot="1" x14ac:dyDescent="0.35">
      <c r="B5212" s="108" t="s">
        <v>10</v>
      </c>
      <c r="C5212" s="413" t="s">
        <v>11</v>
      </c>
      <c r="D5212" s="413"/>
      <c r="E5212" s="413"/>
      <c r="F5212" s="413"/>
      <c r="G5212" s="414"/>
    </row>
    <row r="5213" spans="2:12" x14ac:dyDescent="0.3">
      <c r="B5213" s="112" t="s">
        <v>6</v>
      </c>
      <c r="C5213" s="415" t="s">
        <v>1</v>
      </c>
      <c r="D5213" s="416"/>
      <c r="E5213" s="110" t="s">
        <v>192</v>
      </c>
      <c r="F5213" s="118" t="s">
        <v>2</v>
      </c>
      <c r="G5213" s="112" t="s">
        <v>3</v>
      </c>
      <c r="H5213" s="104"/>
      <c r="I5213" s="105" t="s">
        <v>7</v>
      </c>
      <c r="J5213" s="134"/>
      <c r="K5213" s="105" t="s">
        <v>8</v>
      </c>
      <c r="L5213" s="113" t="s">
        <v>193</v>
      </c>
    </row>
    <row r="5214" spans="2:12" x14ac:dyDescent="0.3">
      <c r="B5214" s="120"/>
      <c r="C5214" s="409"/>
      <c r="D5214" s="409"/>
      <c r="E5214" s="114"/>
      <c r="F5214" s="83"/>
      <c r="G5214" s="74"/>
      <c r="I5214" s="115">
        <f>IF(C5214=0,0,VLOOKUP(C5214,Tabla3[],3,FALSE))</f>
        <v>0</v>
      </c>
      <c r="K5214" s="84">
        <f>+F5214*I5214</f>
        <v>0</v>
      </c>
      <c r="L5214" s="116">
        <f>E5214*I5214</f>
        <v>0</v>
      </c>
    </row>
    <row r="5215" spans="2:12" x14ac:dyDescent="0.3">
      <c r="B5215" s="74"/>
      <c r="C5215" s="282"/>
      <c r="D5215" s="283"/>
      <c r="E5215" s="119"/>
      <c r="F5215" s="72"/>
      <c r="G5215" s="74"/>
      <c r="I5215" s="115">
        <f>IF(C5215=0,0,VLOOKUP(C5215,Tabla3[],3,FALSE))</f>
        <v>0</v>
      </c>
      <c r="K5215" s="84">
        <f>+F5215*I5215</f>
        <v>0</v>
      </c>
      <c r="L5215" s="116">
        <f>E5215*I5215</f>
        <v>0</v>
      </c>
    </row>
    <row r="5216" spans="2:12" x14ac:dyDescent="0.3">
      <c r="B5216" s="74"/>
      <c r="C5216" s="282"/>
      <c r="D5216" s="283"/>
      <c r="E5216" s="119"/>
      <c r="F5216" s="72"/>
      <c r="G5216" s="74"/>
      <c r="I5216" s="115">
        <f>IF(C5216=0,0,VLOOKUP(C5216,Tabla3[],3,FALSE))</f>
        <v>0</v>
      </c>
      <c r="K5216" s="84">
        <f>+F5216*I5216</f>
        <v>0</v>
      </c>
      <c r="L5216" s="116">
        <f>E5216*I5216</f>
        <v>0</v>
      </c>
    </row>
    <row r="5217" spans="2:12" x14ac:dyDescent="0.3">
      <c r="B5217" s="74"/>
      <c r="C5217" s="411"/>
      <c r="D5217" s="412"/>
      <c r="E5217" s="119"/>
      <c r="F5217" s="72"/>
      <c r="G5217" s="74"/>
      <c r="I5217" s="115">
        <f>IF(C5217=0,0,VLOOKUP(C5217,Tabla3[],3,FALSE))</f>
        <v>0</v>
      </c>
      <c r="K5217" s="84">
        <f>+F5217*I5217</f>
        <v>0</v>
      </c>
      <c r="L5217" s="116">
        <f>E5217*I5217</f>
        <v>0</v>
      </c>
    </row>
    <row r="5218" spans="2:12" ht="17.25" thickBot="1" x14ac:dyDescent="0.35"/>
    <row r="5219" spans="2:12" ht="17.25" thickBot="1" x14ac:dyDescent="0.35">
      <c r="F5219" s="402" t="s">
        <v>12</v>
      </c>
      <c r="G5219" s="403"/>
      <c r="H5219" s="403"/>
      <c r="I5219" s="404"/>
      <c r="K5219" s="224">
        <f>+SUM(K5214:K5217)</f>
        <v>0</v>
      </c>
      <c r="L5219" s="117">
        <f>+SUM(L5214:L5217)</f>
        <v>0</v>
      </c>
    </row>
    <row r="5220" spans="2:12" ht="17.25" thickBot="1" x14ac:dyDescent="0.35"/>
    <row r="5221" spans="2:12" ht="17.25" thickBot="1" x14ac:dyDescent="0.35">
      <c r="B5221" s="108" t="s">
        <v>13</v>
      </c>
      <c r="C5221" s="413" t="s">
        <v>14</v>
      </c>
      <c r="D5221" s="413"/>
      <c r="E5221" s="413"/>
      <c r="F5221" s="413"/>
      <c r="G5221" s="414"/>
    </row>
    <row r="5222" spans="2:12" x14ac:dyDescent="0.3">
      <c r="B5222" s="112" t="s">
        <v>6</v>
      </c>
      <c r="C5222" s="415" t="s">
        <v>1</v>
      </c>
      <c r="D5222" s="416"/>
      <c r="E5222" s="110" t="s">
        <v>192</v>
      </c>
      <c r="F5222" s="118" t="s">
        <v>2</v>
      </c>
      <c r="G5222" s="112" t="s">
        <v>3</v>
      </c>
      <c r="H5222" s="104"/>
      <c r="I5222" s="105" t="s">
        <v>7</v>
      </c>
      <c r="J5222" s="134"/>
      <c r="K5222" s="105" t="s">
        <v>8</v>
      </c>
      <c r="L5222" s="113" t="s">
        <v>193</v>
      </c>
    </row>
    <row r="5223" spans="2:12" x14ac:dyDescent="0.3">
      <c r="B5223" s="120">
        <v>1</v>
      </c>
      <c r="C5223" s="409" t="s">
        <v>341</v>
      </c>
      <c r="D5223" s="409"/>
      <c r="E5223" s="114">
        <f>I5195</f>
        <v>1</v>
      </c>
      <c r="F5223" s="83">
        <f>ROUND(E5223/I5195,2)</f>
        <v>1</v>
      </c>
      <c r="G5223" s="74" t="str">
        <f>IF(C5223=0,0,VLOOKUP(C5223,Tabla2[],2,FALSE))</f>
        <v>Unidad</v>
      </c>
      <c r="I5223" s="115">
        <f>IF(C5223=0,0,VLOOKUP(C5223,Tabla2[],3,FALSE))</f>
        <v>100</v>
      </c>
      <c r="K5223" s="84">
        <f>+F5223*I5223</f>
        <v>100</v>
      </c>
      <c r="L5223" s="116">
        <f>E5223*I5223</f>
        <v>100</v>
      </c>
    </row>
    <row r="5224" spans="2:12" x14ac:dyDescent="0.3">
      <c r="B5224" s="120"/>
      <c r="C5224" s="409"/>
      <c r="D5224" s="409"/>
      <c r="E5224" s="114"/>
      <c r="F5224" s="83"/>
      <c r="G5224" s="74"/>
      <c r="I5224" s="115">
        <f>IF(C5224=0,0,VLOOKUP(C5224,Tabla2[],3,FALSE))</f>
        <v>0</v>
      </c>
      <c r="K5224" s="84">
        <f>+F5224*I5224</f>
        <v>0</v>
      </c>
      <c r="L5224" s="116">
        <f>E5224*I5224</f>
        <v>0</v>
      </c>
    </row>
    <row r="5225" spans="2:12" ht="17.25" thickBot="1" x14ac:dyDescent="0.35">
      <c r="B5225" s="121"/>
      <c r="C5225" s="417"/>
      <c r="D5225" s="418"/>
      <c r="E5225" s="122"/>
      <c r="F5225" s="123"/>
      <c r="G5225" s="74"/>
      <c r="I5225" s="115">
        <f>IF(C5225=0,0,VLOOKUP(C5225,Tabla2[],3,FALSE))</f>
        <v>0</v>
      </c>
      <c r="K5225" s="84">
        <f>+F5225*I5225</f>
        <v>0</v>
      </c>
      <c r="L5225" s="116">
        <f>E5225*I5225</f>
        <v>0</v>
      </c>
    </row>
    <row r="5226" spans="2:12" ht="17.25" thickBot="1" x14ac:dyDescent="0.35">
      <c r="B5226" s="419" t="s">
        <v>15</v>
      </c>
      <c r="C5226" s="420"/>
      <c r="D5226" s="420"/>
      <c r="E5226" s="420"/>
      <c r="F5226" s="420"/>
      <c r="G5226" s="421"/>
      <c r="I5226" s="84">
        <v>0</v>
      </c>
      <c r="K5226" s="84">
        <v>0</v>
      </c>
      <c r="L5226" s="116">
        <f>E5226*I5226</f>
        <v>0</v>
      </c>
    </row>
    <row r="5227" spans="2:12" ht="17.25" thickBot="1" x14ac:dyDescent="0.35"/>
    <row r="5228" spans="2:12" ht="17.25" thickBot="1" x14ac:dyDescent="0.35">
      <c r="F5228" s="402" t="s">
        <v>16</v>
      </c>
      <c r="G5228" s="403"/>
      <c r="H5228" s="403"/>
      <c r="I5228" s="404"/>
      <c r="K5228" s="224">
        <f>+SUM(K5223:K5226)</f>
        <v>100</v>
      </c>
      <c r="L5228" s="117">
        <f>+SUM(L5223:L5226)</f>
        <v>100</v>
      </c>
    </row>
    <row r="5229" spans="2:12" ht="17.25" thickBot="1" x14ac:dyDescent="0.35"/>
    <row r="5230" spans="2:12" ht="17.25" thickBot="1" x14ac:dyDescent="0.35">
      <c r="B5230" s="108" t="s">
        <v>17</v>
      </c>
      <c r="C5230" s="413" t="s">
        <v>18</v>
      </c>
      <c r="D5230" s="413"/>
      <c r="E5230" s="413"/>
      <c r="F5230" s="413"/>
      <c r="G5230" s="414"/>
    </row>
    <row r="5231" spans="2:12" x14ac:dyDescent="0.3">
      <c r="B5231" s="112" t="s">
        <v>6</v>
      </c>
      <c r="C5231" s="415" t="s">
        <v>1</v>
      </c>
      <c r="D5231" s="416"/>
      <c r="E5231" s="124"/>
      <c r="F5231" s="118" t="s">
        <v>2</v>
      </c>
      <c r="G5231" s="112" t="s">
        <v>3</v>
      </c>
      <c r="H5231" s="104"/>
      <c r="I5231" s="105" t="s">
        <v>7</v>
      </c>
      <c r="J5231" s="134"/>
      <c r="K5231" s="105" t="s">
        <v>8</v>
      </c>
      <c r="L5231" s="113" t="s">
        <v>193</v>
      </c>
    </row>
    <row r="5232" spans="2:12" x14ac:dyDescent="0.3">
      <c r="B5232" s="74"/>
      <c r="C5232" s="411"/>
      <c r="D5232" s="412"/>
      <c r="E5232" s="125"/>
      <c r="F5232" s="72"/>
      <c r="G5232" s="74"/>
      <c r="I5232" s="84">
        <v>0</v>
      </c>
      <c r="K5232" s="84">
        <f>+F5232*I5232</f>
        <v>0</v>
      </c>
      <c r="L5232" s="116">
        <f>E5232*I5232</f>
        <v>0</v>
      </c>
    </row>
    <row r="5233" spans="2:16" x14ac:dyDescent="0.3">
      <c r="B5233" s="74"/>
      <c r="C5233" s="411"/>
      <c r="D5233" s="412"/>
      <c r="E5233" s="125"/>
      <c r="F5233" s="72"/>
      <c r="G5233" s="74"/>
      <c r="I5233" s="84">
        <v>0</v>
      </c>
      <c r="K5233" s="84">
        <f>+F5233*I5233</f>
        <v>0</v>
      </c>
      <c r="L5233" s="116">
        <f>E5233*I5233</f>
        <v>0</v>
      </c>
    </row>
    <row r="5234" spans="2:16" x14ac:dyDescent="0.3">
      <c r="B5234" s="74"/>
      <c r="C5234" s="411"/>
      <c r="D5234" s="412"/>
      <c r="E5234" s="125"/>
      <c r="F5234" s="72"/>
      <c r="G5234" s="74"/>
      <c r="I5234" s="84">
        <v>0</v>
      </c>
      <c r="K5234" s="84">
        <f>+F5234*I5234</f>
        <v>0</v>
      </c>
      <c r="L5234" s="116">
        <f>E5234*I5234</f>
        <v>0</v>
      </c>
    </row>
    <row r="5235" spans="2:16" ht="17.25" thickBot="1" x14ac:dyDescent="0.35">
      <c r="L5235" s="116"/>
    </row>
    <row r="5236" spans="2:16" ht="17.25" thickBot="1" x14ac:dyDescent="0.35">
      <c r="F5236" s="402" t="s">
        <v>19</v>
      </c>
      <c r="G5236" s="403"/>
      <c r="H5236" s="403"/>
      <c r="I5236" s="404"/>
      <c r="K5236" s="224">
        <f>+SUM(K5232:K5234)</f>
        <v>0</v>
      </c>
      <c r="L5236" s="117">
        <f>+SUM(L5231:L5234)</f>
        <v>0</v>
      </c>
    </row>
    <row r="5237" spans="2:16" ht="15" customHeight="1" x14ac:dyDescent="0.3">
      <c r="F5237" s="126"/>
      <c r="G5237" s="280"/>
      <c r="H5237" s="128"/>
      <c r="I5237" s="106"/>
      <c r="K5237" s="225"/>
    </row>
    <row r="5238" spans="2:16" ht="15" customHeight="1" thickBot="1" x14ac:dyDescent="0.35"/>
    <row r="5239" spans="2:16" ht="17.25" thickBot="1" x14ac:dyDescent="0.35">
      <c r="F5239" s="402" t="s">
        <v>20</v>
      </c>
      <c r="G5239" s="403"/>
      <c r="H5239" s="403"/>
      <c r="I5239" s="404"/>
      <c r="K5239" s="224">
        <f>(+K5210+K5219+K5228+K5236)</f>
        <v>6255</v>
      </c>
      <c r="L5239" s="117">
        <f>(+L5210+L5219+L5228+L5236)</f>
        <v>6255</v>
      </c>
      <c r="N5239" s="129"/>
      <c r="O5239" s="39"/>
      <c r="P5239" s="40"/>
    </row>
    <row r="5240" spans="2:16" ht="7.5" customHeight="1" thickBot="1" x14ac:dyDescent="0.35">
      <c r="N5240" s="129"/>
      <c r="O5240" s="41"/>
      <c r="P5240" s="40"/>
    </row>
    <row r="5241" spans="2:16" ht="17.25" thickBot="1" x14ac:dyDescent="0.35">
      <c r="F5241" s="402" t="s">
        <v>21</v>
      </c>
      <c r="G5241" s="403"/>
      <c r="H5241" s="403"/>
      <c r="I5241" s="404"/>
      <c r="K5241" s="224">
        <f>K5239*$N$2</f>
        <v>2502</v>
      </c>
      <c r="L5241" s="117">
        <f>L5239*$N$2</f>
        <v>2502</v>
      </c>
    </row>
    <row r="5242" spans="2:16" ht="7.5" customHeight="1" thickBot="1" x14ac:dyDescent="0.35"/>
    <row r="5243" spans="2:16" ht="17.25" thickBot="1" x14ac:dyDescent="0.35">
      <c r="F5243" s="402" t="s">
        <v>22</v>
      </c>
      <c r="G5243" s="403"/>
      <c r="H5243" s="403"/>
      <c r="I5243" s="404"/>
      <c r="K5243" s="224">
        <f>+K5239+K5241</f>
        <v>8757</v>
      </c>
      <c r="L5243" s="117">
        <f>+L5239+L5241</f>
        <v>8757</v>
      </c>
    </row>
    <row r="5244" spans="2:16" ht="17.25" thickBot="1" x14ac:dyDescent="0.35">
      <c r="F5244" s="126"/>
      <c r="G5244" s="280"/>
      <c r="H5244" s="128"/>
      <c r="I5244" s="106"/>
      <c r="K5244" s="226"/>
      <c r="L5244" s="130">
        <f>L5243/I5195</f>
        <v>8757</v>
      </c>
      <c r="M5244" s="131">
        <f>(K5243-L5244)*I5195</f>
        <v>0</v>
      </c>
    </row>
    <row r="5245" spans="2:16" x14ac:dyDescent="0.3">
      <c r="F5245" s="126"/>
      <c r="G5245" s="280"/>
      <c r="H5245" s="128"/>
      <c r="I5245" s="106"/>
      <c r="K5245" s="227"/>
      <c r="L5245" s="129"/>
      <c r="M5245" s="132"/>
      <c r="N5245" s="133"/>
    </row>
    <row r="5246" spans="2:16" ht="17.25" thickBot="1" x14ac:dyDescent="0.35">
      <c r="B5246" s="405"/>
      <c r="C5246" s="405"/>
      <c r="D5246" s="405"/>
    </row>
    <row r="5247" spans="2:16" x14ac:dyDescent="0.3">
      <c r="B5247" s="406" t="s">
        <v>23</v>
      </c>
      <c r="C5247" s="406"/>
      <c r="D5247" s="406"/>
    </row>
    <row r="5248" spans="2:16" x14ac:dyDescent="0.3">
      <c r="B5248" s="281"/>
      <c r="C5248" s="281"/>
      <c r="D5248" s="281"/>
    </row>
    <row r="5249" spans="1:16" x14ac:dyDescent="0.3">
      <c r="B5249" s="281"/>
      <c r="C5249" s="281"/>
      <c r="D5249" s="281"/>
      <c r="F5249" s="77"/>
      <c r="J5249" s="78"/>
      <c r="N5249" s="144"/>
    </row>
    <row r="5250" spans="1:16" x14ac:dyDescent="0.3">
      <c r="B5250" s="103" t="s">
        <v>43</v>
      </c>
      <c r="C5250" s="104"/>
      <c r="D5250" s="422" t="s">
        <v>1</v>
      </c>
      <c r="E5250" s="422"/>
      <c r="F5250" s="422"/>
      <c r="G5250" s="422"/>
      <c r="H5250" s="104"/>
      <c r="I5250" s="105" t="s">
        <v>2</v>
      </c>
      <c r="J5250" s="106"/>
      <c r="K5250" s="105" t="s">
        <v>3</v>
      </c>
      <c r="N5250" s="144"/>
    </row>
    <row r="5251" spans="1:16" s="4" customFormat="1" ht="30.75" customHeight="1" x14ac:dyDescent="0.25">
      <c r="A5251" s="31"/>
      <c r="B5251" s="287">
        <f>CATALOGO!B163</f>
        <v>1401.01</v>
      </c>
      <c r="C5251" s="71"/>
      <c r="D5251" s="423" t="str">
        <f>CATALOGO!C163</f>
        <v>ASTA PARA BANDERA</v>
      </c>
      <c r="E5251" s="423"/>
      <c r="F5251" s="423"/>
      <c r="G5251" s="423"/>
      <c r="H5251" s="71"/>
      <c r="I5251" s="287">
        <f>CATALOGO!D163</f>
        <v>1</v>
      </c>
      <c r="J5251" s="107"/>
      <c r="K5251" s="222" t="str">
        <f>CATALOGO!G163</f>
        <v>Unidad</v>
      </c>
      <c r="L5251" s="71"/>
      <c r="M5251" s="71"/>
      <c r="N5251" s="145"/>
      <c r="O5251" s="37"/>
      <c r="P5251" s="37"/>
    </row>
    <row r="5252" spans="1:16" ht="17.25" thickBot="1" x14ac:dyDescent="0.35">
      <c r="F5252" s="77"/>
      <c r="J5252" s="78"/>
      <c r="N5252" s="144"/>
    </row>
    <row r="5253" spans="1:16" ht="17.25" thickBot="1" x14ac:dyDescent="0.35">
      <c r="B5253" s="108" t="s">
        <v>4</v>
      </c>
      <c r="C5253" s="413" t="s">
        <v>5</v>
      </c>
      <c r="D5253" s="413"/>
      <c r="E5253" s="413"/>
      <c r="F5253" s="413"/>
      <c r="G5253" s="414"/>
      <c r="J5253" s="78"/>
      <c r="N5253" s="144"/>
    </row>
    <row r="5254" spans="1:16" s="20" customFormat="1" x14ac:dyDescent="0.3">
      <c r="A5254" s="53"/>
      <c r="B5254" s="109" t="s">
        <v>6</v>
      </c>
      <c r="C5254" s="424" t="s">
        <v>1</v>
      </c>
      <c r="D5254" s="425"/>
      <c r="E5254" s="110" t="s">
        <v>192</v>
      </c>
      <c r="F5254" s="109" t="s">
        <v>2</v>
      </c>
      <c r="G5254" s="112" t="s">
        <v>3</v>
      </c>
      <c r="H5254" s="104"/>
      <c r="I5254" s="105" t="s">
        <v>7</v>
      </c>
      <c r="J5254" s="106"/>
      <c r="K5254" s="223" t="s">
        <v>8</v>
      </c>
      <c r="L5254" s="113" t="s">
        <v>193</v>
      </c>
      <c r="M5254" s="17"/>
      <c r="N5254" s="144"/>
      <c r="O5254" s="36"/>
      <c r="P5254" s="36"/>
    </row>
    <row r="5255" spans="1:16" s="20" customFormat="1" ht="16.899999999999999" customHeight="1" x14ac:dyDescent="0.3">
      <c r="A5255" s="53"/>
      <c r="B5255" s="120">
        <v>1</v>
      </c>
      <c r="C5255" s="407" t="s">
        <v>168</v>
      </c>
      <c r="D5255" s="408"/>
      <c r="E5255" s="114">
        <v>2</v>
      </c>
      <c r="F5255" s="83">
        <f>ROUND(E5255/I5251,2)</f>
        <v>2</v>
      </c>
      <c r="G5255" s="74" t="str">
        <f>IF(C5255=0,0,VLOOKUP(C5255,Tabla1[],2,FALSE))</f>
        <v>Varilla</v>
      </c>
      <c r="H5255" s="17"/>
      <c r="I5255" s="115">
        <f>IF(C5255=0,0,VLOOKUP(C5255,Tabla1[],3,FALSE))</f>
        <v>40</v>
      </c>
      <c r="J5255" s="95"/>
      <c r="K5255" s="84">
        <f>+F5255*I5255</f>
        <v>80</v>
      </c>
      <c r="L5255" s="116">
        <f>E5255*I5255</f>
        <v>80</v>
      </c>
      <c r="M5255" s="17"/>
      <c r="N5255" s="144"/>
      <c r="O5255" s="36"/>
      <c r="P5255" s="36"/>
    </row>
    <row r="5256" spans="1:16" s="20" customFormat="1" ht="16.899999999999999" customHeight="1" x14ac:dyDescent="0.3">
      <c r="A5256" s="53"/>
      <c r="B5256" s="120">
        <v>2</v>
      </c>
      <c r="C5256" s="407" t="s">
        <v>213</v>
      </c>
      <c r="D5256" s="408"/>
      <c r="E5256" s="114">
        <f>I5251*6</f>
        <v>6</v>
      </c>
      <c r="F5256" s="83">
        <f>ROUND(E5256/I5251,2)</f>
        <v>6</v>
      </c>
      <c r="G5256" s="74" t="str">
        <f>IF(C5256=0,0,VLOOKUP(C5256,Tabla1[],2,FALSE))</f>
        <v>Saco</v>
      </c>
      <c r="H5256" s="17"/>
      <c r="I5256" s="115">
        <f>IF(C5256=0,0,VLOOKUP(C5256,Tabla1[],3,FALSE))</f>
        <v>80</v>
      </c>
      <c r="J5256" s="95"/>
      <c r="K5256" s="84">
        <f t="shared" ref="K5256:K5264" si="140">+F5256*I5256</f>
        <v>480</v>
      </c>
      <c r="L5256" s="116">
        <f t="shared" ref="L5256:L5264" si="141">E5256*I5256</f>
        <v>480</v>
      </c>
      <c r="M5256" s="17"/>
      <c r="N5256" s="144"/>
      <c r="O5256" s="36"/>
      <c r="P5256" s="36"/>
    </row>
    <row r="5257" spans="1:16" s="20" customFormat="1" ht="16.899999999999999" customHeight="1" x14ac:dyDescent="0.3">
      <c r="A5257" s="53"/>
      <c r="B5257" s="120">
        <v>3</v>
      </c>
      <c r="C5257" s="407" t="s">
        <v>72</v>
      </c>
      <c r="D5257" s="408"/>
      <c r="E5257" s="114">
        <f>I5251*0.5</f>
        <v>0.5</v>
      </c>
      <c r="F5257" s="83">
        <f>ROUND(E5257/I5251,2)</f>
        <v>0.5</v>
      </c>
      <c r="G5257" s="74" t="str">
        <f>IF(C5257=0,0,VLOOKUP(C5257,Tabla1[],2,FALSE))</f>
        <v>m³</v>
      </c>
      <c r="H5257" s="17"/>
      <c r="I5257" s="115">
        <f>IF(C5257=0,0,VLOOKUP(C5257,Tabla1[],3,FALSE))</f>
        <v>250</v>
      </c>
      <c r="J5257" s="95"/>
      <c r="K5257" s="84">
        <f t="shared" si="140"/>
        <v>125</v>
      </c>
      <c r="L5257" s="116">
        <f t="shared" si="141"/>
        <v>125</v>
      </c>
      <c r="M5257" s="17"/>
      <c r="N5257" s="144"/>
      <c r="O5257" s="36"/>
      <c r="P5257" s="36"/>
    </row>
    <row r="5258" spans="1:16" s="20" customFormat="1" ht="16.899999999999999" customHeight="1" x14ac:dyDescent="0.3">
      <c r="A5258" s="53"/>
      <c r="B5258" s="120">
        <v>4</v>
      </c>
      <c r="C5258" s="407" t="s">
        <v>229</v>
      </c>
      <c r="D5258" s="408"/>
      <c r="E5258" s="114">
        <f>I5251*0.5</f>
        <v>0.5</v>
      </c>
      <c r="F5258" s="83">
        <f>ROUND(E5258/I5251,2)</f>
        <v>0.5</v>
      </c>
      <c r="G5258" s="74" t="str">
        <f>IF(C5258=0,0,VLOOKUP(C5258,Tabla1[],2,FALSE))</f>
        <v>m³</v>
      </c>
      <c r="H5258" s="17"/>
      <c r="I5258" s="115">
        <f>IF(C5258=0,0,VLOOKUP(C5258,Tabla1[],3,FALSE))</f>
        <v>250</v>
      </c>
      <c r="J5258" s="95"/>
      <c r="K5258" s="84">
        <f t="shared" si="140"/>
        <v>125</v>
      </c>
      <c r="L5258" s="116">
        <f t="shared" si="141"/>
        <v>125</v>
      </c>
      <c r="M5258" s="17"/>
      <c r="N5258" s="144"/>
      <c r="O5258" s="36"/>
      <c r="P5258" s="36"/>
    </row>
    <row r="5259" spans="1:16" s="20" customFormat="1" ht="16.899999999999999" customHeight="1" x14ac:dyDescent="0.3">
      <c r="A5259" s="53"/>
      <c r="B5259" s="120">
        <v>5</v>
      </c>
      <c r="C5259" s="407" t="s">
        <v>179</v>
      </c>
      <c r="D5259" s="408"/>
      <c r="E5259" s="114">
        <f>I5251*100</f>
        <v>100</v>
      </c>
      <c r="F5259" s="83">
        <f>ROUND(E5259/I5251,2)</f>
        <v>100</v>
      </c>
      <c r="G5259" s="74" t="str">
        <f>IF(C5259=0,0,VLOOKUP(C5259,Tabla1[],2,FALSE))</f>
        <v>pt</v>
      </c>
      <c r="H5259" s="17"/>
      <c r="I5259" s="115">
        <f>IF(C5259=0,0,VLOOKUP(C5259,Tabla1[],3,FALSE))</f>
        <v>9</v>
      </c>
      <c r="J5259" s="95"/>
      <c r="K5259" s="84">
        <f t="shared" si="140"/>
        <v>900</v>
      </c>
      <c r="L5259" s="116">
        <f t="shared" si="141"/>
        <v>900</v>
      </c>
      <c r="M5259" s="17"/>
      <c r="N5259" s="144"/>
      <c r="O5259" s="36"/>
      <c r="P5259" s="36"/>
    </row>
    <row r="5260" spans="1:16" s="20" customFormat="1" ht="16.899999999999999" customHeight="1" x14ac:dyDescent="0.3">
      <c r="A5260" s="53"/>
      <c r="B5260" s="120">
        <v>6</v>
      </c>
      <c r="C5260" s="407" t="s">
        <v>368</v>
      </c>
      <c r="D5260" s="408"/>
      <c r="E5260" s="114">
        <f>I5251*3</f>
        <v>3</v>
      </c>
      <c r="F5260" s="83">
        <f>ROUND(E5260/I5251,2)</f>
        <v>3</v>
      </c>
      <c r="G5260" s="74" t="str">
        <f>IF(C5260=0,0,VLOOKUP(C5260,Tabla1[],2,FALSE))</f>
        <v>Libra</v>
      </c>
      <c r="H5260" s="17"/>
      <c r="I5260" s="115">
        <f>IF(C5260=0,0,VLOOKUP(C5260,Tabla1[],3,FALSE))</f>
        <v>8</v>
      </c>
      <c r="J5260" s="95"/>
      <c r="K5260" s="84">
        <f t="shared" si="140"/>
        <v>24</v>
      </c>
      <c r="L5260" s="116">
        <f t="shared" si="141"/>
        <v>24</v>
      </c>
      <c r="M5260" s="17"/>
      <c r="N5260" s="144"/>
      <c r="O5260" s="36"/>
      <c r="P5260" s="36"/>
    </row>
    <row r="5261" spans="1:16" s="20" customFormat="1" ht="16.899999999999999" customHeight="1" x14ac:dyDescent="0.3">
      <c r="A5261" s="53"/>
      <c r="B5261" s="120">
        <v>7</v>
      </c>
      <c r="C5261" s="407" t="s">
        <v>117</v>
      </c>
      <c r="D5261" s="408"/>
      <c r="E5261" s="114">
        <f>I5251</f>
        <v>1</v>
      </c>
      <c r="F5261" s="83">
        <f>ROUND(E5261/I5251,2)</f>
        <v>1</v>
      </c>
      <c r="G5261" s="74" t="str">
        <f>IF(C5261=0,0,VLOOKUP(C5261,Tabla1[],2,FALSE))</f>
        <v>Unidad</v>
      </c>
      <c r="H5261" s="17"/>
      <c r="I5261" s="115">
        <f>IF(C5261=0,0,VLOOKUP(C5261,Tabla1[],3,FALSE))</f>
        <v>550</v>
      </c>
      <c r="J5261" s="95"/>
      <c r="K5261" s="84">
        <f t="shared" si="140"/>
        <v>550</v>
      </c>
      <c r="L5261" s="116">
        <f t="shared" si="141"/>
        <v>550</v>
      </c>
      <c r="M5261" s="17"/>
      <c r="N5261" s="144"/>
      <c r="O5261" s="36"/>
      <c r="P5261" s="36"/>
    </row>
    <row r="5262" spans="1:16" s="20" customFormat="1" x14ac:dyDescent="0.3">
      <c r="A5262" s="53"/>
      <c r="B5262" s="120">
        <v>8</v>
      </c>
      <c r="C5262" s="430" t="s">
        <v>195</v>
      </c>
      <c r="D5262" s="429"/>
      <c r="E5262" s="114">
        <f>I5251</f>
        <v>1</v>
      </c>
      <c r="F5262" s="83">
        <f>ROUND(E5262/I5251,2)</f>
        <v>1</v>
      </c>
      <c r="G5262" s="74" t="str">
        <f>IF(C5262=0,0,VLOOKUP(C5262,Tabla1[],2,FALSE))</f>
        <v>Galón</v>
      </c>
      <c r="H5262" s="17"/>
      <c r="I5262" s="115">
        <f>IF(C5262=0,0,VLOOKUP(C5262,Tabla1[],3,FALSE))</f>
        <v>200</v>
      </c>
      <c r="J5262" s="95"/>
      <c r="K5262" s="84">
        <f t="shared" si="140"/>
        <v>200</v>
      </c>
      <c r="L5262" s="116">
        <f t="shared" si="141"/>
        <v>200</v>
      </c>
      <c r="M5262" s="17"/>
      <c r="N5262" s="144"/>
      <c r="O5262" s="36"/>
      <c r="P5262" s="36"/>
    </row>
    <row r="5263" spans="1:16" s="20" customFormat="1" x14ac:dyDescent="0.3">
      <c r="A5263" s="53"/>
      <c r="B5263" s="120">
        <v>9</v>
      </c>
      <c r="C5263" s="430" t="s">
        <v>174</v>
      </c>
      <c r="D5263" s="429"/>
      <c r="E5263" s="114">
        <f>I5251*1.1</f>
        <v>1.1000000000000001</v>
      </c>
      <c r="F5263" s="83">
        <f>ROUND(E5263/I5251,2)</f>
        <v>1.1000000000000001</v>
      </c>
      <c r="G5263" s="74" t="str">
        <f>IF(C5263=0,0,VLOOKUP(C5263,Tabla1[],2,FALSE))</f>
        <v>Libra</v>
      </c>
      <c r="H5263" s="17"/>
      <c r="I5263" s="115">
        <f>IF(C5263=0,0,VLOOKUP(C5263,Tabla1[],3,FALSE))</f>
        <v>10</v>
      </c>
      <c r="J5263" s="95"/>
      <c r="K5263" s="84">
        <f t="shared" si="140"/>
        <v>11</v>
      </c>
      <c r="L5263" s="116">
        <f t="shared" si="141"/>
        <v>11</v>
      </c>
      <c r="M5263" s="17"/>
      <c r="N5263" s="144"/>
      <c r="O5263" s="36"/>
      <c r="P5263" s="36"/>
    </row>
    <row r="5264" spans="1:16" s="20" customFormat="1" x14ac:dyDescent="0.3">
      <c r="A5264" s="53"/>
      <c r="B5264" s="120"/>
      <c r="C5264" s="430"/>
      <c r="D5264" s="429"/>
      <c r="E5264" s="114"/>
      <c r="F5264" s="146"/>
      <c r="G5264" s="74"/>
      <c r="H5264" s="17"/>
      <c r="I5264" s="115">
        <f>IF(C5264=0,0,VLOOKUP(C5264,Tabla1[],3,FALSE))</f>
        <v>0</v>
      </c>
      <c r="J5264" s="95"/>
      <c r="K5264" s="84">
        <f t="shared" si="140"/>
        <v>0</v>
      </c>
      <c r="L5264" s="116">
        <f t="shared" si="141"/>
        <v>0</v>
      </c>
      <c r="M5264" s="17"/>
      <c r="N5264" s="144"/>
      <c r="O5264" s="36"/>
      <c r="P5264" s="36"/>
    </row>
    <row r="5265" spans="1:16" s="20" customFormat="1" ht="17.25" thickBot="1" x14ac:dyDescent="0.35">
      <c r="A5265" s="53"/>
      <c r="B5265" s="77"/>
      <c r="C5265" s="17"/>
      <c r="D5265" s="17"/>
      <c r="E5265" s="76"/>
      <c r="F5265" s="77"/>
      <c r="G5265" s="77"/>
      <c r="H5265" s="17"/>
      <c r="I5265" s="78"/>
      <c r="J5265" s="78"/>
      <c r="K5265" s="78"/>
      <c r="L5265" s="17"/>
      <c r="M5265" s="17"/>
      <c r="N5265" s="144"/>
      <c r="O5265" s="36"/>
      <c r="P5265" s="36"/>
    </row>
    <row r="5266" spans="1:16" s="20" customFormat="1" ht="17.25" thickBot="1" x14ac:dyDescent="0.35">
      <c r="A5266" s="53"/>
      <c r="B5266" s="77"/>
      <c r="C5266" s="17"/>
      <c r="D5266" s="17"/>
      <c r="E5266" s="76"/>
      <c r="F5266" s="402" t="s">
        <v>9</v>
      </c>
      <c r="G5266" s="403"/>
      <c r="H5266" s="403"/>
      <c r="I5266" s="404"/>
      <c r="J5266" s="78"/>
      <c r="K5266" s="224">
        <f>+SUM(K5255:K5264)</f>
        <v>2495</v>
      </c>
      <c r="L5266" s="117">
        <f>+SUM(L5255:L5264)</f>
        <v>2495</v>
      </c>
      <c r="M5266" s="17"/>
      <c r="N5266" s="144"/>
      <c r="O5266" s="36"/>
      <c r="P5266" s="36"/>
    </row>
    <row r="5267" spans="1:16" s="20" customFormat="1" ht="17.25" thickBot="1" x14ac:dyDescent="0.35">
      <c r="A5267" s="53"/>
      <c r="B5267" s="77"/>
      <c r="C5267" s="17"/>
      <c r="D5267" s="17"/>
      <c r="E5267" s="76"/>
      <c r="F5267" s="77"/>
      <c r="G5267" s="77"/>
      <c r="H5267" s="17"/>
      <c r="I5267" s="78"/>
      <c r="J5267" s="78"/>
      <c r="K5267" s="78"/>
      <c r="L5267" s="17"/>
      <c r="M5267" s="17"/>
      <c r="N5267" s="144"/>
      <c r="O5267" s="36"/>
      <c r="P5267" s="36"/>
    </row>
    <row r="5268" spans="1:16" s="20" customFormat="1" ht="17.25" thickBot="1" x14ac:dyDescent="0.35">
      <c r="A5268" s="53"/>
      <c r="B5268" s="108" t="s">
        <v>10</v>
      </c>
      <c r="C5268" s="413" t="s">
        <v>11</v>
      </c>
      <c r="D5268" s="413"/>
      <c r="E5268" s="413"/>
      <c r="F5268" s="413"/>
      <c r="G5268" s="414"/>
      <c r="H5268" s="17"/>
      <c r="I5268" s="78"/>
      <c r="J5268" s="78"/>
      <c r="K5268" s="78"/>
      <c r="L5268" s="17"/>
      <c r="M5268" s="17"/>
      <c r="N5268" s="144"/>
      <c r="O5268" s="36"/>
      <c r="P5268" s="36"/>
    </row>
    <row r="5269" spans="1:16" s="20" customFormat="1" x14ac:dyDescent="0.3">
      <c r="A5269" s="53"/>
      <c r="B5269" s="112" t="s">
        <v>6</v>
      </c>
      <c r="C5269" s="415" t="s">
        <v>1</v>
      </c>
      <c r="D5269" s="416"/>
      <c r="E5269" s="110" t="s">
        <v>192</v>
      </c>
      <c r="F5269" s="112" t="s">
        <v>2</v>
      </c>
      <c r="G5269" s="112" t="s">
        <v>3</v>
      </c>
      <c r="H5269" s="104"/>
      <c r="I5269" s="105" t="s">
        <v>7</v>
      </c>
      <c r="J5269" s="106"/>
      <c r="K5269" s="105" t="s">
        <v>8</v>
      </c>
      <c r="L5269" s="113" t="s">
        <v>193</v>
      </c>
      <c r="M5269" s="17"/>
      <c r="N5269" s="144"/>
      <c r="O5269" s="36"/>
      <c r="P5269" s="36"/>
    </row>
    <row r="5270" spans="1:16" s="20" customFormat="1" x14ac:dyDescent="0.3">
      <c r="A5270" s="53"/>
      <c r="B5270" s="120"/>
      <c r="C5270" s="409"/>
      <c r="D5270" s="409"/>
      <c r="E5270" s="114"/>
      <c r="F5270" s="146"/>
      <c r="G5270" s="74"/>
      <c r="H5270" s="17"/>
      <c r="I5270" s="115">
        <f>IF(C5270=0,0,VLOOKUP(C5270,Tabla3[],3,FALSE))</f>
        <v>0</v>
      </c>
      <c r="J5270" s="95"/>
      <c r="K5270" s="84">
        <f>+F5270*I5270</f>
        <v>0</v>
      </c>
      <c r="L5270" s="116">
        <f>E5270*I5270</f>
        <v>0</v>
      </c>
      <c r="M5270" s="17"/>
      <c r="N5270" s="144"/>
      <c r="O5270" s="36"/>
      <c r="P5270" s="36"/>
    </row>
    <row r="5271" spans="1:16" s="20" customFormat="1" x14ac:dyDescent="0.3">
      <c r="A5271" s="53"/>
      <c r="B5271" s="74"/>
      <c r="C5271" s="431"/>
      <c r="D5271" s="432"/>
      <c r="E5271" s="119"/>
      <c r="F5271" s="74"/>
      <c r="G5271" s="74"/>
      <c r="H5271" s="17"/>
      <c r="I5271" s="115">
        <f>IF(C5271=0,0,VLOOKUP(C5271,Tabla3[],3,FALSE))</f>
        <v>0</v>
      </c>
      <c r="J5271" s="95"/>
      <c r="K5271" s="84">
        <f>+F5271*I5271</f>
        <v>0</v>
      </c>
      <c r="L5271" s="116">
        <f>E5271*I5271</f>
        <v>0</v>
      </c>
      <c r="M5271" s="17"/>
      <c r="N5271" s="144"/>
      <c r="O5271" s="36"/>
      <c r="P5271" s="36"/>
    </row>
    <row r="5272" spans="1:16" s="20" customFormat="1" x14ac:dyDescent="0.3">
      <c r="A5272" s="53"/>
      <c r="B5272" s="74"/>
      <c r="C5272" s="431"/>
      <c r="D5272" s="432"/>
      <c r="E5272" s="119"/>
      <c r="F5272" s="74"/>
      <c r="G5272" s="74"/>
      <c r="H5272" s="17"/>
      <c r="I5272" s="115">
        <f>IF(C5272=0,0,VLOOKUP(C5272,Tabla3[],3,FALSE))</f>
        <v>0</v>
      </c>
      <c r="J5272" s="95"/>
      <c r="K5272" s="84">
        <f>+F5272*I5272</f>
        <v>0</v>
      </c>
      <c r="L5272" s="116">
        <f>E5272*I5272</f>
        <v>0</v>
      </c>
      <c r="M5272" s="17"/>
      <c r="N5272" s="144"/>
      <c r="O5272" s="36"/>
      <c r="P5272" s="36"/>
    </row>
    <row r="5273" spans="1:16" s="20" customFormat="1" x14ac:dyDescent="0.3">
      <c r="A5273" s="53"/>
      <c r="B5273" s="74"/>
      <c r="C5273" s="411"/>
      <c r="D5273" s="412"/>
      <c r="E5273" s="119"/>
      <c r="F5273" s="74"/>
      <c r="G5273" s="74"/>
      <c r="H5273" s="17"/>
      <c r="I5273" s="115">
        <f>IF(C5273=0,0,VLOOKUP(C5273,Tabla3[],3,FALSE))</f>
        <v>0</v>
      </c>
      <c r="J5273" s="95"/>
      <c r="K5273" s="84">
        <f>+F5273*I5273</f>
        <v>0</v>
      </c>
      <c r="L5273" s="116">
        <f>E5273*I5273</f>
        <v>0</v>
      </c>
      <c r="M5273" s="17"/>
      <c r="N5273" s="144"/>
      <c r="O5273" s="36"/>
      <c r="P5273" s="36"/>
    </row>
    <row r="5274" spans="1:16" s="20" customFormat="1" ht="17.25" thickBot="1" x14ac:dyDescent="0.35">
      <c r="A5274" s="53"/>
      <c r="B5274" s="77"/>
      <c r="C5274" s="17"/>
      <c r="D5274" s="17"/>
      <c r="E5274" s="76"/>
      <c r="F5274" s="77"/>
      <c r="G5274" s="77"/>
      <c r="H5274" s="17"/>
      <c r="I5274" s="78"/>
      <c r="J5274" s="78"/>
      <c r="K5274" s="78"/>
      <c r="L5274" s="17"/>
      <c r="M5274" s="17"/>
      <c r="N5274" s="144"/>
      <c r="O5274" s="36"/>
      <c r="P5274" s="36"/>
    </row>
    <row r="5275" spans="1:16" s="20" customFormat="1" ht="17.25" thickBot="1" x14ac:dyDescent="0.35">
      <c r="A5275" s="53"/>
      <c r="B5275" s="77"/>
      <c r="C5275" s="17"/>
      <c r="D5275" s="17"/>
      <c r="E5275" s="76"/>
      <c r="F5275" s="402" t="s">
        <v>12</v>
      </c>
      <c r="G5275" s="403"/>
      <c r="H5275" s="403"/>
      <c r="I5275" s="404"/>
      <c r="J5275" s="78"/>
      <c r="K5275" s="224">
        <f>+SUM(K5270:K5273)</f>
        <v>0</v>
      </c>
      <c r="L5275" s="117">
        <f>+SUM(L5270:L5273)</f>
        <v>0</v>
      </c>
      <c r="M5275" s="17"/>
      <c r="N5275" s="144"/>
      <c r="O5275" s="36"/>
      <c r="P5275" s="36"/>
    </row>
    <row r="5276" spans="1:16" s="20" customFormat="1" ht="17.25" thickBot="1" x14ac:dyDescent="0.35">
      <c r="A5276" s="53"/>
      <c r="B5276" s="77"/>
      <c r="C5276" s="17"/>
      <c r="D5276" s="17"/>
      <c r="E5276" s="76"/>
      <c r="F5276" s="77"/>
      <c r="G5276" s="77"/>
      <c r="H5276" s="17"/>
      <c r="I5276" s="78"/>
      <c r="J5276" s="78"/>
      <c r="K5276" s="78"/>
      <c r="L5276" s="17"/>
      <c r="M5276" s="17"/>
      <c r="N5276" s="144"/>
      <c r="O5276" s="36"/>
      <c r="P5276" s="36"/>
    </row>
    <row r="5277" spans="1:16" s="20" customFormat="1" ht="17.25" thickBot="1" x14ac:dyDescent="0.35">
      <c r="A5277" s="53"/>
      <c r="B5277" s="108" t="s">
        <v>13</v>
      </c>
      <c r="C5277" s="413" t="s">
        <v>14</v>
      </c>
      <c r="D5277" s="413"/>
      <c r="E5277" s="413"/>
      <c r="F5277" s="413"/>
      <c r="G5277" s="414"/>
      <c r="H5277" s="17"/>
      <c r="I5277" s="78"/>
      <c r="J5277" s="78"/>
      <c r="K5277" s="78"/>
      <c r="L5277" s="17"/>
      <c r="M5277" s="17"/>
      <c r="N5277" s="144"/>
      <c r="O5277" s="36"/>
      <c r="P5277" s="36"/>
    </row>
    <row r="5278" spans="1:16" s="20" customFormat="1" x14ac:dyDescent="0.3">
      <c r="A5278" s="53"/>
      <c r="B5278" s="112" t="s">
        <v>6</v>
      </c>
      <c r="C5278" s="415" t="s">
        <v>1</v>
      </c>
      <c r="D5278" s="416"/>
      <c r="E5278" s="110" t="s">
        <v>192</v>
      </c>
      <c r="F5278" s="112" t="s">
        <v>2</v>
      </c>
      <c r="G5278" s="112" t="s">
        <v>3</v>
      </c>
      <c r="H5278" s="104"/>
      <c r="I5278" s="105" t="s">
        <v>7</v>
      </c>
      <c r="J5278" s="106"/>
      <c r="K5278" s="105" t="s">
        <v>8</v>
      </c>
      <c r="L5278" s="113" t="s">
        <v>193</v>
      </c>
      <c r="M5278" s="17"/>
      <c r="N5278" s="144"/>
      <c r="O5278" s="36"/>
      <c r="P5278" s="36"/>
    </row>
    <row r="5279" spans="1:16" s="20" customFormat="1" x14ac:dyDescent="0.3">
      <c r="A5279" s="53"/>
      <c r="B5279" s="120">
        <v>1</v>
      </c>
      <c r="C5279" s="409" t="s">
        <v>406</v>
      </c>
      <c r="D5279" s="409"/>
      <c r="E5279" s="114">
        <f>I5251</f>
        <v>1</v>
      </c>
      <c r="F5279" s="146">
        <f>ROUND(E5279/I5251,2)</f>
        <v>1</v>
      </c>
      <c r="G5279" s="74" t="str">
        <f>IF(C5279=0,0,VLOOKUP(C5279,Tabla2[],2,FALSE))</f>
        <v>Unidad</v>
      </c>
      <c r="H5279" s="17"/>
      <c r="I5279" s="115">
        <f>IF(C5279=0,0,VLOOKUP(C5279,Tabla2[],3,FALSE))</f>
        <v>700</v>
      </c>
      <c r="J5279" s="95"/>
      <c r="K5279" s="84">
        <f>+F5279*I5279</f>
        <v>700</v>
      </c>
      <c r="L5279" s="116">
        <f>E5279*I5279</f>
        <v>700</v>
      </c>
      <c r="M5279" s="17"/>
      <c r="N5279" s="144"/>
      <c r="O5279" s="36"/>
      <c r="P5279" s="36"/>
    </row>
    <row r="5280" spans="1:16" s="20" customFormat="1" x14ac:dyDescent="0.3">
      <c r="A5280" s="53"/>
      <c r="B5280" s="120"/>
      <c r="C5280" s="409"/>
      <c r="D5280" s="409"/>
      <c r="E5280" s="114"/>
      <c r="F5280" s="146"/>
      <c r="G5280" s="74"/>
      <c r="H5280" s="17"/>
      <c r="I5280" s="115">
        <f>IF(C5280=0,0,VLOOKUP(C5280,Tabla2[],3,FALSE))</f>
        <v>0</v>
      </c>
      <c r="J5280" s="95"/>
      <c r="K5280" s="84">
        <f>+F5280*I5280</f>
        <v>0</v>
      </c>
      <c r="L5280" s="116">
        <f>E5280*I5280</f>
        <v>0</v>
      </c>
      <c r="M5280" s="17"/>
      <c r="N5280" s="144"/>
      <c r="O5280" s="36"/>
      <c r="P5280" s="36"/>
    </row>
    <row r="5281" spans="1:16" s="20" customFormat="1" ht="17.25" thickBot="1" x14ac:dyDescent="0.35">
      <c r="A5281" s="53"/>
      <c r="B5281" s="121"/>
      <c r="C5281" s="417"/>
      <c r="D5281" s="418"/>
      <c r="E5281" s="122"/>
      <c r="F5281" s="121"/>
      <c r="G5281" s="74"/>
      <c r="H5281" s="17"/>
      <c r="I5281" s="115">
        <f>IF(C5281=0,0,VLOOKUP(C5281,Tabla2[],3,FALSE))</f>
        <v>0</v>
      </c>
      <c r="J5281" s="95"/>
      <c r="K5281" s="84">
        <f>+F5281*I5281</f>
        <v>0</v>
      </c>
      <c r="L5281" s="116">
        <f>E5281*I5281</f>
        <v>0</v>
      </c>
      <c r="M5281" s="17"/>
      <c r="N5281" s="144"/>
      <c r="O5281" s="36"/>
      <c r="P5281" s="36"/>
    </row>
    <row r="5282" spans="1:16" s="20" customFormat="1" ht="17.25" thickBot="1" x14ac:dyDescent="0.35">
      <c r="A5282" s="53"/>
      <c r="B5282" s="419" t="s">
        <v>15</v>
      </c>
      <c r="C5282" s="420"/>
      <c r="D5282" s="420"/>
      <c r="E5282" s="420"/>
      <c r="F5282" s="420"/>
      <c r="G5282" s="421"/>
      <c r="H5282" s="17"/>
      <c r="I5282" s="84">
        <v>0</v>
      </c>
      <c r="J5282" s="78"/>
      <c r="K5282" s="84">
        <v>0</v>
      </c>
      <c r="L5282" s="116">
        <f>E5282*I5282</f>
        <v>0</v>
      </c>
      <c r="M5282" s="17"/>
      <c r="N5282" s="144"/>
      <c r="O5282" s="36"/>
      <c r="P5282" s="36"/>
    </row>
    <row r="5283" spans="1:16" s="20" customFormat="1" ht="17.25" thickBot="1" x14ac:dyDescent="0.35">
      <c r="A5283" s="53"/>
      <c r="B5283" s="77"/>
      <c r="C5283" s="17"/>
      <c r="D5283" s="17"/>
      <c r="E5283" s="76"/>
      <c r="F5283" s="77"/>
      <c r="G5283" s="77"/>
      <c r="H5283" s="17"/>
      <c r="I5283" s="78"/>
      <c r="J5283" s="78"/>
      <c r="K5283" s="78"/>
      <c r="L5283" s="17"/>
      <c r="M5283" s="17"/>
      <c r="N5283" s="144"/>
      <c r="O5283" s="36"/>
      <c r="P5283" s="36"/>
    </row>
    <row r="5284" spans="1:16" s="20" customFormat="1" ht="17.25" thickBot="1" x14ac:dyDescent="0.35">
      <c r="A5284" s="53"/>
      <c r="B5284" s="77"/>
      <c r="C5284" s="17"/>
      <c r="D5284" s="17"/>
      <c r="E5284" s="76"/>
      <c r="F5284" s="402" t="s">
        <v>16</v>
      </c>
      <c r="G5284" s="403"/>
      <c r="H5284" s="403"/>
      <c r="I5284" s="404"/>
      <c r="J5284" s="78"/>
      <c r="K5284" s="224">
        <f>+SUM(K5279:K5282)</f>
        <v>700</v>
      </c>
      <c r="L5284" s="117">
        <f>+SUM(L5279:L5282)</f>
        <v>700</v>
      </c>
      <c r="M5284" s="17"/>
      <c r="N5284" s="144"/>
      <c r="O5284" s="36"/>
      <c r="P5284" s="36"/>
    </row>
    <row r="5285" spans="1:16" ht="17.25" thickBot="1" x14ac:dyDescent="0.35">
      <c r="F5285" s="77"/>
      <c r="J5285" s="78"/>
      <c r="N5285" s="144"/>
    </row>
    <row r="5286" spans="1:16" ht="17.25" thickBot="1" x14ac:dyDescent="0.35">
      <c r="B5286" s="108" t="s">
        <v>17</v>
      </c>
      <c r="C5286" s="413" t="s">
        <v>18</v>
      </c>
      <c r="D5286" s="413"/>
      <c r="E5286" s="413"/>
      <c r="F5286" s="413"/>
      <c r="G5286" s="414"/>
      <c r="J5286" s="78"/>
      <c r="N5286" s="144"/>
    </row>
    <row r="5287" spans="1:16" x14ac:dyDescent="0.3">
      <c r="B5287" s="112" t="s">
        <v>6</v>
      </c>
      <c r="C5287" s="415" t="s">
        <v>1</v>
      </c>
      <c r="D5287" s="416"/>
      <c r="E5287" s="124"/>
      <c r="F5287" s="112" t="s">
        <v>2</v>
      </c>
      <c r="G5287" s="112" t="s">
        <v>3</v>
      </c>
      <c r="H5287" s="104"/>
      <c r="I5287" s="105" t="s">
        <v>7</v>
      </c>
      <c r="J5287" s="106"/>
      <c r="K5287" s="105" t="s">
        <v>8</v>
      </c>
      <c r="L5287" s="113" t="s">
        <v>193</v>
      </c>
      <c r="N5287" s="144"/>
    </row>
    <row r="5288" spans="1:16" x14ac:dyDescent="0.3">
      <c r="B5288" s="74"/>
      <c r="C5288" s="411"/>
      <c r="D5288" s="412"/>
      <c r="E5288" s="125"/>
      <c r="F5288" s="74"/>
      <c r="G5288" s="74"/>
      <c r="I5288" s="84">
        <v>0</v>
      </c>
      <c r="J5288" s="78"/>
      <c r="K5288" s="84">
        <f>+F5288*I5288</f>
        <v>0</v>
      </c>
      <c r="L5288" s="116">
        <f>E5288*I5288</f>
        <v>0</v>
      </c>
      <c r="N5288" s="144"/>
    </row>
    <row r="5289" spans="1:16" x14ac:dyDescent="0.3">
      <c r="B5289" s="74"/>
      <c r="C5289" s="411"/>
      <c r="D5289" s="412"/>
      <c r="E5289" s="125"/>
      <c r="F5289" s="74"/>
      <c r="G5289" s="74"/>
      <c r="I5289" s="84">
        <v>0</v>
      </c>
      <c r="J5289" s="78"/>
      <c r="K5289" s="84">
        <f>+F5289*I5289</f>
        <v>0</v>
      </c>
      <c r="L5289" s="116">
        <f>E5289*I5289</f>
        <v>0</v>
      </c>
      <c r="N5289" s="144"/>
    </row>
    <row r="5290" spans="1:16" x14ac:dyDescent="0.3">
      <c r="B5290" s="74"/>
      <c r="C5290" s="411"/>
      <c r="D5290" s="412"/>
      <c r="E5290" s="125"/>
      <c r="F5290" s="74"/>
      <c r="G5290" s="74"/>
      <c r="I5290" s="84">
        <v>0</v>
      </c>
      <c r="J5290" s="78"/>
      <c r="K5290" s="84">
        <f>+F5290*I5290</f>
        <v>0</v>
      </c>
      <c r="L5290" s="116">
        <f>E5290*I5290</f>
        <v>0</v>
      </c>
      <c r="N5290" s="144"/>
    </row>
    <row r="5291" spans="1:16" ht="17.25" thickBot="1" x14ac:dyDescent="0.35">
      <c r="F5291" s="77"/>
      <c r="J5291" s="78"/>
      <c r="L5291" s="116"/>
      <c r="N5291" s="144"/>
    </row>
    <row r="5292" spans="1:16" ht="17.25" thickBot="1" x14ac:dyDescent="0.35">
      <c r="F5292" s="402" t="s">
        <v>19</v>
      </c>
      <c r="G5292" s="403"/>
      <c r="H5292" s="403"/>
      <c r="I5292" s="404"/>
      <c r="J5292" s="78"/>
      <c r="K5292" s="224">
        <f>+SUM(K5288:K5290)</f>
        <v>0</v>
      </c>
      <c r="L5292" s="117">
        <f>+SUM(L5287:L5290)</f>
        <v>0</v>
      </c>
      <c r="N5292" s="144"/>
    </row>
    <row r="5293" spans="1:16" ht="15" customHeight="1" x14ac:dyDescent="0.3">
      <c r="F5293" s="280"/>
      <c r="G5293" s="280"/>
      <c r="H5293" s="128"/>
      <c r="I5293" s="106"/>
      <c r="J5293" s="78"/>
      <c r="K5293" s="225"/>
      <c r="N5293" s="144"/>
    </row>
    <row r="5294" spans="1:16" ht="15" customHeight="1" thickBot="1" x14ac:dyDescent="0.35">
      <c r="F5294" s="77"/>
      <c r="J5294" s="78"/>
      <c r="N5294" s="144"/>
    </row>
    <row r="5295" spans="1:16" ht="17.25" thickBot="1" x14ac:dyDescent="0.35">
      <c r="F5295" s="402" t="s">
        <v>20</v>
      </c>
      <c r="G5295" s="403"/>
      <c r="H5295" s="403"/>
      <c r="I5295" s="404"/>
      <c r="J5295" s="78"/>
      <c r="K5295" s="224">
        <f>(+K5266+K5275+K5284+K5292)</f>
        <v>3195</v>
      </c>
      <c r="L5295" s="117">
        <f>(+L5266+L5275+L5284+L5292)</f>
        <v>3195</v>
      </c>
      <c r="N5295" s="147"/>
      <c r="O5295" s="39"/>
      <c r="P5295" s="40"/>
    </row>
    <row r="5296" spans="1:16" ht="7.5" customHeight="1" thickBot="1" x14ac:dyDescent="0.35">
      <c r="F5296" s="77"/>
      <c r="J5296" s="78"/>
      <c r="N5296" s="147"/>
      <c r="O5296" s="41"/>
      <c r="P5296" s="40"/>
    </row>
    <row r="5297" spans="1:16" ht="17.25" thickBot="1" x14ac:dyDescent="0.35">
      <c r="F5297" s="402" t="s">
        <v>21</v>
      </c>
      <c r="G5297" s="403"/>
      <c r="H5297" s="403"/>
      <c r="I5297" s="404"/>
      <c r="J5297" s="78"/>
      <c r="K5297" s="224">
        <f>K5295*$N$2</f>
        <v>1278</v>
      </c>
      <c r="L5297" s="117">
        <f>L5295*$N$2</f>
        <v>1278</v>
      </c>
      <c r="N5297" s="144"/>
    </row>
    <row r="5298" spans="1:16" ht="7.5" customHeight="1" thickBot="1" x14ac:dyDescent="0.35">
      <c r="F5298" s="77"/>
      <c r="J5298" s="78"/>
      <c r="N5298" s="144"/>
    </row>
    <row r="5299" spans="1:16" ht="17.25" thickBot="1" x14ac:dyDescent="0.35">
      <c r="F5299" s="402" t="s">
        <v>22</v>
      </c>
      <c r="G5299" s="403"/>
      <c r="H5299" s="403"/>
      <c r="I5299" s="404"/>
      <c r="J5299" s="78"/>
      <c r="K5299" s="224">
        <f>+K5295+K5297</f>
        <v>4473</v>
      </c>
      <c r="L5299" s="117">
        <f>+L5295+L5297</f>
        <v>4473</v>
      </c>
      <c r="N5299" s="144"/>
    </row>
    <row r="5300" spans="1:16" ht="17.25" thickBot="1" x14ac:dyDescent="0.35">
      <c r="F5300" s="280"/>
      <c r="G5300" s="280"/>
      <c r="H5300" s="128"/>
      <c r="I5300" s="106"/>
      <c r="J5300" s="78"/>
      <c r="K5300" s="226"/>
      <c r="L5300" s="130">
        <f>L5299/I5251</f>
        <v>4473</v>
      </c>
      <c r="M5300" s="131">
        <f>(K5299-L5300)*I5251</f>
        <v>0</v>
      </c>
      <c r="N5300" s="144"/>
    </row>
    <row r="5301" spans="1:16" x14ac:dyDescent="0.3">
      <c r="F5301" s="280"/>
      <c r="G5301" s="280"/>
      <c r="H5301" s="128"/>
      <c r="I5301" s="106"/>
      <c r="J5301" s="78"/>
      <c r="K5301" s="227"/>
      <c r="L5301" s="129"/>
      <c r="M5301" s="132"/>
      <c r="N5301" s="148"/>
    </row>
    <row r="5302" spans="1:16" ht="17.25" thickBot="1" x14ac:dyDescent="0.35">
      <c r="B5302" s="405"/>
      <c r="C5302" s="405"/>
      <c r="D5302" s="405"/>
      <c r="F5302" s="77"/>
      <c r="J5302" s="78"/>
      <c r="N5302" s="144"/>
    </row>
    <row r="5303" spans="1:16" x14ac:dyDescent="0.3">
      <c r="B5303" s="406" t="s">
        <v>23</v>
      </c>
      <c r="C5303" s="406"/>
      <c r="D5303" s="406"/>
      <c r="F5303" s="77"/>
      <c r="J5303" s="78"/>
      <c r="N5303" s="144"/>
    </row>
    <row r="5304" spans="1:16" x14ac:dyDescent="0.3">
      <c r="B5304" s="281"/>
      <c r="C5304" s="281"/>
      <c r="D5304" s="281"/>
      <c r="F5304" s="77"/>
      <c r="J5304" s="78"/>
      <c r="N5304" s="144"/>
    </row>
    <row r="5305" spans="1:16" x14ac:dyDescent="0.3">
      <c r="B5305" s="281"/>
      <c r="C5305" s="281"/>
      <c r="D5305" s="281"/>
      <c r="F5305" s="77"/>
      <c r="J5305" s="78"/>
      <c r="N5305" s="144"/>
    </row>
    <row r="5306" spans="1:16" x14ac:dyDescent="0.3">
      <c r="B5306" s="103" t="s">
        <v>43</v>
      </c>
      <c r="C5306" s="104"/>
      <c r="D5306" s="422" t="s">
        <v>1</v>
      </c>
      <c r="E5306" s="422"/>
      <c r="F5306" s="422"/>
      <c r="G5306" s="422"/>
      <c r="H5306" s="104"/>
      <c r="I5306" s="105" t="s">
        <v>2</v>
      </c>
      <c r="J5306" s="106"/>
      <c r="K5306" s="105" t="s">
        <v>3</v>
      </c>
      <c r="N5306" s="144"/>
    </row>
    <row r="5307" spans="1:16" s="4" customFormat="1" ht="30.75" customHeight="1" x14ac:dyDescent="0.25">
      <c r="A5307" s="31"/>
      <c r="B5307" s="287">
        <f>CATALOGO!B164</f>
        <v>1413.06</v>
      </c>
      <c r="C5307" s="71"/>
      <c r="D5307" s="423" t="str">
        <f>CATALOGO!C164</f>
        <v>MURO PERIMETRAL DE 0.15m, H=2.0m</v>
      </c>
      <c r="E5307" s="423"/>
      <c r="F5307" s="423"/>
      <c r="G5307" s="423"/>
      <c r="H5307" s="71"/>
      <c r="I5307" s="287">
        <f>CATALOGO!D164</f>
        <v>30</v>
      </c>
      <c r="J5307" s="107"/>
      <c r="K5307" s="222" t="str">
        <f>CATALOGO!G164</f>
        <v>ml</v>
      </c>
      <c r="L5307" s="71"/>
      <c r="M5307" s="71"/>
      <c r="N5307" s="145"/>
      <c r="O5307" s="37"/>
      <c r="P5307" s="37"/>
    </row>
    <row r="5308" spans="1:16" ht="17.25" thickBot="1" x14ac:dyDescent="0.35">
      <c r="F5308" s="77"/>
      <c r="J5308" s="78"/>
      <c r="N5308" s="144"/>
    </row>
    <row r="5309" spans="1:16" ht="17.25" thickBot="1" x14ac:dyDescent="0.35">
      <c r="B5309" s="108" t="s">
        <v>4</v>
      </c>
      <c r="C5309" s="413" t="s">
        <v>5</v>
      </c>
      <c r="D5309" s="413"/>
      <c r="E5309" s="413"/>
      <c r="F5309" s="413"/>
      <c r="G5309" s="414"/>
      <c r="J5309" s="78"/>
      <c r="N5309" s="144"/>
    </row>
    <row r="5310" spans="1:16" s="20" customFormat="1" x14ac:dyDescent="0.3">
      <c r="A5310" s="53"/>
      <c r="B5310" s="109" t="s">
        <v>6</v>
      </c>
      <c r="C5310" s="424" t="s">
        <v>1</v>
      </c>
      <c r="D5310" s="425"/>
      <c r="E5310" s="110" t="s">
        <v>192</v>
      </c>
      <c r="F5310" s="109" t="s">
        <v>2</v>
      </c>
      <c r="G5310" s="112" t="s">
        <v>3</v>
      </c>
      <c r="H5310" s="104"/>
      <c r="I5310" s="105" t="s">
        <v>7</v>
      </c>
      <c r="J5310" s="106"/>
      <c r="K5310" s="223" t="s">
        <v>8</v>
      </c>
      <c r="L5310" s="113" t="s">
        <v>193</v>
      </c>
      <c r="M5310" s="17"/>
      <c r="N5310" s="144"/>
      <c r="O5310" s="36"/>
      <c r="P5310" s="36"/>
    </row>
    <row r="5311" spans="1:16" s="20" customFormat="1" ht="16.5" customHeight="1" x14ac:dyDescent="0.3">
      <c r="A5311" s="53"/>
      <c r="B5311" s="120">
        <v>1</v>
      </c>
      <c r="C5311" s="407" t="s">
        <v>168</v>
      </c>
      <c r="D5311" s="408"/>
      <c r="E5311" s="114">
        <f>I5307*1.25</f>
        <v>37.5</v>
      </c>
      <c r="F5311" s="83">
        <f>ROUND(E5311/I5307,2)</f>
        <v>1.25</v>
      </c>
      <c r="G5311" s="74" t="str">
        <f>IF(C5311=0,0,VLOOKUP(C5311,Tabla1[],2,FALSE))</f>
        <v>Varilla</v>
      </c>
      <c r="H5311" s="17"/>
      <c r="I5311" s="115">
        <f>IF(C5311=0,0,VLOOKUP(C5311,Tabla1[],3,FALSE))</f>
        <v>40</v>
      </c>
      <c r="J5311" s="95"/>
      <c r="K5311" s="84">
        <f>+F5311*I5311</f>
        <v>50</v>
      </c>
      <c r="L5311" s="116">
        <f>E5311*I5311</f>
        <v>1500</v>
      </c>
      <c r="M5311" s="17"/>
      <c r="N5311" s="144"/>
      <c r="O5311" s="36"/>
      <c r="P5311" s="36"/>
    </row>
    <row r="5312" spans="1:16" s="20" customFormat="1" ht="16.5" customHeight="1" x14ac:dyDescent="0.3">
      <c r="A5312" s="53"/>
      <c r="B5312" s="120">
        <v>2</v>
      </c>
      <c r="C5312" s="407" t="s">
        <v>213</v>
      </c>
      <c r="D5312" s="408"/>
      <c r="E5312" s="114">
        <f>I5307*2</f>
        <v>60</v>
      </c>
      <c r="F5312" s="83">
        <f>ROUND(E5312/I5307,2)</f>
        <v>2</v>
      </c>
      <c r="G5312" s="74" t="str">
        <f>IF(C5312=0,0,VLOOKUP(C5312,Tabla1[],2,FALSE))</f>
        <v>Saco</v>
      </c>
      <c r="H5312" s="17"/>
      <c r="I5312" s="115">
        <f>IF(C5312=0,0,VLOOKUP(C5312,Tabla1[],3,FALSE))</f>
        <v>80</v>
      </c>
      <c r="J5312" s="95"/>
      <c r="K5312" s="84">
        <f t="shared" ref="K5312:K5320" si="142">+F5312*I5312</f>
        <v>160</v>
      </c>
      <c r="L5312" s="116">
        <f t="shared" ref="L5312:L5320" si="143">E5312*I5312</f>
        <v>4800</v>
      </c>
      <c r="M5312" s="17"/>
      <c r="N5312" s="144"/>
      <c r="O5312" s="36"/>
      <c r="P5312" s="36"/>
    </row>
    <row r="5313" spans="1:16" s="20" customFormat="1" ht="16.5" customHeight="1" x14ac:dyDescent="0.3">
      <c r="A5313" s="53"/>
      <c r="B5313" s="120">
        <v>3</v>
      </c>
      <c r="C5313" s="407" t="s">
        <v>72</v>
      </c>
      <c r="D5313" s="408"/>
      <c r="E5313" s="114">
        <f>I5307*0.3</f>
        <v>9</v>
      </c>
      <c r="F5313" s="83">
        <f>ROUND(E5313/I5307,2)</f>
        <v>0.3</v>
      </c>
      <c r="G5313" s="74" t="str">
        <f>IF(C5313=0,0,VLOOKUP(C5313,Tabla1[],2,FALSE))</f>
        <v>m³</v>
      </c>
      <c r="H5313" s="17"/>
      <c r="I5313" s="115">
        <f>IF(C5313=0,0,VLOOKUP(C5313,Tabla1[],3,FALSE))</f>
        <v>250</v>
      </c>
      <c r="J5313" s="95"/>
      <c r="K5313" s="84">
        <f t="shared" si="142"/>
        <v>75</v>
      </c>
      <c r="L5313" s="116">
        <f t="shared" si="143"/>
        <v>2250</v>
      </c>
      <c r="M5313" s="17"/>
      <c r="N5313" s="144"/>
      <c r="O5313" s="36"/>
      <c r="P5313" s="36"/>
    </row>
    <row r="5314" spans="1:16" s="20" customFormat="1" ht="16.5" customHeight="1" x14ac:dyDescent="0.3">
      <c r="A5314" s="53"/>
      <c r="B5314" s="120">
        <v>4</v>
      </c>
      <c r="C5314" s="407" t="s">
        <v>229</v>
      </c>
      <c r="D5314" s="408"/>
      <c r="E5314" s="114">
        <f>I5307*0.26</f>
        <v>7.8000000000000007</v>
      </c>
      <c r="F5314" s="83">
        <f>ROUND(E5314/I5307,2)</f>
        <v>0.26</v>
      </c>
      <c r="G5314" s="74" t="str">
        <f>IF(C5314=0,0,VLOOKUP(C5314,Tabla1[],2,FALSE))</f>
        <v>m³</v>
      </c>
      <c r="H5314" s="17"/>
      <c r="I5314" s="115">
        <f>IF(C5314=0,0,VLOOKUP(C5314,Tabla1[],3,FALSE))</f>
        <v>250</v>
      </c>
      <c r="J5314" s="95"/>
      <c r="K5314" s="84">
        <f t="shared" si="142"/>
        <v>65</v>
      </c>
      <c r="L5314" s="116">
        <f t="shared" si="143"/>
        <v>1950.0000000000002</v>
      </c>
      <c r="M5314" s="17"/>
      <c r="N5314" s="144"/>
      <c r="O5314" s="36"/>
      <c r="P5314" s="36"/>
    </row>
    <row r="5315" spans="1:16" s="20" customFormat="1" ht="16.5" customHeight="1" x14ac:dyDescent="0.3">
      <c r="A5315" s="53"/>
      <c r="B5315" s="120">
        <v>5</v>
      </c>
      <c r="C5315" s="407" t="s">
        <v>179</v>
      </c>
      <c r="D5315" s="408"/>
      <c r="E5315" s="114">
        <f>I5307*20</f>
        <v>600</v>
      </c>
      <c r="F5315" s="83">
        <f>ROUND(E5315/I5307,2)</f>
        <v>20</v>
      </c>
      <c r="G5315" s="74" t="str">
        <f>IF(C5315=0,0,VLOOKUP(C5315,Tabla1[],2,FALSE))</f>
        <v>pt</v>
      </c>
      <c r="H5315" s="17"/>
      <c r="I5315" s="115">
        <f>IF(C5315=0,0,VLOOKUP(C5315,Tabla1[],3,FALSE))</f>
        <v>9</v>
      </c>
      <c r="J5315" s="95"/>
      <c r="K5315" s="84">
        <f t="shared" si="142"/>
        <v>180</v>
      </c>
      <c r="L5315" s="116">
        <f t="shared" si="143"/>
        <v>5400</v>
      </c>
      <c r="M5315" s="17"/>
      <c r="N5315" s="144"/>
      <c r="O5315" s="36"/>
      <c r="P5315" s="36"/>
    </row>
    <row r="5316" spans="1:16" s="20" customFormat="1" ht="16.5" customHeight="1" x14ac:dyDescent="0.3">
      <c r="A5316" s="53"/>
      <c r="B5316" s="120">
        <v>6</v>
      </c>
      <c r="C5316" s="407" t="s">
        <v>368</v>
      </c>
      <c r="D5316" s="408"/>
      <c r="E5316" s="114">
        <f>I5307*3</f>
        <v>90</v>
      </c>
      <c r="F5316" s="83">
        <f>ROUND(E5316/I5307,2)</f>
        <v>3</v>
      </c>
      <c r="G5316" s="74" t="str">
        <f>IF(C5316=0,0,VLOOKUP(C5316,Tabla1[],2,FALSE))</f>
        <v>Libra</v>
      </c>
      <c r="H5316" s="17"/>
      <c r="I5316" s="115">
        <f>IF(C5316=0,0,VLOOKUP(C5316,Tabla1[],3,FALSE))</f>
        <v>8</v>
      </c>
      <c r="J5316" s="95"/>
      <c r="K5316" s="84">
        <f t="shared" si="142"/>
        <v>24</v>
      </c>
      <c r="L5316" s="116">
        <f t="shared" si="143"/>
        <v>720</v>
      </c>
      <c r="M5316" s="17"/>
      <c r="N5316" s="144"/>
      <c r="O5316" s="36"/>
      <c r="P5316" s="36"/>
    </row>
    <row r="5317" spans="1:16" s="20" customFormat="1" ht="16.5" customHeight="1" x14ac:dyDescent="0.3">
      <c r="A5317" s="53"/>
      <c r="B5317" s="120">
        <v>7</v>
      </c>
      <c r="C5317" s="407" t="s">
        <v>274</v>
      </c>
      <c r="D5317" s="408"/>
      <c r="E5317" s="114">
        <f>I5307*30</f>
        <v>900</v>
      </c>
      <c r="F5317" s="83">
        <f>ROUND(E5317/I5307,2)</f>
        <v>30</v>
      </c>
      <c r="G5317" s="74" t="str">
        <f>IF(C5317=0,0,VLOOKUP(C5317,Tabla1[],2,FALSE))</f>
        <v>Unidad</v>
      </c>
      <c r="H5317" s="17"/>
      <c r="I5317" s="115">
        <f>IF(C5317=0,0,VLOOKUP(C5317,Tabla1[],3,FALSE))</f>
        <v>8</v>
      </c>
      <c r="J5317" s="95"/>
      <c r="K5317" s="84">
        <f t="shared" si="142"/>
        <v>240</v>
      </c>
      <c r="L5317" s="116">
        <f t="shared" si="143"/>
        <v>7200</v>
      </c>
      <c r="M5317" s="17"/>
      <c r="N5317" s="144"/>
      <c r="O5317" s="36"/>
      <c r="P5317" s="36"/>
    </row>
    <row r="5318" spans="1:16" s="20" customFormat="1" x14ac:dyDescent="0.3">
      <c r="A5318" s="53"/>
      <c r="B5318" s="120">
        <v>8</v>
      </c>
      <c r="C5318" s="430" t="s">
        <v>312</v>
      </c>
      <c r="D5318" s="429"/>
      <c r="E5318" s="114">
        <f>I5307*2.5</f>
        <v>75</v>
      </c>
      <c r="F5318" s="83">
        <f>ROUND(E5318/I5307,2)</f>
        <v>2.5</v>
      </c>
      <c r="G5318" s="74" t="str">
        <f>IF(C5318=0,0,VLOOKUP(C5318,Tabla1[],2,FALSE))</f>
        <v>Varilla</v>
      </c>
      <c r="H5318" s="17"/>
      <c r="I5318" s="115">
        <f>IF(C5318=0,0,VLOOKUP(C5318,Tabla1[],3,FALSE))</f>
        <v>20</v>
      </c>
      <c r="J5318" s="95"/>
      <c r="K5318" s="84">
        <f t="shared" si="142"/>
        <v>50</v>
      </c>
      <c r="L5318" s="116">
        <f t="shared" si="143"/>
        <v>1500</v>
      </c>
      <c r="M5318" s="17"/>
      <c r="N5318" s="144"/>
      <c r="O5318" s="36"/>
      <c r="P5318" s="36"/>
    </row>
    <row r="5319" spans="1:16" s="20" customFormat="1" x14ac:dyDescent="0.3">
      <c r="A5319" s="53"/>
      <c r="B5319" s="120">
        <v>9</v>
      </c>
      <c r="C5319" s="430" t="s">
        <v>174</v>
      </c>
      <c r="D5319" s="429"/>
      <c r="E5319" s="114">
        <f>I5307*0.6</f>
        <v>18</v>
      </c>
      <c r="F5319" s="83">
        <f>ROUND(E5319/I5307,2)</f>
        <v>0.6</v>
      </c>
      <c r="G5319" s="74" t="str">
        <f>IF(C5319=0,0,VLOOKUP(C5319,Tabla1[],2,FALSE))</f>
        <v>Libra</v>
      </c>
      <c r="H5319" s="17"/>
      <c r="I5319" s="115">
        <f>IF(C5319=0,0,VLOOKUP(C5319,Tabla1[],3,FALSE))</f>
        <v>10</v>
      </c>
      <c r="J5319" s="95"/>
      <c r="K5319" s="84">
        <f t="shared" si="142"/>
        <v>6</v>
      </c>
      <c r="L5319" s="116">
        <f t="shared" si="143"/>
        <v>180</v>
      </c>
      <c r="M5319" s="17"/>
      <c r="N5319" s="144"/>
      <c r="O5319" s="36"/>
      <c r="P5319" s="36"/>
    </row>
    <row r="5320" spans="1:16" s="20" customFormat="1" x14ac:dyDescent="0.3">
      <c r="A5320" s="53"/>
      <c r="B5320" s="120"/>
      <c r="C5320" s="430"/>
      <c r="D5320" s="429"/>
      <c r="E5320" s="114"/>
      <c r="F5320" s="146"/>
      <c r="G5320" s="74"/>
      <c r="H5320" s="17"/>
      <c r="I5320" s="115">
        <f>IF(C5320=0,0,VLOOKUP(C5320,Tabla1[],3,FALSE))</f>
        <v>0</v>
      </c>
      <c r="J5320" s="95"/>
      <c r="K5320" s="84">
        <f t="shared" si="142"/>
        <v>0</v>
      </c>
      <c r="L5320" s="116">
        <f t="shared" si="143"/>
        <v>0</v>
      </c>
      <c r="M5320" s="17"/>
      <c r="N5320" s="144"/>
      <c r="O5320" s="36"/>
      <c r="P5320" s="36"/>
    </row>
    <row r="5321" spans="1:16" s="20" customFormat="1" ht="17.25" thickBot="1" x14ac:dyDescent="0.35">
      <c r="A5321" s="53"/>
      <c r="B5321" s="77"/>
      <c r="C5321" s="17"/>
      <c r="D5321" s="17"/>
      <c r="E5321" s="76"/>
      <c r="F5321" s="77"/>
      <c r="G5321" s="77"/>
      <c r="H5321" s="17"/>
      <c r="I5321" s="78"/>
      <c r="J5321" s="78"/>
      <c r="K5321" s="78"/>
      <c r="L5321" s="17"/>
      <c r="M5321" s="17"/>
      <c r="N5321" s="144"/>
      <c r="O5321" s="36"/>
      <c r="P5321" s="36"/>
    </row>
    <row r="5322" spans="1:16" s="20" customFormat="1" ht="17.25" thickBot="1" x14ac:dyDescent="0.35">
      <c r="A5322" s="53"/>
      <c r="B5322" s="77"/>
      <c r="C5322" s="17"/>
      <c r="D5322" s="17"/>
      <c r="E5322" s="76"/>
      <c r="F5322" s="402" t="s">
        <v>9</v>
      </c>
      <c r="G5322" s="403"/>
      <c r="H5322" s="403"/>
      <c r="I5322" s="404"/>
      <c r="J5322" s="78"/>
      <c r="K5322" s="224">
        <f>+SUM(K5311:K5320)</f>
        <v>850</v>
      </c>
      <c r="L5322" s="117">
        <f>+SUM(L5311:L5320)</f>
        <v>25500</v>
      </c>
      <c r="M5322" s="17"/>
      <c r="N5322" s="144"/>
      <c r="O5322" s="36"/>
      <c r="P5322" s="36"/>
    </row>
    <row r="5323" spans="1:16" s="20" customFormat="1" ht="17.25" thickBot="1" x14ac:dyDescent="0.35">
      <c r="A5323" s="53"/>
      <c r="B5323" s="77"/>
      <c r="C5323" s="17"/>
      <c r="D5323" s="17"/>
      <c r="E5323" s="76"/>
      <c r="F5323" s="77"/>
      <c r="G5323" s="77"/>
      <c r="H5323" s="17"/>
      <c r="I5323" s="78"/>
      <c r="J5323" s="78"/>
      <c r="K5323" s="78"/>
      <c r="L5323" s="17"/>
      <c r="M5323" s="17"/>
      <c r="N5323" s="144"/>
      <c r="O5323" s="36"/>
      <c r="P5323" s="36"/>
    </row>
    <row r="5324" spans="1:16" s="20" customFormat="1" ht="17.25" thickBot="1" x14ac:dyDescent="0.35">
      <c r="A5324" s="53"/>
      <c r="B5324" s="108" t="s">
        <v>10</v>
      </c>
      <c r="C5324" s="413" t="s">
        <v>11</v>
      </c>
      <c r="D5324" s="413"/>
      <c r="E5324" s="413"/>
      <c r="F5324" s="413"/>
      <c r="G5324" s="414"/>
      <c r="H5324" s="17"/>
      <c r="I5324" s="78"/>
      <c r="J5324" s="78"/>
      <c r="K5324" s="78"/>
      <c r="L5324" s="17"/>
      <c r="M5324" s="17"/>
      <c r="N5324" s="144"/>
      <c r="O5324" s="36"/>
      <c r="P5324" s="36"/>
    </row>
    <row r="5325" spans="1:16" s="20" customFormat="1" x14ac:dyDescent="0.3">
      <c r="A5325" s="53"/>
      <c r="B5325" s="112" t="s">
        <v>6</v>
      </c>
      <c r="C5325" s="415" t="s">
        <v>1</v>
      </c>
      <c r="D5325" s="416"/>
      <c r="E5325" s="110" t="s">
        <v>192</v>
      </c>
      <c r="F5325" s="112" t="s">
        <v>2</v>
      </c>
      <c r="G5325" s="112" t="s">
        <v>3</v>
      </c>
      <c r="H5325" s="104"/>
      <c r="I5325" s="105" t="s">
        <v>7</v>
      </c>
      <c r="J5325" s="106"/>
      <c r="K5325" s="105" t="s">
        <v>8</v>
      </c>
      <c r="L5325" s="113" t="s">
        <v>193</v>
      </c>
      <c r="M5325" s="17"/>
      <c r="N5325" s="144"/>
      <c r="O5325" s="36"/>
      <c r="P5325" s="36"/>
    </row>
    <row r="5326" spans="1:16" s="20" customFormat="1" x14ac:dyDescent="0.3">
      <c r="A5326" s="53"/>
      <c r="B5326" s="120"/>
      <c r="C5326" s="409"/>
      <c r="D5326" s="409"/>
      <c r="E5326" s="114"/>
      <c r="F5326" s="146"/>
      <c r="G5326" s="74"/>
      <c r="H5326" s="17"/>
      <c r="I5326" s="115">
        <f>IF(C5326=0,0,VLOOKUP(C5326,Tabla3[],3,FALSE))</f>
        <v>0</v>
      </c>
      <c r="J5326" s="95"/>
      <c r="K5326" s="84">
        <f>+F5326*I5326</f>
        <v>0</v>
      </c>
      <c r="L5326" s="116">
        <f>E5326*I5326</f>
        <v>0</v>
      </c>
      <c r="M5326" s="17"/>
      <c r="N5326" s="144"/>
      <c r="O5326" s="36"/>
      <c r="P5326" s="36"/>
    </row>
    <row r="5327" spans="1:16" s="20" customFormat="1" x14ac:dyDescent="0.3">
      <c r="A5327" s="53"/>
      <c r="B5327" s="74"/>
      <c r="C5327" s="431"/>
      <c r="D5327" s="432"/>
      <c r="E5327" s="119"/>
      <c r="F5327" s="74"/>
      <c r="G5327" s="74"/>
      <c r="H5327" s="17"/>
      <c r="I5327" s="115">
        <f>IF(C5327=0,0,VLOOKUP(C5327,Tabla3[],3,FALSE))</f>
        <v>0</v>
      </c>
      <c r="J5327" s="95"/>
      <c r="K5327" s="84">
        <f>+F5327*I5327</f>
        <v>0</v>
      </c>
      <c r="L5327" s="116">
        <f>E5327*I5327</f>
        <v>0</v>
      </c>
      <c r="M5327" s="17"/>
      <c r="N5327" s="144"/>
      <c r="O5327" s="36"/>
      <c r="P5327" s="36"/>
    </row>
    <row r="5328" spans="1:16" s="20" customFormat="1" x14ac:dyDescent="0.3">
      <c r="A5328" s="53"/>
      <c r="B5328" s="74"/>
      <c r="C5328" s="431"/>
      <c r="D5328" s="432"/>
      <c r="E5328" s="119"/>
      <c r="F5328" s="74"/>
      <c r="G5328" s="74"/>
      <c r="H5328" s="17"/>
      <c r="I5328" s="115">
        <f>IF(C5328=0,0,VLOOKUP(C5328,Tabla3[],3,FALSE))</f>
        <v>0</v>
      </c>
      <c r="J5328" s="95"/>
      <c r="K5328" s="84">
        <f>+F5328*I5328</f>
        <v>0</v>
      </c>
      <c r="L5328" s="116">
        <f>E5328*I5328</f>
        <v>0</v>
      </c>
      <c r="M5328" s="17"/>
      <c r="N5328" s="144"/>
      <c r="O5328" s="36"/>
      <c r="P5328" s="36"/>
    </row>
    <row r="5329" spans="1:16" s="20" customFormat="1" x14ac:dyDescent="0.3">
      <c r="A5329" s="53"/>
      <c r="B5329" s="74"/>
      <c r="C5329" s="411"/>
      <c r="D5329" s="412"/>
      <c r="E5329" s="119"/>
      <c r="F5329" s="74"/>
      <c r="G5329" s="74"/>
      <c r="H5329" s="17"/>
      <c r="I5329" s="115">
        <f>IF(C5329=0,0,VLOOKUP(C5329,Tabla3[],3,FALSE))</f>
        <v>0</v>
      </c>
      <c r="J5329" s="95"/>
      <c r="K5329" s="84">
        <f>+F5329*I5329</f>
        <v>0</v>
      </c>
      <c r="L5329" s="116">
        <f>E5329*I5329</f>
        <v>0</v>
      </c>
      <c r="M5329" s="17"/>
      <c r="N5329" s="144"/>
      <c r="O5329" s="36"/>
      <c r="P5329" s="36"/>
    </row>
    <row r="5330" spans="1:16" s="20" customFormat="1" ht="17.25" thickBot="1" x14ac:dyDescent="0.35">
      <c r="A5330" s="53"/>
      <c r="B5330" s="77"/>
      <c r="C5330" s="17"/>
      <c r="D5330" s="17"/>
      <c r="E5330" s="76"/>
      <c r="F5330" s="77"/>
      <c r="G5330" s="77"/>
      <c r="H5330" s="17"/>
      <c r="I5330" s="78"/>
      <c r="J5330" s="78"/>
      <c r="K5330" s="78"/>
      <c r="L5330" s="17"/>
      <c r="M5330" s="17"/>
      <c r="N5330" s="144"/>
      <c r="O5330" s="36"/>
      <c r="P5330" s="36"/>
    </row>
    <row r="5331" spans="1:16" s="20" customFormat="1" ht="17.25" thickBot="1" x14ac:dyDescent="0.35">
      <c r="A5331" s="53"/>
      <c r="B5331" s="77"/>
      <c r="C5331" s="17"/>
      <c r="D5331" s="17"/>
      <c r="E5331" s="76"/>
      <c r="F5331" s="402" t="s">
        <v>12</v>
      </c>
      <c r="G5331" s="403"/>
      <c r="H5331" s="403"/>
      <c r="I5331" s="404"/>
      <c r="J5331" s="78"/>
      <c r="K5331" s="224">
        <f>+SUM(K5326:K5329)</f>
        <v>0</v>
      </c>
      <c r="L5331" s="117">
        <f>+SUM(L5326:L5329)</f>
        <v>0</v>
      </c>
      <c r="M5331" s="17"/>
      <c r="N5331" s="144"/>
      <c r="O5331" s="36"/>
      <c r="P5331" s="36"/>
    </row>
    <row r="5332" spans="1:16" s="20" customFormat="1" ht="17.25" thickBot="1" x14ac:dyDescent="0.35">
      <c r="A5332" s="53"/>
      <c r="B5332" s="77"/>
      <c r="C5332" s="17"/>
      <c r="D5332" s="17"/>
      <c r="E5332" s="76"/>
      <c r="F5332" s="77"/>
      <c r="G5332" s="77"/>
      <c r="H5332" s="17"/>
      <c r="I5332" s="78"/>
      <c r="J5332" s="78"/>
      <c r="K5332" s="78"/>
      <c r="L5332" s="17"/>
      <c r="M5332" s="17"/>
      <c r="N5332" s="144"/>
      <c r="O5332" s="36"/>
      <c r="P5332" s="36"/>
    </row>
    <row r="5333" spans="1:16" s="20" customFormat="1" ht="17.25" thickBot="1" x14ac:dyDescent="0.35">
      <c r="A5333" s="53"/>
      <c r="B5333" s="108" t="s">
        <v>13</v>
      </c>
      <c r="C5333" s="413" t="s">
        <v>14</v>
      </c>
      <c r="D5333" s="413"/>
      <c r="E5333" s="413"/>
      <c r="F5333" s="413"/>
      <c r="G5333" s="414"/>
      <c r="H5333" s="17"/>
      <c r="I5333" s="78"/>
      <c r="J5333" s="78"/>
      <c r="K5333" s="78"/>
      <c r="L5333" s="17"/>
      <c r="M5333" s="17"/>
      <c r="N5333" s="144"/>
      <c r="O5333" s="36"/>
      <c r="P5333" s="36"/>
    </row>
    <row r="5334" spans="1:16" s="20" customFormat="1" x14ac:dyDescent="0.3">
      <c r="A5334" s="53"/>
      <c r="B5334" s="112" t="s">
        <v>6</v>
      </c>
      <c r="C5334" s="415" t="s">
        <v>1</v>
      </c>
      <c r="D5334" s="416"/>
      <c r="E5334" s="110" t="s">
        <v>192</v>
      </c>
      <c r="F5334" s="112" t="s">
        <v>2</v>
      </c>
      <c r="G5334" s="112" t="s">
        <v>3</v>
      </c>
      <c r="H5334" s="104"/>
      <c r="I5334" s="105" t="s">
        <v>7</v>
      </c>
      <c r="J5334" s="106"/>
      <c r="K5334" s="105" t="s">
        <v>8</v>
      </c>
      <c r="L5334" s="113" t="s">
        <v>193</v>
      </c>
      <c r="M5334" s="17"/>
      <c r="N5334" s="144"/>
      <c r="O5334" s="36"/>
      <c r="P5334" s="36"/>
    </row>
    <row r="5335" spans="1:16" s="20" customFormat="1" x14ac:dyDescent="0.3">
      <c r="A5335" s="53"/>
      <c r="B5335" s="120">
        <v>1</v>
      </c>
      <c r="C5335" s="409" t="s">
        <v>489</v>
      </c>
      <c r="D5335" s="409"/>
      <c r="E5335" s="114">
        <f>I5307</f>
        <v>30</v>
      </c>
      <c r="F5335" s="146">
        <f>ROUND(E5335/I5307,2)</f>
        <v>1</v>
      </c>
      <c r="G5335" s="74" t="str">
        <f>IF(C5335=0,0,VLOOKUP(C5335,Tabla2[],2,FALSE))</f>
        <v>ml</v>
      </c>
      <c r="H5335" s="17"/>
      <c r="I5335" s="115">
        <f>IF(C5335=0,0,VLOOKUP(C5335,Tabla2[],3,FALSE))</f>
        <v>400</v>
      </c>
      <c r="J5335" s="95"/>
      <c r="K5335" s="84">
        <f>+F5335*I5335</f>
        <v>400</v>
      </c>
      <c r="L5335" s="116">
        <f>E5335*I5335</f>
        <v>12000</v>
      </c>
      <c r="M5335" s="17"/>
      <c r="N5335" s="144"/>
      <c r="O5335" s="36"/>
      <c r="P5335" s="36"/>
    </row>
    <row r="5336" spans="1:16" s="20" customFormat="1" x14ac:dyDescent="0.3">
      <c r="A5336" s="53"/>
      <c r="B5336" s="120"/>
      <c r="C5336" s="409"/>
      <c r="D5336" s="409"/>
      <c r="E5336" s="114"/>
      <c r="F5336" s="146"/>
      <c r="G5336" s="74"/>
      <c r="H5336" s="17"/>
      <c r="I5336" s="115">
        <f>IF(C5336=0,0,VLOOKUP(C5336,Tabla2[],3,FALSE))</f>
        <v>0</v>
      </c>
      <c r="J5336" s="95"/>
      <c r="K5336" s="84">
        <f>+F5336*I5336</f>
        <v>0</v>
      </c>
      <c r="L5336" s="116">
        <f>E5336*I5336</f>
        <v>0</v>
      </c>
      <c r="M5336" s="17"/>
      <c r="N5336" s="144"/>
      <c r="O5336" s="36"/>
      <c r="P5336" s="36"/>
    </row>
    <row r="5337" spans="1:16" s="20" customFormat="1" ht="17.25" thickBot="1" x14ac:dyDescent="0.35">
      <c r="A5337" s="53"/>
      <c r="B5337" s="121"/>
      <c r="C5337" s="417"/>
      <c r="D5337" s="418"/>
      <c r="E5337" s="122"/>
      <c r="F5337" s="121"/>
      <c r="G5337" s="74"/>
      <c r="H5337" s="17"/>
      <c r="I5337" s="115">
        <f>IF(C5337=0,0,VLOOKUP(C5337,Tabla2[],3,FALSE))</f>
        <v>0</v>
      </c>
      <c r="J5337" s="95"/>
      <c r="K5337" s="84">
        <f>+F5337*I5337</f>
        <v>0</v>
      </c>
      <c r="L5337" s="116">
        <f>E5337*I5337</f>
        <v>0</v>
      </c>
      <c r="M5337" s="17"/>
      <c r="N5337" s="144"/>
      <c r="O5337" s="36"/>
      <c r="P5337" s="36"/>
    </row>
    <row r="5338" spans="1:16" s="20" customFormat="1" ht="17.25" thickBot="1" x14ac:dyDescent="0.35">
      <c r="A5338" s="53"/>
      <c r="B5338" s="419" t="s">
        <v>15</v>
      </c>
      <c r="C5338" s="420"/>
      <c r="D5338" s="420"/>
      <c r="E5338" s="420"/>
      <c r="F5338" s="420"/>
      <c r="G5338" s="421"/>
      <c r="H5338" s="17"/>
      <c r="I5338" s="84">
        <v>0</v>
      </c>
      <c r="J5338" s="78"/>
      <c r="K5338" s="84">
        <v>0</v>
      </c>
      <c r="L5338" s="116">
        <f>E5338*I5338</f>
        <v>0</v>
      </c>
      <c r="M5338" s="17"/>
      <c r="N5338" s="144"/>
      <c r="O5338" s="36"/>
      <c r="P5338" s="36"/>
    </row>
    <row r="5339" spans="1:16" s="20" customFormat="1" ht="17.25" thickBot="1" x14ac:dyDescent="0.35">
      <c r="A5339" s="53"/>
      <c r="B5339" s="77"/>
      <c r="C5339" s="17"/>
      <c r="D5339" s="17"/>
      <c r="E5339" s="76"/>
      <c r="F5339" s="77"/>
      <c r="G5339" s="77"/>
      <c r="H5339" s="17"/>
      <c r="I5339" s="78"/>
      <c r="J5339" s="78"/>
      <c r="K5339" s="78"/>
      <c r="L5339" s="17"/>
      <c r="M5339" s="17"/>
      <c r="N5339" s="144"/>
      <c r="O5339" s="36"/>
      <c r="P5339" s="36"/>
    </row>
    <row r="5340" spans="1:16" s="20" customFormat="1" ht="17.25" thickBot="1" x14ac:dyDescent="0.35">
      <c r="A5340" s="53"/>
      <c r="B5340" s="77"/>
      <c r="C5340" s="17"/>
      <c r="D5340" s="17"/>
      <c r="E5340" s="76"/>
      <c r="F5340" s="402" t="s">
        <v>16</v>
      </c>
      <c r="G5340" s="403"/>
      <c r="H5340" s="403"/>
      <c r="I5340" s="404"/>
      <c r="J5340" s="78"/>
      <c r="K5340" s="224">
        <f>+SUM(K5335:K5338)</f>
        <v>400</v>
      </c>
      <c r="L5340" s="117">
        <f>+SUM(L5335:L5338)</f>
        <v>12000</v>
      </c>
      <c r="M5340" s="17"/>
      <c r="N5340" s="144"/>
      <c r="O5340" s="36"/>
      <c r="P5340" s="36"/>
    </row>
    <row r="5341" spans="1:16" ht="17.25" thickBot="1" x14ac:dyDescent="0.35">
      <c r="F5341" s="77"/>
      <c r="J5341" s="78"/>
      <c r="N5341" s="144"/>
    </row>
    <row r="5342" spans="1:16" ht="17.25" thickBot="1" x14ac:dyDescent="0.35">
      <c r="B5342" s="108" t="s">
        <v>17</v>
      </c>
      <c r="C5342" s="413" t="s">
        <v>18</v>
      </c>
      <c r="D5342" s="413"/>
      <c r="E5342" s="413"/>
      <c r="F5342" s="413"/>
      <c r="G5342" s="414"/>
      <c r="J5342" s="78"/>
      <c r="N5342" s="144"/>
    </row>
    <row r="5343" spans="1:16" x14ac:dyDescent="0.3">
      <c r="B5343" s="112" t="s">
        <v>6</v>
      </c>
      <c r="C5343" s="415" t="s">
        <v>1</v>
      </c>
      <c r="D5343" s="416"/>
      <c r="E5343" s="124"/>
      <c r="F5343" s="112" t="s">
        <v>2</v>
      </c>
      <c r="G5343" s="112" t="s">
        <v>3</v>
      </c>
      <c r="H5343" s="104"/>
      <c r="I5343" s="105" t="s">
        <v>7</v>
      </c>
      <c r="J5343" s="106"/>
      <c r="K5343" s="105" t="s">
        <v>8</v>
      </c>
      <c r="L5343" s="113" t="s">
        <v>193</v>
      </c>
      <c r="N5343" s="144"/>
    </row>
    <row r="5344" spans="1:16" x14ac:dyDescent="0.3">
      <c r="B5344" s="74"/>
      <c r="C5344" s="411"/>
      <c r="D5344" s="412"/>
      <c r="E5344" s="125"/>
      <c r="F5344" s="74"/>
      <c r="G5344" s="74"/>
      <c r="I5344" s="84">
        <v>0</v>
      </c>
      <c r="J5344" s="78"/>
      <c r="K5344" s="84">
        <f>+F5344*I5344</f>
        <v>0</v>
      </c>
      <c r="L5344" s="116">
        <f>E5344*I5344</f>
        <v>0</v>
      </c>
      <c r="N5344" s="144"/>
    </row>
    <row r="5345" spans="2:16" x14ac:dyDescent="0.3">
      <c r="B5345" s="74"/>
      <c r="C5345" s="411"/>
      <c r="D5345" s="412"/>
      <c r="E5345" s="125"/>
      <c r="F5345" s="74"/>
      <c r="G5345" s="74"/>
      <c r="I5345" s="84">
        <v>0</v>
      </c>
      <c r="J5345" s="78"/>
      <c r="K5345" s="84">
        <f>+F5345*I5345</f>
        <v>0</v>
      </c>
      <c r="L5345" s="116">
        <f>E5345*I5345</f>
        <v>0</v>
      </c>
      <c r="N5345" s="144"/>
    </row>
    <row r="5346" spans="2:16" x14ac:dyDescent="0.3">
      <c r="B5346" s="74"/>
      <c r="C5346" s="411"/>
      <c r="D5346" s="412"/>
      <c r="E5346" s="125"/>
      <c r="F5346" s="74"/>
      <c r="G5346" s="74"/>
      <c r="I5346" s="84">
        <v>0</v>
      </c>
      <c r="J5346" s="78"/>
      <c r="K5346" s="84">
        <f>+F5346*I5346</f>
        <v>0</v>
      </c>
      <c r="L5346" s="116">
        <f>E5346*I5346</f>
        <v>0</v>
      </c>
      <c r="N5346" s="144"/>
    </row>
    <row r="5347" spans="2:16" ht="17.25" thickBot="1" x14ac:dyDescent="0.35">
      <c r="F5347" s="77"/>
      <c r="J5347" s="78"/>
      <c r="L5347" s="116"/>
      <c r="N5347" s="144"/>
    </row>
    <row r="5348" spans="2:16" ht="17.25" thickBot="1" x14ac:dyDescent="0.35">
      <c r="F5348" s="402" t="s">
        <v>19</v>
      </c>
      <c r="G5348" s="403"/>
      <c r="H5348" s="403"/>
      <c r="I5348" s="404"/>
      <c r="J5348" s="78"/>
      <c r="K5348" s="224">
        <f>+SUM(K5344:K5346)</f>
        <v>0</v>
      </c>
      <c r="L5348" s="117">
        <f>+SUM(L5343:L5346)</f>
        <v>0</v>
      </c>
      <c r="N5348" s="144"/>
    </row>
    <row r="5349" spans="2:16" ht="15" customHeight="1" x14ac:dyDescent="0.3">
      <c r="F5349" s="280"/>
      <c r="G5349" s="280"/>
      <c r="H5349" s="128"/>
      <c r="I5349" s="106"/>
      <c r="J5349" s="78"/>
      <c r="K5349" s="225"/>
      <c r="N5349" s="144"/>
    </row>
    <row r="5350" spans="2:16" ht="15" customHeight="1" thickBot="1" x14ac:dyDescent="0.35">
      <c r="F5350" s="77"/>
      <c r="J5350" s="78"/>
      <c r="N5350" s="144"/>
    </row>
    <row r="5351" spans="2:16" ht="17.25" thickBot="1" x14ac:dyDescent="0.35">
      <c r="F5351" s="402" t="s">
        <v>20</v>
      </c>
      <c r="G5351" s="403"/>
      <c r="H5351" s="403"/>
      <c r="I5351" s="404"/>
      <c r="J5351" s="78"/>
      <c r="K5351" s="224">
        <f>(+K5322+K5331+K5340+K5348)</f>
        <v>1250</v>
      </c>
      <c r="L5351" s="117">
        <f>(+L5322+L5331+L5340+L5348)</f>
        <v>37500</v>
      </c>
      <c r="N5351" s="147"/>
      <c r="O5351" s="39"/>
      <c r="P5351" s="40"/>
    </row>
    <row r="5352" spans="2:16" ht="7.5" customHeight="1" thickBot="1" x14ac:dyDescent="0.35">
      <c r="F5352" s="77"/>
      <c r="J5352" s="78"/>
      <c r="N5352" s="147"/>
      <c r="O5352" s="41"/>
      <c r="P5352" s="40"/>
    </row>
    <row r="5353" spans="2:16" ht="17.25" thickBot="1" x14ac:dyDescent="0.35">
      <c r="F5353" s="402" t="s">
        <v>21</v>
      </c>
      <c r="G5353" s="403"/>
      <c r="H5353" s="403"/>
      <c r="I5353" s="404"/>
      <c r="J5353" s="78"/>
      <c r="K5353" s="224">
        <f>K5351*$N$2</f>
        <v>500</v>
      </c>
      <c r="L5353" s="117">
        <f>L5351*$N$2</f>
        <v>15000</v>
      </c>
      <c r="N5353" s="144"/>
    </row>
    <row r="5354" spans="2:16" ht="7.5" customHeight="1" thickBot="1" x14ac:dyDescent="0.35">
      <c r="F5354" s="77"/>
      <c r="J5354" s="78"/>
      <c r="N5354" s="144"/>
    </row>
    <row r="5355" spans="2:16" ht="17.25" thickBot="1" x14ac:dyDescent="0.35">
      <c r="F5355" s="402" t="s">
        <v>22</v>
      </c>
      <c r="G5355" s="403"/>
      <c r="H5355" s="403"/>
      <c r="I5355" s="404"/>
      <c r="J5355" s="78"/>
      <c r="K5355" s="224">
        <f>+K5351+K5353</f>
        <v>1750</v>
      </c>
      <c r="L5355" s="117">
        <f>+L5351+L5353</f>
        <v>52500</v>
      </c>
      <c r="N5355" s="144"/>
    </row>
    <row r="5356" spans="2:16" ht="17.25" thickBot="1" x14ac:dyDescent="0.35">
      <c r="F5356" s="280"/>
      <c r="G5356" s="280"/>
      <c r="H5356" s="128"/>
      <c r="I5356" s="106"/>
      <c r="J5356" s="78"/>
      <c r="K5356" s="226"/>
      <c r="L5356" s="130">
        <f>L5355/I5307</f>
        <v>1750</v>
      </c>
      <c r="M5356" s="131">
        <f>(K5355-L5356)*I5307</f>
        <v>0</v>
      </c>
      <c r="N5356" s="144"/>
    </row>
    <row r="5357" spans="2:16" x14ac:dyDescent="0.3">
      <c r="F5357" s="280"/>
      <c r="G5357" s="280"/>
      <c r="H5357" s="128"/>
      <c r="I5357" s="106"/>
      <c r="J5357" s="78"/>
      <c r="K5357" s="227"/>
      <c r="L5357" s="129"/>
      <c r="M5357" s="132"/>
      <c r="N5357" s="148"/>
    </row>
    <row r="5358" spans="2:16" ht="17.25" thickBot="1" x14ac:dyDescent="0.35">
      <c r="B5358" s="405"/>
      <c r="C5358" s="405"/>
      <c r="D5358" s="405"/>
      <c r="F5358" s="77"/>
      <c r="J5358" s="78"/>
      <c r="N5358" s="144"/>
    </row>
    <row r="5359" spans="2:16" x14ac:dyDescent="0.3">
      <c r="B5359" s="406" t="s">
        <v>23</v>
      </c>
      <c r="C5359" s="406"/>
      <c r="D5359" s="406"/>
      <c r="F5359" s="77"/>
      <c r="J5359" s="78"/>
      <c r="N5359" s="144"/>
    </row>
    <row r="5360" spans="2:16" x14ac:dyDescent="0.3">
      <c r="B5360" s="281"/>
      <c r="C5360" s="281"/>
      <c r="D5360" s="281"/>
      <c r="F5360" s="77"/>
      <c r="J5360" s="78"/>
      <c r="N5360" s="144"/>
    </row>
  </sheetData>
  <mergeCells count="3815">
    <mergeCell ref="AC696:AC697"/>
    <mergeCell ref="P696:Q696"/>
    <mergeCell ref="S696:T696"/>
    <mergeCell ref="W696:W697"/>
    <mergeCell ref="X696:Z696"/>
    <mergeCell ref="AD696:AD697"/>
    <mergeCell ref="S697:T697"/>
    <mergeCell ref="P588:Q588"/>
    <mergeCell ref="P642:Q642"/>
    <mergeCell ref="AA696:AA697"/>
    <mergeCell ref="AB696:AB697"/>
    <mergeCell ref="F5355:I5355"/>
    <mergeCell ref="B5358:D5358"/>
    <mergeCell ref="B5359:D5359"/>
    <mergeCell ref="C133:D133"/>
    <mergeCell ref="C134:D134"/>
    <mergeCell ref="C5344:D5344"/>
    <mergeCell ref="C5345:D5345"/>
    <mergeCell ref="C5346:D5346"/>
    <mergeCell ref="F5348:I5348"/>
    <mergeCell ref="F5351:I5351"/>
    <mergeCell ref="F5353:I5353"/>
    <mergeCell ref="C5336:D5336"/>
    <mergeCell ref="C5337:D5337"/>
    <mergeCell ref="B5338:G5338"/>
    <mergeCell ref="F5340:I5340"/>
    <mergeCell ref="C5342:G5342"/>
    <mergeCell ref="C5343:D5343"/>
    <mergeCell ref="C5328:D5328"/>
    <mergeCell ref="C5329:D5329"/>
    <mergeCell ref="F5331:I5331"/>
    <mergeCell ref="C5333:G5333"/>
    <mergeCell ref="C5334:D5334"/>
    <mergeCell ref="C5335:D5335"/>
    <mergeCell ref="C5320:D5320"/>
    <mergeCell ref="F5322:I5322"/>
    <mergeCell ref="C5324:G5324"/>
    <mergeCell ref="C5325:D5325"/>
    <mergeCell ref="C5326:D5326"/>
    <mergeCell ref="C5327:D5327"/>
    <mergeCell ref="C5314:D5314"/>
    <mergeCell ref="C5315:D5315"/>
    <mergeCell ref="C5316:D5316"/>
    <mergeCell ref="C5317:D5317"/>
    <mergeCell ref="C5318:D5318"/>
    <mergeCell ref="C5319:D5319"/>
    <mergeCell ref="D5307:G5307"/>
    <mergeCell ref="C5309:G5309"/>
    <mergeCell ref="C5310:D5310"/>
    <mergeCell ref="C5311:D5311"/>
    <mergeCell ref="C5312:D5312"/>
    <mergeCell ref="C5313:D5313"/>
    <mergeCell ref="F5295:I5295"/>
    <mergeCell ref="F5297:I5297"/>
    <mergeCell ref="F5299:I5299"/>
    <mergeCell ref="B5302:D5302"/>
    <mergeCell ref="B5303:D5303"/>
    <mergeCell ref="D5306:G5306"/>
    <mergeCell ref="C5286:G5286"/>
    <mergeCell ref="C5287:D5287"/>
    <mergeCell ref="C5288:D5288"/>
    <mergeCell ref="C5289:D5289"/>
    <mergeCell ref="C5290:D5290"/>
    <mergeCell ref="F5292:I5292"/>
    <mergeCell ref="C5278:D5278"/>
    <mergeCell ref="C5279:D5279"/>
    <mergeCell ref="C5280:D5280"/>
    <mergeCell ref="C5281:D5281"/>
    <mergeCell ref="B5282:G5282"/>
    <mergeCell ref="F5284:I5284"/>
    <mergeCell ref="C5270:D5270"/>
    <mergeCell ref="C5271:D5271"/>
    <mergeCell ref="C5272:D5272"/>
    <mergeCell ref="C5273:D5273"/>
    <mergeCell ref="F5275:I5275"/>
    <mergeCell ref="C5277:G5277"/>
    <mergeCell ref="C5262:D5262"/>
    <mergeCell ref="C5263:D5263"/>
    <mergeCell ref="C5264:D5264"/>
    <mergeCell ref="F5266:I5266"/>
    <mergeCell ref="C5268:G5268"/>
    <mergeCell ref="C5269:D5269"/>
    <mergeCell ref="C5256:D5256"/>
    <mergeCell ref="C5257:D5257"/>
    <mergeCell ref="C5258:D5258"/>
    <mergeCell ref="C5259:D5259"/>
    <mergeCell ref="C5260:D5260"/>
    <mergeCell ref="C5261:D5261"/>
    <mergeCell ref="B5247:D5247"/>
    <mergeCell ref="D5250:G5250"/>
    <mergeCell ref="D5251:G5251"/>
    <mergeCell ref="C5253:G5253"/>
    <mergeCell ref="C5254:D5254"/>
    <mergeCell ref="C5255:D5255"/>
    <mergeCell ref="C5234:D5234"/>
    <mergeCell ref="F5236:I5236"/>
    <mergeCell ref="F5239:I5239"/>
    <mergeCell ref="F5241:I5241"/>
    <mergeCell ref="F5243:I5243"/>
    <mergeCell ref="B5246:D5246"/>
    <mergeCell ref="B5226:G5226"/>
    <mergeCell ref="F5228:I5228"/>
    <mergeCell ref="C5230:G5230"/>
    <mergeCell ref="C5231:D5231"/>
    <mergeCell ref="C5232:D5232"/>
    <mergeCell ref="C5233:D5233"/>
    <mergeCell ref="F5219:I5219"/>
    <mergeCell ref="C5221:G5221"/>
    <mergeCell ref="C5222:D5222"/>
    <mergeCell ref="C5223:D5223"/>
    <mergeCell ref="C5224:D5224"/>
    <mergeCell ref="C5225:D5225"/>
    <mergeCell ref="C5208:D5208"/>
    <mergeCell ref="F5210:I5210"/>
    <mergeCell ref="C5212:G5212"/>
    <mergeCell ref="C5213:D5213"/>
    <mergeCell ref="C5214:D5214"/>
    <mergeCell ref="C5217:D5217"/>
    <mergeCell ref="C5202:D5202"/>
    <mergeCell ref="C5203:D5203"/>
    <mergeCell ref="C5204:D5204"/>
    <mergeCell ref="C5205:D5205"/>
    <mergeCell ref="C5206:D5206"/>
    <mergeCell ref="C5207:D5207"/>
    <mergeCell ref="D5195:G5195"/>
    <mergeCell ref="C5197:G5197"/>
    <mergeCell ref="C5198:D5198"/>
    <mergeCell ref="C5199:D5199"/>
    <mergeCell ref="C5200:D5200"/>
    <mergeCell ref="C5201:D5201"/>
    <mergeCell ref="F5183:I5183"/>
    <mergeCell ref="F5185:I5185"/>
    <mergeCell ref="F5187:I5187"/>
    <mergeCell ref="B5190:D5190"/>
    <mergeCell ref="B5191:D5191"/>
    <mergeCell ref="D5194:G5194"/>
    <mergeCell ref="C5174:G5174"/>
    <mergeCell ref="C5175:D5175"/>
    <mergeCell ref="C5176:D5176"/>
    <mergeCell ref="C5177:D5177"/>
    <mergeCell ref="C5178:D5178"/>
    <mergeCell ref="F5180:I5180"/>
    <mergeCell ref="C5166:D5166"/>
    <mergeCell ref="C5167:D5167"/>
    <mergeCell ref="C5168:D5168"/>
    <mergeCell ref="C5169:D5169"/>
    <mergeCell ref="B5170:G5170"/>
    <mergeCell ref="F5172:I5172"/>
    <mergeCell ref="C5156:G5156"/>
    <mergeCell ref="C5157:D5157"/>
    <mergeCell ref="C5158:D5158"/>
    <mergeCell ref="C5161:D5161"/>
    <mergeCell ref="F5163:I5163"/>
    <mergeCell ref="C5165:G5165"/>
    <mergeCell ref="C5148:D5148"/>
    <mergeCell ref="C5149:D5149"/>
    <mergeCell ref="C5150:D5150"/>
    <mergeCell ref="C5151:D5151"/>
    <mergeCell ref="C5152:D5152"/>
    <mergeCell ref="F5154:I5154"/>
    <mergeCell ref="C5142:D5142"/>
    <mergeCell ref="C5143:D5143"/>
    <mergeCell ref="C5144:D5144"/>
    <mergeCell ref="C5145:D5145"/>
    <mergeCell ref="C5146:D5146"/>
    <mergeCell ref="C5147:D5147"/>
    <mergeCell ref="F5131:I5131"/>
    <mergeCell ref="B5134:D5134"/>
    <mergeCell ref="B5135:D5135"/>
    <mergeCell ref="D5138:G5138"/>
    <mergeCell ref="D5139:G5139"/>
    <mergeCell ref="C5141:G5141"/>
    <mergeCell ref="C5120:D5120"/>
    <mergeCell ref="C5121:D5121"/>
    <mergeCell ref="C5122:D5122"/>
    <mergeCell ref="F5124:I5124"/>
    <mergeCell ref="F5127:I5127"/>
    <mergeCell ref="F5129:I5129"/>
    <mergeCell ref="C5112:D5112"/>
    <mergeCell ref="C5113:D5113"/>
    <mergeCell ref="B5114:G5114"/>
    <mergeCell ref="F5116:I5116"/>
    <mergeCell ref="C5118:G5118"/>
    <mergeCell ref="C5119:D5119"/>
    <mergeCell ref="C5102:D5102"/>
    <mergeCell ref="C5105:D5105"/>
    <mergeCell ref="F5107:I5107"/>
    <mergeCell ref="C5109:G5109"/>
    <mergeCell ref="C5110:D5110"/>
    <mergeCell ref="C5111:D5111"/>
    <mergeCell ref="C5094:D5094"/>
    <mergeCell ref="C5095:D5095"/>
    <mergeCell ref="C5096:D5096"/>
    <mergeCell ref="F5098:I5098"/>
    <mergeCell ref="C5100:G5100"/>
    <mergeCell ref="C5101:D5101"/>
    <mergeCell ref="C5088:D5088"/>
    <mergeCell ref="C5089:D5089"/>
    <mergeCell ref="C5090:D5090"/>
    <mergeCell ref="C5091:D5091"/>
    <mergeCell ref="C5092:D5092"/>
    <mergeCell ref="C5093:D5093"/>
    <mergeCell ref="B5079:D5079"/>
    <mergeCell ref="D5082:G5082"/>
    <mergeCell ref="D5083:G5083"/>
    <mergeCell ref="C5085:G5085"/>
    <mergeCell ref="C5086:D5086"/>
    <mergeCell ref="C5087:D5087"/>
    <mergeCell ref="C5066:D5066"/>
    <mergeCell ref="F5068:I5068"/>
    <mergeCell ref="F5071:I5071"/>
    <mergeCell ref="F5073:I5073"/>
    <mergeCell ref="F5075:I5075"/>
    <mergeCell ref="B5078:D5078"/>
    <mergeCell ref="B5058:G5058"/>
    <mergeCell ref="F5060:I5060"/>
    <mergeCell ref="C5062:G5062"/>
    <mergeCell ref="C5063:D5063"/>
    <mergeCell ref="C5064:D5064"/>
    <mergeCell ref="C5065:D5065"/>
    <mergeCell ref="F5051:I5051"/>
    <mergeCell ref="C5053:G5053"/>
    <mergeCell ref="C5054:D5054"/>
    <mergeCell ref="C5055:D5055"/>
    <mergeCell ref="C5056:D5056"/>
    <mergeCell ref="C5057:D5057"/>
    <mergeCell ref="C5040:D5040"/>
    <mergeCell ref="F5042:I5042"/>
    <mergeCell ref="C5044:G5044"/>
    <mergeCell ref="C5045:D5045"/>
    <mergeCell ref="C5046:D5046"/>
    <mergeCell ref="C5049:D5049"/>
    <mergeCell ref="C5034:D5034"/>
    <mergeCell ref="C5035:D5035"/>
    <mergeCell ref="C5036:D5036"/>
    <mergeCell ref="C5037:D5037"/>
    <mergeCell ref="C5038:D5038"/>
    <mergeCell ref="C5039:D5039"/>
    <mergeCell ref="D5027:G5027"/>
    <mergeCell ref="C5029:G5029"/>
    <mergeCell ref="C5030:D5030"/>
    <mergeCell ref="C5031:D5031"/>
    <mergeCell ref="C5032:D5032"/>
    <mergeCell ref="C5033:D5033"/>
    <mergeCell ref="F5015:I5015"/>
    <mergeCell ref="F5017:I5017"/>
    <mergeCell ref="F5019:I5019"/>
    <mergeCell ref="B5022:D5022"/>
    <mergeCell ref="B5023:D5023"/>
    <mergeCell ref="D5026:G5026"/>
    <mergeCell ref="C5006:G5006"/>
    <mergeCell ref="C5007:D5007"/>
    <mergeCell ref="C5008:D5008"/>
    <mergeCell ref="C5009:D5009"/>
    <mergeCell ref="C5010:D5010"/>
    <mergeCell ref="F5012:I5012"/>
    <mergeCell ref="C4998:D4998"/>
    <mergeCell ref="C4999:D4999"/>
    <mergeCell ref="C5000:D5000"/>
    <mergeCell ref="C5001:D5001"/>
    <mergeCell ref="B5002:G5002"/>
    <mergeCell ref="F5004:I5004"/>
    <mergeCell ref="C4990:D4990"/>
    <mergeCell ref="C4991:D4991"/>
    <mergeCell ref="C4992:D4992"/>
    <mergeCell ref="C4993:D4993"/>
    <mergeCell ref="F4995:I4995"/>
    <mergeCell ref="C4997:G4997"/>
    <mergeCell ref="C4982:D4982"/>
    <mergeCell ref="C4983:D4983"/>
    <mergeCell ref="C4984:D4984"/>
    <mergeCell ref="F4986:I4986"/>
    <mergeCell ref="C4988:G4988"/>
    <mergeCell ref="C4989:D4989"/>
    <mergeCell ref="C4976:D4976"/>
    <mergeCell ref="C4977:D4977"/>
    <mergeCell ref="C4978:D4978"/>
    <mergeCell ref="C4979:D4979"/>
    <mergeCell ref="C4980:D4980"/>
    <mergeCell ref="C4981:D4981"/>
    <mergeCell ref="D4970:G4970"/>
    <mergeCell ref="D4971:G4971"/>
    <mergeCell ref="C4973:G4973"/>
    <mergeCell ref="C4974:D4974"/>
    <mergeCell ref="O4974:P4974"/>
    <mergeCell ref="C4975:D4975"/>
    <mergeCell ref="F4956:I4956"/>
    <mergeCell ref="F4959:I4959"/>
    <mergeCell ref="F4961:I4961"/>
    <mergeCell ref="F4963:I4963"/>
    <mergeCell ref="B4966:D4966"/>
    <mergeCell ref="B4967:D4967"/>
    <mergeCell ref="F4948:I4948"/>
    <mergeCell ref="C4950:G4950"/>
    <mergeCell ref="C4951:D4951"/>
    <mergeCell ref="C4952:D4952"/>
    <mergeCell ref="C4953:D4953"/>
    <mergeCell ref="C4954:D4954"/>
    <mergeCell ref="C4941:G4941"/>
    <mergeCell ref="C4942:D4942"/>
    <mergeCell ref="C4943:D4943"/>
    <mergeCell ref="C4944:D4944"/>
    <mergeCell ref="C4945:D4945"/>
    <mergeCell ref="B4946:G4946"/>
    <mergeCell ref="C4933:D4933"/>
    <mergeCell ref="C4934:D4934"/>
    <mergeCell ref="C4935:D4935"/>
    <mergeCell ref="C4936:D4936"/>
    <mergeCell ref="C4937:D4937"/>
    <mergeCell ref="F4939:I4939"/>
    <mergeCell ref="C4925:D4925"/>
    <mergeCell ref="C4926:D4926"/>
    <mergeCell ref="C4927:D4927"/>
    <mergeCell ref="C4928:D4928"/>
    <mergeCell ref="F4930:I4930"/>
    <mergeCell ref="C4932:G4932"/>
    <mergeCell ref="C4919:D4919"/>
    <mergeCell ref="C4920:D4920"/>
    <mergeCell ref="C4921:D4921"/>
    <mergeCell ref="C4922:D4922"/>
    <mergeCell ref="C4923:D4923"/>
    <mergeCell ref="C4924:D4924"/>
    <mergeCell ref="B4911:D4911"/>
    <mergeCell ref="D4914:G4914"/>
    <mergeCell ref="D4915:G4915"/>
    <mergeCell ref="C4917:G4917"/>
    <mergeCell ref="C4918:D4918"/>
    <mergeCell ref="O4918:P4918"/>
    <mergeCell ref="C4898:D4898"/>
    <mergeCell ref="F4900:I4900"/>
    <mergeCell ref="F4903:I4903"/>
    <mergeCell ref="F4905:I4905"/>
    <mergeCell ref="F4907:I4907"/>
    <mergeCell ref="B4910:D4910"/>
    <mergeCell ref="B4890:G4890"/>
    <mergeCell ref="F4892:I4892"/>
    <mergeCell ref="C4894:G4894"/>
    <mergeCell ref="C4895:D4895"/>
    <mergeCell ref="C4896:D4896"/>
    <mergeCell ref="C4897:D4897"/>
    <mergeCell ref="F4883:I4883"/>
    <mergeCell ref="C4885:G4885"/>
    <mergeCell ref="C4886:D4886"/>
    <mergeCell ref="C4887:D4887"/>
    <mergeCell ref="C4888:D4888"/>
    <mergeCell ref="C4889:D4889"/>
    <mergeCell ref="C4876:G4876"/>
    <mergeCell ref="C4877:D4877"/>
    <mergeCell ref="C4878:D4878"/>
    <mergeCell ref="C4879:D4879"/>
    <mergeCell ref="C4880:D4880"/>
    <mergeCell ref="C4881:D4881"/>
    <mergeCell ref="C4868:D4868"/>
    <mergeCell ref="C4869:D4869"/>
    <mergeCell ref="C4870:D4870"/>
    <mergeCell ref="C4871:D4871"/>
    <mergeCell ref="C4872:D4872"/>
    <mergeCell ref="F4874:I4874"/>
    <mergeCell ref="O4862:P4862"/>
    <mergeCell ref="C4863:D4863"/>
    <mergeCell ref="C4864:D4864"/>
    <mergeCell ref="C4865:D4865"/>
    <mergeCell ref="C4866:D4866"/>
    <mergeCell ref="C4867:D4867"/>
    <mergeCell ref="B4854:D4854"/>
    <mergeCell ref="B4855:D4855"/>
    <mergeCell ref="D4858:G4858"/>
    <mergeCell ref="D4859:G4859"/>
    <mergeCell ref="C4861:G4861"/>
    <mergeCell ref="C4862:D4862"/>
    <mergeCell ref="C4841:D4841"/>
    <mergeCell ref="C4842:D4842"/>
    <mergeCell ref="F4844:I4844"/>
    <mergeCell ref="F4847:I4847"/>
    <mergeCell ref="F4849:I4849"/>
    <mergeCell ref="F4851:I4851"/>
    <mergeCell ref="C4833:D4833"/>
    <mergeCell ref="B4834:G4834"/>
    <mergeCell ref="F4836:I4836"/>
    <mergeCell ref="C4838:G4838"/>
    <mergeCell ref="C4839:D4839"/>
    <mergeCell ref="C4840:D4840"/>
    <mergeCell ref="C4825:D4825"/>
    <mergeCell ref="F4827:I4827"/>
    <mergeCell ref="C4829:G4829"/>
    <mergeCell ref="C4830:D4830"/>
    <mergeCell ref="C4831:D4831"/>
    <mergeCell ref="C4832:D4832"/>
    <mergeCell ref="F4818:I4818"/>
    <mergeCell ref="C4820:G4820"/>
    <mergeCell ref="C4821:D4821"/>
    <mergeCell ref="C4822:D4822"/>
    <mergeCell ref="C4823:D4823"/>
    <mergeCell ref="C4824:D4824"/>
    <mergeCell ref="C4811:D4811"/>
    <mergeCell ref="C4812:D4812"/>
    <mergeCell ref="C4813:D4813"/>
    <mergeCell ref="C4814:D4814"/>
    <mergeCell ref="C4815:D4815"/>
    <mergeCell ref="C4816:D4816"/>
    <mergeCell ref="D4805:G4805"/>
    <mergeCell ref="D4806:G4806"/>
    <mergeCell ref="C4808:G4808"/>
    <mergeCell ref="C4809:D4809"/>
    <mergeCell ref="O4809:P4809"/>
    <mergeCell ref="C4810:D4810"/>
    <mergeCell ref="F4791:I4791"/>
    <mergeCell ref="F4794:I4794"/>
    <mergeCell ref="F4796:I4796"/>
    <mergeCell ref="F4798:I4798"/>
    <mergeCell ref="B4801:D4801"/>
    <mergeCell ref="B4802:D4802"/>
    <mergeCell ref="F4783:I4783"/>
    <mergeCell ref="C4785:G4785"/>
    <mergeCell ref="C4786:D4786"/>
    <mergeCell ref="C4787:D4787"/>
    <mergeCell ref="C4788:D4788"/>
    <mergeCell ref="C4789:D4789"/>
    <mergeCell ref="C4776:G4776"/>
    <mergeCell ref="C4777:D4777"/>
    <mergeCell ref="C4778:D4778"/>
    <mergeCell ref="C4779:D4779"/>
    <mergeCell ref="C4780:D4780"/>
    <mergeCell ref="B4781:G4781"/>
    <mergeCell ref="C4768:D4768"/>
    <mergeCell ref="C4769:D4769"/>
    <mergeCell ref="C4770:D4770"/>
    <mergeCell ref="C4771:D4771"/>
    <mergeCell ref="C4772:D4772"/>
    <mergeCell ref="F4774:I4774"/>
    <mergeCell ref="C4760:D4760"/>
    <mergeCell ref="C4761:D4761"/>
    <mergeCell ref="C4762:D4762"/>
    <mergeCell ref="C4763:D4763"/>
    <mergeCell ref="F4765:I4765"/>
    <mergeCell ref="C4767:G4767"/>
    <mergeCell ref="D4754:G4754"/>
    <mergeCell ref="D4755:G4755"/>
    <mergeCell ref="C4757:G4757"/>
    <mergeCell ref="C4758:D4758"/>
    <mergeCell ref="O4758:P4758"/>
    <mergeCell ref="C4759:D4759"/>
    <mergeCell ref="F4740:I4740"/>
    <mergeCell ref="F4743:I4743"/>
    <mergeCell ref="F4745:I4745"/>
    <mergeCell ref="F4747:I4747"/>
    <mergeCell ref="B4750:D4750"/>
    <mergeCell ref="B4751:D4751"/>
    <mergeCell ref="F4732:I4732"/>
    <mergeCell ref="C4734:G4734"/>
    <mergeCell ref="C4735:D4735"/>
    <mergeCell ref="C4736:D4736"/>
    <mergeCell ref="C4737:D4737"/>
    <mergeCell ref="C4738:D4738"/>
    <mergeCell ref="C4725:G4725"/>
    <mergeCell ref="C4726:D4726"/>
    <mergeCell ref="C4727:D4727"/>
    <mergeCell ref="C4728:D4728"/>
    <mergeCell ref="C4729:D4729"/>
    <mergeCell ref="B4730:G4730"/>
    <mergeCell ref="C4717:D4717"/>
    <mergeCell ref="C4718:D4718"/>
    <mergeCell ref="C4719:D4719"/>
    <mergeCell ref="C4720:D4720"/>
    <mergeCell ref="C4721:D4721"/>
    <mergeCell ref="F4723:I4723"/>
    <mergeCell ref="C4709:D4709"/>
    <mergeCell ref="C4710:D4710"/>
    <mergeCell ref="C4711:D4711"/>
    <mergeCell ref="C4712:D4712"/>
    <mergeCell ref="F4714:I4714"/>
    <mergeCell ref="C4716:G4716"/>
    <mergeCell ref="C4703:D4703"/>
    <mergeCell ref="C4704:D4704"/>
    <mergeCell ref="C4705:D4705"/>
    <mergeCell ref="C4706:D4706"/>
    <mergeCell ref="C4707:D4707"/>
    <mergeCell ref="C4708:D4708"/>
    <mergeCell ref="B4695:D4695"/>
    <mergeCell ref="D4698:G4698"/>
    <mergeCell ref="D4699:G4699"/>
    <mergeCell ref="C4701:G4701"/>
    <mergeCell ref="C4702:D4702"/>
    <mergeCell ref="O4702:P4702"/>
    <mergeCell ref="C4682:D4682"/>
    <mergeCell ref="F4684:I4684"/>
    <mergeCell ref="F4687:I4687"/>
    <mergeCell ref="F4689:I4689"/>
    <mergeCell ref="F4691:I4691"/>
    <mergeCell ref="B4694:D4694"/>
    <mergeCell ref="B4674:G4674"/>
    <mergeCell ref="F4676:I4676"/>
    <mergeCell ref="C4678:G4678"/>
    <mergeCell ref="C4679:D4679"/>
    <mergeCell ref="C4680:D4680"/>
    <mergeCell ref="C4681:D4681"/>
    <mergeCell ref="F4667:I4667"/>
    <mergeCell ref="C4669:G4669"/>
    <mergeCell ref="C4670:D4670"/>
    <mergeCell ref="C4671:D4671"/>
    <mergeCell ref="C4672:D4672"/>
    <mergeCell ref="C4673:D4673"/>
    <mergeCell ref="C4656:D4656"/>
    <mergeCell ref="F4658:I4658"/>
    <mergeCell ref="C4660:G4660"/>
    <mergeCell ref="C4661:D4661"/>
    <mergeCell ref="C4662:D4662"/>
    <mergeCell ref="C4665:D4665"/>
    <mergeCell ref="C4650:D4650"/>
    <mergeCell ref="C4651:D4651"/>
    <mergeCell ref="C4652:D4652"/>
    <mergeCell ref="C4653:D4653"/>
    <mergeCell ref="C4654:D4654"/>
    <mergeCell ref="C4655:D4655"/>
    <mergeCell ref="D4643:G4643"/>
    <mergeCell ref="C4645:G4645"/>
    <mergeCell ref="C4646:D4646"/>
    <mergeCell ref="C4647:D4647"/>
    <mergeCell ref="C4648:D4648"/>
    <mergeCell ref="C4649:D4649"/>
    <mergeCell ref="F4631:I4631"/>
    <mergeCell ref="F4633:I4633"/>
    <mergeCell ref="F4635:I4635"/>
    <mergeCell ref="B4638:D4638"/>
    <mergeCell ref="B4639:D4639"/>
    <mergeCell ref="D4642:G4642"/>
    <mergeCell ref="C4622:G4622"/>
    <mergeCell ref="C4623:D4623"/>
    <mergeCell ref="C4624:D4624"/>
    <mergeCell ref="C4625:D4625"/>
    <mergeCell ref="C4626:D4626"/>
    <mergeCell ref="F4628:I4628"/>
    <mergeCell ref="C4614:D4614"/>
    <mergeCell ref="C4615:D4615"/>
    <mergeCell ref="C4616:D4616"/>
    <mergeCell ref="C4617:D4617"/>
    <mergeCell ref="B4618:G4618"/>
    <mergeCell ref="F4620:I4620"/>
    <mergeCell ref="C4604:G4604"/>
    <mergeCell ref="C4605:D4605"/>
    <mergeCell ref="C4606:D4606"/>
    <mergeCell ref="C4609:D4609"/>
    <mergeCell ref="F4611:I4611"/>
    <mergeCell ref="C4613:G4613"/>
    <mergeCell ref="C4596:D4596"/>
    <mergeCell ref="C4597:D4597"/>
    <mergeCell ref="C4598:D4598"/>
    <mergeCell ref="C4599:D4599"/>
    <mergeCell ref="C4600:D4600"/>
    <mergeCell ref="F4602:I4602"/>
    <mergeCell ref="C4590:D4590"/>
    <mergeCell ref="C4591:D4591"/>
    <mergeCell ref="C4592:D4592"/>
    <mergeCell ref="C4593:D4593"/>
    <mergeCell ref="C4594:D4594"/>
    <mergeCell ref="C4595:D4595"/>
    <mergeCell ref="F4579:I4579"/>
    <mergeCell ref="B4582:D4582"/>
    <mergeCell ref="B4583:D4583"/>
    <mergeCell ref="D4586:G4586"/>
    <mergeCell ref="D4587:G4587"/>
    <mergeCell ref="C4589:G4589"/>
    <mergeCell ref="C4568:D4568"/>
    <mergeCell ref="C4569:D4569"/>
    <mergeCell ref="C4570:D4570"/>
    <mergeCell ref="F4572:I4572"/>
    <mergeCell ref="F4575:I4575"/>
    <mergeCell ref="F4577:I4577"/>
    <mergeCell ref="C4560:D4560"/>
    <mergeCell ref="C4561:D4561"/>
    <mergeCell ref="B4562:G4562"/>
    <mergeCell ref="F4564:I4564"/>
    <mergeCell ref="C4566:G4566"/>
    <mergeCell ref="C4567:D4567"/>
    <mergeCell ref="C4550:D4550"/>
    <mergeCell ref="C4553:D4553"/>
    <mergeCell ref="F4555:I4555"/>
    <mergeCell ref="C4557:G4557"/>
    <mergeCell ref="C4558:D4558"/>
    <mergeCell ref="C4559:D4559"/>
    <mergeCell ref="C4542:D4542"/>
    <mergeCell ref="C4543:D4543"/>
    <mergeCell ref="C4544:D4544"/>
    <mergeCell ref="F4546:I4546"/>
    <mergeCell ref="C4548:G4548"/>
    <mergeCell ref="C4549:D4549"/>
    <mergeCell ref="C4536:D4536"/>
    <mergeCell ref="C4537:D4537"/>
    <mergeCell ref="C4538:D4538"/>
    <mergeCell ref="C4539:D4539"/>
    <mergeCell ref="C4540:D4540"/>
    <mergeCell ref="C4541:D4541"/>
    <mergeCell ref="B4527:D4527"/>
    <mergeCell ref="D4530:G4530"/>
    <mergeCell ref="D4531:G4531"/>
    <mergeCell ref="C4533:G4533"/>
    <mergeCell ref="C4534:D4534"/>
    <mergeCell ref="C4535:D4535"/>
    <mergeCell ref="C4514:D4514"/>
    <mergeCell ref="F4516:I4516"/>
    <mergeCell ref="F4519:I4519"/>
    <mergeCell ref="F4521:I4521"/>
    <mergeCell ref="F4523:I4523"/>
    <mergeCell ref="B4526:D4526"/>
    <mergeCell ref="B4506:G4506"/>
    <mergeCell ref="F4508:I4508"/>
    <mergeCell ref="C4510:G4510"/>
    <mergeCell ref="C4511:D4511"/>
    <mergeCell ref="C4512:D4512"/>
    <mergeCell ref="C4513:D4513"/>
    <mergeCell ref="F4499:I4499"/>
    <mergeCell ref="C4501:G4501"/>
    <mergeCell ref="C4502:D4502"/>
    <mergeCell ref="C4503:D4503"/>
    <mergeCell ref="C4504:D4504"/>
    <mergeCell ref="C4505:D4505"/>
    <mergeCell ref="C4492:G4492"/>
    <mergeCell ref="C4493:D4493"/>
    <mergeCell ref="C4494:D4494"/>
    <mergeCell ref="C4495:D4495"/>
    <mergeCell ref="C4496:D4496"/>
    <mergeCell ref="C4497:D4497"/>
    <mergeCell ref="O4484:P4484"/>
    <mergeCell ref="C4485:D4485"/>
    <mergeCell ref="C4486:D4486"/>
    <mergeCell ref="C4487:D4487"/>
    <mergeCell ref="C4488:D4488"/>
    <mergeCell ref="F4490:I4490"/>
    <mergeCell ref="B4476:D4476"/>
    <mergeCell ref="B4477:D4477"/>
    <mergeCell ref="D4480:G4480"/>
    <mergeCell ref="D4481:G4481"/>
    <mergeCell ref="C4483:G4483"/>
    <mergeCell ref="C4484:D4484"/>
    <mergeCell ref="C4463:D4463"/>
    <mergeCell ref="C4464:D4464"/>
    <mergeCell ref="F4466:I4466"/>
    <mergeCell ref="F4469:I4469"/>
    <mergeCell ref="F4471:I4471"/>
    <mergeCell ref="F4473:I4473"/>
    <mergeCell ref="C4455:D4455"/>
    <mergeCell ref="B4456:G4456"/>
    <mergeCell ref="F4458:I4458"/>
    <mergeCell ref="C4460:G4460"/>
    <mergeCell ref="C4461:D4461"/>
    <mergeCell ref="C4462:D4462"/>
    <mergeCell ref="C4447:D4447"/>
    <mergeCell ref="F4449:I4449"/>
    <mergeCell ref="C4451:G4451"/>
    <mergeCell ref="C4452:D4452"/>
    <mergeCell ref="C4453:D4453"/>
    <mergeCell ref="C4454:D4454"/>
    <mergeCell ref="F4440:I4440"/>
    <mergeCell ref="C4442:G4442"/>
    <mergeCell ref="C4443:D4443"/>
    <mergeCell ref="C4444:D4444"/>
    <mergeCell ref="C4445:D4445"/>
    <mergeCell ref="C4446:D4446"/>
    <mergeCell ref="C4433:D4433"/>
    <mergeCell ref="C4434:D4434"/>
    <mergeCell ref="C4435:D4435"/>
    <mergeCell ref="C4436:D4436"/>
    <mergeCell ref="C4437:D4437"/>
    <mergeCell ref="C4438:D4438"/>
    <mergeCell ref="B4425:D4425"/>
    <mergeCell ref="D4428:G4428"/>
    <mergeCell ref="D4429:G4429"/>
    <mergeCell ref="C4431:G4431"/>
    <mergeCell ref="C4432:D4432"/>
    <mergeCell ref="O4432:P4432"/>
    <mergeCell ref="C4412:D4412"/>
    <mergeCell ref="F4414:I4414"/>
    <mergeCell ref="F4417:I4417"/>
    <mergeCell ref="F4419:I4419"/>
    <mergeCell ref="F4421:I4421"/>
    <mergeCell ref="B4424:D4424"/>
    <mergeCell ref="B4404:G4404"/>
    <mergeCell ref="F4406:I4406"/>
    <mergeCell ref="C4408:G4408"/>
    <mergeCell ref="C4409:D4409"/>
    <mergeCell ref="C4410:D4410"/>
    <mergeCell ref="C4411:D4411"/>
    <mergeCell ref="F4397:I4397"/>
    <mergeCell ref="C4399:G4399"/>
    <mergeCell ref="C4400:D4400"/>
    <mergeCell ref="C4401:D4401"/>
    <mergeCell ref="C4402:D4402"/>
    <mergeCell ref="C4403:D4403"/>
    <mergeCell ref="C4390:G4390"/>
    <mergeCell ref="C4391:D4391"/>
    <mergeCell ref="C4392:D4392"/>
    <mergeCell ref="C4393:D4393"/>
    <mergeCell ref="C4394:D4394"/>
    <mergeCell ref="C4395:D4395"/>
    <mergeCell ref="C4382:D4382"/>
    <mergeCell ref="C4383:D4383"/>
    <mergeCell ref="C4384:D4384"/>
    <mergeCell ref="C4385:D4385"/>
    <mergeCell ref="C4386:D4386"/>
    <mergeCell ref="F4388:I4388"/>
    <mergeCell ref="D4376:G4376"/>
    <mergeCell ref="C4378:G4378"/>
    <mergeCell ref="C4379:D4379"/>
    <mergeCell ref="O4379:P4379"/>
    <mergeCell ref="C4380:D4380"/>
    <mergeCell ref="C4381:D4381"/>
    <mergeCell ref="F4364:I4364"/>
    <mergeCell ref="F4366:I4366"/>
    <mergeCell ref="F4368:I4368"/>
    <mergeCell ref="B4371:D4371"/>
    <mergeCell ref="B4372:D4372"/>
    <mergeCell ref="D4375:G4375"/>
    <mergeCell ref="C4355:G4355"/>
    <mergeCell ref="C4356:D4356"/>
    <mergeCell ref="C4357:D4357"/>
    <mergeCell ref="C4358:D4358"/>
    <mergeCell ref="C4359:D4359"/>
    <mergeCell ref="F4361:I4361"/>
    <mergeCell ref="C4347:D4347"/>
    <mergeCell ref="C4348:D4348"/>
    <mergeCell ref="C4349:D4349"/>
    <mergeCell ref="C4350:D4350"/>
    <mergeCell ref="B4351:G4351"/>
    <mergeCell ref="F4353:I4353"/>
    <mergeCell ref="C4339:D4339"/>
    <mergeCell ref="C4340:D4340"/>
    <mergeCell ref="C4341:D4341"/>
    <mergeCell ref="C4342:D4342"/>
    <mergeCell ref="F4344:I4344"/>
    <mergeCell ref="C4346:G4346"/>
    <mergeCell ref="C4331:D4331"/>
    <mergeCell ref="C4332:D4332"/>
    <mergeCell ref="C4333:D4333"/>
    <mergeCell ref="F4335:I4335"/>
    <mergeCell ref="C4337:G4337"/>
    <mergeCell ref="C4338:D4338"/>
    <mergeCell ref="C4325:D4325"/>
    <mergeCell ref="C4326:D4326"/>
    <mergeCell ref="C4327:D4327"/>
    <mergeCell ref="C4328:D4328"/>
    <mergeCell ref="C4329:D4329"/>
    <mergeCell ref="C4330:D4330"/>
    <mergeCell ref="D4319:G4319"/>
    <mergeCell ref="D4320:G4320"/>
    <mergeCell ref="C4322:G4322"/>
    <mergeCell ref="C4323:D4323"/>
    <mergeCell ref="O4323:P4323"/>
    <mergeCell ref="C4324:D4324"/>
    <mergeCell ref="F4305:I4305"/>
    <mergeCell ref="F4308:I4308"/>
    <mergeCell ref="F4310:I4310"/>
    <mergeCell ref="F4312:I4312"/>
    <mergeCell ref="B4315:D4315"/>
    <mergeCell ref="B4316:D4316"/>
    <mergeCell ref="F4297:I4297"/>
    <mergeCell ref="C4299:G4299"/>
    <mergeCell ref="C4300:D4300"/>
    <mergeCell ref="C4301:D4301"/>
    <mergeCell ref="C4302:D4302"/>
    <mergeCell ref="C4303:D4303"/>
    <mergeCell ref="C4290:G4290"/>
    <mergeCell ref="C4291:D4291"/>
    <mergeCell ref="C4292:D4292"/>
    <mergeCell ref="C4293:D4293"/>
    <mergeCell ref="C4294:D4294"/>
    <mergeCell ref="B4295:G4295"/>
    <mergeCell ref="C4282:D4282"/>
    <mergeCell ref="C4283:D4283"/>
    <mergeCell ref="C4284:D4284"/>
    <mergeCell ref="C4285:D4285"/>
    <mergeCell ref="C4286:D4286"/>
    <mergeCell ref="F4288:I4288"/>
    <mergeCell ref="C4274:D4274"/>
    <mergeCell ref="C4275:D4275"/>
    <mergeCell ref="C4276:D4276"/>
    <mergeCell ref="C4277:D4277"/>
    <mergeCell ref="F4279:I4279"/>
    <mergeCell ref="C4281:G4281"/>
    <mergeCell ref="C4268:D4268"/>
    <mergeCell ref="C4269:D4269"/>
    <mergeCell ref="C4270:D4270"/>
    <mergeCell ref="C4271:D4271"/>
    <mergeCell ref="C4272:D4272"/>
    <mergeCell ref="C4273:D4273"/>
    <mergeCell ref="B4260:D4260"/>
    <mergeCell ref="D4263:G4263"/>
    <mergeCell ref="D4264:G4264"/>
    <mergeCell ref="C4266:G4266"/>
    <mergeCell ref="C4267:D4267"/>
    <mergeCell ref="O4267:P4267"/>
    <mergeCell ref="C4247:D4247"/>
    <mergeCell ref="F4249:I4249"/>
    <mergeCell ref="F4252:I4252"/>
    <mergeCell ref="F4254:I4254"/>
    <mergeCell ref="F4256:I4256"/>
    <mergeCell ref="B4259:D4259"/>
    <mergeCell ref="B4239:G4239"/>
    <mergeCell ref="F4241:I4241"/>
    <mergeCell ref="C4243:G4243"/>
    <mergeCell ref="C4244:D4244"/>
    <mergeCell ref="C4245:D4245"/>
    <mergeCell ref="C4246:D4246"/>
    <mergeCell ref="F4232:I4232"/>
    <mergeCell ref="C4234:G4234"/>
    <mergeCell ref="C4235:D4235"/>
    <mergeCell ref="C4236:D4236"/>
    <mergeCell ref="C4237:D4237"/>
    <mergeCell ref="C4238:D4238"/>
    <mergeCell ref="C4225:G4225"/>
    <mergeCell ref="C4226:D4226"/>
    <mergeCell ref="C4227:D4227"/>
    <mergeCell ref="C4228:D4228"/>
    <mergeCell ref="C4229:D4229"/>
    <mergeCell ref="C4230:D4230"/>
    <mergeCell ref="C4217:D4217"/>
    <mergeCell ref="C4218:D4218"/>
    <mergeCell ref="C4219:D4219"/>
    <mergeCell ref="C4220:D4220"/>
    <mergeCell ref="C4221:D4221"/>
    <mergeCell ref="F4223:I4223"/>
    <mergeCell ref="O4211:P4211"/>
    <mergeCell ref="C4212:D4212"/>
    <mergeCell ref="C4213:D4213"/>
    <mergeCell ref="C4214:D4214"/>
    <mergeCell ref="C4215:D4215"/>
    <mergeCell ref="C4216:D4216"/>
    <mergeCell ref="B4203:D4203"/>
    <mergeCell ref="B4204:D4204"/>
    <mergeCell ref="D4207:G4207"/>
    <mergeCell ref="D4208:G4208"/>
    <mergeCell ref="C4210:G4210"/>
    <mergeCell ref="C4211:D4211"/>
    <mergeCell ref="C4190:D4190"/>
    <mergeCell ref="C4191:D4191"/>
    <mergeCell ref="F4193:I4193"/>
    <mergeCell ref="F4196:I4196"/>
    <mergeCell ref="F4198:I4198"/>
    <mergeCell ref="F4200:I4200"/>
    <mergeCell ref="C4182:D4182"/>
    <mergeCell ref="B4183:G4183"/>
    <mergeCell ref="F4185:I4185"/>
    <mergeCell ref="C4187:G4187"/>
    <mergeCell ref="C4188:D4188"/>
    <mergeCell ref="C4189:D4189"/>
    <mergeCell ref="C4174:D4174"/>
    <mergeCell ref="F4176:I4176"/>
    <mergeCell ref="C4178:G4178"/>
    <mergeCell ref="C4179:D4179"/>
    <mergeCell ref="C4180:D4180"/>
    <mergeCell ref="C4181:D4181"/>
    <mergeCell ref="F4167:I4167"/>
    <mergeCell ref="C4169:G4169"/>
    <mergeCell ref="C4170:D4170"/>
    <mergeCell ref="C4171:D4171"/>
    <mergeCell ref="C4172:D4172"/>
    <mergeCell ref="C4173:D4173"/>
    <mergeCell ref="C4160:D4160"/>
    <mergeCell ref="C4161:D4161"/>
    <mergeCell ref="C4162:D4162"/>
    <mergeCell ref="C4163:D4163"/>
    <mergeCell ref="C4164:D4164"/>
    <mergeCell ref="C4165:D4165"/>
    <mergeCell ref="C4155:D4155"/>
    <mergeCell ref="O4155:P4155"/>
    <mergeCell ref="C4156:D4156"/>
    <mergeCell ref="C4157:D4157"/>
    <mergeCell ref="C4158:D4158"/>
    <mergeCell ref="C4159:D4159"/>
    <mergeCell ref="F4144:I4144"/>
    <mergeCell ref="B4147:D4147"/>
    <mergeCell ref="B4148:D4148"/>
    <mergeCell ref="D4151:G4151"/>
    <mergeCell ref="D4152:G4152"/>
    <mergeCell ref="C4154:G4154"/>
    <mergeCell ref="C4133:D4133"/>
    <mergeCell ref="C4134:D4134"/>
    <mergeCell ref="C4135:D4135"/>
    <mergeCell ref="F4137:I4137"/>
    <mergeCell ref="F4140:I4140"/>
    <mergeCell ref="F4142:I4142"/>
    <mergeCell ref="C4125:D4125"/>
    <mergeCell ref="C4126:D4126"/>
    <mergeCell ref="B4127:G4127"/>
    <mergeCell ref="F4129:I4129"/>
    <mergeCell ref="C4131:G4131"/>
    <mergeCell ref="C4132:D4132"/>
    <mergeCell ref="C4117:D4117"/>
    <mergeCell ref="C4118:D4118"/>
    <mergeCell ref="F4120:I4120"/>
    <mergeCell ref="C4122:G4122"/>
    <mergeCell ref="C4123:D4123"/>
    <mergeCell ref="C4124:D4124"/>
    <mergeCell ref="C4109:D4109"/>
    <mergeCell ref="F4111:I4111"/>
    <mergeCell ref="C4113:G4113"/>
    <mergeCell ref="C4114:D4114"/>
    <mergeCell ref="C4115:D4115"/>
    <mergeCell ref="C4116:D4116"/>
    <mergeCell ref="C4104:D4104"/>
    <mergeCell ref="O4104:P4104"/>
    <mergeCell ref="C4105:D4105"/>
    <mergeCell ref="C4106:D4106"/>
    <mergeCell ref="C4107:D4107"/>
    <mergeCell ref="C4108:D4108"/>
    <mergeCell ref="F4093:I4093"/>
    <mergeCell ref="B4096:D4096"/>
    <mergeCell ref="B4097:D4097"/>
    <mergeCell ref="D4100:G4100"/>
    <mergeCell ref="D4101:G4101"/>
    <mergeCell ref="C4103:G4103"/>
    <mergeCell ref="C4082:D4082"/>
    <mergeCell ref="C4083:D4083"/>
    <mergeCell ref="C4084:D4084"/>
    <mergeCell ref="F4086:I4086"/>
    <mergeCell ref="F4089:I4089"/>
    <mergeCell ref="F4091:I4091"/>
    <mergeCell ref="C4074:D4074"/>
    <mergeCell ref="C4075:D4075"/>
    <mergeCell ref="B4076:G4076"/>
    <mergeCell ref="F4078:I4078"/>
    <mergeCell ref="C4080:G4080"/>
    <mergeCell ref="C4081:D4081"/>
    <mergeCell ref="C4066:D4066"/>
    <mergeCell ref="C4067:D4067"/>
    <mergeCell ref="F4069:I4069"/>
    <mergeCell ref="C4071:G4071"/>
    <mergeCell ref="C4072:D4072"/>
    <mergeCell ref="C4073:D4073"/>
    <mergeCell ref="C4058:D4058"/>
    <mergeCell ref="F4060:I4060"/>
    <mergeCell ref="C4062:G4062"/>
    <mergeCell ref="C4063:D4063"/>
    <mergeCell ref="C4064:D4064"/>
    <mergeCell ref="C4065:D4065"/>
    <mergeCell ref="C4053:D4053"/>
    <mergeCell ref="O4053:P4053"/>
    <mergeCell ref="C4054:D4054"/>
    <mergeCell ref="C4055:D4055"/>
    <mergeCell ref="C4056:D4056"/>
    <mergeCell ref="C4057:D4057"/>
    <mergeCell ref="F4042:I4042"/>
    <mergeCell ref="B4045:D4045"/>
    <mergeCell ref="B4046:D4046"/>
    <mergeCell ref="D4049:G4049"/>
    <mergeCell ref="D4050:G4050"/>
    <mergeCell ref="C4052:G4052"/>
    <mergeCell ref="C4031:D4031"/>
    <mergeCell ref="C4032:D4032"/>
    <mergeCell ref="C4033:D4033"/>
    <mergeCell ref="F4035:I4035"/>
    <mergeCell ref="F4038:I4038"/>
    <mergeCell ref="F4040:I4040"/>
    <mergeCell ref="C4023:D4023"/>
    <mergeCell ref="C4024:D4024"/>
    <mergeCell ref="B4025:G4025"/>
    <mergeCell ref="F4027:I4027"/>
    <mergeCell ref="C4029:G4029"/>
    <mergeCell ref="C4030:D4030"/>
    <mergeCell ref="C4015:D4015"/>
    <mergeCell ref="C4016:D4016"/>
    <mergeCell ref="F4018:I4018"/>
    <mergeCell ref="C4020:G4020"/>
    <mergeCell ref="C4021:D4021"/>
    <mergeCell ref="C4022:D4022"/>
    <mergeCell ref="C4007:D4007"/>
    <mergeCell ref="F4009:I4009"/>
    <mergeCell ref="C4011:G4011"/>
    <mergeCell ref="C4012:D4012"/>
    <mergeCell ref="C4013:D4013"/>
    <mergeCell ref="C4014:D4014"/>
    <mergeCell ref="C4001:D4001"/>
    <mergeCell ref="C4002:D4002"/>
    <mergeCell ref="C4003:D4003"/>
    <mergeCell ref="C4004:D4004"/>
    <mergeCell ref="C4005:D4005"/>
    <mergeCell ref="C4006:D4006"/>
    <mergeCell ref="B3993:D3993"/>
    <mergeCell ref="D3996:G3996"/>
    <mergeCell ref="D3997:G3997"/>
    <mergeCell ref="C3999:G3999"/>
    <mergeCell ref="C4000:D4000"/>
    <mergeCell ref="O4000:P4000"/>
    <mergeCell ref="C3980:D3980"/>
    <mergeCell ref="F3982:I3982"/>
    <mergeCell ref="F3985:I3985"/>
    <mergeCell ref="F3987:I3987"/>
    <mergeCell ref="F3989:I3989"/>
    <mergeCell ref="B3992:D3992"/>
    <mergeCell ref="B3972:G3972"/>
    <mergeCell ref="F3974:I3974"/>
    <mergeCell ref="C3976:G3976"/>
    <mergeCell ref="C3977:D3977"/>
    <mergeCell ref="C3978:D3978"/>
    <mergeCell ref="C3979:D3979"/>
    <mergeCell ref="F3965:I3965"/>
    <mergeCell ref="C3967:G3967"/>
    <mergeCell ref="C3968:D3968"/>
    <mergeCell ref="C3969:D3969"/>
    <mergeCell ref="C3970:D3970"/>
    <mergeCell ref="C3971:D3971"/>
    <mergeCell ref="C3958:G3958"/>
    <mergeCell ref="C3959:D3959"/>
    <mergeCell ref="C3960:D3960"/>
    <mergeCell ref="C3961:D3961"/>
    <mergeCell ref="C3962:D3962"/>
    <mergeCell ref="C3963:D3963"/>
    <mergeCell ref="C3950:D3950"/>
    <mergeCell ref="C3951:D3951"/>
    <mergeCell ref="C3952:D3952"/>
    <mergeCell ref="C3953:D3953"/>
    <mergeCell ref="C3954:D3954"/>
    <mergeCell ref="F3956:I3956"/>
    <mergeCell ref="D3944:G3944"/>
    <mergeCell ref="D3945:G3945"/>
    <mergeCell ref="C3947:G3947"/>
    <mergeCell ref="C3948:D3948"/>
    <mergeCell ref="O3948:P3948"/>
    <mergeCell ref="C3949:D3949"/>
    <mergeCell ref="F3930:I3930"/>
    <mergeCell ref="F3933:I3933"/>
    <mergeCell ref="F3935:I3935"/>
    <mergeCell ref="F3937:I3937"/>
    <mergeCell ref="B3940:D3940"/>
    <mergeCell ref="B3941:D3941"/>
    <mergeCell ref="F3922:I3922"/>
    <mergeCell ref="C3924:G3924"/>
    <mergeCell ref="C3925:D3925"/>
    <mergeCell ref="C3926:D3926"/>
    <mergeCell ref="C3927:D3927"/>
    <mergeCell ref="C3928:D3928"/>
    <mergeCell ref="C3915:G3915"/>
    <mergeCell ref="C3916:D3916"/>
    <mergeCell ref="C3917:D3917"/>
    <mergeCell ref="C3918:D3918"/>
    <mergeCell ref="C3919:D3919"/>
    <mergeCell ref="B3920:G3920"/>
    <mergeCell ref="C3907:D3907"/>
    <mergeCell ref="C3908:D3908"/>
    <mergeCell ref="C3909:D3909"/>
    <mergeCell ref="C3910:D3910"/>
    <mergeCell ref="C3911:D3911"/>
    <mergeCell ref="F3913:I3913"/>
    <mergeCell ref="C3899:D3899"/>
    <mergeCell ref="C3900:D3900"/>
    <mergeCell ref="C3901:D3901"/>
    <mergeCell ref="C3902:D3902"/>
    <mergeCell ref="F3904:I3904"/>
    <mergeCell ref="C3906:G3906"/>
    <mergeCell ref="D3893:G3893"/>
    <mergeCell ref="C3895:G3895"/>
    <mergeCell ref="C3896:D3896"/>
    <mergeCell ref="O3896:P3896"/>
    <mergeCell ref="C3897:D3897"/>
    <mergeCell ref="C3898:D3898"/>
    <mergeCell ref="F3881:I3881"/>
    <mergeCell ref="F3883:I3883"/>
    <mergeCell ref="F3885:I3885"/>
    <mergeCell ref="B3888:D3888"/>
    <mergeCell ref="B3889:D3889"/>
    <mergeCell ref="D3892:G3892"/>
    <mergeCell ref="C3872:G3872"/>
    <mergeCell ref="C3873:D3873"/>
    <mergeCell ref="C3874:D3874"/>
    <mergeCell ref="C3875:D3875"/>
    <mergeCell ref="C3876:D3876"/>
    <mergeCell ref="F3878:I3878"/>
    <mergeCell ref="C3864:D3864"/>
    <mergeCell ref="C3865:D3865"/>
    <mergeCell ref="C3866:D3866"/>
    <mergeCell ref="C3867:D3867"/>
    <mergeCell ref="B3868:G3868"/>
    <mergeCell ref="F3870:I3870"/>
    <mergeCell ref="C3854:G3854"/>
    <mergeCell ref="C3855:D3855"/>
    <mergeCell ref="C3856:D3856"/>
    <mergeCell ref="C3859:D3859"/>
    <mergeCell ref="F3861:I3861"/>
    <mergeCell ref="C3863:G3863"/>
    <mergeCell ref="C3846:G3846"/>
    <mergeCell ref="C3847:D3847"/>
    <mergeCell ref="C3848:D3848"/>
    <mergeCell ref="C3849:D3849"/>
    <mergeCell ref="C3850:D3850"/>
    <mergeCell ref="F3852:I3852"/>
    <mergeCell ref="F3834:I3834"/>
    <mergeCell ref="F3836:I3836"/>
    <mergeCell ref="B3839:D3839"/>
    <mergeCell ref="B3840:D3840"/>
    <mergeCell ref="D3843:G3843"/>
    <mergeCell ref="D3844:G3844"/>
    <mergeCell ref="C3824:D3824"/>
    <mergeCell ref="C3825:D3825"/>
    <mergeCell ref="C3826:D3826"/>
    <mergeCell ref="C3827:D3827"/>
    <mergeCell ref="F3829:I3829"/>
    <mergeCell ref="F3832:I3832"/>
    <mergeCell ref="C3816:D3816"/>
    <mergeCell ref="C3817:D3817"/>
    <mergeCell ref="C3818:D3818"/>
    <mergeCell ref="B3819:G3819"/>
    <mergeCell ref="F3821:I3821"/>
    <mergeCell ref="C3823:G3823"/>
    <mergeCell ref="C3806:D3806"/>
    <mergeCell ref="C3807:D3807"/>
    <mergeCell ref="C3810:D3810"/>
    <mergeCell ref="F3812:I3812"/>
    <mergeCell ref="C3814:G3814"/>
    <mergeCell ref="C3815:D3815"/>
    <mergeCell ref="C3798:D3798"/>
    <mergeCell ref="C3799:D3799"/>
    <mergeCell ref="C3800:D3800"/>
    <mergeCell ref="C3801:D3801"/>
    <mergeCell ref="F3803:I3803"/>
    <mergeCell ref="C3805:G3805"/>
    <mergeCell ref="B3789:D3789"/>
    <mergeCell ref="D3792:G3792"/>
    <mergeCell ref="D3793:G3793"/>
    <mergeCell ref="C3795:G3795"/>
    <mergeCell ref="C3796:D3796"/>
    <mergeCell ref="C3797:D3797"/>
    <mergeCell ref="C3776:D3776"/>
    <mergeCell ref="F3778:I3778"/>
    <mergeCell ref="F3781:I3781"/>
    <mergeCell ref="F3783:I3783"/>
    <mergeCell ref="F3785:I3785"/>
    <mergeCell ref="B3788:D3788"/>
    <mergeCell ref="B3768:G3768"/>
    <mergeCell ref="F3770:I3770"/>
    <mergeCell ref="C3772:G3772"/>
    <mergeCell ref="C3773:D3773"/>
    <mergeCell ref="C3774:D3774"/>
    <mergeCell ref="C3775:D3775"/>
    <mergeCell ref="F3761:I3761"/>
    <mergeCell ref="C3763:G3763"/>
    <mergeCell ref="C3764:D3764"/>
    <mergeCell ref="C3765:D3765"/>
    <mergeCell ref="C3766:D3766"/>
    <mergeCell ref="C3767:D3767"/>
    <mergeCell ref="C3750:D3750"/>
    <mergeCell ref="F3752:I3752"/>
    <mergeCell ref="C3754:G3754"/>
    <mergeCell ref="C3755:D3755"/>
    <mergeCell ref="C3756:D3756"/>
    <mergeCell ref="C3759:D3759"/>
    <mergeCell ref="C3744:D3744"/>
    <mergeCell ref="C3745:D3745"/>
    <mergeCell ref="C3746:D3746"/>
    <mergeCell ref="C3747:D3747"/>
    <mergeCell ref="C3748:D3748"/>
    <mergeCell ref="C3749:D3749"/>
    <mergeCell ref="D3737:G3737"/>
    <mergeCell ref="C3739:G3739"/>
    <mergeCell ref="C3740:D3740"/>
    <mergeCell ref="C3741:D3741"/>
    <mergeCell ref="C3742:D3742"/>
    <mergeCell ref="C3743:D3743"/>
    <mergeCell ref="F3725:I3725"/>
    <mergeCell ref="F3727:I3727"/>
    <mergeCell ref="F3729:I3729"/>
    <mergeCell ref="B3732:D3732"/>
    <mergeCell ref="B3733:D3733"/>
    <mergeCell ref="D3736:G3736"/>
    <mergeCell ref="C3716:G3716"/>
    <mergeCell ref="C3717:D3717"/>
    <mergeCell ref="C3718:D3718"/>
    <mergeCell ref="C3719:D3719"/>
    <mergeCell ref="C3720:D3720"/>
    <mergeCell ref="F3722:I3722"/>
    <mergeCell ref="C3708:D3708"/>
    <mergeCell ref="C3709:D3709"/>
    <mergeCell ref="C3710:D3710"/>
    <mergeCell ref="C3711:D3711"/>
    <mergeCell ref="B3712:G3712"/>
    <mergeCell ref="F3714:I3714"/>
    <mergeCell ref="C3700:D3700"/>
    <mergeCell ref="C3701:D3701"/>
    <mergeCell ref="C3702:D3702"/>
    <mergeCell ref="C3703:D3703"/>
    <mergeCell ref="F3705:I3705"/>
    <mergeCell ref="C3707:G3707"/>
    <mergeCell ref="C3692:D3692"/>
    <mergeCell ref="C3693:D3693"/>
    <mergeCell ref="C3694:D3694"/>
    <mergeCell ref="F3696:I3696"/>
    <mergeCell ref="C3698:G3698"/>
    <mergeCell ref="C3699:D3699"/>
    <mergeCell ref="D3686:G3686"/>
    <mergeCell ref="D3687:G3687"/>
    <mergeCell ref="C3689:G3689"/>
    <mergeCell ref="C3690:D3690"/>
    <mergeCell ref="O3690:P3690"/>
    <mergeCell ref="C3691:D3691"/>
    <mergeCell ref="F3672:I3672"/>
    <mergeCell ref="F3675:I3675"/>
    <mergeCell ref="F3677:I3677"/>
    <mergeCell ref="F3679:I3679"/>
    <mergeCell ref="B3682:D3682"/>
    <mergeCell ref="B3683:D3683"/>
    <mergeCell ref="F3664:I3664"/>
    <mergeCell ref="C3666:G3666"/>
    <mergeCell ref="C3667:D3667"/>
    <mergeCell ref="C3668:D3668"/>
    <mergeCell ref="C3669:D3669"/>
    <mergeCell ref="C3670:D3670"/>
    <mergeCell ref="C3657:G3657"/>
    <mergeCell ref="C3658:D3658"/>
    <mergeCell ref="C3659:D3659"/>
    <mergeCell ref="C3660:D3660"/>
    <mergeCell ref="C3661:D3661"/>
    <mergeCell ref="B3662:G3662"/>
    <mergeCell ref="C3649:D3649"/>
    <mergeCell ref="C3650:D3650"/>
    <mergeCell ref="C3651:D3651"/>
    <mergeCell ref="C3652:D3652"/>
    <mergeCell ref="C3653:D3653"/>
    <mergeCell ref="F3655:I3655"/>
    <mergeCell ref="C3641:D3641"/>
    <mergeCell ref="C3642:D3642"/>
    <mergeCell ref="C3643:D3643"/>
    <mergeCell ref="C3644:D3644"/>
    <mergeCell ref="F3646:I3646"/>
    <mergeCell ref="C3648:G3648"/>
    <mergeCell ref="D3635:G3635"/>
    <mergeCell ref="C3637:G3637"/>
    <mergeCell ref="C3638:D3638"/>
    <mergeCell ref="O3638:P3638"/>
    <mergeCell ref="C3639:D3639"/>
    <mergeCell ref="C3640:D3640"/>
    <mergeCell ref="F3623:I3623"/>
    <mergeCell ref="F3625:I3625"/>
    <mergeCell ref="F3627:I3627"/>
    <mergeCell ref="B3630:D3630"/>
    <mergeCell ref="B3631:D3631"/>
    <mergeCell ref="D3634:G3634"/>
    <mergeCell ref="C3614:G3614"/>
    <mergeCell ref="C3615:D3615"/>
    <mergeCell ref="C3616:D3616"/>
    <mergeCell ref="C3617:D3617"/>
    <mergeCell ref="C3618:D3618"/>
    <mergeCell ref="F3620:I3620"/>
    <mergeCell ref="C3606:D3606"/>
    <mergeCell ref="C3607:D3607"/>
    <mergeCell ref="C3608:D3608"/>
    <mergeCell ref="C3609:D3609"/>
    <mergeCell ref="B3610:G3610"/>
    <mergeCell ref="F3612:I3612"/>
    <mergeCell ref="C3598:D3598"/>
    <mergeCell ref="C3599:D3599"/>
    <mergeCell ref="C3600:D3600"/>
    <mergeCell ref="C3601:D3601"/>
    <mergeCell ref="F3603:I3603"/>
    <mergeCell ref="C3605:G3605"/>
    <mergeCell ref="C3590:D3590"/>
    <mergeCell ref="C3591:D3591"/>
    <mergeCell ref="C3592:D3592"/>
    <mergeCell ref="F3594:I3594"/>
    <mergeCell ref="C3596:G3596"/>
    <mergeCell ref="C3597:D3597"/>
    <mergeCell ref="C3584:D3584"/>
    <mergeCell ref="C3585:D3585"/>
    <mergeCell ref="C3586:D3586"/>
    <mergeCell ref="C3587:D3587"/>
    <mergeCell ref="C3588:D3588"/>
    <mergeCell ref="C3589:D3589"/>
    <mergeCell ref="D3578:G3578"/>
    <mergeCell ref="D3579:G3579"/>
    <mergeCell ref="C3581:G3581"/>
    <mergeCell ref="C3582:D3582"/>
    <mergeCell ref="O3582:P3582"/>
    <mergeCell ref="C3583:D3583"/>
    <mergeCell ref="F3564:I3564"/>
    <mergeCell ref="F3567:I3567"/>
    <mergeCell ref="F3569:I3569"/>
    <mergeCell ref="F3571:I3571"/>
    <mergeCell ref="B3574:D3574"/>
    <mergeCell ref="B3575:D3575"/>
    <mergeCell ref="F3556:I3556"/>
    <mergeCell ref="C3558:G3558"/>
    <mergeCell ref="C3559:D3559"/>
    <mergeCell ref="C3560:D3560"/>
    <mergeCell ref="C3561:D3561"/>
    <mergeCell ref="C3562:D3562"/>
    <mergeCell ref="C3549:G3549"/>
    <mergeCell ref="C3550:D3550"/>
    <mergeCell ref="C3551:D3551"/>
    <mergeCell ref="C3552:D3552"/>
    <mergeCell ref="C3553:D3553"/>
    <mergeCell ref="B3554:G3554"/>
    <mergeCell ref="C3541:D3541"/>
    <mergeCell ref="C3542:D3542"/>
    <mergeCell ref="C3543:D3543"/>
    <mergeCell ref="C3544:D3544"/>
    <mergeCell ref="C3545:D3545"/>
    <mergeCell ref="F3547:I3547"/>
    <mergeCell ref="C3533:D3533"/>
    <mergeCell ref="C3534:D3534"/>
    <mergeCell ref="C3535:D3535"/>
    <mergeCell ref="C3536:D3536"/>
    <mergeCell ref="F3538:I3538"/>
    <mergeCell ref="C3540:G3540"/>
    <mergeCell ref="C3527:D3527"/>
    <mergeCell ref="C3528:D3528"/>
    <mergeCell ref="C3529:D3529"/>
    <mergeCell ref="C3530:D3530"/>
    <mergeCell ref="C3531:D3531"/>
    <mergeCell ref="C3532:D3532"/>
    <mergeCell ref="B3519:D3519"/>
    <mergeCell ref="D3522:G3522"/>
    <mergeCell ref="D3523:G3523"/>
    <mergeCell ref="C3525:G3525"/>
    <mergeCell ref="C3526:D3526"/>
    <mergeCell ref="O3526:P3526"/>
    <mergeCell ref="C3506:D3506"/>
    <mergeCell ref="F3508:I3508"/>
    <mergeCell ref="F3511:I3511"/>
    <mergeCell ref="F3513:I3513"/>
    <mergeCell ref="F3515:I3515"/>
    <mergeCell ref="B3518:D3518"/>
    <mergeCell ref="B3498:G3498"/>
    <mergeCell ref="F3500:I3500"/>
    <mergeCell ref="C3502:G3502"/>
    <mergeCell ref="C3503:D3503"/>
    <mergeCell ref="C3504:D3504"/>
    <mergeCell ref="C3505:D3505"/>
    <mergeCell ref="F3491:I3491"/>
    <mergeCell ref="C3493:G3493"/>
    <mergeCell ref="C3494:D3494"/>
    <mergeCell ref="C3495:D3495"/>
    <mergeCell ref="C3496:D3496"/>
    <mergeCell ref="C3497:D3497"/>
    <mergeCell ref="C3484:G3484"/>
    <mergeCell ref="C3485:D3485"/>
    <mergeCell ref="C3486:D3486"/>
    <mergeCell ref="C3487:D3487"/>
    <mergeCell ref="C3488:D3488"/>
    <mergeCell ref="C3489:D3489"/>
    <mergeCell ref="C3476:D3476"/>
    <mergeCell ref="C3477:D3477"/>
    <mergeCell ref="C3478:D3478"/>
    <mergeCell ref="C3479:D3479"/>
    <mergeCell ref="C3480:D3480"/>
    <mergeCell ref="F3482:I3482"/>
    <mergeCell ref="O3470:P3470"/>
    <mergeCell ref="C3471:D3471"/>
    <mergeCell ref="C3472:D3472"/>
    <mergeCell ref="C3473:D3473"/>
    <mergeCell ref="C3474:D3474"/>
    <mergeCell ref="C3475:D3475"/>
    <mergeCell ref="B3462:D3462"/>
    <mergeCell ref="B3463:D3463"/>
    <mergeCell ref="D3466:G3466"/>
    <mergeCell ref="D3467:G3467"/>
    <mergeCell ref="C3469:G3469"/>
    <mergeCell ref="C3470:D3470"/>
    <mergeCell ref="C3449:D3449"/>
    <mergeCell ref="C3450:D3450"/>
    <mergeCell ref="F3452:I3452"/>
    <mergeCell ref="F3455:I3455"/>
    <mergeCell ref="F3457:I3457"/>
    <mergeCell ref="F3459:I3459"/>
    <mergeCell ref="C3441:D3441"/>
    <mergeCell ref="B3442:G3442"/>
    <mergeCell ref="F3444:I3444"/>
    <mergeCell ref="C3446:G3446"/>
    <mergeCell ref="C3447:D3447"/>
    <mergeCell ref="C3448:D3448"/>
    <mergeCell ref="C3433:D3433"/>
    <mergeCell ref="F3435:I3435"/>
    <mergeCell ref="C3437:G3437"/>
    <mergeCell ref="C3438:D3438"/>
    <mergeCell ref="C3439:D3439"/>
    <mergeCell ref="C3440:D3440"/>
    <mergeCell ref="F3426:I3426"/>
    <mergeCell ref="C3428:G3428"/>
    <mergeCell ref="C3429:D3429"/>
    <mergeCell ref="C3430:D3430"/>
    <mergeCell ref="C3431:D3431"/>
    <mergeCell ref="C3432:D3432"/>
    <mergeCell ref="C3419:D3419"/>
    <mergeCell ref="C3420:D3420"/>
    <mergeCell ref="C3421:D3421"/>
    <mergeCell ref="C3422:D3422"/>
    <mergeCell ref="C3423:D3423"/>
    <mergeCell ref="C3424:D3424"/>
    <mergeCell ref="C3414:D3414"/>
    <mergeCell ref="O3414:P3414"/>
    <mergeCell ref="C3415:D3415"/>
    <mergeCell ref="C3416:D3416"/>
    <mergeCell ref="C3417:D3417"/>
    <mergeCell ref="C3418:D3418"/>
    <mergeCell ref="F3403:I3403"/>
    <mergeCell ref="B3406:D3406"/>
    <mergeCell ref="B3407:D3407"/>
    <mergeCell ref="D3410:G3410"/>
    <mergeCell ref="D3411:G3411"/>
    <mergeCell ref="C3413:G3413"/>
    <mergeCell ref="C3392:D3392"/>
    <mergeCell ref="C3393:D3393"/>
    <mergeCell ref="C3394:D3394"/>
    <mergeCell ref="F3396:I3396"/>
    <mergeCell ref="F3399:I3399"/>
    <mergeCell ref="F3401:I3401"/>
    <mergeCell ref="C3384:D3384"/>
    <mergeCell ref="C3385:D3385"/>
    <mergeCell ref="B3386:G3386"/>
    <mergeCell ref="F3388:I3388"/>
    <mergeCell ref="C3390:G3390"/>
    <mergeCell ref="C3391:D3391"/>
    <mergeCell ref="C3376:D3376"/>
    <mergeCell ref="C3377:D3377"/>
    <mergeCell ref="F3379:I3379"/>
    <mergeCell ref="C3381:G3381"/>
    <mergeCell ref="C3382:D3382"/>
    <mergeCell ref="C3383:D3383"/>
    <mergeCell ref="C3368:D3368"/>
    <mergeCell ref="F3370:I3370"/>
    <mergeCell ref="C3372:G3372"/>
    <mergeCell ref="C3373:D3373"/>
    <mergeCell ref="C3374:D3374"/>
    <mergeCell ref="C3375:D3375"/>
    <mergeCell ref="C3363:D3363"/>
    <mergeCell ref="O3363:P3363"/>
    <mergeCell ref="C3364:D3364"/>
    <mergeCell ref="C3365:D3365"/>
    <mergeCell ref="C3366:D3366"/>
    <mergeCell ref="C3367:D3367"/>
    <mergeCell ref="F3352:I3352"/>
    <mergeCell ref="B3355:D3355"/>
    <mergeCell ref="B3356:D3356"/>
    <mergeCell ref="D3359:G3359"/>
    <mergeCell ref="D3360:G3360"/>
    <mergeCell ref="C3362:G3362"/>
    <mergeCell ref="C3341:D3341"/>
    <mergeCell ref="C3342:D3342"/>
    <mergeCell ref="C3343:D3343"/>
    <mergeCell ref="F3345:I3345"/>
    <mergeCell ref="F3348:I3348"/>
    <mergeCell ref="F3350:I3350"/>
    <mergeCell ref="C3333:D3333"/>
    <mergeCell ref="C3334:D3334"/>
    <mergeCell ref="B3335:G3335"/>
    <mergeCell ref="F3337:I3337"/>
    <mergeCell ref="C3339:G3339"/>
    <mergeCell ref="C3340:D3340"/>
    <mergeCell ref="C3325:D3325"/>
    <mergeCell ref="C3326:D3326"/>
    <mergeCell ref="F3328:I3328"/>
    <mergeCell ref="C3330:G3330"/>
    <mergeCell ref="C3331:D3331"/>
    <mergeCell ref="C3332:D3332"/>
    <mergeCell ref="C3317:D3317"/>
    <mergeCell ref="F3319:I3319"/>
    <mergeCell ref="C3321:G3321"/>
    <mergeCell ref="C3322:D3322"/>
    <mergeCell ref="C3323:D3323"/>
    <mergeCell ref="C3324:D3324"/>
    <mergeCell ref="C3312:D3312"/>
    <mergeCell ref="O3312:P3312"/>
    <mergeCell ref="C3313:D3313"/>
    <mergeCell ref="C3314:D3314"/>
    <mergeCell ref="C3315:D3315"/>
    <mergeCell ref="C3316:D3316"/>
    <mergeCell ref="F3301:I3301"/>
    <mergeCell ref="B3304:D3304"/>
    <mergeCell ref="B3305:D3305"/>
    <mergeCell ref="D3308:G3308"/>
    <mergeCell ref="D3309:G3309"/>
    <mergeCell ref="C3311:G3311"/>
    <mergeCell ref="C3290:D3290"/>
    <mergeCell ref="C3291:D3291"/>
    <mergeCell ref="C3292:D3292"/>
    <mergeCell ref="F3294:I3294"/>
    <mergeCell ref="F3297:I3297"/>
    <mergeCell ref="F3299:I3299"/>
    <mergeCell ref="C3282:D3282"/>
    <mergeCell ref="C3283:D3283"/>
    <mergeCell ref="B3284:G3284"/>
    <mergeCell ref="F3286:I3286"/>
    <mergeCell ref="C3288:G3288"/>
    <mergeCell ref="C3289:D3289"/>
    <mergeCell ref="C3274:D3274"/>
    <mergeCell ref="C3275:D3275"/>
    <mergeCell ref="F3277:I3277"/>
    <mergeCell ref="C3279:G3279"/>
    <mergeCell ref="C3280:D3280"/>
    <mergeCell ref="C3281:D3281"/>
    <mergeCell ref="C3266:D3266"/>
    <mergeCell ref="F3268:I3268"/>
    <mergeCell ref="C3270:G3270"/>
    <mergeCell ref="C3271:D3271"/>
    <mergeCell ref="C3272:D3272"/>
    <mergeCell ref="C3273:D3273"/>
    <mergeCell ref="C3260:D3260"/>
    <mergeCell ref="C3261:D3261"/>
    <mergeCell ref="C3262:D3262"/>
    <mergeCell ref="C3263:D3263"/>
    <mergeCell ref="C3264:D3264"/>
    <mergeCell ref="C3265:D3265"/>
    <mergeCell ref="C3255:G3255"/>
    <mergeCell ref="C3256:D3256"/>
    <mergeCell ref="O3256:P3256"/>
    <mergeCell ref="C3257:D3257"/>
    <mergeCell ref="C3258:D3258"/>
    <mergeCell ref="C3259:D3259"/>
    <mergeCell ref="F3243:I3243"/>
    <mergeCell ref="F3245:I3245"/>
    <mergeCell ref="B3248:D3248"/>
    <mergeCell ref="B3249:D3249"/>
    <mergeCell ref="D3252:G3252"/>
    <mergeCell ref="D3253:G3253"/>
    <mergeCell ref="C3233:D3233"/>
    <mergeCell ref="C3234:D3234"/>
    <mergeCell ref="C3235:D3235"/>
    <mergeCell ref="C3236:D3236"/>
    <mergeCell ref="F3238:I3238"/>
    <mergeCell ref="F3241:I3241"/>
    <mergeCell ref="C3225:D3225"/>
    <mergeCell ref="C3226:D3226"/>
    <mergeCell ref="C3227:D3227"/>
    <mergeCell ref="B3228:G3228"/>
    <mergeCell ref="F3230:I3230"/>
    <mergeCell ref="C3232:G3232"/>
    <mergeCell ref="C3217:D3217"/>
    <mergeCell ref="C3218:D3218"/>
    <mergeCell ref="C3219:D3219"/>
    <mergeCell ref="F3221:I3221"/>
    <mergeCell ref="C3223:G3223"/>
    <mergeCell ref="C3224:D3224"/>
    <mergeCell ref="C3209:D3209"/>
    <mergeCell ref="C3210:D3210"/>
    <mergeCell ref="F3212:I3212"/>
    <mergeCell ref="C3214:G3214"/>
    <mergeCell ref="C3215:D3215"/>
    <mergeCell ref="C3216:D3216"/>
    <mergeCell ref="C3203:D3203"/>
    <mergeCell ref="C3204:D3204"/>
    <mergeCell ref="C3205:D3205"/>
    <mergeCell ref="C3206:D3206"/>
    <mergeCell ref="C3207:D3207"/>
    <mergeCell ref="C3208:D3208"/>
    <mergeCell ref="D3197:G3197"/>
    <mergeCell ref="C3199:G3199"/>
    <mergeCell ref="C3200:D3200"/>
    <mergeCell ref="O3200:P3200"/>
    <mergeCell ref="C3201:D3201"/>
    <mergeCell ref="C3202:D3202"/>
    <mergeCell ref="F3185:I3185"/>
    <mergeCell ref="F3187:I3187"/>
    <mergeCell ref="F3189:I3189"/>
    <mergeCell ref="B3192:D3192"/>
    <mergeCell ref="B3193:D3193"/>
    <mergeCell ref="D3196:G3196"/>
    <mergeCell ref="C3176:G3176"/>
    <mergeCell ref="C3177:D3177"/>
    <mergeCell ref="C3178:D3178"/>
    <mergeCell ref="C3179:D3179"/>
    <mergeCell ref="C3180:D3180"/>
    <mergeCell ref="F3182:I3182"/>
    <mergeCell ref="C3168:D3168"/>
    <mergeCell ref="C3169:D3169"/>
    <mergeCell ref="C3170:D3170"/>
    <mergeCell ref="C3171:D3171"/>
    <mergeCell ref="B3172:G3172"/>
    <mergeCell ref="F3174:I3174"/>
    <mergeCell ref="C3160:D3160"/>
    <mergeCell ref="C3161:D3161"/>
    <mergeCell ref="C3162:D3162"/>
    <mergeCell ref="C3163:D3163"/>
    <mergeCell ref="F3165:I3165"/>
    <mergeCell ref="C3167:G3167"/>
    <mergeCell ref="C3152:D3152"/>
    <mergeCell ref="C3153:D3153"/>
    <mergeCell ref="C3154:D3154"/>
    <mergeCell ref="F3156:I3156"/>
    <mergeCell ref="C3158:G3158"/>
    <mergeCell ref="C3159:D3159"/>
    <mergeCell ref="C3146:D3146"/>
    <mergeCell ref="C3147:D3147"/>
    <mergeCell ref="C3148:D3148"/>
    <mergeCell ref="C3149:D3149"/>
    <mergeCell ref="C3150:D3150"/>
    <mergeCell ref="C3151:D3151"/>
    <mergeCell ref="D3140:G3140"/>
    <mergeCell ref="D3141:G3141"/>
    <mergeCell ref="C3143:G3143"/>
    <mergeCell ref="C3144:D3144"/>
    <mergeCell ref="O3144:P3144"/>
    <mergeCell ref="C3145:D3145"/>
    <mergeCell ref="F3126:I3126"/>
    <mergeCell ref="F3129:I3129"/>
    <mergeCell ref="F3131:I3131"/>
    <mergeCell ref="F3133:I3133"/>
    <mergeCell ref="B3136:D3136"/>
    <mergeCell ref="B3137:D3137"/>
    <mergeCell ref="F3118:I3118"/>
    <mergeCell ref="C3120:G3120"/>
    <mergeCell ref="C3121:D3121"/>
    <mergeCell ref="C3122:D3122"/>
    <mergeCell ref="C3123:D3123"/>
    <mergeCell ref="C3124:D3124"/>
    <mergeCell ref="C3111:G3111"/>
    <mergeCell ref="C3112:D3112"/>
    <mergeCell ref="C3113:D3113"/>
    <mergeCell ref="C3114:D3114"/>
    <mergeCell ref="C3115:D3115"/>
    <mergeCell ref="B3116:G3116"/>
    <mergeCell ref="C3103:D3103"/>
    <mergeCell ref="C3104:D3104"/>
    <mergeCell ref="C3105:D3105"/>
    <mergeCell ref="C3106:D3106"/>
    <mergeCell ref="C3107:D3107"/>
    <mergeCell ref="F3109:I3109"/>
    <mergeCell ref="C3095:D3095"/>
    <mergeCell ref="C3096:D3096"/>
    <mergeCell ref="C3097:D3097"/>
    <mergeCell ref="C3098:D3098"/>
    <mergeCell ref="F3100:I3100"/>
    <mergeCell ref="C3102:G3102"/>
    <mergeCell ref="O3089:P3089"/>
    <mergeCell ref="C3090:D3090"/>
    <mergeCell ref="C3091:D3091"/>
    <mergeCell ref="C3092:D3092"/>
    <mergeCell ref="C3093:D3093"/>
    <mergeCell ref="C3094:D3094"/>
    <mergeCell ref="B3081:D3081"/>
    <mergeCell ref="B3082:D3082"/>
    <mergeCell ref="D3085:G3085"/>
    <mergeCell ref="D3086:G3086"/>
    <mergeCell ref="C3088:G3088"/>
    <mergeCell ref="C3089:D3089"/>
    <mergeCell ref="C3068:D3068"/>
    <mergeCell ref="C3069:D3069"/>
    <mergeCell ref="F3071:I3071"/>
    <mergeCell ref="F3074:I3074"/>
    <mergeCell ref="F3076:I3076"/>
    <mergeCell ref="F3078:I3078"/>
    <mergeCell ref="C3060:D3060"/>
    <mergeCell ref="B3061:G3061"/>
    <mergeCell ref="F3063:I3063"/>
    <mergeCell ref="C3065:G3065"/>
    <mergeCell ref="C3066:D3066"/>
    <mergeCell ref="C3067:D3067"/>
    <mergeCell ref="C3052:D3052"/>
    <mergeCell ref="F3054:I3054"/>
    <mergeCell ref="C3056:G3056"/>
    <mergeCell ref="C3057:D3057"/>
    <mergeCell ref="C3058:D3058"/>
    <mergeCell ref="C3059:D3059"/>
    <mergeCell ref="F3045:I3045"/>
    <mergeCell ref="C3047:G3047"/>
    <mergeCell ref="C3048:D3048"/>
    <mergeCell ref="C3049:D3049"/>
    <mergeCell ref="C3050:D3050"/>
    <mergeCell ref="C3051:D3051"/>
    <mergeCell ref="C3038:D3038"/>
    <mergeCell ref="C3039:D3039"/>
    <mergeCell ref="C3040:D3040"/>
    <mergeCell ref="C3041:D3041"/>
    <mergeCell ref="C3042:D3042"/>
    <mergeCell ref="C3043:D3043"/>
    <mergeCell ref="C3033:G3033"/>
    <mergeCell ref="C3034:D3034"/>
    <mergeCell ref="O3034:P3034"/>
    <mergeCell ref="C3035:D3035"/>
    <mergeCell ref="C3036:D3036"/>
    <mergeCell ref="C3037:D3037"/>
    <mergeCell ref="F3021:I3021"/>
    <mergeCell ref="F3023:I3023"/>
    <mergeCell ref="B3026:D3026"/>
    <mergeCell ref="B3027:D3027"/>
    <mergeCell ref="D3030:G3030"/>
    <mergeCell ref="D3031:G3031"/>
    <mergeCell ref="C3011:D3011"/>
    <mergeCell ref="C3012:D3012"/>
    <mergeCell ref="C3013:D3013"/>
    <mergeCell ref="C3014:D3014"/>
    <mergeCell ref="F3016:I3016"/>
    <mergeCell ref="F3019:I3019"/>
    <mergeCell ref="C3003:D3003"/>
    <mergeCell ref="C3004:D3004"/>
    <mergeCell ref="C3005:D3005"/>
    <mergeCell ref="B3006:G3006"/>
    <mergeCell ref="F3008:I3008"/>
    <mergeCell ref="C3010:G3010"/>
    <mergeCell ref="C2995:D2995"/>
    <mergeCell ref="C2996:D2996"/>
    <mergeCell ref="C2997:D2997"/>
    <mergeCell ref="F2999:I2999"/>
    <mergeCell ref="C3001:G3001"/>
    <mergeCell ref="C3002:D3002"/>
    <mergeCell ref="C2987:D2987"/>
    <mergeCell ref="C2988:D2988"/>
    <mergeCell ref="F2990:I2990"/>
    <mergeCell ref="C2992:G2992"/>
    <mergeCell ref="C2993:D2993"/>
    <mergeCell ref="C2994:D2994"/>
    <mergeCell ref="C2981:D2981"/>
    <mergeCell ref="C2982:D2982"/>
    <mergeCell ref="C2983:D2983"/>
    <mergeCell ref="C2984:D2984"/>
    <mergeCell ref="C2985:D2985"/>
    <mergeCell ref="C2986:D2986"/>
    <mergeCell ref="D2975:G2975"/>
    <mergeCell ref="D2976:G2976"/>
    <mergeCell ref="C2978:G2978"/>
    <mergeCell ref="C2979:D2979"/>
    <mergeCell ref="O2979:P2979"/>
    <mergeCell ref="C2980:D2980"/>
    <mergeCell ref="F2961:I2961"/>
    <mergeCell ref="F2964:I2964"/>
    <mergeCell ref="F2966:I2966"/>
    <mergeCell ref="F2968:I2968"/>
    <mergeCell ref="B2971:D2971"/>
    <mergeCell ref="B2972:D2972"/>
    <mergeCell ref="F2953:I2953"/>
    <mergeCell ref="C2955:G2955"/>
    <mergeCell ref="C2956:D2956"/>
    <mergeCell ref="C2957:D2957"/>
    <mergeCell ref="C2958:D2958"/>
    <mergeCell ref="C2959:D2959"/>
    <mergeCell ref="C2946:G2946"/>
    <mergeCell ref="C2947:D2947"/>
    <mergeCell ref="C2948:D2948"/>
    <mergeCell ref="C2949:D2949"/>
    <mergeCell ref="C2950:D2950"/>
    <mergeCell ref="B2951:G2951"/>
    <mergeCell ref="C2938:D2938"/>
    <mergeCell ref="C2939:D2939"/>
    <mergeCell ref="C2940:D2940"/>
    <mergeCell ref="C2941:D2941"/>
    <mergeCell ref="C2942:D2942"/>
    <mergeCell ref="F2944:I2944"/>
    <mergeCell ref="C2930:D2930"/>
    <mergeCell ref="C2931:D2931"/>
    <mergeCell ref="C2932:D2932"/>
    <mergeCell ref="C2933:D2933"/>
    <mergeCell ref="F2935:I2935"/>
    <mergeCell ref="C2937:G2937"/>
    <mergeCell ref="B2922:D2922"/>
    <mergeCell ref="D2925:G2925"/>
    <mergeCell ref="D2926:G2926"/>
    <mergeCell ref="C2928:G2928"/>
    <mergeCell ref="C2929:D2929"/>
    <mergeCell ref="O2929:P2929"/>
    <mergeCell ref="C2909:D2909"/>
    <mergeCell ref="F2911:I2911"/>
    <mergeCell ref="F2914:I2914"/>
    <mergeCell ref="F2916:I2916"/>
    <mergeCell ref="F2918:I2918"/>
    <mergeCell ref="B2921:D2921"/>
    <mergeCell ref="B2901:G2901"/>
    <mergeCell ref="F2903:I2903"/>
    <mergeCell ref="C2905:G2905"/>
    <mergeCell ref="C2906:D2906"/>
    <mergeCell ref="C2907:D2907"/>
    <mergeCell ref="C2908:D2908"/>
    <mergeCell ref="F2894:I2894"/>
    <mergeCell ref="C2896:G2896"/>
    <mergeCell ref="C2897:D2897"/>
    <mergeCell ref="C2898:D2898"/>
    <mergeCell ref="C2899:D2899"/>
    <mergeCell ref="C2900:D2900"/>
    <mergeCell ref="C2887:G2887"/>
    <mergeCell ref="C2888:D2888"/>
    <mergeCell ref="C2889:D2889"/>
    <mergeCell ref="C2890:D2890"/>
    <mergeCell ref="C2891:D2891"/>
    <mergeCell ref="C2892:D2892"/>
    <mergeCell ref="O2879:P2879"/>
    <mergeCell ref="C2880:D2880"/>
    <mergeCell ref="C2881:D2881"/>
    <mergeCell ref="C2882:D2882"/>
    <mergeCell ref="C2883:D2883"/>
    <mergeCell ref="F2885:I2885"/>
    <mergeCell ref="B2871:D2871"/>
    <mergeCell ref="B2872:D2872"/>
    <mergeCell ref="D2875:G2875"/>
    <mergeCell ref="D2876:G2876"/>
    <mergeCell ref="C2878:G2878"/>
    <mergeCell ref="C2879:D2879"/>
    <mergeCell ref="C2858:D2858"/>
    <mergeCell ref="C2859:D2859"/>
    <mergeCell ref="F2861:I2861"/>
    <mergeCell ref="F2864:I2864"/>
    <mergeCell ref="F2866:I2866"/>
    <mergeCell ref="F2868:I2868"/>
    <mergeCell ref="C2850:D2850"/>
    <mergeCell ref="B2851:G2851"/>
    <mergeCell ref="F2853:I2853"/>
    <mergeCell ref="C2855:G2855"/>
    <mergeCell ref="C2856:D2856"/>
    <mergeCell ref="C2857:D2857"/>
    <mergeCell ref="C2842:D2842"/>
    <mergeCell ref="F2844:I2844"/>
    <mergeCell ref="C2846:G2846"/>
    <mergeCell ref="C2847:D2847"/>
    <mergeCell ref="C2848:D2848"/>
    <mergeCell ref="C2849:D2849"/>
    <mergeCell ref="F2835:I2835"/>
    <mergeCell ref="C2837:G2837"/>
    <mergeCell ref="C2838:D2838"/>
    <mergeCell ref="C2839:D2839"/>
    <mergeCell ref="C2840:D2840"/>
    <mergeCell ref="C2841:D2841"/>
    <mergeCell ref="C2829:D2829"/>
    <mergeCell ref="O2829:P2829"/>
    <mergeCell ref="C2830:D2830"/>
    <mergeCell ref="C2831:D2831"/>
    <mergeCell ref="C2832:D2832"/>
    <mergeCell ref="C2833:D2833"/>
    <mergeCell ref="F2818:I2818"/>
    <mergeCell ref="B2821:D2821"/>
    <mergeCell ref="B2822:D2822"/>
    <mergeCell ref="D2825:G2825"/>
    <mergeCell ref="D2826:G2826"/>
    <mergeCell ref="C2828:G2828"/>
    <mergeCell ref="C2807:D2807"/>
    <mergeCell ref="C2808:D2808"/>
    <mergeCell ref="C2809:D2809"/>
    <mergeCell ref="F2811:I2811"/>
    <mergeCell ref="F2814:I2814"/>
    <mergeCell ref="F2816:I2816"/>
    <mergeCell ref="C2799:D2799"/>
    <mergeCell ref="C2800:D2800"/>
    <mergeCell ref="B2801:G2801"/>
    <mergeCell ref="F2803:I2803"/>
    <mergeCell ref="C2805:G2805"/>
    <mergeCell ref="C2806:D2806"/>
    <mergeCell ref="C2791:D2791"/>
    <mergeCell ref="C2792:D2792"/>
    <mergeCell ref="F2794:I2794"/>
    <mergeCell ref="C2796:G2796"/>
    <mergeCell ref="C2797:D2797"/>
    <mergeCell ref="C2798:D2798"/>
    <mergeCell ref="C2783:D2783"/>
    <mergeCell ref="F2785:I2785"/>
    <mergeCell ref="C2787:G2787"/>
    <mergeCell ref="C2788:D2788"/>
    <mergeCell ref="C2789:D2789"/>
    <mergeCell ref="C2790:D2790"/>
    <mergeCell ref="C2778:G2778"/>
    <mergeCell ref="C2779:D2779"/>
    <mergeCell ref="O2779:P2779"/>
    <mergeCell ref="C2780:D2780"/>
    <mergeCell ref="C2781:D2781"/>
    <mergeCell ref="C2782:D2782"/>
    <mergeCell ref="F2766:I2766"/>
    <mergeCell ref="F2768:I2768"/>
    <mergeCell ref="B2771:D2771"/>
    <mergeCell ref="B2772:D2772"/>
    <mergeCell ref="D2775:G2775"/>
    <mergeCell ref="D2776:G2776"/>
    <mergeCell ref="C2756:D2756"/>
    <mergeCell ref="C2757:D2757"/>
    <mergeCell ref="C2758:D2758"/>
    <mergeCell ref="C2759:D2759"/>
    <mergeCell ref="F2761:I2761"/>
    <mergeCell ref="F2764:I2764"/>
    <mergeCell ref="C2748:D2748"/>
    <mergeCell ref="C2749:D2749"/>
    <mergeCell ref="C2750:D2750"/>
    <mergeCell ref="B2751:G2751"/>
    <mergeCell ref="F2753:I2753"/>
    <mergeCell ref="C2755:G2755"/>
    <mergeCell ref="C2740:D2740"/>
    <mergeCell ref="C2741:D2741"/>
    <mergeCell ref="C2742:D2742"/>
    <mergeCell ref="F2744:I2744"/>
    <mergeCell ref="C2746:G2746"/>
    <mergeCell ref="C2747:D2747"/>
    <mergeCell ref="C2732:D2732"/>
    <mergeCell ref="C2733:D2733"/>
    <mergeCell ref="F2735:I2735"/>
    <mergeCell ref="C2737:G2737"/>
    <mergeCell ref="C2738:D2738"/>
    <mergeCell ref="C2739:D2739"/>
    <mergeCell ref="D2726:G2726"/>
    <mergeCell ref="D2727:G2727"/>
    <mergeCell ref="C2729:G2729"/>
    <mergeCell ref="C2730:D2730"/>
    <mergeCell ref="O2730:P2730"/>
    <mergeCell ref="C2731:D2731"/>
    <mergeCell ref="F2712:I2712"/>
    <mergeCell ref="F2715:I2715"/>
    <mergeCell ref="F2717:I2717"/>
    <mergeCell ref="F2719:I2719"/>
    <mergeCell ref="B2722:D2722"/>
    <mergeCell ref="B2723:D2723"/>
    <mergeCell ref="F2704:I2704"/>
    <mergeCell ref="C2706:G2706"/>
    <mergeCell ref="C2707:D2707"/>
    <mergeCell ref="C2708:D2708"/>
    <mergeCell ref="C2709:D2709"/>
    <mergeCell ref="C2710:D2710"/>
    <mergeCell ref="C2697:G2697"/>
    <mergeCell ref="C2698:D2698"/>
    <mergeCell ref="C2699:D2699"/>
    <mergeCell ref="C2700:D2700"/>
    <mergeCell ref="C2701:D2701"/>
    <mergeCell ref="B2702:G2702"/>
    <mergeCell ref="C2689:D2689"/>
    <mergeCell ref="C2690:D2690"/>
    <mergeCell ref="C2691:D2691"/>
    <mergeCell ref="C2692:D2692"/>
    <mergeCell ref="C2693:D2693"/>
    <mergeCell ref="F2695:I2695"/>
    <mergeCell ref="O2681:P2681"/>
    <mergeCell ref="C2682:D2682"/>
    <mergeCell ref="C2683:D2683"/>
    <mergeCell ref="C2684:D2684"/>
    <mergeCell ref="F2686:I2686"/>
    <mergeCell ref="C2688:G2688"/>
    <mergeCell ref="B2673:D2673"/>
    <mergeCell ref="B2674:D2674"/>
    <mergeCell ref="D2677:G2677"/>
    <mergeCell ref="D2678:G2678"/>
    <mergeCell ref="C2680:G2680"/>
    <mergeCell ref="C2681:D2681"/>
    <mergeCell ref="C2660:D2660"/>
    <mergeCell ref="C2661:D2661"/>
    <mergeCell ref="F2663:I2663"/>
    <mergeCell ref="F2666:I2666"/>
    <mergeCell ref="F2668:I2668"/>
    <mergeCell ref="F2670:I2670"/>
    <mergeCell ref="C2652:D2652"/>
    <mergeCell ref="B2653:G2653"/>
    <mergeCell ref="F2655:I2655"/>
    <mergeCell ref="C2657:G2657"/>
    <mergeCell ref="C2658:D2658"/>
    <mergeCell ref="C2659:D2659"/>
    <mergeCell ref="C2644:D2644"/>
    <mergeCell ref="F2646:I2646"/>
    <mergeCell ref="C2648:G2648"/>
    <mergeCell ref="C2649:D2649"/>
    <mergeCell ref="C2650:D2650"/>
    <mergeCell ref="C2651:D2651"/>
    <mergeCell ref="F2637:I2637"/>
    <mergeCell ref="C2639:G2639"/>
    <mergeCell ref="C2640:D2640"/>
    <mergeCell ref="C2641:D2641"/>
    <mergeCell ref="C2642:D2642"/>
    <mergeCell ref="C2643:D2643"/>
    <mergeCell ref="C2630:D2630"/>
    <mergeCell ref="C2631:D2631"/>
    <mergeCell ref="C2632:D2632"/>
    <mergeCell ref="C2633:D2633"/>
    <mergeCell ref="C2634:D2634"/>
    <mergeCell ref="C2635:D2635"/>
    <mergeCell ref="B2622:D2622"/>
    <mergeCell ref="D2625:G2625"/>
    <mergeCell ref="D2626:G2626"/>
    <mergeCell ref="C2628:G2628"/>
    <mergeCell ref="C2629:D2629"/>
    <mergeCell ref="O2629:P2629"/>
    <mergeCell ref="C2609:D2609"/>
    <mergeCell ref="F2611:I2611"/>
    <mergeCell ref="F2614:I2614"/>
    <mergeCell ref="F2616:I2616"/>
    <mergeCell ref="F2618:I2618"/>
    <mergeCell ref="B2621:D2621"/>
    <mergeCell ref="B2601:G2601"/>
    <mergeCell ref="F2603:I2603"/>
    <mergeCell ref="C2605:G2605"/>
    <mergeCell ref="C2606:D2606"/>
    <mergeCell ref="C2607:D2607"/>
    <mergeCell ref="C2608:D2608"/>
    <mergeCell ref="F2594:I2594"/>
    <mergeCell ref="C2596:G2596"/>
    <mergeCell ref="C2597:D2597"/>
    <mergeCell ref="C2598:D2598"/>
    <mergeCell ref="C2599:D2599"/>
    <mergeCell ref="C2600:D2600"/>
    <mergeCell ref="C2587:G2587"/>
    <mergeCell ref="C2588:D2588"/>
    <mergeCell ref="C2589:D2589"/>
    <mergeCell ref="C2590:D2590"/>
    <mergeCell ref="C2591:D2591"/>
    <mergeCell ref="C2592:D2592"/>
    <mergeCell ref="C2579:D2579"/>
    <mergeCell ref="C2580:D2580"/>
    <mergeCell ref="C2581:D2581"/>
    <mergeCell ref="C2582:D2582"/>
    <mergeCell ref="C2583:D2583"/>
    <mergeCell ref="F2585:I2585"/>
    <mergeCell ref="D2573:G2573"/>
    <mergeCell ref="C2575:G2575"/>
    <mergeCell ref="C2576:D2576"/>
    <mergeCell ref="O2576:P2576"/>
    <mergeCell ref="C2577:D2577"/>
    <mergeCell ref="C2578:D2578"/>
    <mergeCell ref="F2561:I2561"/>
    <mergeCell ref="F2563:I2563"/>
    <mergeCell ref="F2565:I2565"/>
    <mergeCell ref="B2568:D2568"/>
    <mergeCell ref="B2569:D2569"/>
    <mergeCell ref="D2572:G2572"/>
    <mergeCell ref="C2552:G2552"/>
    <mergeCell ref="C2553:D2553"/>
    <mergeCell ref="C2554:D2554"/>
    <mergeCell ref="C2555:D2555"/>
    <mergeCell ref="C2556:D2556"/>
    <mergeCell ref="F2558:I2558"/>
    <mergeCell ref="C2544:D2544"/>
    <mergeCell ref="C2545:D2545"/>
    <mergeCell ref="C2546:D2546"/>
    <mergeCell ref="C2547:D2547"/>
    <mergeCell ref="B2548:G2548"/>
    <mergeCell ref="F2550:I2550"/>
    <mergeCell ref="C2536:D2536"/>
    <mergeCell ref="C2537:D2537"/>
    <mergeCell ref="C2538:D2538"/>
    <mergeCell ref="C2539:D2539"/>
    <mergeCell ref="F2541:I2541"/>
    <mergeCell ref="C2543:G2543"/>
    <mergeCell ref="C2528:D2528"/>
    <mergeCell ref="C2529:D2529"/>
    <mergeCell ref="C2530:D2530"/>
    <mergeCell ref="F2532:I2532"/>
    <mergeCell ref="C2534:G2534"/>
    <mergeCell ref="C2535:D2535"/>
    <mergeCell ref="C2522:D2522"/>
    <mergeCell ref="C2523:D2523"/>
    <mergeCell ref="C2524:D2524"/>
    <mergeCell ref="C2525:D2525"/>
    <mergeCell ref="C2526:D2526"/>
    <mergeCell ref="C2527:D2527"/>
    <mergeCell ref="D2516:G2516"/>
    <mergeCell ref="D2517:G2517"/>
    <mergeCell ref="C2519:G2519"/>
    <mergeCell ref="C2520:D2520"/>
    <mergeCell ref="O2520:P2520"/>
    <mergeCell ref="C2521:D2521"/>
    <mergeCell ref="F2502:I2502"/>
    <mergeCell ref="F2505:I2505"/>
    <mergeCell ref="F2507:I2507"/>
    <mergeCell ref="F2509:I2509"/>
    <mergeCell ref="B2512:D2512"/>
    <mergeCell ref="B2513:D2513"/>
    <mergeCell ref="F2494:I2494"/>
    <mergeCell ref="C2496:G2496"/>
    <mergeCell ref="C2497:D2497"/>
    <mergeCell ref="C2498:D2498"/>
    <mergeCell ref="C2499:D2499"/>
    <mergeCell ref="C2500:D2500"/>
    <mergeCell ref="C2487:G2487"/>
    <mergeCell ref="C2488:D2488"/>
    <mergeCell ref="C2489:D2489"/>
    <mergeCell ref="C2490:D2490"/>
    <mergeCell ref="C2491:D2491"/>
    <mergeCell ref="B2492:G2492"/>
    <mergeCell ref="C2479:D2479"/>
    <mergeCell ref="C2480:D2480"/>
    <mergeCell ref="C2481:D2481"/>
    <mergeCell ref="C2482:D2482"/>
    <mergeCell ref="C2483:D2483"/>
    <mergeCell ref="F2485:I2485"/>
    <mergeCell ref="C2471:D2471"/>
    <mergeCell ref="C2472:D2472"/>
    <mergeCell ref="C2473:D2473"/>
    <mergeCell ref="C2474:D2474"/>
    <mergeCell ref="F2476:I2476"/>
    <mergeCell ref="C2478:G2478"/>
    <mergeCell ref="C2465:D2465"/>
    <mergeCell ref="C2466:D2466"/>
    <mergeCell ref="C2467:D2467"/>
    <mergeCell ref="C2468:D2468"/>
    <mergeCell ref="C2469:D2469"/>
    <mergeCell ref="C2470:D2470"/>
    <mergeCell ref="D2460:G2460"/>
    <mergeCell ref="D2461:G2461"/>
    <mergeCell ref="C2463:G2463"/>
    <mergeCell ref="C2464:D2464"/>
    <mergeCell ref="O2464:P2464"/>
    <mergeCell ref="F2453:I2453"/>
    <mergeCell ref="B2456:D2456"/>
    <mergeCell ref="B2457:D2457"/>
    <mergeCell ref="C2442:D2442"/>
    <mergeCell ref="C2443:D2443"/>
    <mergeCell ref="C2444:D2444"/>
    <mergeCell ref="F2446:I2446"/>
    <mergeCell ref="F2449:I2449"/>
    <mergeCell ref="F2451:I2451"/>
    <mergeCell ref="C2434:D2434"/>
    <mergeCell ref="C2435:D2435"/>
    <mergeCell ref="B2436:G2436"/>
    <mergeCell ref="F2438:I2438"/>
    <mergeCell ref="C2440:G2440"/>
    <mergeCell ref="C2441:D2441"/>
    <mergeCell ref="C2426:D2426"/>
    <mergeCell ref="C2427:D2427"/>
    <mergeCell ref="F2429:I2429"/>
    <mergeCell ref="C2431:G2431"/>
    <mergeCell ref="C2432:D2432"/>
    <mergeCell ref="C2433:D2433"/>
    <mergeCell ref="C2418:D2418"/>
    <mergeCell ref="F2420:I2420"/>
    <mergeCell ref="C2422:G2422"/>
    <mergeCell ref="C2423:D2423"/>
    <mergeCell ref="C2424:D2424"/>
    <mergeCell ref="C2425:D2425"/>
    <mergeCell ref="C2412:D2412"/>
    <mergeCell ref="C2413:D2413"/>
    <mergeCell ref="C2414:D2414"/>
    <mergeCell ref="C2415:D2415"/>
    <mergeCell ref="C2416:D2416"/>
    <mergeCell ref="C2417:D2417"/>
    <mergeCell ref="C2407:G2407"/>
    <mergeCell ref="C2408:D2408"/>
    <mergeCell ref="O2408:P2408"/>
    <mergeCell ref="C2409:D2409"/>
    <mergeCell ref="C2410:D2410"/>
    <mergeCell ref="C2411:D2411"/>
    <mergeCell ref="F2395:I2395"/>
    <mergeCell ref="F2397:I2397"/>
    <mergeCell ref="B2400:D2400"/>
    <mergeCell ref="B2401:D2401"/>
    <mergeCell ref="D2404:G2404"/>
    <mergeCell ref="D2405:G2405"/>
    <mergeCell ref="C2385:D2385"/>
    <mergeCell ref="C2386:D2386"/>
    <mergeCell ref="C2387:D2387"/>
    <mergeCell ref="C2388:D2388"/>
    <mergeCell ref="F2390:I2390"/>
    <mergeCell ref="F2393:I2393"/>
    <mergeCell ref="C2377:D2377"/>
    <mergeCell ref="C2378:D2378"/>
    <mergeCell ref="C2379:D2379"/>
    <mergeCell ref="B2380:G2380"/>
    <mergeCell ref="F2382:I2382"/>
    <mergeCell ref="C2384:G2384"/>
    <mergeCell ref="C2369:D2369"/>
    <mergeCell ref="C2370:D2370"/>
    <mergeCell ref="C2371:D2371"/>
    <mergeCell ref="F2373:I2373"/>
    <mergeCell ref="C2375:G2375"/>
    <mergeCell ref="C2376:D2376"/>
    <mergeCell ref="C2361:D2361"/>
    <mergeCell ref="C2362:D2362"/>
    <mergeCell ref="F2364:I2364"/>
    <mergeCell ref="C2366:G2366"/>
    <mergeCell ref="C2367:D2367"/>
    <mergeCell ref="C2368:D2368"/>
    <mergeCell ref="C2355:D2355"/>
    <mergeCell ref="C2356:D2356"/>
    <mergeCell ref="C2357:D2357"/>
    <mergeCell ref="C2358:D2358"/>
    <mergeCell ref="C2359:D2359"/>
    <mergeCell ref="C2360:D2360"/>
    <mergeCell ref="D2349:G2349"/>
    <mergeCell ref="C2351:G2351"/>
    <mergeCell ref="C2352:D2352"/>
    <mergeCell ref="O2352:P2352"/>
    <mergeCell ref="C2353:D2353"/>
    <mergeCell ref="C2354:D2354"/>
    <mergeCell ref="F2337:I2337"/>
    <mergeCell ref="F2339:I2339"/>
    <mergeCell ref="F2341:I2341"/>
    <mergeCell ref="B2344:D2344"/>
    <mergeCell ref="B2345:D2345"/>
    <mergeCell ref="D2348:G2348"/>
    <mergeCell ref="C2328:G2328"/>
    <mergeCell ref="C2329:D2329"/>
    <mergeCell ref="C2330:D2330"/>
    <mergeCell ref="C2331:D2331"/>
    <mergeCell ref="C2332:D2332"/>
    <mergeCell ref="F2334:I2334"/>
    <mergeCell ref="C2320:D2320"/>
    <mergeCell ref="C2321:D2321"/>
    <mergeCell ref="C2322:D2322"/>
    <mergeCell ref="C2323:D2323"/>
    <mergeCell ref="B2324:G2324"/>
    <mergeCell ref="F2326:I2326"/>
    <mergeCell ref="C2312:D2312"/>
    <mergeCell ref="C2313:D2313"/>
    <mergeCell ref="C2314:D2314"/>
    <mergeCell ref="C2315:D2315"/>
    <mergeCell ref="F2317:I2317"/>
    <mergeCell ref="C2319:G2319"/>
    <mergeCell ref="C2304:D2304"/>
    <mergeCell ref="C2305:D2305"/>
    <mergeCell ref="C2306:D2306"/>
    <mergeCell ref="F2308:I2308"/>
    <mergeCell ref="C2310:G2310"/>
    <mergeCell ref="C2311:D2311"/>
    <mergeCell ref="C2298:D2298"/>
    <mergeCell ref="C2299:D2299"/>
    <mergeCell ref="C2300:D2300"/>
    <mergeCell ref="C2301:D2301"/>
    <mergeCell ref="C2302:D2302"/>
    <mergeCell ref="C2303:D2303"/>
    <mergeCell ref="D2292:G2292"/>
    <mergeCell ref="D2293:G2293"/>
    <mergeCell ref="C2295:G2295"/>
    <mergeCell ref="C2296:D2296"/>
    <mergeCell ref="O2296:P2296"/>
    <mergeCell ref="C2297:D2297"/>
    <mergeCell ref="F2278:I2278"/>
    <mergeCell ref="F2281:I2281"/>
    <mergeCell ref="F2283:I2283"/>
    <mergeCell ref="F2285:I2285"/>
    <mergeCell ref="B2288:D2288"/>
    <mergeCell ref="B2289:D2289"/>
    <mergeCell ref="F2270:I2270"/>
    <mergeCell ref="C2272:G2272"/>
    <mergeCell ref="C2273:D2273"/>
    <mergeCell ref="C2274:D2274"/>
    <mergeCell ref="C2275:D2275"/>
    <mergeCell ref="C2276:D2276"/>
    <mergeCell ref="C2263:G2263"/>
    <mergeCell ref="C2264:D2264"/>
    <mergeCell ref="C2265:D2265"/>
    <mergeCell ref="C2266:D2266"/>
    <mergeCell ref="C2267:D2267"/>
    <mergeCell ref="B2268:G2268"/>
    <mergeCell ref="C2255:D2255"/>
    <mergeCell ref="C2256:D2256"/>
    <mergeCell ref="C2257:D2257"/>
    <mergeCell ref="C2258:D2258"/>
    <mergeCell ref="C2259:D2259"/>
    <mergeCell ref="F2261:I2261"/>
    <mergeCell ref="C2247:D2247"/>
    <mergeCell ref="C2248:D2248"/>
    <mergeCell ref="C2249:D2249"/>
    <mergeCell ref="C2250:D2250"/>
    <mergeCell ref="F2252:I2252"/>
    <mergeCell ref="C2254:G2254"/>
    <mergeCell ref="C2241:D2241"/>
    <mergeCell ref="C2242:D2242"/>
    <mergeCell ref="C2243:D2243"/>
    <mergeCell ref="C2244:D2244"/>
    <mergeCell ref="C2245:D2245"/>
    <mergeCell ref="C2246:D2246"/>
    <mergeCell ref="B2233:D2233"/>
    <mergeCell ref="D2236:G2236"/>
    <mergeCell ref="D2237:G2237"/>
    <mergeCell ref="C2239:G2239"/>
    <mergeCell ref="C2240:D2240"/>
    <mergeCell ref="O2240:P2240"/>
    <mergeCell ref="C2220:D2220"/>
    <mergeCell ref="F2222:I2222"/>
    <mergeCell ref="F2225:I2225"/>
    <mergeCell ref="F2227:I2227"/>
    <mergeCell ref="F2229:I2229"/>
    <mergeCell ref="B2232:D2232"/>
    <mergeCell ref="B2212:G2212"/>
    <mergeCell ref="F2214:I2214"/>
    <mergeCell ref="C2216:G2216"/>
    <mergeCell ref="C2217:D2217"/>
    <mergeCell ref="C2218:D2218"/>
    <mergeCell ref="C2219:D2219"/>
    <mergeCell ref="F2205:I2205"/>
    <mergeCell ref="C2207:G2207"/>
    <mergeCell ref="C2208:D2208"/>
    <mergeCell ref="C2209:D2209"/>
    <mergeCell ref="C2210:D2210"/>
    <mergeCell ref="C2211:D2211"/>
    <mergeCell ref="C2198:G2198"/>
    <mergeCell ref="C2199:D2199"/>
    <mergeCell ref="C2200:D2200"/>
    <mergeCell ref="C2201:D2201"/>
    <mergeCell ref="C2202:D2202"/>
    <mergeCell ref="C2203:D2203"/>
    <mergeCell ref="C2190:D2190"/>
    <mergeCell ref="C2191:D2191"/>
    <mergeCell ref="C2192:D2192"/>
    <mergeCell ref="C2193:D2193"/>
    <mergeCell ref="C2194:D2194"/>
    <mergeCell ref="F2196:I2196"/>
    <mergeCell ref="O2184:P2184"/>
    <mergeCell ref="C2185:D2185"/>
    <mergeCell ref="C2186:D2186"/>
    <mergeCell ref="C2187:D2187"/>
    <mergeCell ref="C2188:D2188"/>
    <mergeCell ref="C2189:D2189"/>
    <mergeCell ref="B2176:D2176"/>
    <mergeCell ref="B2177:D2177"/>
    <mergeCell ref="D2180:G2180"/>
    <mergeCell ref="D2181:G2181"/>
    <mergeCell ref="C2183:G2183"/>
    <mergeCell ref="C2184:D2184"/>
    <mergeCell ref="C2163:D2163"/>
    <mergeCell ref="C2164:D2164"/>
    <mergeCell ref="F2166:I2166"/>
    <mergeCell ref="F2169:I2169"/>
    <mergeCell ref="F2171:I2171"/>
    <mergeCell ref="F2173:I2173"/>
    <mergeCell ref="C2155:D2155"/>
    <mergeCell ref="B2156:G2156"/>
    <mergeCell ref="F2158:I2158"/>
    <mergeCell ref="C2160:G2160"/>
    <mergeCell ref="C2161:D2161"/>
    <mergeCell ref="C2162:D2162"/>
    <mergeCell ref="C2147:D2147"/>
    <mergeCell ref="F2149:I2149"/>
    <mergeCell ref="C2151:G2151"/>
    <mergeCell ref="C2152:D2152"/>
    <mergeCell ref="C2153:D2153"/>
    <mergeCell ref="C2154:D2154"/>
    <mergeCell ref="F2140:I2140"/>
    <mergeCell ref="C2142:G2142"/>
    <mergeCell ref="C2143:D2143"/>
    <mergeCell ref="C2144:D2144"/>
    <mergeCell ref="C2145:D2145"/>
    <mergeCell ref="C2146:D2146"/>
    <mergeCell ref="C2132:D2132"/>
    <mergeCell ref="C2133:D2133"/>
    <mergeCell ref="C2135:D2135"/>
    <mergeCell ref="C2136:D2136"/>
    <mergeCell ref="C2137:D2137"/>
    <mergeCell ref="C2138:D2138"/>
    <mergeCell ref="C2127:G2127"/>
    <mergeCell ref="C2128:D2128"/>
    <mergeCell ref="O2128:P2128"/>
    <mergeCell ref="C2129:D2129"/>
    <mergeCell ref="C2130:D2130"/>
    <mergeCell ref="C2131:D2131"/>
    <mergeCell ref="F2115:I2115"/>
    <mergeCell ref="F2117:I2117"/>
    <mergeCell ref="B2120:D2120"/>
    <mergeCell ref="B2121:D2121"/>
    <mergeCell ref="D2124:G2124"/>
    <mergeCell ref="D2125:G2125"/>
    <mergeCell ref="C2105:D2105"/>
    <mergeCell ref="C2106:D2106"/>
    <mergeCell ref="C2107:D2107"/>
    <mergeCell ref="C2108:D2108"/>
    <mergeCell ref="F2110:I2110"/>
    <mergeCell ref="F2113:I2113"/>
    <mergeCell ref="C2097:D2097"/>
    <mergeCell ref="C2098:D2098"/>
    <mergeCell ref="C2099:D2099"/>
    <mergeCell ref="B2100:G2100"/>
    <mergeCell ref="F2102:I2102"/>
    <mergeCell ref="C2104:G2104"/>
    <mergeCell ref="C2089:D2089"/>
    <mergeCell ref="C2090:D2090"/>
    <mergeCell ref="C2091:D2091"/>
    <mergeCell ref="F2093:I2093"/>
    <mergeCell ref="C2095:G2095"/>
    <mergeCell ref="C2096:D2096"/>
    <mergeCell ref="C2080:D2080"/>
    <mergeCell ref="C2082:D2082"/>
    <mergeCell ref="F2084:I2084"/>
    <mergeCell ref="C2086:G2086"/>
    <mergeCell ref="C2087:D2087"/>
    <mergeCell ref="C2088:D2088"/>
    <mergeCell ref="C2075:D2075"/>
    <mergeCell ref="O2075:P2075"/>
    <mergeCell ref="C2076:D2076"/>
    <mergeCell ref="C2077:D2077"/>
    <mergeCell ref="C2078:D2078"/>
    <mergeCell ref="C2079:D2079"/>
    <mergeCell ref="F2064:I2064"/>
    <mergeCell ref="B2067:D2067"/>
    <mergeCell ref="B2068:D2068"/>
    <mergeCell ref="D2071:G2071"/>
    <mergeCell ref="D2072:G2072"/>
    <mergeCell ref="C2074:G2074"/>
    <mergeCell ref="C2053:D2053"/>
    <mergeCell ref="C2054:D2054"/>
    <mergeCell ref="C2055:D2055"/>
    <mergeCell ref="F2057:I2057"/>
    <mergeCell ref="F2060:I2060"/>
    <mergeCell ref="F2062:I2062"/>
    <mergeCell ref="C2045:D2045"/>
    <mergeCell ref="C2046:D2046"/>
    <mergeCell ref="B2047:G2047"/>
    <mergeCell ref="F2049:I2049"/>
    <mergeCell ref="C2051:G2051"/>
    <mergeCell ref="C2052:D2052"/>
    <mergeCell ref="C2037:D2037"/>
    <mergeCell ref="C2038:D2038"/>
    <mergeCell ref="F2040:I2040"/>
    <mergeCell ref="C2042:G2042"/>
    <mergeCell ref="C2043:D2043"/>
    <mergeCell ref="C2044:D2044"/>
    <mergeCell ref="C2027:D2027"/>
    <mergeCell ref="F2031:I2031"/>
    <mergeCell ref="C2033:G2033"/>
    <mergeCell ref="C2034:D2034"/>
    <mergeCell ref="C2035:D2035"/>
    <mergeCell ref="C2036:D2036"/>
    <mergeCell ref="D2021:G2021"/>
    <mergeCell ref="C2023:G2023"/>
    <mergeCell ref="C2024:D2024"/>
    <mergeCell ref="O2024:P2024"/>
    <mergeCell ref="C2025:D2025"/>
    <mergeCell ref="C2026:D2026"/>
    <mergeCell ref="F2009:I2009"/>
    <mergeCell ref="F2011:I2011"/>
    <mergeCell ref="F2013:I2013"/>
    <mergeCell ref="B2016:D2016"/>
    <mergeCell ref="B2017:D2017"/>
    <mergeCell ref="D2020:G2020"/>
    <mergeCell ref="C2000:G2000"/>
    <mergeCell ref="C2001:D2001"/>
    <mergeCell ref="C2002:D2002"/>
    <mergeCell ref="C2003:D2003"/>
    <mergeCell ref="C2004:D2004"/>
    <mergeCell ref="F2006:I2006"/>
    <mergeCell ref="C1992:D1992"/>
    <mergeCell ref="C1993:D1993"/>
    <mergeCell ref="C1994:D1994"/>
    <mergeCell ref="C1995:D1995"/>
    <mergeCell ref="B1996:G1996"/>
    <mergeCell ref="F1998:I1998"/>
    <mergeCell ref="C1984:D1984"/>
    <mergeCell ref="C1985:D1985"/>
    <mergeCell ref="C1986:D1986"/>
    <mergeCell ref="C1987:D1987"/>
    <mergeCell ref="F1989:I1989"/>
    <mergeCell ref="C1991:G1991"/>
    <mergeCell ref="C1974:D1974"/>
    <mergeCell ref="C1975:D1975"/>
    <mergeCell ref="C1976:D1976"/>
    <mergeCell ref="F1980:I1980"/>
    <mergeCell ref="C1982:G1982"/>
    <mergeCell ref="C1983:D1983"/>
    <mergeCell ref="B1966:D1966"/>
    <mergeCell ref="D1969:G1969"/>
    <mergeCell ref="D1970:G1970"/>
    <mergeCell ref="C1972:G1972"/>
    <mergeCell ref="C1973:D1973"/>
    <mergeCell ref="O1973:P1973"/>
    <mergeCell ref="C1953:D1953"/>
    <mergeCell ref="F1955:I1955"/>
    <mergeCell ref="F1958:I1958"/>
    <mergeCell ref="F1960:I1960"/>
    <mergeCell ref="F1962:I1962"/>
    <mergeCell ref="B1965:D1965"/>
    <mergeCell ref="B1945:G1945"/>
    <mergeCell ref="F1947:I1947"/>
    <mergeCell ref="C1949:G1949"/>
    <mergeCell ref="C1950:D1950"/>
    <mergeCell ref="C1951:D1951"/>
    <mergeCell ref="C1952:D1952"/>
    <mergeCell ref="F1938:I1938"/>
    <mergeCell ref="C1940:G1940"/>
    <mergeCell ref="C1941:D1941"/>
    <mergeCell ref="C1942:D1942"/>
    <mergeCell ref="C1943:D1943"/>
    <mergeCell ref="C1944:D1944"/>
    <mergeCell ref="C1931:G1931"/>
    <mergeCell ref="C1932:D1932"/>
    <mergeCell ref="C1933:D1933"/>
    <mergeCell ref="C1934:D1934"/>
    <mergeCell ref="C1935:D1935"/>
    <mergeCell ref="C1936:D1936"/>
    <mergeCell ref="C1920:D1920"/>
    <mergeCell ref="C1924:D1924"/>
    <mergeCell ref="C1925:D1925"/>
    <mergeCell ref="C1926:D1926"/>
    <mergeCell ref="C1927:D1927"/>
    <mergeCell ref="F1929:I1929"/>
    <mergeCell ref="D1914:G1914"/>
    <mergeCell ref="C1916:G1916"/>
    <mergeCell ref="C1917:D1917"/>
    <mergeCell ref="O1917:P1917"/>
    <mergeCell ref="C1918:D1918"/>
    <mergeCell ref="C1919:D1919"/>
    <mergeCell ref="F1902:I1902"/>
    <mergeCell ref="F1904:I1904"/>
    <mergeCell ref="F1906:I1906"/>
    <mergeCell ref="B1909:D1909"/>
    <mergeCell ref="B1910:D1910"/>
    <mergeCell ref="D1913:G1913"/>
    <mergeCell ref="C1893:G1893"/>
    <mergeCell ref="C1894:D1894"/>
    <mergeCell ref="C1895:D1895"/>
    <mergeCell ref="C1896:D1896"/>
    <mergeCell ref="C1897:D1897"/>
    <mergeCell ref="F1899:I1899"/>
    <mergeCell ref="C1885:D1885"/>
    <mergeCell ref="C1886:D1886"/>
    <mergeCell ref="C1887:D1887"/>
    <mergeCell ref="C1888:D1888"/>
    <mergeCell ref="B1889:G1889"/>
    <mergeCell ref="F1891:I1891"/>
    <mergeCell ref="C1877:D1877"/>
    <mergeCell ref="C1878:D1878"/>
    <mergeCell ref="C1879:D1879"/>
    <mergeCell ref="C1880:D1880"/>
    <mergeCell ref="F1882:I1882"/>
    <mergeCell ref="C1884:G1884"/>
    <mergeCell ref="C1869:D1869"/>
    <mergeCell ref="C1870:D1870"/>
    <mergeCell ref="C1871:D1871"/>
    <mergeCell ref="F1873:I1873"/>
    <mergeCell ref="C1875:G1875"/>
    <mergeCell ref="C1876:D1876"/>
    <mergeCell ref="C1861:D1861"/>
    <mergeCell ref="O1861:P1861"/>
    <mergeCell ref="C1862:D1862"/>
    <mergeCell ref="C1863:D1863"/>
    <mergeCell ref="C1864:D1864"/>
    <mergeCell ref="C1868:D1868"/>
    <mergeCell ref="F1850:I1850"/>
    <mergeCell ref="B1853:D1853"/>
    <mergeCell ref="B1854:D1854"/>
    <mergeCell ref="D1857:G1857"/>
    <mergeCell ref="D1858:G1858"/>
    <mergeCell ref="C1860:G1860"/>
    <mergeCell ref="C1839:D1839"/>
    <mergeCell ref="C1840:D1840"/>
    <mergeCell ref="C1841:D1841"/>
    <mergeCell ref="F1843:I1843"/>
    <mergeCell ref="F1846:I1846"/>
    <mergeCell ref="F1848:I1848"/>
    <mergeCell ref="C1831:D1831"/>
    <mergeCell ref="C1832:D1832"/>
    <mergeCell ref="B1833:G1833"/>
    <mergeCell ref="F1835:I1835"/>
    <mergeCell ref="C1837:G1837"/>
    <mergeCell ref="C1838:D1838"/>
    <mergeCell ref="C1823:D1823"/>
    <mergeCell ref="C1824:D1824"/>
    <mergeCell ref="F1826:I1826"/>
    <mergeCell ref="C1828:G1828"/>
    <mergeCell ref="C1829:D1829"/>
    <mergeCell ref="C1830:D1830"/>
    <mergeCell ref="C1812:D1812"/>
    <mergeCell ref="F1817:I1817"/>
    <mergeCell ref="C1819:G1819"/>
    <mergeCell ref="C1820:D1820"/>
    <mergeCell ref="C1821:D1821"/>
    <mergeCell ref="C1822:D1822"/>
    <mergeCell ref="C1807:G1807"/>
    <mergeCell ref="C1808:D1808"/>
    <mergeCell ref="O1808:P1808"/>
    <mergeCell ref="C1809:D1809"/>
    <mergeCell ref="C1810:D1810"/>
    <mergeCell ref="C1811:D1811"/>
    <mergeCell ref="F1795:I1795"/>
    <mergeCell ref="F1797:I1797"/>
    <mergeCell ref="B1800:D1800"/>
    <mergeCell ref="B1801:D1801"/>
    <mergeCell ref="D1804:G1804"/>
    <mergeCell ref="D1805:G1805"/>
    <mergeCell ref="C1785:D1785"/>
    <mergeCell ref="C1786:D1786"/>
    <mergeCell ref="C1787:D1787"/>
    <mergeCell ref="C1788:D1788"/>
    <mergeCell ref="F1790:I1790"/>
    <mergeCell ref="F1793:I1793"/>
    <mergeCell ref="C1777:D1777"/>
    <mergeCell ref="C1778:D1778"/>
    <mergeCell ref="C1779:D1779"/>
    <mergeCell ref="B1780:G1780"/>
    <mergeCell ref="F1782:I1782"/>
    <mergeCell ref="C1784:G1784"/>
    <mergeCell ref="C1769:D1769"/>
    <mergeCell ref="C1770:D1770"/>
    <mergeCell ref="C1771:D1771"/>
    <mergeCell ref="F1773:I1773"/>
    <mergeCell ref="C1775:G1775"/>
    <mergeCell ref="C1776:D1776"/>
    <mergeCell ref="C1758:D1758"/>
    <mergeCell ref="C1759:D1759"/>
    <mergeCell ref="F1764:I1764"/>
    <mergeCell ref="C1766:G1766"/>
    <mergeCell ref="C1767:D1767"/>
    <mergeCell ref="C1768:D1768"/>
    <mergeCell ref="D1752:G1752"/>
    <mergeCell ref="C1754:G1754"/>
    <mergeCell ref="C1755:D1755"/>
    <mergeCell ref="O1755:P1755"/>
    <mergeCell ref="C1756:D1756"/>
    <mergeCell ref="C1757:D1757"/>
    <mergeCell ref="F1740:I1740"/>
    <mergeCell ref="F1742:I1742"/>
    <mergeCell ref="F1744:I1744"/>
    <mergeCell ref="B1747:D1747"/>
    <mergeCell ref="B1748:D1748"/>
    <mergeCell ref="D1751:G1751"/>
    <mergeCell ref="C1731:G1731"/>
    <mergeCell ref="C1732:D1732"/>
    <mergeCell ref="C1733:D1733"/>
    <mergeCell ref="C1734:D1734"/>
    <mergeCell ref="C1735:D1735"/>
    <mergeCell ref="F1737:I1737"/>
    <mergeCell ref="C1723:D1723"/>
    <mergeCell ref="C1724:D1724"/>
    <mergeCell ref="C1725:D1725"/>
    <mergeCell ref="C1726:D1726"/>
    <mergeCell ref="B1727:G1727"/>
    <mergeCell ref="F1729:I1729"/>
    <mergeCell ref="C1715:D1715"/>
    <mergeCell ref="C1716:D1716"/>
    <mergeCell ref="C1717:D1717"/>
    <mergeCell ref="C1718:D1718"/>
    <mergeCell ref="F1720:I1720"/>
    <mergeCell ref="C1722:G1722"/>
    <mergeCell ref="C1707:D1707"/>
    <mergeCell ref="C1708:D1708"/>
    <mergeCell ref="C1709:D1709"/>
    <mergeCell ref="F1711:I1711"/>
    <mergeCell ref="C1713:G1713"/>
    <mergeCell ref="C1714:D1714"/>
    <mergeCell ref="C1699:D1699"/>
    <mergeCell ref="O1699:P1699"/>
    <mergeCell ref="C1700:D1700"/>
    <mergeCell ref="C1701:D1701"/>
    <mergeCell ref="C1702:D1702"/>
    <mergeCell ref="C1703:D1703"/>
    <mergeCell ref="F1688:I1688"/>
    <mergeCell ref="B1691:D1691"/>
    <mergeCell ref="B1692:D1692"/>
    <mergeCell ref="D1695:G1695"/>
    <mergeCell ref="D1696:G1696"/>
    <mergeCell ref="C1698:G1698"/>
    <mergeCell ref="C1677:D1677"/>
    <mergeCell ref="C1678:D1678"/>
    <mergeCell ref="C1679:D1679"/>
    <mergeCell ref="F1681:I1681"/>
    <mergeCell ref="F1684:I1684"/>
    <mergeCell ref="F1686:I1686"/>
    <mergeCell ref="C1669:D1669"/>
    <mergeCell ref="C1670:D1670"/>
    <mergeCell ref="B1671:G1671"/>
    <mergeCell ref="F1673:I1673"/>
    <mergeCell ref="C1675:G1675"/>
    <mergeCell ref="C1676:D1676"/>
    <mergeCell ref="C1661:D1661"/>
    <mergeCell ref="C1662:D1662"/>
    <mergeCell ref="F1664:I1664"/>
    <mergeCell ref="C1666:G1666"/>
    <mergeCell ref="C1667:D1667"/>
    <mergeCell ref="C1668:D1668"/>
    <mergeCell ref="C1653:D1653"/>
    <mergeCell ref="F1655:I1655"/>
    <mergeCell ref="C1657:G1657"/>
    <mergeCell ref="C1658:D1658"/>
    <mergeCell ref="C1659:D1659"/>
    <mergeCell ref="C1660:D1660"/>
    <mergeCell ref="C1647:D1647"/>
    <mergeCell ref="C1648:D1648"/>
    <mergeCell ref="C1649:D1649"/>
    <mergeCell ref="C1650:D1650"/>
    <mergeCell ref="C1651:D1651"/>
    <mergeCell ref="C1652:D1652"/>
    <mergeCell ref="B1639:D1639"/>
    <mergeCell ref="D1642:G1642"/>
    <mergeCell ref="D1643:G1643"/>
    <mergeCell ref="C1645:G1645"/>
    <mergeCell ref="C1646:D1646"/>
    <mergeCell ref="O1646:P1646"/>
    <mergeCell ref="C1626:D1626"/>
    <mergeCell ref="F1628:I1628"/>
    <mergeCell ref="F1631:I1631"/>
    <mergeCell ref="F1633:I1633"/>
    <mergeCell ref="F1635:I1635"/>
    <mergeCell ref="B1638:D1638"/>
    <mergeCell ref="B1618:G1618"/>
    <mergeCell ref="F1620:I1620"/>
    <mergeCell ref="C1622:G1622"/>
    <mergeCell ref="C1623:D1623"/>
    <mergeCell ref="C1624:D1624"/>
    <mergeCell ref="C1625:D1625"/>
    <mergeCell ref="F1611:I1611"/>
    <mergeCell ref="C1613:G1613"/>
    <mergeCell ref="C1614:D1614"/>
    <mergeCell ref="C1615:D1615"/>
    <mergeCell ref="C1616:D1616"/>
    <mergeCell ref="C1617:D1617"/>
    <mergeCell ref="C1604:G1604"/>
    <mergeCell ref="C1605:D1605"/>
    <mergeCell ref="C1606:D1606"/>
    <mergeCell ref="C1607:D1607"/>
    <mergeCell ref="C1608:D1608"/>
    <mergeCell ref="C1609:D1609"/>
    <mergeCell ref="C1596:D1596"/>
    <mergeCell ref="C1597:D1597"/>
    <mergeCell ref="C1598:D1598"/>
    <mergeCell ref="C1599:D1599"/>
    <mergeCell ref="C1600:D1600"/>
    <mergeCell ref="F1602:I1602"/>
    <mergeCell ref="O1590:P1590"/>
    <mergeCell ref="C1591:D1591"/>
    <mergeCell ref="C1592:D1592"/>
    <mergeCell ref="C1593:D1593"/>
    <mergeCell ref="C1594:D1594"/>
    <mergeCell ref="C1595:D1595"/>
    <mergeCell ref="B1582:D1582"/>
    <mergeCell ref="B1583:D1583"/>
    <mergeCell ref="D1586:G1586"/>
    <mergeCell ref="D1587:G1587"/>
    <mergeCell ref="C1589:G1589"/>
    <mergeCell ref="C1590:D1590"/>
    <mergeCell ref="C1569:D1569"/>
    <mergeCell ref="C1570:D1570"/>
    <mergeCell ref="F1572:I1572"/>
    <mergeCell ref="F1575:I1575"/>
    <mergeCell ref="F1577:I1577"/>
    <mergeCell ref="F1579:I1579"/>
    <mergeCell ref="C1561:D1561"/>
    <mergeCell ref="B1562:G1562"/>
    <mergeCell ref="F1564:I1564"/>
    <mergeCell ref="C1566:G1566"/>
    <mergeCell ref="C1567:D1567"/>
    <mergeCell ref="C1568:D1568"/>
    <mergeCell ref="C1553:D1553"/>
    <mergeCell ref="F1555:I1555"/>
    <mergeCell ref="C1557:G1557"/>
    <mergeCell ref="C1558:D1558"/>
    <mergeCell ref="C1559:D1559"/>
    <mergeCell ref="C1560:D1560"/>
    <mergeCell ref="F1546:I1546"/>
    <mergeCell ref="C1548:G1548"/>
    <mergeCell ref="C1549:D1549"/>
    <mergeCell ref="C1550:D1550"/>
    <mergeCell ref="C1551:D1551"/>
    <mergeCell ref="C1552:D1552"/>
    <mergeCell ref="C1539:D1539"/>
    <mergeCell ref="C1540:D1540"/>
    <mergeCell ref="C1541:D1541"/>
    <mergeCell ref="C1542:D1542"/>
    <mergeCell ref="C1543:D1543"/>
    <mergeCell ref="C1544:D1544"/>
    <mergeCell ref="C1534:D1534"/>
    <mergeCell ref="O1534:P1534"/>
    <mergeCell ref="C1535:D1535"/>
    <mergeCell ref="C1536:D1536"/>
    <mergeCell ref="C1537:D1537"/>
    <mergeCell ref="C1538:D1538"/>
    <mergeCell ref="F1523:I1523"/>
    <mergeCell ref="B1526:D1526"/>
    <mergeCell ref="B1527:D1527"/>
    <mergeCell ref="D1530:G1530"/>
    <mergeCell ref="D1531:G1531"/>
    <mergeCell ref="C1533:G1533"/>
    <mergeCell ref="C1512:D1512"/>
    <mergeCell ref="C1513:D1513"/>
    <mergeCell ref="C1514:D1514"/>
    <mergeCell ref="F1516:I1516"/>
    <mergeCell ref="F1519:I1519"/>
    <mergeCell ref="F1521:I1521"/>
    <mergeCell ref="C1504:D1504"/>
    <mergeCell ref="C1505:D1505"/>
    <mergeCell ref="B1506:G1506"/>
    <mergeCell ref="F1508:I1508"/>
    <mergeCell ref="C1510:G1510"/>
    <mergeCell ref="C1511:D1511"/>
    <mergeCell ref="C1496:D1496"/>
    <mergeCell ref="C1497:D1497"/>
    <mergeCell ref="F1499:I1499"/>
    <mergeCell ref="C1501:G1501"/>
    <mergeCell ref="C1502:D1502"/>
    <mergeCell ref="C1503:D1503"/>
    <mergeCell ref="C1488:D1488"/>
    <mergeCell ref="F1490:I1490"/>
    <mergeCell ref="C1492:G1492"/>
    <mergeCell ref="C1493:D1493"/>
    <mergeCell ref="C1494:D1494"/>
    <mergeCell ref="C1495:D1495"/>
    <mergeCell ref="C1482:D1482"/>
    <mergeCell ref="C1483:D1483"/>
    <mergeCell ref="C1484:D1484"/>
    <mergeCell ref="C1485:D1485"/>
    <mergeCell ref="C1486:D1486"/>
    <mergeCell ref="C1487:D1487"/>
    <mergeCell ref="B1474:D1474"/>
    <mergeCell ref="D1477:G1477"/>
    <mergeCell ref="D1478:G1478"/>
    <mergeCell ref="C1480:G1480"/>
    <mergeCell ref="C1481:D1481"/>
    <mergeCell ref="O1481:P1481"/>
    <mergeCell ref="C1461:D1461"/>
    <mergeCell ref="F1463:I1463"/>
    <mergeCell ref="F1466:I1466"/>
    <mergeCell ref="F1468:I1468"/>
    <mergeCell ref="F1470:I1470"/>
    <mergeCell ref="B1473:D1473"/>
    <mergeCell ref="B1453:G1453"/>
    <mergeCell ref="F1455:I1455"/>
    <mergeCell ref="C1457:G1457"/>
    <mergeCell ref="C1458:D1458"/>
    <mergeCell ref="C1459:D1459"/>
    <mergeCell ref="C1460:D1460"/>
    <mergeCell ref="F1446:I1446"/>
    <mergeCell ref="C1448:G1448"/>
    <mergeCell ref="C1449:D1449"/>
    <mergeCell ref="C1450:D1450"/>
    <mergeCell ref="C1451:D1451"/>
    <mergeCell ref="C1452:D1452"/>
    <mergeCell ref="C1439:G1439"/>
    <mergeCell ref="C1440:D1440"/>
    <mergeCell ref="C1441:D1441"/>
    <mergeCell ref="C1442:D1442"/>
    <mergeCell ref="C1443:D1443"/>
    <mergeCell ref="C1444:D1444"/>
    <mergeCell ref="C1428:D1428"/>
    <mergeCell ref="C1429:D1429"/>
    <mergeCell ref="C1433:D1433"/>
    <mergeCell ref="C1434:D1434"/>
    <mergeCell ref="C1435:D1435"/>
    <mergeCell ref="F1437:I1437"/>
    <mergeCell ref="D1422:G1422"/>
    <mergeCell ref="C1424:G1424"/>
    <mergeCell ref="C1425:D1425"/>
    <mergeCell ref="O1425:P1425"/>
    <mergeCell ref="C1426:D1426"/>
    <mergeCell ref="C1427:D1427"/>
    <mergeCell ref="F1410:I1410"/>
    <mergeCell ref="F1412:I1412"/>
    <mergeCell ref="F1414:I1414"/>
    <mergeCell ref="B1417:D1417"/>
    <mergeCell ref="B1418:D1418"/>
    <mergeCell ref="D1421:G1421"/>
    <mergeCell ref="C1401:G1401"/>
    <mergeCell ref="C1402:D1402"/>
    <mergeCell ref="C1403:D1403"/>
    <mergeCell ref="C1404:D1404"/>
    <mergeCell ref="C1405:D1405"/>
    <mergeCell ref="F1407:I1407"/>
    <mergeCell ref="C1393:D1393"/>
    <mergeCell ref="C1394:D1394"/>
    <mergeCell ref="C1395:D1395"/>
    <mergeCell ref="C1396:D1396"/>
    <mergeCell ref="B1397:G1397"/>
    <mergeCell ref="F1399:I1399"/>
    <mergeCell ref="C1385:D1385"/>
    <mergeCell ref="C1386:D1386"/>
    <mergeCell ref="C1387:D1387"/>
    <mergeCell ref="C1388:D1388"/>
    <mergeCell ref="F1390:I1390"/>
    <mergeCell ref="C1392:G1392"/>
    <mergeCell ref="C1377:D1377"/>
    <mergeCell ref="C1378:D1378"/>
    <mergeCell ref="C1379:D1379"/>
    <mergeCell ref="F1381:I1381"/>
    <mergeCell ref="C1383:G1383"/>
    <mergeCell ref="C1384:D1384"/>
    <mergeCell ref="C1369:D1369"/>
    <mergeCell ref="O1369:P1369"/>
    <mergeCell ref="C1370:D1370"/>
    <mergeCell ref="C1371:D1371"/>
    <mergeCell ref="C1372:D1372"/>
    <mergeCell ref="C1373:D1373"/>
    <mergeCell ref="F1358:I1358"/>
    <mergeCell ref="B1361:D1361"/>
    <mergeCell ref="B1362:D1362"/>
    <mergeCell ref="D1365:G1365"/>
    <mergeCell ref="D1366:G1366"/>
    <mergeCell ref="C1368:G1368"/>
    <mergeCell ref="C1347:D1347"/>
    <mergeCell ref="C1348:D1348"/>
    <mergeCell ref="C1349:D1349"/>
    <mergeCell ref="F1351:I1351"/>
    <mergeCell ref="F1354:I1354"/>
    <mergeCell ref="F1356:I1356"/>
    <mergeCell ref="C1339:D1339"/>
    <mergeCell ref="C1340:D1340"/>
    <mergeCell ref="B1341:G1341"/>
    <mergeCell ref="F1343:I1343"/>
    <mergeCell ref="C1345:G1345"/>
    <mergeCell ref="C1346:D1346"/>
    <mergeCell ref="C1331:D1331"/>
    <mergeCell ref="C1332:D1332"/>
    <mergeCell ref="F1334:I1334"/>
    <mergeCell ref="C1336:G1336"/>
    <mergeCell ref="C1337:D1337"/>
    <mergeCell ref="C1338:D1338"/>
    <mergeCell ref="C1323:D1323"/>
    <mergeCell ref="F1325:I1325"/>
    <mergeCell ref="C1327:G1327"/>
    <mergeCell ref="C1328:D1328"/>
    <mergeCell ref="C1329:D1329"/>
    <mergeCell ref="C1330:D1330"/>
    <mergeCell ref="C1317:D1317"/>
    <mergeCell ref="C1318:D1318"/>
    <mergeCell ref="C1319:D1319"/>
    <mergeCell ref="C1320:D1320"/>
    <mergeCell ref="C1321:D1321"/>
    <mergeCell ref="C1322:D1322"/>
    <mergeCell ref="B1309:D1309"/>
    <mergeCell ref="D1312:G1312"/>
    <mergeCell ref="D1313:G1313"/>
    <mergeCell ref="C1315:G1315"/>
    <mergeCell ref="C1316:D1316"/>
    <mergeCell ref="O1316:P1316"/>
    <mergeCell ref="C1296:D1296"/>
    <mergeCell ref="F1298:I1298"/>
    <mergeCell ref="F1301:I1301"/>
    <mergeCell ref="F1303:I1303"/>
    <mergeCell ref="F1305:I1305"/>
    <mergeCell ref="B1308:D1308"/>
    <mergeCell ref="B1288:G1288"/>
    <mergeCell ref="F1290:I1290"/>
    <mergeCell ref="C1292:G1292"/>
    <mergeCell ref="C1293:D1293"/>
    <mergeCell ref="C1294:D1294"/>
    <mergeCell ref="C1295:D1295"/>
    <mergeCell ref="F1281:I1281"/>
    <mergeCell ref="C1283:G1283"/>
    <mergeCell ref="C1284:D1284"/>
    <mergeCell ref="C1285:D1285"/>
    <mergeCell ref="C1286:D1286"/>
    <mergeCell ref="C1287:D1287"/>
    <mergeCell ref="C1274:G1274"/>
    <mergeCell ref="C1275:D1275"/>
    <mergeCell ref="C1276:D1276"/>
    <mergeCell ref="C1277:D1277"/>
    <mergeCell ref="C1278:D1278"/>
    <mergeCell ref="C1279:D1279"/>
    <mergeCell ref="C1263:D1263"/>
    <mergeCell ref="C1264:D1264"/>
    <mergeCell ref="C1268:D1268"/>
    <mergeCell ref="C1269:D1269"/>
    <mergeCell ref="C1270:D1270"/>
    <mergeCell ref="F1272:I1272"/>
    <mergeCell ref="D1257:G1257"/>
    <mergeCell ref="C1259:G1259"/>
    <mergeCell ref="C1260:D1260"/>
    <mergeCell ref="O1260:P1260"/>
    <mergeCell ref="C1261:D1261"/>
    <mergeCell ref="C1262:D1262"/>
    <mergeCell ref="F1245:I1245"/>
    <mergeCell ref="F1247:I1247"/>
    <mergeCell ref="F1249:I1249"/>
    <mergeCell ref="B1252:D1252"/>
    <mergeCell ref="B1253:D1253"/>
    <mergeCell ref="D1256:G1256"/>
    <mergeCell ref="C1236:G1236"/>
    <mergeCell ref="C1237:D1237"/>
    <mergeCell ref="C1238:D1238"/>
    <mergeCell ref="C1239:D1239"/>
    <mergeCell ref="C1240:D1240"/>
    <mergeCell ref="F1242:I1242"/>
    <mergeCell ref="C1228:D1228"/>
    <mergeCell ref="C1229:D1229"/>
    <mergeCell ref="C1230:D1230"/>
    <mergeCell ref="C1231:D1231"/>
    <mergeCell ref="B1232:G1232"/>
    <mergeCell ref="F1234:I1234"/>
    <mergeCell ref="C1220:D1220"/>
    <mergeCell ref="C1221:D1221"/>
    <mergeCell ref="C1222:D1222"/>
    <mergeCell ref="C1223:D1223"/>
    <mergeCell ref="F1225:I1225"/>
    <mergeCell ref="C1227:G1227"/>
    <mergeCell ref="C1212:D1212"/>
    <mergeCell ref="C1213:D1213"/>
    <mergeCell ref="C1214:D1214"/>
    <mergeCell ref="F1216:I1216"/>
    <mergeCell ref="C1218:G1218"/>
    <mergeCell ref="C1219:D1219"/>
    <mergeCell ref="C1204:D1204"/>
    <mergeCell ref="O1204:P1204"/>
    <mergeCell ref="C1205:D1205"/>
    <mergeCell ref="C1206:D1206"/>
    <mergeCell ref="C1207:D1207"/>
    <mergeCell ref="C1208:D1208"/>
    <mergeCell ref="F1193:I1193"/>
    <mergeCell ref="B1196:D1196"/>
    <mergeCell ref="B1197:D1197"/>
    <mergeCell ref="D1200:G1200"/>
    <mergeCell ref="D1201:G1201"/>
    <mergeCell ref="C1203:G1203"/>
    <mergeCell ref="C1182:D1182"/>
    <mergeCell ref="C1183:D1183"/>
    <mergeCell ref="C1184:D1184"/>
    <mergeCell ref="F1186:I1186"/>
    <mergeCell ref="F1189:I1189"/>
    <mergeCell ref="F1191:I1191"/>
    <mergeCell ref="C1174:D1174"/>
    <mergeCell ref="C1175:D1175"/>
    <mergeCell ref="B1176:G1176"/>
    <mergeCell ref="F1178:I1178"/>
    <mergeCell ref="C1180:G1180"/>
    <mergeCell ref="C1181:D1181"/>
    <mergeCell ref="C1166:D1166"/>
    <mergeCell ref="C1167:D1167"/>
    <mergeCell ref="F1169:I1169"/>
    <mergeCell ref="C1171:G1171"/>
    <mergeCell ref="C1172:D1172"/>
    <mergeCell ref="C1173:D1173"/>
    <mergeCell ref="C1158:D1158"/>
    <mergeCell ref="F1160:I1160"/>
    <mergeCell ref="C1162:G1162"/>
    <mergeCell ref="C1163:D1163"/>
    <mergeCell ref="C1164:D1164"/>
    <mergeCell ref="C1165:D1165"/>
    <mergeCell ref="C1150:D1150"/>
    <mergeCell ref="C1151:D1151"/>
    <mergeCell ref="C1152:D1152"/>
    <mergeCell ref="C1153:D1153"/>
    <mergeCell ref="C1156:D1156"/>
    <mergeCell ref="C1157:D1157"/>
    <mergeCell ref="B1141:D1141"/>
    <mergeCell ref="D1144:G1144"/>
    <mergeCell ref="D1145:G1145"/>
    <mergeCell ref="C1147:G1147"/>
    <mergeCell ref="C1148:D1148"/>
    <mergeCell ref="C1149:D1149"/>
    <mergeCell ref="C1128:D1128"/>
    <mergeCell ref="F1130:I1130"/>
    <mergeCell ref="F1133:I1133"/>
    <mergeCell ref="F1135:I1135"/>
    <mergeCell ref="F1137:I1137"/>
    <mergeCell ref="B1140:D1140"/>
    <mergeCell ref="B1120:G1120"/>
    <mergeCell ref="F1122:I1122"/>
    <mergeCell ref="C1124:G1124"/>
    <mergeCell ref="C1125:D1125"/>
    <mergeCell ref="C1126:D1126"/>
    <mergeCell ref="C1127:D1127"/>
    <mergeCell ref="F1113:I1113"/>
    <mergeCell ref="C1115:G1115"/>
    <mergeCell ref="C1116:D1116"/>
    <mergeCell ref="C1117:D1117"/>
    <mergeCell ref="C1118:D1118"/>
    <mergeCell ref="C1119:D1119"/>
    <mergeCell ref="C1106:G1106"/>
    <mergeCell ref="C1107:D1107"/>
    <mergeCell ref="C1108:D1108"/>
    <mergeCell ref="C1109:D1109"/>
    <mergeCell ref="C1110:D1110"/>
    <mergeCell ref="C1111:D1111"/>
    <mergeCell ref="C1098:D1098"/>
    <mergeCell ref="C1099:D1099"/>
    <mergeCell ref="C1100:D1100"/>
    <mergeCell ref="C1101:D1101"/>
    <mergeCell ref="C1102:D1102"/>
    <mergeCell ref="F1104:I1104"/>
    <mergeCell ref="C1092:D1092"/>
    <mergeCell ref="C1093:D1093"/>
    <mergeCell ref="C1094:D1094"/>
    <mergeCell ref="C1095:D1095"/>
    <mergeCell ref="C1096:D1096"/>
    <mergeCell ref="C1097:D1097"/>
    <mergeCell ref="F1081:I1081"/>
    <mergeCell ref="B1084:D1084"/>
    <mergeCell ref="B1085:D1085"/>
    <mergeCell ref="D1088:G1088"/>
    <mergeCell ref="D1089:G1089"/>
    <mergeCell ref="C1091:G1091"/>
    <mergeCell ref="C1070:D1070"/>
    <mergeCell ref="C1071:D1071"/>
    <mergeCell ref="C1072:D1072"/>
    <mergeCell ref="F1074:I1074"/>
    <mergeCell ref="F1077:I1077"/>
    <mergeCell ref="F1079:I1079"/>
    <mergeCell ref="C1063:D1063"/>
    <mergeCell ref="B1064:G1064"/>
    <mergeCell ref="F1066:I1066"/>
    <mergeCell ref="C1068:G1068"/>
    <mergeCell ref="C1069:D1069"/>
    <mergeCell ref="C1054:D1054"/>
    <mergeCell ref="C1055:D1055"/>
    <mergeCell ref="F1057:I1057"/>
    <mergeCell ref="C1059:G1059"/>
    <mergeCell ref="C1060:D1060"/>
    <mergeCell ref="C1061:D1061"/>
    <mergeCell ref="C1046:D1046"/>
    <mergeCell ref="F1048:I1048"/>
    <mergeCell ref="C1050:G1050"/>
    <mergeCell ref="C1051:D1051"/>
    <mergeCell ref="C1052:D1052"/>
    <mergeCell ref="C1053:D1053"/>
    <mergeCell ref="F1025:I1025"/>
    <mergeCell ref="B1028:D1028"/>
    <mergeCell ref="B1029:D1029"/>
    <mergeCell ref="C1040:D1040"/>
    <mergeCell ref="C1041:D1041"/>
    <mergeCell ref="C1042:D1042"/>
    <mergeCell ref="C1043:D1043"/>
    <mergeCell ref="C1044:D1044"/>
    <mergeCell ref="C1045:D1045"/>
    <mergeCell ref="D1033:G1033"/>
    <mergeCell ref="C1035:G1035"/>
    <mergeCell ref="C1036:D1036"/>
    <mergeCell ref="C1037:D1037"/>
    <mergeCell ref="C1038:D1038"/>
    <mergeCell ref="C1039:D1039"/>
    <mergeCell ref="D1032:G1032"/>
    <mergeCell ref="C1062:D1062"/>
    <mergeCell ref="C1014:D1014"/>
    <mergeCell ref="C1015:D1015"/>
    <mergeCell ref="C1016:D1016"/>
    <mergeCell ref="F1018:I1018"/>
    <mergeCell ref="F1021:I1021"/>
    <mergeCell ref="F1023:I1023"/>
    <mergeCell ref="C1006:D1006"/>
    <mergeCell ref="C1007:D1007"/>
    <mergeCell ref="B1008:G1008"/>
    <mergeCell ref="F1010:I1010"/>
    <mergeCell ref="C1012:G1012"/>
    <mergeCell ref="C1013:D1013"/>
    <mergeCell ref="C996:D996"/>
    <mergeCell ref="C999:D999"/>
    <mergeCell ref="F1001:I1001"/>
    <mergeCell ref="C1003:G1003"/>
    <mergeCell ref="C1004:D1004"/>
    <mergeCell ref="C1005:D1005"/>
    <mergeCell ref="C988:D988"/>
    <mergeCell ref="C989:D989"/>
    <mergeCell ref="C990:D990"/>
    <mergeCell ref="F992:I992"/>
    <mergeCell ref="C994:G994"/>
    <mergeCell ref="C995:D995"/>
    <mergeCell ref="C982:D982"/>
    <mergeCell ref="C983:D983"/>
    <mergeCell ref="C984:D984"/>
    <mergeCell ref="C985:D985"/>
    <mergeCell ref="C986:D986"/>
    <mergeCell ref="C987:D987"/>
    <mergeCell ref="B973:D973"/>
    <mergeCell ref="D976:G976"/>
    <mergeCell ref="D977:G977"/>
    <mergeCell ref="C979:G979"/>
    <mergeCell ref="C980:D980"/>
    <mergeCell ref="C981:D981"/>
    <mergeCell ref="C960:D960"/>
    <mergeCell ref="F962:I962"/>
    <mergeCell ref="F965:I965"/>
    <mergeCell ref="F967:I967"/>
    <mergeCell ref="F969:I969"/>
    <mergeCell ref="B972:D972"/>
    <mergeCell ref="B952:G952"/>
    <mergeCell ref="F954:I954"/>
    <mergeCell ref="C956:G956"/>
    <mergeCell ref="C957:D957"/>
    <mergeCell ref="C958:D958"/>
    <mergeCell ref="C959:D959"/>
    <mergeCell ref="F945:I945"/>
    <mergeCell ref="C947:G947"/>
    <mergeCell ref="C948:D948"/>
    <mergeCell ref="C949:D949"/>
    <mergeCell ref="C950:D950"/>
    <mergeCell ref="C951:D951"/>
    <mergeCell ref="F913:I913"/>
    <mergeCell ref="B916:D916"/>
    <mergeCell ref="B917:D917"/>
    <mergeCell ref="D920:G920"/>
    <mergeCell ref="C900:G900"/>
    <mergeCell ref="C901:D901"/>
    <mergeCell ref="C902:D902"/>
    <mergeCell ref="C903:D903"/>
    <mergeCell ref="C904:D904"/>
    <mergeCell ref="F906:I906"/>
    <mergeCell ref="C934:D934"/>
    <mergeCell ref="F936:I936"/>
    <mergeCell ref="C938:G938"/>
    <mergeCell ref="C939:D939"/>
    <mergeCell ref="C940:D940"/>
    <mergeCell ref="C943:D943"/>
    <mergeCell ref="C928:D928"/>
    <mergeCell ref="C929:D929"/>
    <mergeCell ref="C930:D930"/>
    <mergeCell ref="C931:D931"/>
    <mergeCell ref="C932:D932"/>
    <mergeCell ref="C933:D933"/>
    <mergeCell ref="D921:G921"/>
    <mergeCell ref="C923:G923"/>
    <mergeCell ref="C924:D924"/>
    <mergeCell ref="C925:D925"/>
    <mergeCell ref="C926:D926"/>
    <mergeCell ref="C927:D927"/>
    <mergeCell ref="F857:I857"/>
    <mergeCell ref="B860:D860"/>
    <mergeCell ref="B861:D861"/>
    <mergeCell ref="C846:D846"/>
    <mergeCell ref="C847:D847"/>
    <mergeCell ref="C848:D848"/>
    <mergeCell ref="F850:I850"/>
    <mergeCell ref="F853:I853"/>
    <mergeCell ref="F855:I855"/>
    <mergeCell ref="C838:D838"/>
    <mergeCell ref="C839:D839"/>
    <mergeCell ref="B840:G840"/>
    <mergeCell ref="F842:I842"/>
    <mergeCell ref="C844:G844"/>
    <mergeCell ref="C845:D845"/>
    <mergeCell ref="F909:I909"/>
    <mergeCell ref="F911:I911"/>
    <mergeCell ref="C895:D895"/>
    <mergeCell ref="B896:G896"/>
    <mergeCell ref="F898:I898"/>
    <mergeCell ref="C882:G882"/>
    <mergeCell ref="C883:D883"/>
    <mergeCell ref="C884:D884"/>
    <mergeCell ref="C887:D887"/>
    <mergeCell ref="F889:I889"/>
    <mergeCell ref="C891:G891"/>
    <mergeCell ref="C874:D874"/>
    <mergeCell ref="C875:D875"/>
    <mergeCell ref="C876:D876"/>
    <mergeCell ref="C877:D877"/>
    <mergeCell ref="C878:D878"/>
    <mergeCell ref="F880:I880"/>
    <mergeCell ref="F794:I794"/>
    <mergeCell ref="F797:I797"/>
    <mergeCell ref="F799:I799"/>
    <mergeCell ref="F801:I801"/>
    <mergeCell ref="B804:D804"/>
    <mergeCell ref="B784:G784"/>
    <mergeCell ref="F786:I786"/>
    <mergeCell ref="C788:G788"/>
    <mergeCell ref="C789:D789"/>
    <mergeCell ref="C790:D790"/>
    <mergeCell ref="C791:D791"/>
    <mergeCell ref="C828:D828"/>
    <mergeCell ref="C831:D831"/>
    <mergeCell ref="F833:I833"/>
    <mergeCell ref="C835:G835"/>
    <mergeCell ref="C836:D836"/>
    <mergeCell ref="C837:D837"/>
    <mergeCell ref="C820:D820"/>
    <mergeCell ref="C821:D821"/>
    <mergeCell ref="C822:D822"/>
    <mergeCell ref="F824:I824"/>
    <mergeCell ref="C826:G826"/>
    <mergeCell ref="C827:D827"/>
    <mergeCell ref="C814:D814"/>
    <mergeCell ref="C815:D815"/>
    <mergeCell ref="C816:D816"/>
    <mergeCell ref="C817:D817"/>
    <mergeCell ref="C818:D818"/>
    <mergeCell ref="C819:D819"/>
    <mergeCell ref="D753:G753"/>
    <mergeCell ref="C755:G755"/>
    <mergeCell ref="C756:D756"/>
    <mergeCell ref="C757:D757"/>
    <mergeCell ref="C758:D758"/>
    <mergeCell ref="C759:D759"/>
    <mergeCell ref="F777:I777"/>
    <mergeCell ref="C779:G779"/>
    <mergeCell ref="C780:D780"/>
    <mergeCell ref="C781:D781"/>
    <mergeCell ref="C782:D782"/>
    <mergeCell ref="C783:D783"/>
    <mergeCell ref="C766:D766"/>
    <mergeCell ref="F768:I768"/>
    <mergeCell ref="C770:G770"/>
    <mergeCell ref="C771:D771"/>
    <mergeCell ref="C772:D772"/>
    <mergeCell ref="F741:I741"/>
    <mergeCell ref="F743:I743"/>
    <mergeCell ref="F745:I745"/>
    <mergeCell ref="B748:D748"/>
    <mergeCell ref="B749:D749"/>
    <mergeCell ref="C868:D868"/>
    <mergeCell ref="C869:D869"/>
    <mergeCell ref="C870:D870"/>
    <mergeCell ref="C871:D871"/>
    <mergeCell ref="C872:D872"/>
    <mergeCell ref="C873:D873"/>
    <mergeCell ref="D864:G864"/>
    <mergeCell ref="D865:G865"/>
    <mergeCell ref="C867:G867"/>
    <mergeCell ref="C892:D892"/>
    <mergeCell ref="C893:D893"/>
    <mergeCell ref="C894:D894"/>
    <mergeCell ref="D752:G752"/>
    <mergeCell ref="C775:D775"/>
    <mergeCell ref="C760:D760"/>
    <mergeCell ref="C761:D761"/>
    <mergeCell ref="C762:D762"/>
    <mergeCell ref="C763:D763"/>
    <mergeCell ref="C764:D764"/>
    <mergeCell ref="C765:D765"/>
    <mergeCell ref="B805:D805"/>
    <mergeCell ref="D808:G808"/>
    <mergeCell ref="D809:G809"/>
    <mergeCell ref="C811:G811"/>
    <mergeCell ref="C812:D812"/>
    <mergeCell ref="C813:D813"/>
    <mergeCell ref="C792:D792"/>
    <mergeCell ref="C732:G732"/>
    <mergeCell ref="C733:D733"/>
    <mergeCell ref="C734:D734"/>
    <mergeCell ref="C735:D735"/>
    <mergeCell ref="C736:D736"/>
    <mergeCell ref="F738:I738"/>
    <mergeCell ref="C724:D724"/>
    <mergeCell ref="C725:D725"/>
    <mergeCell ref="C726:D726"/>
    <mergeCell ref="C727:D727"/>
    <mergeCell ref="B728:G728"/>
    <mergeCell ref="F730:I730"/>
    <mergeCell ref="C714:G714"/>
    <mergeCell ref="C715:D715"/>
    <mergeCell ref="C716:D716"/>
    <mergeCell ref="C719:D719"/>
    <mergeCell ref="F721:I721"/>
    <mergeCell ref="C723:G723"/>
    <mergeCell ref="C706:D706"/>
    <mergeCell ref="C707:D707"/>
    <mergeCell ref="C708:D708"/>
    <mergeCell ref="C709:D709"/>
    <mergeCell ref="C710:D710"/>
    <mergeCell ref="F712:I712"/>
    <mergeCell ref="C700:D700"/>
    <mergeCell ref="C701:D701"/>
    <mergeCell ref="C702:D702"/>
    <mergeCell ref="C703:D703"/>
    <mergeCell ref="C704:D704"/>
    <mergeCell ref="C705:D705"/>
    <mergeCell ref="D696:G696"/>
    <mergeCell ref="D697:G697"/>
    <mergeCell ref="C699:G699"/>
    <mergeCell ref="B693:D693"/>
    <mergeCell ref="C680:D680"/>
    <mergeCell ref="F682:I682"/>
    <mergeCell ref="F685:I685"/>
    <mergeCell ref="F687:I687"/>
    <mergeCell ref="F689:I689"/>
    <mergeCell ref="B692:D692"/>
    <mergeCell ref="B672:G672"/>
    <mergeCell ref="F674:I674"/>
    <mergeCell ref="C676:G676"/>
    <mergeCell ref="C677:D677"/>
    <mergeCell ref="C678:D678"/>
    <mergeCell ref="C679:D679"/>
    <mergeCell ref="F665:I665"/>
    <mergeCell ref="C667:G667"/>
    <mergeCell ref="C668:D668"/>
    <mergeCell ref="C669:D669"/>
    <mergeCell ref="C670:D670"/>
    <mergeCell ref="C671:D671"/>
    <mergeCell ref="C654:D654"/>
    <mergeCell ref="F656:I656"/>
    <mergeCell ref="C658:G658"/>
    <mergeCell ref="C659:D659"/>
    <mergeCell ref="C660:D660"/>
    <mergeCell ref="C663:D663"/>
    <mergeCell ref="C648:D648"/>
    <mergeCell ref="C649:D649"/>
    <mergeCell ref="C650:D650"/>
    <mergeCell ref="C651:D651"/>
    <mergeCell ref="C652:D652"/>
    <mergeCell ref="C653:D653"/>
    <mergeCell ref="D642:G642"/>
    <mergeCell ref="D643:G643"/>
    <mergeCell ref="C645:G645"/>
    <mergeCell ref="C646:D646"/>
    <mergeCell ref="C647:D647"/>
    <mergeCell ref="B639:D639"/>
    <mergeCell ref="C626:D626"/>
    <mergeCell ref="F628:I628"/>
    <mergeCell ref="F631:I631"/>
    <mergeCell ref="F633:I633"/>
    <mergeCell ref="F635:I635"/>
    <mergeCell ref="B638:D638"/>
    <mergeCell ref="B618:G618"/>
    <mergeCell ref="F620:I620"/>
    <mergeCell ref="C622:G622"/>
    <mergeCell ref="C623:D623"/>
    <mergeCell ref="C624:D624"/>
    <mergeCell ref="C625:D625"/>
    <mergeCell ref="F611:I611"/>
    <mergeCell ref="C613:G613"/>
    <mergeCell ref="C614:D614"/>
    <mergeCell ref="C615:D615"/>
    <mergeCell ref="C616:D616"/>
    <mergeCell ref="C617:D617"/>
    <mergeCell ref="C600:D600"/>
    <mergeCell ref="F602:I602"/>
    <mergeCell ref="C604:G604"/>
    <mergeCell ref="C605:D605"/>
    <mergeCell ref="C606:D606"/>
    <mergeCell ref="C609:D609"/>
    <mergeCell ref="C594:D594"/>
    <mergeCell ref="C595:D595"/>
    <mergeCell ref="C596:D596"/>
    <mergeCell ref="C597:D597"/>
    <mergeCell ref="C598:D598"/>
    <mergeCell ref="C599:D599"/>
    <mergeCell ref="B585:D585"/>
    <mergeCell ref="D588:G588"/>
    <mergeCell ref="D589:G589"/>
    <mergeCell ref="C591:G591"/>
    <mergeCell ref="C592:D592"/>
    <mergeCell ref="C593:D593"/>
    <mergeCell ref="C572:D572"/>
    <mergeCell ref="F574:I574"/>
    <mergeCell ref="F577:I577"/>
    <mergeCell ref="F579:I579"/>
    <mergeCell ref="F581:I581"/>
    <mergeCell ref="B584:D584"/>
    <mergeCell ref="B564:G564"/>
    <mergeCell ref="F566:I566"/>
    <mergeCell ref="C568:G568"/>
    <mergeCell ref="C569:D569"/>
    <mergeCell ref="C570:D570"/>
    <mergeCell ref="C571:D571"/>
    <mergeCell ref="F557:I557"/>
    <mergeCell ref="C559:G559"/>
    <mergeCell ref="C560:D560"/>
    <mergeCell ref="C561:D561"/>
    <mergeCell ref="C562:D562"/>
    <mergeCell ref="C563:D563"/>
    <mergeCell ref="C546:D546"/>
    <mergeCell ref="F548:I548"/>
    <mergeCell ref="C550:G550"/>
    <mergeCell ref="C551:D551"/>
    <mergeCell ref="C552:D552"/>
    <mergeCell ref="C555:D555"/>
    <mergeCell ref="C540:D540"/>
    <mergeCell ref="C541:D541"/>
    <mergeCell ref="C542:D542"/>
    <mergeCell ref="C543:D543"/>
    <mergeCell ref="C544:D544"/>
    <mergeCell ref="C545:D545"/>
    <mergeCell ref="D533:G533"/>
    <mergeCell ref="C535:G535"/>
    <mergeCell ref="C536:D536"/>
    <mergeCell ref="C537:D537"/>
    <mergeCell ref="C538:D538"/>
    <mergeCell ref="C539:D539"/>
    <mergeCell ref="F521:I521"/>
    <mergeCell ref="F523:I523"/>
    <mergeCell ref="F525:I525"/>
    <mergeCell ref="B528:D528"/>
    <mergeCell ref="B529:D529"/>
    <mergeCell ref="D532:G532"/>
    <mergeCell ref="C512:G512"/>
    <mergeCell ref="C513:D513"/>
    <mergeCell ref="C514:D514"/>
    <mergeCell ref="C515:D515"/>
    <mergeCell ref="C516:D516"/>
    <mergeCell ref="F518:I518"/>
    <mergeCell ref="C504:D504"/>
    <mergeCell ref="C505:D505"/>
    <mergeCell ref="C506:D506"/>
    <mergeCell ref="C507:D507"/>
    <mergeCell ref="B508:G508"/>
    <mergeCell ref="F510:I510"/>
    <mergeCell ref="C495:D495"/>
    <mergeCell ref="C496:D496"/>
    <mergeCell ref="C497:D497"/>
    <mergeCell ref="C499:D499"/>
    <mergeCell ref="F501:I501"/>
    <mergeCell ref="C503:G503"/>
    <mergeCell ref="C435:D435"/>
    <mergeCell ref="C436:D436"/>
    <mergeCell ref="C437:D437"/>
    <mergeCell ref="C438:D438"/>
    <mergeCell ref="C443:G443"/>
    <mergeCell ref="C444:D444"/>
    <mergeCell ref="C445:D445"/>
    <mergeCell ref="C448:D448"/>
    <mergeCell ref="C487:D487"/>
    <mergeCell ref="C488:D488"/>
    <mergeCell ref="C489:D489"/>
    <mergeCell ref="C490:D490"/>
    <mergeCell ref="F492:I492"/>
    <mergeCell ref="C494:G494"/>
    <mergeCell ref="B478:D478"/>
    <mergeCell ref="D481:G481"/>
    <mergeCell ref="D482:G482"/>
    <mergeCell ref="C484:G484"/>
    <mergeCell ref="C485:D485"/>
    <mergeCell ref="C486:D486"/>
    <mergeCell ref="C465:D465"/>
    <mergeCell ref="F467:I467"/>
    <mergeCell ref="F470:I470"/>
    <mergeCell ref="F472:I472"/>
    <mergeCell ref="F474:I474"/>
    <mergeCell ref="B477:D477"/>
    <mergeCell ref="B320:D320"/>
    <mergeCell ref="D427:G427"/>
    <mergeCell ref="D428:G428"/>
    <mergeCell ref="C430:G430"/>
    <mergeCell ref="C431:D431"/>
    <mergeCell ref="C432:D432"/>
    <mergeCell ref="C328:D328"/>
    <mergeCell ref="C329:D329"/>
    <mergeCell ref="C330:D330"/>
    <mergeCell ref="C331:D331"/>
    <mergeCell ref="C332:D332"/>
    <mergeCell ref="C333:D333"/>
    <mergeCell ref="F335:I335"/>
    <mergeCell ref="C337:G337"/>
    <mergeCell ref="C338:D338"/>
    <mergeCell ref="C339:D339"/>
    <mergeCell ref="C342:D342"/>
    <mergeCell ref="F344:I344"/>
    <mergeCell ref="C346:G346"/>
    <mergeCell ref="C347:D347"/>
    <mergeCell ref="C348:D348"/>
    <mergeCell ref="C349:D349"/>
    <mergeCell ref="C350:D350"/>
    <mergeCell ref="B351:G351"/>
    <mergeCell ref="F353:I353"/>
    <mergeCell ref="C355:G355"/>
    <mergeCell ref="C356:D356"/>
    <mergeCell ref="C357:D357"/>
    <mergeCell ref="C358:D358"/>
    <mergeCell ref="C359:D359"/>
    <mergeCell ref="F361:I361"/>
    <mergeCell ref="F364:I364"/>
    <mergeCell ref="C307:D307"/>
    <mergeCell ref="F309:I309"/>
    <mergeCell ref="F312:I312"/>
    <mergeCell ref="F314:I314"/>
    <mergeCell ref="F316:I316"/>
    <mergeCell ref="B319:D319"/>
    <mergeCell ref="B299:G299"/>
    <mergeCell ref="F301:I301"/>
    <mergeCell ref="C303:G303"/>
    <mergeCell ref="C304:D304"/>
    <mergeCell ref="C305:D305"/>
    <mergeCell ref="C306:D306"/>
    <mergeCell ref="F292:I292"/>
    <mergeCell ref="C294:G294"/>
    <mergeCell ref="C295:D295"/>
    <mergeCell ref="C296:D296"/>
    <mergeCell ref="C297:D297"/>
    <mergeCell ref="C298:D298"/>
    <mergeCell ref="C281:D281"/>
    <mergeCell ref="F283:I283"/>
    <mergeCell ref="C285:G285"/>
    <mergeCell ref="C286:D286"/>
    <mergeCell ref="C287:D287"/>
    <mergeCell ref="C290:D290"/>
    <mergeCell ref="C275:D275"/>
    <mergeCell ref="C276:D276"/>
    <mergeCell ref="C277:D277"/>
    <mergeCell ref="C278:D278"/>
    <mergeCell ref="C279:D279"/>
    <mergeCell ref="C280:D280"/>
    <mergeCell ref="F264:I264"/>
    <mergeCell ref="B267:D267"/>
    <mergeCell ref="B268:D268"/>
    <mergeCell ref="D271:G271"/>
    <mergeCell ref="D272:G272"/>
    <mergeCell ref="C274:G274"/>
    <mergeCell ref="C253:D253"/>
    <mergeCell ref="C254:D254"/>
    <mergeCell ref="C255:D255"/>
    <mergeCell ref="F257:I257"/>
    <mergeCell ref="F260:I260"/>
    <mergeCell ref="F262:I262"/>
    <mergeCell ref="C245:D245"/>
    <mergeCell ref="C246:D246"/>
    <mergeCell ref="B247:G247"/>
    <mergeCell ref="F249:I249"/>
    <mergeCell ref="C251:G251"/>
    <mergeCell ref="C252:D252"/>
    <mergeCell ref="C235:D235"/>
    <mergeCell ref="C238:D238"/>
    <mergeCell ref="F240:I240"/>
    <mergeCell ref="C242:G242"/>
    <mergeCell ref="C243:D243"/>
    <mergeCell ref="C244:D244"/>
    <mergeCell ref="C227:D227"/>
    <mergeCell ref="C228:D228"/>
    <mergeCell ref="C229:D229"/>
    <mergeCell ref="F231:I231"/>
    <mergeCell ref="C233:G233"/>
    <mergeCell ref="C234:D234"/>
    <mergeCell ref="D220:G220"/>
    <mergeCell ref="C222:G222"/>
    <mergeCell ref="C223:D223"/>
    <mergeCell ref="C224:D224"/>
    <mergeCell ref="C225:D225"/>
    <mergeCell ref="C226:D226"/>
    <mergeCell ref="F208:I208"/>
    <mergeCell ref="F210:I210"/>
    <mergeCell ref="F212:I212"/>
    <mergeCell ref="B215:D215"/>
    <mergeCell ref="B216:D216"/>
    <mergeCell ref="D219:G219"/>
    <mergeCell ref="C199:G199"/>
    <mergeCell ref="C200:D200"/>
    <mergeCell ref="C201:D201"/>
    <mergeCell ref="C202:D202"/>
    <mergeCell ref="C203:D203"/>
    <mergeCell ref="F205:I205"/>
    <mergeCell ref="C191:D191"/>
    <mergeCell ref="C192:D192"/>
    <mergeCell ref="C193:D193"/>
    <mergeCell ref="C194:D194"/>
    <mergeCell ref="B195:G195"/>
    <mergeCell ref="F197:I197"/>
    <mergeCell ref="C181:G181"/>
    <mergeCell ref="C182:D182"/>
    <mergeCell ref="C183:D183"/>
    <mergeCell ref="C186:D186"/>
    <mergeCell ref="F188:I188"/>
    <mergeCell ref="C190:G190"/>
    <mergeCell ref="C173:D173"/>
    <mergeCell ref="C174:D174"/>
    <mergeCell ref="C175:D175"/>
    <mergeCell ref="C176:D176"/>
    <mergeCell ref="C177:D177"/>
    <mergeCell ref="F179:I179"/>
    <mergeCell ref="B164:D164"/>
    <mergeCell ref="B165:D165"/>
    <mergeCell ref="D168:G168"/>
    <mergeCell ref="D169:G169"/>
    <mergeCell ref="C171:G171"/>
    <mergeCell ref="C172:D172"/>
    <mergeCell ref="C151:D151"/>
    <mergeCell ref="C152:D152"/>
    <mergeCell ref="F154:I154"/>
    <mergeCell ref="F157:I157"/>
    <mergeCell ref="F159:I159"/>
    <mergeCell ref="F161:I161"/>
    <mergeCell ref="C143:D143"/>
    <mergeCell ref="B144:G144"/>
    <mergeCell ref="F146:I146"/>
    <mergeCell ref="C148:G148"/>
    <mergeCell ref="C149:D149"/>
    <mergeCell ref="C150:D150"/>
    <mergeCell ref="C135:D135"/>
    <mergeCell ref="F137:I137"/>
    <mergeCell ref="C139:G139"/>
    <mergeCell ref="C140:D140"/>
    <mergeCell ref="C141:D141"/>
    <mergeCell ref="C142:D142"/>
    <mergeCell ref="C125:D125"/>
    <mergeCell ref="C126:D126"/>
    <mergeCell ref="F128:I128"/>
    <mergeCell ref="C130:G130"/>
    <mergeCell ref="C131:D131"/>
    <mergeCell ref="C132:D132"/>
    <mergeCell ref="D118:G118"/>
    <mergeCell ref="C120:G120"/>
    <mergeCell ref="C121:D121"/>
    <mergeCell ref="C122:D122"/>
    <mergeCell ref="C123:D123"/>
    <mergeCell ref="C124:D124"/>
    <mergeCell ref="F106:I106"/>
    <mergeCell ref="F108:I108"/>
    <mergeCell ref="F110:I110"/>
    <mergeCell ref="B113:D113"/>
    <mergeCell ref="B114:D114"/>
    <mergeCell ref="D117:G117"/>
    <mergeCell ref="C97:G97"/>
    <mergeCell ref="C98:D98"/>
    <mergeCell ref="C99:D99"/>
    <mergeCell ref="C100:D100"/>
    <mergeCell ref="C101:D101"/>
    <mergeCell ref="F103:I103"/>
    <mergeCell ref="C89:D89"/>
    <mergeCell ref="C90:D90"/>
    <mergeCell ref="C91:D91"/>
    <mergeCell ref="C92:D92"/>
    <mergeCell ref="B93:G93"/>
    <mergeCell ref="F95:I95"/>
    <mergeCell ref="C79:G79"/>
    <mergeCell ref="C80:D80"/>
    <mergeCell ref="C81:D81"/>
    <mergeCell ref="C84:D84"/>
    <mergeCell ref="F86:I86"/>
    <mergeCell ref="C88:G88"/>
    <mergeCell ref="C71:D71"/>
    <mergeCell ref="C72:D72"/>
    <mergeCell ref="C73:D73"/>
    <mergeCell ref="C74:D74"/>
    <mergeCell ref="C75:D75"/>
    <mergeCell ref="F77:I77"/>
    <mergeCell ref="F21:I21"/>
    <mergeCell ref="C23:G23"/>
    <mergeCell ref="C24:D24"/>
    <mergeCell ref="C65:D65"/>
    <mergeCell ref="C66:D66"/>
    <mergeCell ref="C67:D67"/>
    <mergeCell ref="C68:D68"/>
    <mergeCell ref="C69:D69"/>
    <mergeCell ref="C70:D70"/>
    <mergeCell ref="F54:I54"/>
    <mergeCell ref="B57:D57"/>
    <mergeCell ref="B58:D58"/>
    <mergeCell ref="D61:G61"/>
    <mergeCell ref="D62:G62"/>
    <mergeCell ref="C64:G64"/>
    <mergeCell ref="C43:D43"/>
    <mergeCell ref="C44:D44"/>
    <mergeCell ref="C45:D45"/>
    <mergeCell ref="F47:I47"/>
    <mergeCell ref="F50:I50"/>
    <mergeCell ref="F52:I52"/>
    <mergeCell ref="B9:K9"/>
    <mergeCell ref="D11:G11"/>
    <mergeCell ref="D12:G12"/>
    <mergeCell ref="C14:G14"/>
    <mergeCell ref="C15:D15"/>
    <mergeCell ref="C16:D16"/>
    <mergeCell ref="B2:B7"/>
    <mergeCell ref="D2:K2"/>
    <mergeCell ref="D4:I4"/>
    <mergeCell ref="D5:I5"/>
    <mergeCell ref="K5:K7"/>
    <mergeCell ref="D6:I6"/>
    <mergeCell ref="D7:I7"/>
    <mergeCell ref="D323:G323"/>
    <mergeCell ref="D324:G324"/>
    <mergeCell ref="C326:G326"/>
    <mergeCell ref="C327:D327"/>
    <mergeCell ref="C35:D35"/>
    <mergeCell ref="C36:D36"/>
    <mergeCell ref="B37:G37"/>
    <mergeCell ref="F39:I39"/>
    <mergeCell ref="C41:G41"/>
    <mergeCell ref="C42:D42"/>
    <mergeCell ref="C25:D25"/>
    <mergeCell ref="C28:D28"/>
    <mergeCell ref="F30:I30"/>
    <mergeCell ref="C32:G32"/>
    <mergeCell ref="C33:D33"/>
    <mergeCell ref="C34:D34"/>
    <mergeCell ref="C17:D17"/>
    <mergeCell ref="C18:D18"/>
    <mergeCell ref="C19:D19"/>
    <mergeCell ref="F366:I366"/>
    <mergeCell ref="F368:I368"/>
    <mergeCell ref="B371:D371"/>
    <mergeCell ref="B372:D372"/>
    <mergeCell ref="D375:G375"/>
    <mergeCell ref="D376:G376"/>
    <mergeCell ref="C378:G378"/>
    <mergeCell ref="C379:D379"/>
    <mergeCell ref="C380:D380"/>
    <mergeCell ref="C381:D381"/>
    <mergeCell ref="C382:D382"/>
    <mergeCell ref="C383:D383"/>
    <mergeCell ref="C384:D384"/>
    <mergeCell ref="C385:D385"/>
    <mergeCell ref="F387:I387"/>
    <mergeCell ref="C389:G389"/>
    <mergeCell ref="C390:D390"/>
    <mergeCell ref="C391:D391"/>
    <mergeCell ref="C394:D394"/>
    <mergeCell ref="F396:I396"/>
    <mergeCell ref="C398:G398"/>
    <mergeCell ref="C399:D399"/>
    <mergeCell ref="P532:Q532"/>
    <mergeCell ref="S532:T532"/>
    <mergeCell ref="W532:W533"/>
    <mergeCell ref="X532:Z532"/>
    <mergeCell ref="AA532:AA533"/>
    <mergeCell ref="AB532:AB533"/>
    <mergeCell ref="AC532:AC533"/>
    <mergeCell ref="AD532:AD533"/>
    <mergeCell ref="S533:T533"/>
    <mergeCell ref="C400:D400"/>
    <mergeCell ref="C401:D401"/>
    <mergeCell ref="C402:D402"/>
    <mergeCell ref="B403:G403"/>
    <mergeCell ref="F405:I405"/>
    <mergeCell ref="C407:G407"/>
    <mergeCell ref="C408:D408"/>
    <mergeCell ref="C409:D409"/>
    <mergeCell ref="C410:D410"/>
    <mergeCell ref="C411:D411"/>
    <mergeCell ref="F413:I413"/>
    <mergeCell ref="F416:I416"/>
    <mergeCell ref="F418:I418"/>
    <mergeCell ref="F420:I420"/>
    <mergeCell ref="B423:D423"/>
    <mergeCell ref="B424:D424"/>
    <mergeCell ref="C439:D439"/>
    <mergeCell ref="F441:I441"/>
    <mergeCell ref="C433:D433"/>
    <mergeCell ref="P752:Q752"/>
    <mergeCell ref="S752:T752"/>
    <mergeCell ref="W752:W753"/>
    <mergeCell ref="X752:Z752"/>
    <mergeCell ref="AA752:AA753"/>
    <mergeCell ref="AB752:AB753"/>
    <mergeCell ref="AC752:AC753"/>
    <mergeCell ref="AD752:AD753"/>
    <mergeCell ref="S753:T753"/>
    <mergeCell ref="P808:Q808"/>
    <mergeCell ref="S808:T808"/>
    <mergeCell ref="W808:W809"/>
    <mergeCell ref="X808:Z808"/>
    <mergeCell ref="AA808:AA809"/>
    <mergeCell ref="AB808:AB809"/>
    <mergeCell ref="AC808:AC809"/>
    <mergeCell ref="AD808:AD809"/>
    <mergeCell ref="S809:T809"/>
    <mergeCell ref="B457:G457"/>
    <mergeCell ref="F459:I459"/>
    <mergeCell ref="C461:G461"/>
    <mergeCell ref="C462:D462"/>
    <mergeCell ref="C463:D463"/>
    <mergeCell ref="C464:D464"/>
    <mergeCell ref="F450:I450"/>
    <mergeCell ref="C452:G452"/>
    <mergeCell ref="C453:D453"/>
    <mergeCell ref="C454:D454"/>
    <mergeCell ref="C455:D455"/>
    <mergeCell ref="C456:D456"/>
    <mergeCell ref="C434:D434"/>
    <mergeCell ref="P976:Q976"/>
    <mergeCell ref="S976:T976"/>
    <mergeCell ref="W976:W977"/>
    <mergeCell ref="X976:Z976"/>
    <mergeCell ref="AA976:AA977"/>
    <mergeCell ref="AB976:AB977"/>
    <mergeCell ref="AC976:AC977"/>
    <mergeCell ref="AD976:AD977"/>
    <mergeCell ref="S977:T977"/>
    <mergeCell ref="P864:Q864"/>
    <mergeCell ref="S864:T864"/>
    <mergeCell ref="W864:W865"/>
    <mergeCell ref="X864:Z864"/>
    <mergeCell ref="AA864:AA865"/>
    <mergeCell ref="AB864:AB865"/>
    <mergeCell ref="AC864:AC865"/>
    <mergeCell ref="AD864:AD865"/>
    <mergeCell ref="S865:T865"/>
    <mergeCell ref="P920:Q920"/>
    <mergeCell ref="S920:T920"/>
    <mergeCell ref="W920:W921"/>
    <mergeCell ref="X920:Z920"/>
    <mergeCell ref="AA920:AA921"/>
    <mergeCell ref="AB920:AB921"/>
    <mergeCell ref="AC920:AC921"/>
    <mergeCell ref="AD920:AD921"/>
    <mergeCell ref="S921:T921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98" manualBreakCount="98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3" min="1" max="10" man="1"/>
    <brk id="425" min="1" max="10" man="1"/>
    <brk id="479" min="1" max="10" man="1"/>
    <brk id="530" min="1" max="10" man="1"/>
    <brk id="586" min="1" max="10" man="1"/>
    <brk id="640" min="1" max="10" man="1"/>
    <brk id="694" min="1" max="10" man="1"/>
    <brk id="750" min="1" max="10" man="1"/>
    <brk id="806" min="1" max="10" man="1"/>
    <brk id="862" min="1" max="10" man="1"/>
    <brk id="918" min="1" max="10" man="1"/>
    <brk id="974" min="1" max="10" man="1"/>
    <brk id="1030" min="1" max="10" man="1"/>
    <brk id="1086" min="1" max="10" man="1"/>
    <brk id="1142" min="1" max="10" man="1"/>
    <brk id="1198" min="1" max="10" man="1"/>
    <brk id="1254" min="1" max="10" man="1"/>
    <brk id="1310" min="1" max="10" man="1"/>
    <brk id="1363" min="1" max="10" man="1"/>
    <brk id="1419" min="1" max="10" man="1"/>
    <brk id="1475" min="1" max="10" man="1"/>
    <brk id="1528" min="1" max="10" man="1"/>
    <brk id="1584" min="1" max="10" man="1"/>
    <brk id="1640" min="1" max="10" man="1"/>
    <brk id="1693" min="1" max="10" man="1"/>
    <brk id="1749" min="1" max="10" man="1"/>
    <brk id="1802" min="1" max="10" man="1"/>
    <brk id="1855" min="1" max="10" man="1"/>
    <brk id="1911" min="1" max="10" man="1"/>
    <brk id="1967" min="1" max="10" man="1"/>
    <brk id="2018" min="1" max="10" man="1"/>
    <brk id="2069" min="1" max="10" man="1"/>
    <brk id="2122" min="1" max="10" man="1"/>
    <brk id="2178" min="1" max="10" man="1"/>
    <brk id="2234" min="1" max="10" man="1"/>
    <brk id="2290" min="1" max="10" man="1"/>
    <brk id="2346" min="1" max="10" man="1"/>
    <brk id="2402" min="1" max="10" man="1"/>
    <brk id="2458" min="1" max="10" man="1"/>
    <brk id="2514" min="1" max="10" man="1"/>
    <brk id="2570" min="1" max="10" man="1"/>
    <brk id="2623" min="1" max="10" man="1"/>
    <brk id="2675" min="1" max="10" man="1"/>
    <brk id="2724" min="1" max="10" man="1"/>
    <brk id="2773" min="1" max="10" man="1"/>
    <brk id="2823" min="1" max="10" man="1"/>
    <brk id="2873" min="1" max="10" man="1"/>
    <brk id="2923" min="1" max="10" man="1"/>
    <brk id="2973" min="1" max="10" man="1"/>
    <brk id="3028" min="1" max="10" man="1"/>
    <brk id="3083" min="1" max="10" man="1"/>
    <brk id="3138" min="1" max="10" man="1"/>
    <brk id="3194" min="1" max="10" man="1"/>
    <brk id="3250" min="1" max="10" man="1"/>
    <brk id="3306" min="1" max="10" man="1"/>
    <brk id="3357" min="1" max="10" man="1"/>
    <brk id="3408" min="1" max="10" man="1"/>
    <brk id="3464" min="1" max="10" man="1"/>
    <brk id="3520" min="1" max="10" man="1"/>
    <brk id="3576" min="1" max="10" man="1"/>
    <brk id="3632" min="1" max="10" man="1"/>
    <brk id="3684" min="1" max="10" man="1"/>
    <brk id="3734" min="1" max="10" man="1"/>
    <brk id="3790" min="1" max="10" man="1"/>
    <brk id="3841" min="1" max="10" man="1"/>
    <brk id="3890" min="1" max="10" man="1"/>
    <brk id="3942" min="1" max="10" man="1"/>
    <brk id="3994" min="1" max="10" man="1"/>
    <brk id="4047" min="1" max="10" man="1"/>
    <brk id="4098" min="1" max="10" man="1"/>
    <brk id="4149" min="1" max="10" man="1"/>
    <brk id="4205" min="1" max="10" man="1"/>
    <brk id="4261" min="1" max="10" man="1"/>
    <brk id="4317" min="1" max="10" man="1"/>
    <brk id="4373" min="1" max="10" man="1"/>
    <brk id="4426" min="1" max="10" man="1"/>
    <brk id="4478" min="1" max="10" man="1"/>
    <brk id="4528" min="1" max="10" man="1"/>
    <brk id="4584" min="1" max="10" man="1"/>
    <brk id="4640" min="1" max="10" man="1"/>
    <brk id="4696" min="1" max="10" man="1"/>
    <brk id="4752" min="1" max="10" man="1"/>
    <brk id="4803" min="1" max="10" man="1"/>
    <brk id="4856" min="1" max="10" man="1"/>
    <brk id="4912" min="1" max="10" man="1"/>
    <brk id="4968" min="1" max="10" man="1"/>
    <brk id="5024" min="1" max="10" man="1"/>
    <brk id="5080" min="1" max="10" man="1"/>
    <brk id="5136" min="1" max="10" man="1"/>
    <brk id="5192" min="1" max="10" man="1"/>
    <brk id="5248" min="1" max="10" man="1"/>
    <brk id="5304" min="1" max="10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view="pageBreakPreview" zoomScale="85" zoomScaleNormal="100" zoomScaleSheetLayoutView="85" workbookViewId="0">
      <selection activeCell="J34" sqref="J34"/>
    </sheetView>
  </sheetViews>
  <sheetFormatPr baseColWidth="10" defaultRowHeight="15.75" x14ac:dyDescent="0.25"/>
  <cols>
    <col min="2" max="2" width="5.7109375" style="17" customWidth="1"/>
    <col min="3" max="3" width="22.7109375" style="17" customWidth="1"/>
    <col min="4" max="4" width="2" style="17" customWidth="1"/>
    <col min="5" max="7" width="18.7109375" style="17" customWidth="1"/>
    <col min="8" max="8" width="2" style="17" customWidth="1"/>
    <col min="9" max="11" width="18.7109375" style="17" customWidth="1"/>
  </cols>
  <sheetData>
    <row r="1" spans="2:12" ht="16.5" thickBot="1" x14ac:dyDescent="0.3"/>
    <row r="2" spans="2:12" ht="16.5" thickBot="1" x14ac:dyDescent="0.3">
      <c r="B2" s="500"/>
      <c r="C2" s="501"/>
      <c r="E2" s="442" t="str">
        <f>UNITARIOS!D2</f>
        <v>CONSTRUVIAS, 18 CALLE "A" 9-02 ZONA 13, COLONIA AURORA 2, CIUDAD DE GUATEMALA. TEL.: 22922288</v>
      </c>
      <c r="F2" s="443"/>
      <c r="G2" s="443"/>
      <c r="H2" s="443"/>
      <c r="I2" s="443"/>
      <c r="J2" s="443"/>
      <c r="K2" s="444"/>
    </row>
    <row r="3" spans="2:12" ht="16.5" thickBot="1" x14ac:dyDescent="0.3">
      <c r="B3" s="502"/>
      <c r="C3" s="503"/>
    </row>
    <row r="4" spans="2:12" ht="16.5" thickBot="1" x14ac:dyDescent="0.3">
      <c r="B4" s="502"/>
      <c r="C4" s="503"/>
      <c r="E4" s="506" t="str">
        <f>CATALOGO!B2</f>
        <v>EVENTO No. UCEE-14-2022</v>
      </c>
      <c r="F4" s="507"/>
      <c r="G4" s="507"/>
      <c r="H4" s="507"/>
      <c r="I4" s="507"/>
      <c r="J4" s="508"/>
      <c r="K4" s="151" t="s">
        <v>0</v>
      </c>
    </row>
    <row r="5" spans="2:12" ht="17.25" customHeight="1" x14ac:dyDescent="0.25">
      <c r="B5" s="502"/>
      <c r="C5" s="503"/>
      <c r="E5" s="509" t="str">
        <f>CATALOGO!B3</f>
        <v>GRUPO 14 QUE COMPRENDE:</v>
      </c>
      <c r="F5" s="510"/>
      <c r="G5" s="510"/>
      <c r="H5" s="510"/>
      <c r="I5" s="510"/>
      <c r="J5" s="511"/>
      <c r="K5" s="512">
        <f>UNITARIOS!K5</f>
        <v>44761</v>
      </c>
    </row>
    <row r="6" spans="2:12" ht="33.75" customHeight="1" x14ac:dyDescent="0.25">
      <c r="B6" s="502"/>
      <c r="C6" s="503"/>
      <c r="E6" s="509" t="str">
        <f>CATALOGO!B4</f>
        <v>REMOZAMIENTO DE EDIFICACIONES ESCOLARES AFECTADAS POR EL CICLÓN TROPICAL BLAS Y CELIA DEL DEPARTAMENTO DE PETEN</v>
      </c>
      <c r="F6" s="510"/>
      <c r="G6" s="510"/>
      <c r="H6" s="510"/>
      <c r="I6" s="510"/>
      <c r="J6" s="511"/>
      <c r="K6" s="513"/>
    </row>
    <row r="7" spans="2:12" ht="16.5" thickBot="1" x14ac:dyDescent="0.3">
      <c r="B7" s="504"/>
      <c r="C7" s="505"/>
      <c r="E7" s="515" t="str">
        <f>CATALOGO!B5</f>
        <v>- EODP ANEXA A ESCUELA RURAL MIXTA, EL CRUZADERO, MELCHOR DE MENCOS, PETEN -</v>
      </c>
      <c r="F7" s="516"/>
      <c r="G7" s="516"/>
      <c r="H7" s="516"/>
      <c r="I7" s="516"/>
      <c r="J7" s="517"/>
      <c r="K7" s="514"/>
    </row>
    <row r="8" spans="2:12" ht="16.5" thickBot="1" x14ac:dyDescent="0.3">
      <c r="B8" s="152"/>
    </row>
    <row r="9" spans="2:12" ht="15" x14ac:dyDescent="0.25">
      <c r="B9" s="518" t="s">
        <v>29</v>
      </c>
      <c r="C9" s="519"/>
      <c r="D9" s="519"/>
      <c r="E9" s="519"/>
      <c r="F9" s="519"/>
      <c r="G9" s="519"/>
      <c r="H9" s="519"/>
      <c r="I9" s="519"/>
      <c r="J9" s="519"/>
      <c r="K9" s="520"/>
    </row>
    <row r="10" spans="2:12" thickBot="1" x14ac:dyDescent="0.3">
      <c r="B10" s="521"/>
      <c r="C10" s="522"/>
      <c r="D10" s="522"/>
      <c r="E10" s="522"/>
      <c r="F10" s="522"/>
      <c r="G10" s="522"/>
      <c r="H10" s="522"/>
      <c r="I10" s="522"/>
      <c r="J10" s="522"/>
      <c r="K10" s="523"/>
    </row>
    <row r="11" spans="2:12" ht="16.5" thickBot="1" x14ac:dyDescent="0.3"/>
    <row r="12" spans="2:12" ht="16.5" thickBot="1" x14ac:dyDescent="0.3">
      <c r="B12" s="153">
        <v>1</v>
      </c>
      <c r="C12" s="485" t="s">
        <v>30</v>
      </c>
      <c r="D12" s="486"/>
      <c r="E12" s="486"/>
      <c r="F12" s="486"/>
      <c r="G12" s="487"/>
      <c r="H12" s="152"/>
      <c r="I12" s="524">
        <f>CATALOGO!L165/1.4</f>
        <v>372323.05000000005</v>
      </c>
      <c r="J12" s="525"/>
      <c r="K12" s="154" t="s">
        <v>39</v>
      </c>
    </row>
    <row r="13" spans="2:12" ht="16.5" thickBot="1" x14ac:dyDescent="0.3">
      <c r="B13" s="155"/>
      <c r="I13" s="234"/>
      <c r="J13" s="234"/>
    </row>
    <row r="14" spans="2:12" ht="16.5" thickBot="1" x14ac:dyDescent="0.3">
      <c r="B14" s="153">
        <v>2</v>
      </c>
      <c r="C14" s="485" t="s">
        <v>31</v>
      </c>
      <c r="D14" s="486"/>
      <c r="E14" s="486"/>
      <c r="F14" s="486"/>
      <c r="G14" s="487"/>
      <c r="H14" s="152"/>
      <c r="I14" s="488">
        <f>I12*L14</f>
        <v>18616.152500000004</v>
      </c>
      <c r="J14" s="489"/>
      <c r="L14" s="55">
        <v>0.05</v>
      </c>
    </row>
    <row r="15" spans="2:12" ht="16.5" thickBot="1" x14ac:dyDescent="0.3">
      <c r="B15" s="155"/>
      <c r="I15" s="156"/>
      <c r="J15" s="156"/>
      <c r="L15" s="55"/>
    </row>
    <row r="16" spans="2:12" ht="16.5" thickBot="1" x14ac:dyDescent="0.3">
      <c r="B16" s="153">
        <v>3</v>
      </c>
      <c r="C16" s="485" t="s">
        <v>33</v>
      </c>
      <c r="D16" s="486"/>
      <c r="E16" s="486"/>
      <c r="F16" s="486"/>
      <c r="G16" s="487"/>
      <c r="H16" s="152"/>
      <c r="I16" s="488">
        <f>I12*L16</f>
        <v>18616.152500000004</v>
      </c>
      <c r="J16" s="489"/>
      <c r="L16" s="55">
        <v>0.05</v>
      </c>
    </row>
    <row r="17" spans="2:13" ht="16.5" thickBot="1" x14ac:dyDescent="0.3">
      <c r="B17" s="155"/>
      <c r="I17" s="156"/>
      <c r="J17" s="156"/>
      <c r="L17" s="55"/>
    </row>
    <row r="18" spans="2:13" ht="16.5" thickBot="1" x14ac:dyDescent="0.3">
      <c r="B18" s="153">
        <v>4</v>
      </c>
      <c r="C18" s="485" t="s">
        <v>32</v>
      </c>
      <c r="D18" s="486"/>
      <c r="E18" s="486"/>
      <c r="F18" s="486"/>
      <c r="G18" s="487"/>
      <c r="H18" s="152"/>
      <c r="I18" s="488">
        <f>I12*L18</f>
        <v>18616.152500000004</v>
      </c>
      <c r="J18" s="489"/>
      <c r="L18" s="55">
        <v>0.05</v>
      </c>
    </row>
    <row r="19" spans="2:13" ht="16.5" thickBot="1" x14ac:dyDescent="0.3">
      <c r="B19" s="155"/>
      <c r="I19" s="156"/>
      <c r="J19" s="156"/>
      <c r="L19" s="55"/>
    </row>
    <row r="20" spans="2:13" ht="16.5" thickBot="1" x14ac:dyDescent="0.3">
      <c r="B20" s="153">
        <v>5</v>
      </c>
      <c r="C20" s="485" t="s">
        <v>34</v>
      </c>
      <c r="D20" s="486"/>
      <c r="E20" s="486"/>
      <c r="F20" s="486"/>
      <c r="G20" s="487"/>
      <c r="H20" s="152"/>
      <c r="I20" s="488">
        <f>I12*L20</f>
        <v>37232.305000000008</v>
      </c>
      <c r="J20" s="489"/>
      <c r="L20" s="55">
        <v>0.1</v>
      </c>
    </row>
    <row r="21" spans="2:13" ht="16.5" thickBot="1" x14ac:dyDescent="0.3">
      <c r="B21" s="155"/>
      <c r="I21" s="156"/>
      <c r="J21" s="156"/>
      <c r="L21" s="55"/>
    </row>
    <row r="22" spans="2:13" ht="16.5" thickBot="1" x14ac:dyDescent="0.3">
      <c r="B22" s="153">
        <v>6</v>
      </c>
      <c r="C22" s="485" t="s">
        <v>35</v>
      </c>
      <c r="D22" s="486"/>
      <c r="E22" s="486"/>
      <c r="F22" s="486"/>
      <c r="G22" s="487"/>
      <c r="H22" s="152"/>
      <c r="I22" s="488">
        <f>I12*L22</f>
        <v>44678.766000000003</v>
      </c>
      <c r="J22" s="489"/>
      <c r="L22" s="55">
        <v>0.12</v>
      </c>
    </row>
    <row r="23" spans="2:13" ht="16.5" thickBot="1" x14ac:dyDescent="0.3">
      <c r="B23" s="155"/>
      <c r="I23" s="156"/>
      <c r="J23" s="156"/>
      <c r="L23" s="55"/>
    </row>
    <row r="24" spans="2:13" ht="16.5" thickBot="1" x14ac:dyDescent="0.3">
      <c r="B24" s="153">
        <v>7</v>
      </c>
      <c r="C24" s="485" t="s">
        <v>360</v>
      </c>
      <c r="D24" s="486"/>
      <c r="E24" s="486"/>
      <c r="F24" s="486"/>
      <c r="G24" s="487"/>
      <c r="H24" s="152"/>
      <c r="I24" s="488">
        <f>I12*L24</f>
        <v>11169.691500000001</v>
      </c>
      <c r="J24" s="489"/>
      <c r="L24" s="55">
        <v>0.03</v>
      </c>
    </row>
    <row r="25" spans="2:13" ht="16.5" thickBot="1" x14ac:dyDescent="0.3">
      <c r="I25" s="156"/>
      <c r="J25" s="156"/>
      <c r="L25" s="5"/>
      <c r="M25" s="5"/>
    </row>
    <row r="26" spans="2:13" ht="16.5" thickBot="1" x14ac:dyDescent="0.3">
      <c r="B26" s="155"/>
      <c r="C26" s="485" t="s">
        <v>374</v>
      </c>
      <c r="D26" s="486"/>
      <c r="E26" s="486"/>
      <c r="F26" s="486"/>
      <c r="G26" s="487"/>
      <c r="H26" s="152"/>
      <c r="I26" s="488">
        <f>+I14+I16+I18+I20+I22+I24</f>
        <v>148929.22000000003</v>
      </c>
      <c r="J26" s="489"/>
      <c r="K26" s="154" t="s">
        <v>40</v>
      </c>
      <c r="L26" s="59">
        <f>SUM(L14:L24)</f>
        <v>0.4</v>
      </c>
      <c r="M26" s="5"/>
    </row>
    <row r="27" spans="2:13" ht="16.5" thickBot="1" x14ac:dyDescent="0.3">
      <c r="I27" s="156"/>
      <c r="J27" s="156"/>
    </row>
    <row r="28" spans="2:13" x14ac:dyDescent="0.25">
      <c r="C28" s="490" t="s">
        <v>41</v>
      </c>
      <c r="D28" s="491"/>
      <c r="E28" s="491"/>
      <c r="F28" s="491"/>
      <c r="G28" s="492"/>
      <c r="H28" s="152"/>
      <c r="I28" s="493">
        <f>+I12+I26</f>
        <v>521252.27000000008</v>
      </c>
      <c r="J28" s="494"/>
    </row>
    <row r="29" spans="2:13" ht="16.5" thickBot="1" x14ac:dyDescent="0.3">
      <c r="C29" s="497" t="s">
        <v>36</v>
      </c>
      <c r="D29" s="498"/>
      <c r="E29" s="498"/>
      <c r="F29" s="498"/>
      <c r="G29" s="499"/>
      <c r="H29" s="152"/>
      <c r="I29" s="495"/>
      <c r="J29" s="496"/>
    </row>
    <row r="30" spans="2:13" x14ac:dyDescent="0.25">
      <c r="I30" s="78"/>
    </row>
    <row r="32" spans="2:13" ht="16.5" thickBot="1" x14ac:dyDescent="0.3"/>
    <row r="33" spans="2:12" ht="16.5" thickBot="1" x14ac:dyDescent="0.3">
      <c r="B33" s="157"/>
      <c r="C33" s="158"/>
      <c r="D33" s="158"/>
      <c r="E33" s="479" t="s">
        <v>42</v>
      </c>
      <c r="F33" s="481">
        <f>+I28</f>
        <v>521252.27000000008</v>
      </c>
      <c r="G33" s="481"/>
      <c r="H33" s="158"/>
      <c r="I33" s="482">
        <f>+F33/F34</f>
        <v>1.4000000000000001</v>
      </c>
      <c r="J33" s="158"/>
      <c r="K33" s="159"/>
    </row>
    <row r="34" spans="2:12" ht="17.25" thickTop="1" thickBot="1" x14ac:dyDescent="0.3">
      <c r="B34" s="160"/>
      <c r="C34" s="161"/>
      <c r="D34" s="161"/>
      <c r="E34" s="480"/>
      <c r="F34" s="484">
        <f>+I12</f>
        <v>372323.05000000005</v>
      </c>
      <c r="G34" s="484"/>
      <c r="H34" s="161"/>
      <c r="I34" s="483"/>
      <c r="J34" s="161"/>
      <c r="K34" s="162"/>
      <c r="L34" s="5"/>
    </row>
  </sheetData>
  <mergeCells count="31">
    <mergeCell ref="C16:G16"/>
    <mergeCell ref="I16:J16"/>
    <mergeCell ref="B2:C7"/>
    <mergeCell ref="E2:K2"/>
    <mergeCell ref="E4:J4"/>
    <mergeCell ref="E5:J5"/>
    <mergeCell ref="K5:K7"/>
    <mergeCell ref="E7:J7"/>
    <mergeCell ref="B9:K10"/>
    <mergeCell ref="C12:G12"/>
    <mergeCell ref="I12:J12"/>
    <mergeCell ref="C14:G14"/>
    <mergeCell ref="I14:J14"/>
    <mergeCell ref="E6:J6"/>
    <mergeCell ref="C18:G18"/>
    <mergeCell ref="I18:J18"/>
    <mergeCell ref="C20:G20"/>
    <mergeCell ref="I20:J20"/>
    <mergeCell ref="C22:G22"/>
    <mergeCell ref="I22:J22"/>
    <mergeCell ref="E33:E34"/>
    <mergeCell ref="F33:G33"/>
    <mergeCell ref="I33:I34"/>
    <mergeCell ref="F34:G34"/>
    <mergeCell ref="C24:G24"/>
    <mergeCell ref="I24:J24"/>
    <mergeCell ref="C26:G26"/>
    <mergeCell ref="I26:J26"/>
    <mergeCell ref="C28:G28"/>
    <mergeCell ref="I28:J29"/>
    <mergeCell ref="C29:G29"/>
  </mergeCells>
  <printOptions horizontalCentered="1" verticalCentered="1"/>
  <pageMargins left="0.59055118110236227" right="0.39370078740157483" top="0.39370078740157483" bottom="0.39370078740157483" header="0.31496062992125984" footer="0.31496062992125984"/>
  <pageSetup scale="6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4"/>
  <sheetViews>
    <sheetView showGridLines="0" view="pageBreakPreview" topLeftCell="A57" zoomScale="70" zoomScaleNormal="100" zoomScaleSheetLayoutView="70" workbookViewId="0">
      <selection activeCell="I97" sqref="I97"/>
    </sheetView>
  </sheetViews>
  <sheetFormatPr baseColWidth="10" defaultColWidth="11.42578125" defaultRowHeight="15.75" x14ac:dyDescent="0.25"/>
  <cols>
    <col min="1" max="1" width="11.42578125" style="2"/>
    <col min="2" max="2" width="19.28515625" style="172" customWidth="1"/>
    <col min="3" max="3" width="58.7109375" style="168" customWidth="1"/>
    <col min="4" max="4" width="5.5703125" style="174" customWidth="1"/>
    <col min="5" max="16" width="8.7109375" style="167" customWidth="1"/>
    <col min="17" max="17" width="29" style="167" customWidth="1"/>
    <col min="18" max="19" width="8.7109375" style="167" customWidth="1"/>
    <col min="20" max="20" width="9.85546875" style="167" customWidth="1"/>
    <col min="21" max="24" width="8.7109375" style="167" customWidth="1"/>
    <col min="25" max="25" width="21.5703125" style="168" customWidth="1"/>
    <col min="26" max="26" width="22.7109375" style="2" customWidth="1"/>
    <col min="27" max="27" width="41.140625" style="2" customWidth="1"/>
    <col min="28" max="16384" width="11.42578125" style="2"/>
  </cols>
  <sheetData>
    <row r="1" spans="2:25" x14ac:dyDescent="0.25">
      <c r="B1" s="163"/>
      <c r="C1" s="164"/>
      <c r="D1" s="165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3"/>
    </row>
    <row r="2" spans="2:25" s="3" customFormat="1" ht="18.600000000000001" customHeight="1" x14ac:dyDescent="0.3">
      <c r="B2" s="540" t="s">
        <v>363</v>
      </c>
      <c r="C2" s="540"/>
      <c r="D2" s="540"/>
      <c r="E2" s="271"/>
      <c r="F2" s="271"/>
      <c r="G2" s="271"/>
      <c r="H2" s="271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2:25" s="3" customFormat="1" ht="18.75" customHeight="1" x14ac:dyDescent="0.3">
      <c r="B3" s="540" t="s">
        <v>361</v>
      </c>
      <c r="C3" s="540"/>
      <c r="D3" s="540"/>
      <c r="E3" s="271"/>
      <c r="F3" s="271"/>
      <c r="G3" s="271"/>
      <c r="H3" s="271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25" s="3" customFormat="1" ht="18.75" customHeight="1" x14ac:dyDescent="0.3">
      <c r="B4" s="540" t="s">
        <v>409</v>
      </c>
      <c r="C4" s="540"/>
      <c r="D4" s="540"/>
      <c r="E4" s="271"/>
      <c r="F4" s="271"/>
      <c r="G4" s="271"/>
      <c r="H4" s="271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8"/>
    </row>
    <row r="5" spans="2:25" s="3" customFormat="1" ht="18" customHeight="1" x14ac:dyDescent="0.3">
      <c r="B5" s="540" t="s">
        <v>364</v>
      </c>
      <c r="C5" s="540"/>
      <c r="D5" s="540"/>
      <c r="E5" s="271"/>
      <c r="F5" s="271"/>
      <c r="G5" s="271"/>
      <c r="H5" s="271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</row>
    <row r="6" spans="2:25" s="3" customFormat="1" ht="18.75" x14ac:dyDescent="0.3">
      <c r="B6" s="271"/>
      <c r="C6" s="169"/>
      <c r="D6" s="170"/>
      <c r="E6" s="171"/>
      <c r="F6" s="171"/>
      <c r="G6" s="171"/>
      <c r="H6" s="171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</row>
    <row r="7" spans="2:25" s="3" customFormat="1" ht="76.900000000000006" customHeight="1" x14ac:dyDescent="0.3">
      <c r="B7" s="270" t="s">
        <v>38</v>
      </c>
      <c r="C7" s="541" t="s">
        <v>639</v>
      </c>
      <c r="D7" s="541"/>
      <c r="E7" s="560" t="s">
        <v>37</v>
      </c>
      <c r="F7" s="560"/>
      <c r="G7" s="559" t="s">
        <v>603</v>
      </c>
      <c r="H7" s="559"/>
      <c r="I7" s="559"/>
      <c r="J7" s="559"/>
      <c r="K7" s="559"/>
      <c r="M7" s="273"/>
      <c r="N7" s="542" t="s">
        <v>365</v>
      </c>
      <c r="O7" s="542"/>
      <c r="P7" s="550" t="str">
        <f>CATALOGO!B2</f>
        <v>EVENTO No. UCEE-14-2022</v>
      </c>
      <c r="Q7" s="550"/>
      <c r="R7" s="275"/>
      <c r="S7" s="275"/>
    </row>
    <row r="8" spans="2:25" s="3" customFormat="1" ht="18.75" x14ac:dyDescent="0.3">
      <c r="B8" s="173"/>
      <c r="C8" s="168"/>
      <c r="D8" s="176"/>
      <c r="E8" s="167"/>
      <c r="F8" s="167"/>
      <c r="G8" s="167"/>
      <c r="H8" s="167"/>
      <c r="I8" s="167"/>
      <c r="J8" s="177"/>
      <c r="K8" s="557"/>
      <c r="L8" s="557"/>
      <c r="M8" s="178"/>
      <c r="N8" s="274"/>
      <c r="O8" s="274"/>
      <c r="P8" s="178"/>
      <c r="Q8" s="179"/>
      <c r="R8" s="179"/>
      <c r="S8" s="168"/>
    </row>
    <row r="9" spans="2:25" s="3" customFormat="1" ht="18.75" customHeight="1" x14ac:dyDescent="0.3">
      <c r="B9" s="558" t="s">
        <v>634</v>
      </c>
      <c r="C9" s="558"/>
      <c r="E9" s="541" t="s">
        <v>640</v>
      </c>
      <c r="F9" s="541"/>
      <c r="G9" s="541"/>
      <c r="H9" s="541"/>
      <c r="I9" s="541"/>
      <c r="J9" s="541"/>
      <c r="K9" s="541"/>
      <c r="L9" s="541"/>
      <c r="M9" s="272"/>
      <c r="N9" s="543" t="s">
        <v>362</v>
      </c>
      <c r="O9" s="543"/>
      <c r="P9" s="551">
        <f>UNITARIOS!K5</f>
        <v>44761</v>
      </c>
      <c r="Q9" s="551"/>
      <c r="R9" s="276"/>
      <c r="S9" s="276"/>
    </row>
    <row r="10" spans="2:25" s="3" customFormat="1" ht="18.75" customHeight="1" thickBot="1" x14ac:dyDescent="0.35">
      <c r="B10" s="175"/>
      <c r="C10" s="180"/>
      <c r="D10" s="185"/>
      <c r="E10" s="181"/>
      <c r="F10" s="181"/>
      <c r="G10" s="181"/>
      <c r="H10" s="181"/>
      <c r="I10" s="181"/>
      <c r="J10" s="181"/>
      <c r="K10" s="181"/>
      <c r="L10" s="181"/>
      <c r="M10" s="181"/>
      <c r="N10" s="210"/>
      <c r="O10" s="210"/>
      <c r="P10" s="181"/>
      <c r="Q10" s="210"/>
      <c r="R10" s="277"/>
      <c r="S10" s="278"/>
    </row>
    <row r="11" spans="2:25" ht="17.25" customHeight="1" thickBot="1" x14ac:dyDescent="0.3">
      <c r="B11" s="552" t="s">
        <v>44</v>
      </c>
      <c r="C11" s="548" t="s">
        <v>26</v>
      </c>
      <c r="D11" s="546"/>
      <c r="E11" s="566" t="s">
        <v>27</v>
      </c>
      <c r="F11" s="567"/>
      <c r="G11" s="567"/>
      <c r="H11" s="567"/>
      <c r="I11" s="567"/>
      <c r="J11" s="567"/>
      <c r="K11" s="567"/>
      <c r="L11" s="567"/>
      <c r="M11" s="567"/>
      <c r="N11" s="567"/>
      <c r="O11" s="567"/>
      <c r="P11" s="567"/>
      <c r="Q11" s="544" t="s">
        <v>28</v>
      </c>
      <c r="R11" s="2"/>
      <c r="S11" s="2"/>
      <c r="T11" s="2"/>
      <c r="U11" s="2"/>
      <c r="V11" s="2"/>
      <c r="W11" s="2"/>
      <c r="X11" s="2"/>
      <c r="Y11" s="2"/>
    </row>
    <row r="12" spans="2:25" ht="17.25" customHeight="1" thickBot="1" x14ac:dyDescent="0.3">
      <c r="B12" s="553"/>
      <c r="C12" s="549"/>
      <c r="D12" s="547"/>
      <c r="E12" s="554">
        <v>1</v>
      </c>
      <c r="F12" s="555"/>
      <c r="G12" s="555"/>
      <c r="H12" s="556"/>
      <c r="I12" s="554">
        <v>2</v>
      </c>
      <c r="J12" s="555"/>
      <c r="K12" s="555"/>
      <c r="L12" s="556"/>
      <c r="M12" s="554">
        <v>3</v>
      </c>
      <c r="N12" s="555"/>
      <c r="O12" s="555"/>
      <c r="P12" s="556"/>
      <c r="Q12" s="545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66"/>
      <c r="C13" s="267" t="str">
        <f>CATALOGO!C10</f>
        <v>COCINA</v>
      </c>
      <c r="D13" s="268"/>
      <c r="E13" s="269"/>
      <c r="F13" s="249"/>
      <c r="G13" s="249"/>
      <c r="H13" s="251"/>
      <c r="I13" s="248"/>
      <c r="J13" s="249"/>
      <c r="K13" s="249"/>
      <c r="L13" s="250"/>
      <c r="M13" s="248"/>
      <c r="N13" s="249"/>
      <c r="O13" s="249"/>
      <c r="P13" s="250"/>
      <c r="Q13" s="252"/>
      <c r="R13" s="2"/>
      <c r="S13" s="2"/>
      <c r="T13" s="2"/>
      <c r="U13" s="2"/>
      <c r="V13" s="2"/>
      <c r="W13" s="2"/>
      <c r="X13" s="2"/>
      <c r="Y13" s="2"/>
    </row>
    <row r="14" spans="2:25" ht="17.25" customHeight="1" x14ac:dyDescent="0.25">
      <c r="B14" s="526" t="s">
        <v>604</v>
      </c>
      <c r="C14" s="528" t="s">
        <v>605</v>
      </c>
      <c r="D14" s="211" t="s">
        <v>606</v>
      </c>
      <c r="E14" s="530" t="e">
        <f>E15/Q14</f>
        <v>#DIV/0!</v>
      </c>
      <c r="F14" s="531"/>
      <c r="G14" s="182"/>
      <c r="H14" s="183"/>
      <c r="I14" s="184"/>
      <c r="J14" s="182"/>
      <c r="K14" s="182"/>
      <c r="L14" s="186"/>
      <c r="M14" s="184"/>
      <c r="N14" s="182"/>
      <c r="O14" s="182"/>
      <c r="P14" s="186"/>
      <c r="Q14" s="532">
        <f>CATALOGO!P17</f>
        <v>0</v>
      </c>
      <c r="R14" s="237"/>
      <c r="S14" s="2"/>
      <c r="T14" s="2"/>
      <c r="U14" s="2"/>
      <c r="V14" s="2"/>
      <c r="W14" s="2"/>
      <c r="X14" s="2"/>
      <c r="Y14" s="2"/>
    </row>
    <row r="15" spans="2:25" ht="17.25" customHeight="1" x14ac:dyDescent="0.25">
      <c r="B15" s="527"/>
      <c r="C15" s="529"/>
      <c r="D15" s="211" t="s">
        <v>607</v>
      </c>
      <c r="E15" s="534">
        <f>Q14</f>
        <v>0</v>
      </c>
      <c r="F15" s="535"/>
      <c r="G15" s="182"/>
      <c r="H15" s="183"/>
      <c r="I15" s="184"/>
      <c r="J15" s="182"/>
      <c r="K15" s="182"/>
      <c r="L15" s="186"/>
      <c r="M15" s="184"/>
      <c r="N15" s="182"/>
      <c r="O15" s="182"/>
      <c r="P15" s="186"/>
      <c r="Q15" s="533"/>
      <c r="R15" s="237"/>
      <c r="S15" s="2"/>
      <c r="T15" s="2"/>
      <c r="U15" s="2"/>
      <c r="V15" s="2"/>
      <c r="W15" s="2"/>
      <c r="X15" s="2"/>
      <c r="Y15" s="2"/>
    </row>
    <row r="16" spans="2:25" ht="17.25" customHeight="1" x14ac:dyDescent="0.25">
      <c r="B16" s="526" t="s">
        <v>608</v>
      </c>
      <c r="C16" s="528" t="s">
        <v>609</v>
      </c>
      <c r="D16" s="211" t="s">
        <v>606</v>
      </c>
      <c r="E16" s="530">
        <f>E17/Q16</f>
        <v>1</v>
      </c>
      <c r="F16" s="531"/>
      <c r="G16" s="182"/>
      <c r="H16" s="183"/>
      <c r="I16" s="184"/>
      <c r="J16" s="182"/>
      <c r="K16" s="182"/>
      <c r="L16" s="186"/>
      <c r="M16" s="184"/>
      <c r="N16" s="182"/>
      <c r="O16" s="182"/>
      <c r="P16" s="186"/>
      <c r="Q16" s="532">
        <f>CATALOGO!P26</f>
        <v>11264.400000000001</v>
      </c>
      <c r="R16" s="237"/>
      <c r="S16" s="2"/>
      <c r="T16" s="2"/>
      <c r="U16" s="2"/>
      <c r="V16" s="2"/>
      <c r="W16" s="2"/>
      <c r="X16" s="2"/>
      <c r="Y16" s="2"/>
    </row>
    <row r="17" spans="2:18" s="2" customFormat="1" ht="17.25" customHeight="1" x14ac:dyDescent="0.25">
      <c r="B17" s="527"/>
      <c r="C17" s="529"/>
      <c r="D17" s="211" t="s">
        <v>607</v>
      </c>
      <c r="E17" s="534">
        <f>Q16</f>
        <v>11264.400000000001</v>
      </c>
      <c r="F17" s="535"/>
      <c r="G17" s="182"/>
      <c r="H17" s="183"/>
      <c r="I17" s="184"/>
      <c r="J17" s="182"/>
      <c r="K17" s="182"/>
      <c r="L17" s="186"/>
      <c r="M17" s="184"/>
      <c r="N17" s="182"/>
      <c r="O17" s="182"/>
      <c r="P17" s="186"/>
      <c r="Q17" s="533"/>
      <c r="R17" s="237"/>
    </row>
    <row r="18" spans="2:18" s="2" customFormat="1" ht="17.25" customHeight="1" x14ac:dyDescent="0.25">
      <c r="B18" s="526" t="s">
        <v>610</v>
      </c>
      <c r="C18" s="528" t="s">
        <v>611</v>
      </c>
      <c r="D18" s="211" t="s">
        <v>606</v>
      </c>
      <c r="E18" s="238"/>
      <c r="F18" s="536" t="e">
        <f>F19/Q18</f>
        <v>#DIV/0!</v>
      </c>
      <c r="G18" s="531"/>
      <c r="H18" s="183"/>
      <c r="I18" s="184"/>
      <c r="J18" s="182"/>
      <c r="K18" s="182"/>
      <c r="L18" s="186"/>
      <c r="M18" s="184"/>
      <c r="N18" s="182"/>
      <c r="O18" s="182"/>
      <c r="P18" s="186"/>
      <c r="Q18" s="532">
        <f>CATALOGO!P31</f>
        <v>0</v>
      </c>
      <c r="R18" s="237"/>
    </row>
    <row r="19" spans="2:18" s="2" customFormat="1" ht="17.25" customHeight="1" x14ac:dyDescent="0.25">
      <c r="B19" s="527"/>
      <c r="C19" s="529"/>
      <c r="D19" s="211" t="s">
        <v>607</v>
      </c>
      <c r="E19" s="238"/>
      <c r="F19" s="538">
        <f>Q18</f>
        <v>0</v>
      </c>
      <c r="G19" s="535"/>
      <c r="H19" s="183"/>
      <c r="I19" s="184"/>
      <c r="J19" s="182"/>
      <c r="K19" s="182"/>
      <c r="L19" s="186"/>
      <c r="M19" s="184"/>
      <c r="N19" s="182"/>
      <c r="O19" s="182"/>
      <c r="P19" s="186"/>
      <c r="Q19" s="533"/>
      <c r="R19" s="237"/>
    </row>
    <row r="20" spans="2:18" s="2" customFormat="1" ht="17.25" customHeight="1" x14ac:dyDescent="0.25">
      <c r="B20" s="526" t="s">
        <v>612</v>
      </c>
      <c r="C20" s="528" t="s">
        <v>613</v>
      </c>
      <c r="D20" s="211" t="s">
        <v>606</v>
      </c>
      <c r="E20" s="184"/>
      <c r="F20" s="536" t="e">
        <f>F21/Q20</f>
        <v>#DIV/0!</v>
      </c>
      <c r="G20" s="531"/>
      <c r="H20" s="183"/>
      <c r="I20" s="184"/>
      <c r="J20" s="182"/>
      <c r="K20" s="182"/>
      <c r="L20" s="186"/>
      <c r="M20" s="184"/>
      <c r="N20" s="182"/>
      <c r="O20" s="182"/>
      <c r="P20" s="186"/>
      <c r="Q20" s="532">
        <f>CATALOGO!P49</f>
        <v>0</v>
      </c>
      <c r="R20" s="237"/>
    </row>
    <row r="21" spans="2:18" s="2" customFormat="1" ht="17.25" customHeight="1" x14ac:dyDescent="0.25">
      <c r="B21" s="527"/>
      <c r="C21" s="529"/>
      <c r="D21" s="211" t="s">
        <v>607</v>
      </c>
      <c r="E21" s="184"/>
      <c r="F21" s="538">
        <f>Q20</f>
        <v>0</v>
      </c>
      <c r="G21" s="535"/>
      <c r="H21" s="183"/>
      <c r="I21" s="184"/>
      <c r="J21" s="182"/>
      <c r="K21" s="182"/>
      <c r="L21" s="186"/>
      <c r="M21" s="184"/>
      <c r="N21" s="182"/>
      <c r="O21" s="182"/>
      <c r="P21" s="186"/>
      <c r="Q21" s="533"/>
      <c r="R21" s="237"/>
    </row>
    <row r="22" spans="2:18" s="2" customFormat="1" ht="17.25" customHeight="1" x14ac:dyDescent="0.25">
      <c r="B22" s="526" t="s">
        <v>614</v>
      </c>
      <c r="C22" s="528" t="s">
        <v>615</v>
      </c>
      <c r="D22" s="211" t="s">
        <v>606</v>
      </c>
      <c r="E22" s="184"/>
      <c r="F22" s="182"/>
      <c r="G22" s="536">
        <f>G23/Q22</f>
        <v>1</v>
      </c>
      <c r="H22" s="537"/>
      <c r="I22" s="184"/>
      <c r="J22" s="182"/>
      <c r="K22" s="182"/>
      <c r="L22" s="186"/>
      <c r="M22" s="184"/>
      <c r="N22" s="182"/>
      <c r="O22" s="182"/>
      <c r="P22" s="186"/>
      <c r="Q22" s="532">
        <f>CATALOGO!P53</f>
        <v>33426.400000000001</v>
      </c>
      <c r="R22" s="237"/>
    </row>
    <row r="23" spans="2:18" s="2" customFormat="1" ht="17.25" customHeight="1" x14ac:dyDescent="0.25">
      <c r="B23" s="527"/>
      <c r="C23" s="529"/>
      <c r="D23" s="211" t="s">
        <v>607</v>
      </c>
      <c r="E23" s="184"/>
      <c r="F23" s="182"/>
      <c r="G23" s="538">
        <f>Q22</f>
        <v>33426.400000000001</v>
      </c>
      <c r="H23" s="539"/>
      <c r="I23" s="184"/>
      <c r="J23" s="182"/>
      <c r="K23" s="182"/>
      <c r="L23" s="186"/>
      <c r="M23" s="184"/>
      <c r="N23" s="182"/>
      <c r="O23" s="182"/>
      <c r="P23" s="186"/>
      <c r="Q23" s="533"/>
      <c r="R23" s="237"/>
    </row>
    <row r="24" spans="2:18" s="2" customFormat="1" ht="17.25" customHeight="1" x14ac:dyDescent="0.25">
      <c r="B24" s="526" t="s">
        <v>616</v>
      </c>
      <c r="C24" s="528" t="s">
        <v>617</v>
      </c>
      <c r="D24" s="211" t="s">
        <v>606</v>
      </c>
      <c r="E24" s="184"/>
      <c r="F24" s="182"/>
      <c r="G24" s="182"/>
      <c r="H24" s="183"/>
      <c r="I24" s="530">
        <f>I25/Q24</f>
        <v>1</v>
      </c>
      <c r="J24" s="531"/>
      <c r="K24" s="182"/>
      <c r="L24" s="186"/>
      <c r="M24" s="184"/>
      <c r="N24" s="182"/>
      <c r="O24" s="182"/>
      <c r="P24" s="186"/>
      <c r="Q24" s="532">
        <f>CATALOGO!P62</f>
        <v>64442</v>
      </c>
      <c r="R24" s="237"/>
    </row>
    <row r="25" spans="2:18" s="2" customFormat="1" ht="17.25" customHeight="1" x14ac:dyDescent="0.25">
      <c r="B25" s="527"/>
      <c r="C25" s="529"/>
      <c r="D25" s="211" t="s">
        <v>607</v>
      </c>
      <c r="E25" s="184"/>
      <c r="F25" s="182"/>
      <c r="G25" s="182"/>
      <c r="H25" s="183"/>
      <c r="I25" s="534">
        <f>Q24</f>
        <v>64442</v>
      </c>
      <c r="J25" s="535"/>
      <c r="K25" s="182"/>
      <c r="L25" s="186"/>
      <c r="M25" s="184"/>
      <c r="N25" s="182"/>
      <c r="O25" s="182"/>
      <c r="P25" s="186"/>
      <c r="Q25" s="533"/>
      <c r="R25" s="237"/>
    </row>
    <row r="26" spans="2:18" s="2" customFormat="1" ht="17.25" customHeight="1" x14ac:dyDescent="0.25">
      <c r="B26" s="526" t="s">
        <v>618</v>
      </c>
      <c r="C26" s="528" t="s">
        <v>619</v>
      </c>
      <c r="D26" s="211" t="s">
        <v>606</v>
      </c>
      <c r="E26" s="184"/>
      <c r="F26" s="182"/>
      <c r="G26" s="182"/>
      <c r="H26" s="183"/>
      <c r="I26" s="530">
        <f>I27/Q26</f>
        <v>1</v>
      </c>
      <c r="J26" s="531"/>
      <c r="K26" s="182"/>
      <c r="L26" s="186"/>
      <c r="M26" s="184"/>
      <c r="N26" s="182"/>
      <c r="O26" s="182"/>
      <c r="P26" s="186"/>
      <c r="Q26" s="532">
        <f>CATALOGO!P64</f>
        <v>2716</v>
      </c>
      <c r="R26" s="237"/>
    </row>
    <row r="27" spans="2:18" s="2" customFormat="1" ht="17.25" customHeight="1" x14ac:dyDescent="0.25">
      <c r="B27" s="527"/>
      <c r="C27" s="529"/>
      <c r="D27" s="211" t="s">
        <v>607</v>
      </c>
      <c r="E27" s="184"/>
      <c r="F27" s="182"/>
      <c r="G27" s="182"/>
      <c r="H27" s="183"/>
      <c r="I27" s="534">
        <f>Q26</f>
        <v>2716</v>
      </c>
      <c r="J27" s="535"/>
      <c r="K27" s="182"/>
      <c r="L27" s="186"/>
      <c r="M27" s="184"/>
      <c r="N27" s="182"/>
      <c r="O27" s="182"/>
      <c r="P27" s="186"/>
      <c r="Q27" s="533"/>
      <c r="R27" s="237"/>
    </row>
    <row r="28" spans="2:18" s="2" customFormat="1" ht="17.25" customHeight="1" x14ac:dyDescent="0.25">
      <c r="B28" s="526" t="s">
        <v>620</v>
      </c>
      <c r="C28" s="528" t="s">
        <v>621</v>
      </c>
      <c r="D28" s="211" t="s">
        <v>606</v>
      </c>
      <c r="E28" s="184"/>
      <c r="F28" s="182"/>
      <c r="G28" s="182"/>
      <c r="H28" s="183"/>
      <c r="I28" s="530">
        <f>I29/Q28</f>
        <v>1</v>
      </c>
      <c r="J28" s="531"/>
      <c r="K28" s="182"/>
      <c r="L28" s="186"/>
      <c r="M28" s="184"/>
      <c r="N28" s="182"/>
      <c r="O28" s="182"/>
      <c r="P28" s="186"/>
      <c r="Q28" s="532">
        <f>CATALOGO!P66</f>
        <v>5040</v>
      </c>
      <c r="R28" s="237"/>
    </row>
    <row r="29" spans="2:18" s="2" customFormat="1" ht="17.25" customHeight="1" x14ac:dyDescent="0.25">
      <c r="B29" s="527"/>
      <c r="C29" s="529"/>
      <c r="D29" s="211" t="s">
        <v>607</v>
      </c>
      <c r="E29" s="184"/>
      <c r="F29" s="182"/>
      <c r="G29" s="182"/>
      <c r="H29" s="183"/>
      <c r="I29" s="534">
        <f>Q28</f>
        <v>5040</v>
      </c>
      <c r="J29" s="535"/>
      <c r="K29" s="182"/>
      <c r="L29" s="186"/>
      <c r="M29" s="184"/>
      <c r="N29" s="182"/>
      <c r="O29" s="182"/>
      <c r="P29" s="186"/>
      <c r="Q29" s="533"/>
      <c r="R29" s="237"/>
    </row>
    <row r="30" spans="2:18" s="2" customFormat="1" ht="17.25" customHeight="1" x14ac:dyDescent="0.25">
      <c r="B30" s="526" t="s">
        <v>622</v>
      </c>
      <c r="C30" s="528" t="s">
        <v>623</v>
      </c>
      <c r="D30" s="211" t="s">
        <v>606</v>
      </c>
      <c r="E30" s="184"/>
      <c r="F30" s="182"/>
      <c r="G30" s="182"/>
      <c r="H30" s="183"/>
      <c r="I30" s="184"/>
      <c r="J30" s="536">
        <f>J31/Q30</f>
        <v>1</v>
      </c>
      <c r="K30" s="531"/>
      <c r="L30" s="186"/>
      <c r="M30" s="184"/>
      <c r="N30" s="182"/>
      <c r="O30" s="182"/>
      <c r="P30" s="186"/>
      <c r="Q30" s="532">
        <f>CATALOGO!P76</f>
        <v>8631</v>
      </c>
      <c r="R30" s="237"/>
    </row>
    <row r="31" spans="2:18" s="2" customFormat="1" ht="17.25" customHeight="1" x14ac:dyDescent="0.25">
      <c r="B31" s="527"/>
      <c r="C31" s="529"/>
      <c r="D31" s="211" t="s">
        <v>607</v>
      </c>
      <c r="E31" s="184"/>
      <c r="F31" s="182"/>
      <c r="G31" s="182"/>
      <c r="H31" s="183"/>
      <c r="I31" s="184"/>
      <c r="J31" s="538">
        <f>Q30</f>
        <v>8631</v>
      </c>
      <c r="K31" s="535"/>
      <c r="L31" s="186"/>
      <c r="M31" s="184"/>
      <c r="N31" s="182"/>
      <c r="O31" s="182"/>
      <c r="P31" s="186"/>
      <c r="Q31" s="533"/>
      <c r="R31" s="237"/>
    </row>
    <row r="32" spans="2:18" s="2" customFormat="1" ht="17.25" customHeight="1" x14ac:dyDescent="0.25">
      <c r="B32" s="526" t="s">
        <v>624</v>
      </c>
      <c r="C32" s="528" t="s">
        <v>625</v>
      </c>
      <c r="D32" s="211" t="s">
        <v>606</v>
      </c>
      <c r="E32" s="184"/>
      <c r="F32" s="182"/>
      <c r="G32" s="182"/>
      <c r="H32" s="183"/>
      <c r="I32" s="184"/>
      <c r="J32" s="536">
        <f>J33/Q32</f>
        <v>1</v>
      </c>
      <c r="K32" s="531"/>
      <c r="L32" s="186"/>
      <c r="M32" s="184"/>
      <c r="N32" s="182"/>
      <c r="O32" s="182"/>
      <c r="P32" s="186"/>
      <c r="Q32" s="532">
        <f>CATALOGO!P85</f>
        <v>2401</v>
      </c>
      <c r="R32" s="237"/>
    </row>
    <row r="33" spans="2:19" s="2" customFormat="1" ht="17.25" customHeight="1" x14ac:dyDescent="0.25">
      <c r="B33" s="527"/>
      <c r="C33" s="529"/>
      <c r="D33" s="211" t="s">
        <v>607</v>
      </c>
      <c r="E33" s="184"/>
      <c r="F33" s="182"/>
      <c r="G33" s="182"/>
      <c r="H33" s="183"/>
      <c r="I33" s="184"/>
      <c r="J33" s="538">
        <f>Q32</f>
        <v>2401</v>
      </c>
      <c r="K33" s="535"/>
      <c r="L33" s="186"/>
      <c r="M33" s="184"/>
      <c r="N33" s="182"/>
      <c r="O33" s="182"/>
      <c r="P33" s="186"/>
      <c r="Q33" s="533"/>
      <c r="R33" s="237"/>
    </row>
    <row r="34" spans="2:19" s="2" customFormat="1" ht="17.25" customHeight="1" x14ac:dyDescent="0.25">
      <c r="B34" s="526" t="s">
        <v>626</v>
      </c>
      <c r="C34" s="528" t="s">
        <v>627</v>
      </c>
      <c r="D34" s="211" t="s">
        <v>606</v>
      </c>
      <c r="E34" s="184"/>
      <c r="F34" s="182"/>
      <c r="G34" s="182"/>
      <c r="H34" s="183"/>
      <c r="I34" s="184"/>
      <c r="J34" s="182"/>
      <c r="K34" s="536">
        <f>K35/Q34</f>
        <v>1</v>
      </c>
      <c r="L34" s="537"/>
      <c r="M34" s="184"/>
      <c r="N34" s="182"/>
      <c r="O34" s="182"/>
      <c r="P34" s="186"/>
      <c r="Q34" s="532">
        <f>CATALOGO!P91</f>
        <v>8932</v>
      </c>
      <c r="R34" s="237"/>
    </row>
    <row r="35" spans="2:19" s="2" customFormat="1" ht="17.25" customHeight="1" x14ac:dyDescent="0.25">
      <c r="B35" s="527"/>
      <c r="C35" s="529"/>
      <c r="D35" s="211" t="s">
        <v>607</v>
      </c>
      <c r="E35" s="184"/>
      <c r="F35" s="182"/>
      <c r="G35" s="182"/>
      <c r="H35" s="183"/>
      <c r="I35" s="184"/>
      <c r="J35" s="182"/>
      <c r="K35" s="538">
        <f>Q34</f>
        <v>8932</v>
      </c>
      <c r="L35" s="539"/>
      <c r="M35" s="184"/>
      <c r="N35" s="182"/>
      <c r="O35" s="182"/>
      <c r="P35" s="186"/>
      <c r="Q35" s="533"/>
      <c r="R35" s="237"/>
    </row>
    <row r="36" spans="2:19" s="2" customFormat="1" ht="17.25" customHeight="1" x14ac:dyDescent="0.25">
      <c r="B36" s="526" t="s">
        <v>628</v>
      </c>
      <c r="C36" s="528" t="s">
        <v>629</v>
      </c>
      <c r="D36" s="211" t="s">
        <v>606</v>
      </c>
      <c r="E36" s="184"/>
      <c r="F36" s="182"/>
      <c r="G36" s="182"/>
      <c r="H36" s="183"/>
      <c r="I36" s="184"/>
      <c r="J36" s="182"/>
      <c r="K36" s="536">
        <f>K37/Q36</f>
        <v>1</v>
      </c>
      <c r="L36" s="537"/>
      <c r="M36" s="184"/>
      <c r="N36" s="182"/>
      <c r="O36" s="182"/>
      <c r="P36" s="186"/>
      <c r="Q36" s="532">
        <f>CATALOGO!P95</f>
        <v>6429.57</v>
      </c>
      <c r="R36" s="237"/>
    </row>
    <row r="37" spans="2:19" s="2" customFormat="1" ht="17.25" customHeight="1" x14ac:dyDescent="0.25">
      <c r="B37" s="527"/>
      <c r="C37" s="529"/>
      <c r="D37" s="211" t="s">
        <v>607</v>
      </c>
      <c r="E37" s="184"/>
      <c r="F37" s="182"/>
      <c r="G37" s="182"/>
      <c r="H37" s="183"/>
      <c r="I37" s="184"/>
      <c r="J37" s="182"/>
      <c r="K37" s="538">
        <f>Q36</f>
        <v>6429.57</v>
      </c>
      <c r="L37" s="539"/>
      <c r="M37" s="184"/>
      <c r="N37" s="182"/>
      <c r="O37" s="182"/>
      <c r="P37" s="186"/>
      <c r="Q37" s="533"/>
      <c r="R37" s="237"/>
    </row>
    <row r="38" spans="2:19" s="2" customFormat="1" ht="17.25" customHeight="1" x14ac:dyDescent="0.25">
      <c r="B38" s="526" t="s">
        <v>630</v>
      </c>
      <c r="C38" s="528" t="s">
        <v>631</v>
      </c>
      <c r="D38" s="211" t="s">
        <v>606</v>
      </c>
      <c r="E38" s="184"/>
      <c r="F38" s="182"/>
      <c r="G38" s="182"/>
      <c r="H38" s="183"/>
      <c r="I38" s="184"/>
      <c r="J38" s="182"/>
      <c r="K38" s="182"/>
      <c r="L38" s="186"/>
      <c r="M38" s="530">
        <f>M39/Q38</f>
        <v>1</v>
      </c>
      <c r="N38" s="531"/>
      <c r="O38" s="182"/>
      <c r="P38" s="186"/>
      <c r="Q38" s="532">
        <f>CATALOGO!P98</f>
        <v>12537</v>
      </c>
      <c r="R38" s="237"/>
    </row>
    <row r="39" spans="2:19" s="2" customFormat="1" ht="17.25" customHeight="1" x14ac:dyDescent="0.25">
      <c r="B39" s="527"/>
      <c r="C39" s="529"/>
      <c r="D39" s="211" t="s">
        <v>607</v>
      </c>
      <c r="E39" s="184"/>
      <c r="F39" s="182"/>
      <c r="G39" s="182"/>
      <c r="H39" s="183"/>
      <c r="I39" s="184"/>
      <c r="J39" s="182"/>
      <c r="K39" s="182"/>
      <c r="L39" s="186"/>
      <c r="M39" s="534">
        <f>Q38</f>
        <v>12537</v>
      </c>
      <c r="N39" s="535"/>
      <c r="O39" s="182"/>
      <c r="P39" s="186"/>
      <c r="Q39" s="533"/>
      <c r="R39" s="237"/>
    </row>
    <row r="40" spans="2:19" s="2" customFormat="1" ht="17.25" customHeight="1" x14ac:dyDescent="0.25">
      <c r="B40" s="526" t="s">
        <v>632</v>
      </c>
      <c r="C40" s="528" t="s">
        <v>564</v>
      </c>
      <c r="D40" s="211" t="s">
        <v>606</v>
      </c>
      <c r="E40" s="184"/>
      <c r="F40" s="182"/>
      <c r="G40" s="182"/>
      <c r="H40" s="183"/>
      <c r="I40" s="184"/>
      <c r="J40" s="182"/>
      <c r="K40" s="182"/>
      <c r="L40" s="186"/>
      <c r="M40" s="184"/>
      <c r="N40" s="536">
        <f>N41/Q40</f>
        <v>1</v>
      </c>
      <c r="O40" s="531"/>
      <c r="P40" s="186"/>
      <c r="Q40" s="532">
        <f>CATALOGO!P100</f>
        <v>4508</v>
      </c>
      <c r="R40" s="237"/>
    </row>
    <row r="41" spans="2:19" s="2" customFormat="1" ht="17.25" customHeight="1" x14ac:dyDescent="0.25">
      <c r="B41" s="527"/>
      <c r="C41" s="529"/>
      <c r="D41" s="211" t="s">
        <v>607</v>
      </c>
      <c r="E41" s="184"/>
      <c r="F41" s="182"/>
      <c r="G41" s="182"/>
      <c r="H41" s="183"/>
      <c r="I41" s="184"/>
      <c r="J41" s="182"/>
      <c r="K41" s="182"/>
      <c r="L41" s="186"/>
      <c r="M41" s="184"/>
      <c r="N41" s="538">
        <f>Q40</f>
        <v>4508</v>
      </c>
      <c r="O41" s="535"/>
      <c r="P41" s="186"/>
      <c r="Q41" s="533"/>
      <c r="R41" s="237"/>
    </row>
    <row r="42" spans="2:19" s="2" customFormat="1" x14ac:dyDescent="0.25">
      <c r="B42" s="253"/>
      <c r="C42" s="254" t="s">
        <v>514</v>
      </c>
      <c r="D42" s="255"/>
      <c r="E42" s="256"/>
      <c r="F42" s="257"/>
      <c r="G42" s="258"/>
      <c r="H42" s="259"/>
      <c r="I42" s="260"/>
      <c r="J42" s="258"/>
      <c r="K42" s="258"/>
      <c r="L42" s="261"/>
      <c r="M42" s="260"/>
      <c r="N42" s="258"/>
      <c r="O42" s="258"/>
      <c r="P42" s="261"/>
      <c r="Q42" s="262"/>
      <c r="R42" s="237"/>
    </row>
    <row r="43" spans="2:19" s="2" customFormat="1" ht="17.25" customHeight="1" x14ac:dyDescent="0.25">
      <c r="B43" s="526" t="s">
        <v>604</v>
      </c>
      <c r="C43" s="528" t="s">
        <v>605</v>
      </c>
      <c r="D43" s="211" t="s">
        <v>606</v>
      </c>
      <c r="E43" s="530">
        <f>E44/Q43</f>
        <v>1</v>
      </c>
      <c r="F43" s="531"/>
      <c r="G43" s="182"/>
      <c r="H43" s="183"/>
      <c r="I43" s="184"/>
      <c r="J43" s="182"/>
      <c r="K43" s="182"/>
      <c r="L43" s="186"/>
      <c r="M43" s="184"/>
      <c r="N43" s="182"/>
      <c r="O43" s="182"/>
      <c r="P43" s="186"/>
      <c r="Q43" s="532">
        <v>1330</v>
      </c>
      <c r="R43" s="237"/>
      <c r="S43" s="237"/>
    </row>
    <row r="44" spans="2:19" s="2" customFormat="1" ht="17.25" customHeight="1" x14ac:dyDescent="0.25">
      <c r="B44" s="527"/>
      <c r="C44" s="529"/>
      <c r="D44" s="211" t="s">
        <v>607</v>
      </c>
      <c r="E44" s="534">
        <f>Q43</f>
        <v>1330</v>
      </c>
      <c r="F44" s="535"/>
      <c r="G44" s="182"/>
      <c r="H44" s="183"/>
      <c r="I44" s="184"/>
      <c r="J44" s="182"/>
      <c r="K44" s="182"/>
      <c r="L44" s="186"/>
      <c r="M44" s="184"/>
      <c r="N44" s="182"/>
      <c r="O44" s="182"/>
      <c r="P44" s="186"/>
      <c r="Q44" s="533"/>
      <c r="R44" s="237"/>
      <c r="S44" s="237"/>
    </row>
    <row r="45" spans="2:19" s="2" customFormat="1" ht="17.25" customHeight="1" x14ac:dyDescent="0.25">
      <c r="B45" s="526" t="s">
        <v>614</v>
      </c>
      <c r="C45" s="528" t="s">
        <v>615</v>
      </c>
      <c r="D45" s="211" t="s">
        <v>606</v>
      </c>
      <c r="E45" s="184"/>
      <c r="F45" s="182"/>
      <c r="G45" s="536">
        <f>G46/Q45</f>
        <v>1</v>
      </c>
      <c r="H45" s="537"/>
      <c r="I45" s="184"/>
      <c r="J45" s="182"/>
      <c r="K45" s="182"/>
      <c r="L45" s="186"/>
      <c r="M45" s="184"/>
      <c r="N45" s="182"/>
      <c r="O45" s="182"/>
      <c r="P45" s="186"/>
      <c r="Q45" s="532">
        <v>10290</v>
      </c>
      <c r="R45" s="237"/>
      <c r="S45" s="237"/>
    </row>
    <row r="46" spans="2:19" s="2" customFormat="1" ht="17.25" customHeight="1" x14ac:dyDescent="0.25">
      <c r="B46" s="527"/>
      <c r="C46" s="529"/>
      <c r="D46" s="211" t="s">
        <v>607</v>
      </c>
      <c r="E46" s="184"/>
      <c r="F46" s="182"/>
      <c r="G46" s="538">
        <f>Q45</f>
        <v>10290</v>
      </c>
      <c r="H46" s="539"/>
      <c r="I46" s="184"/>
      <c r="J46" s="182"/>
      <c r="K46" s="182"/>
      <c r="L46" s="186"/>
      <c r="M46" s="184"/>
      <c r="N46" s="182"/>
      <c r="O46" s="182"/>
      <c r="P46" s="186"/>
      <c r="Q46" s="533"/>
      <c r="R46" s="237"/>
      <c r="S46" s="237"/>
    </row>
    <row r="47" spans="2:19" s="2" customFormat="1" ht="17.25" customHeight="1" x14ac:dyDescent="0.25">
      <c r="B47" s="526" t="s">
        <v>616</v>
      </c>
      <c r="C47" s="528" t="s">
        <v>617</v>
      </c>
      <c r="D47" s="211" t="s">
        <v>606</v>
      </c>
      <c r="E47" s="184"/>
      <c r="F47" s="182"/>
      <c r="G47" s="182"/>
      <c r="H47" s="183"/>
      <c r="I47" s="530">
        <f>I48/Q47</f>
        <v>1</v>
      </c>
      <c r="J47" s="531"/>
      <c r="K47" s="182"/>
      <c r="L47" s="186"/>
      <c r="M47" s="184"/>
      <c r="N47" s="182"/>
      <c r="O47" s="182"/>
      <c r="P47" s="186"/>
      <c r="Q47" s="532">
        <f>CATALOGO!P113</f>
        <v>12740</v>
      </c>
      <c r="R47" s="237"/>
      <c r="S47" s="237"/>
    </row>
    <row r="48" spans="2:19" s="2" customFormat="1" ht="17.25" customHeight="1" x14ac:dyDescent="0.25">
      <c r="B48" s="527"/>
      <c r="C48" s="529"/>
      <c r="D48" s="211" t="s">
        <v>607</v>
      </c>
      <c r="E48" s="184"/>
      <c r="F48" s="182"/>
      <c r="G48" s="182"/>
      <c r="H48" s="183"/>
      <c r="I48" s="534">
        <f>Q47</f>
        <v>12740</v>
      </c>
      <c r="J48" s="535"/>
      <c r="K48" s="182"/>
      <c r="L48" s="186"/>
      <c r="M48" s="184"/>
      <c r="N48" s="182"/>
      <c r="O48" s="182"/>
      <c r="P48" s="186"/>
      <c r="Q48" s="533"/>
      <c r="R48" s="237"/>
      <c r="S48" s="237"/>
    </row>
    <row r="49" spans="2:19" s="2" customFormat="1" ht="17.25" customHeight="1" x14ac:dyDescent="0.25">
      <c r="B49" s="526" t="s">
        <v>618</v>
      </c>
      <c r="C49" s="528" t="s">
        <v>619</v>
      </c>
      <c r="D49" s="211" t="s">
        <v>606</v>
      </c>
      <c r="E49" s="184"/>
      <c r="F49" s="182"/>
      <c r="G49" s="182"/>
      <c r="H49" s="183"/>
      <c r="I49" s="530">
        <f>I50/Q49</f>
        <v>1</v>
      </c>
      <c r="J49" s="531"/>
      <c r="K49" s="182"/>
      <c r="L49" s="186"/>
      <c r="M49" s="184"/>
      <c r="N49" s="182"/>
      <c r="O49" s="182"/>
      <c r="P49" s="186"/>
      <c r="Q49" s="532">
        <f>CATALOGO!P115</f>
        <v>2583</v>
      </c>
      <c r="R49" s="237"/>
      <c r="S49" s="237"/>
    </row>
    <row r="50" spans="2:19" s="2" customFormat="1" ht="17.25" customHeight="1" x14ac:dyDescent="0.25">
      <c r="B50" s="527"/>
      <c r="C50" s="529"/>
      <c r="D50" s="211" t="s">
        <v>607</v>
      </c>
      <c r="E50" s="184"/>
      <c r="F50" s="182"/>
      <c r="G50" s="182"/>
      <c r="H50" s="183"/>
      <c r="I50" s="534">
        <f>Q49</f>
        <v>2583</v>
      </c>
      <c r="J50" s="535"/>
      <c r="K50" s="182"/>
      <c r="L50" s="186"/>
      <c r="M50" s="184"/>
      <c r="N50" s="182"/>
      <c r="O50" s="182"/>
      <c r="P50" s="186"/>
      <c r="Q50" s="533"/>
      <c r="R50" s="237"/>
      <c r="S50" s="237"/>
    </row>
    <row r="51" spans="2:19" s="2" customFormat="1" ht="17.25" customHeight="1" x14ac:dyDescent="0.25">
      <c r="B51" s="526" t="s">
        <v>620</v>
      </c>
      <c r="C51" s="528" t="s">
        <v>621</v>
      </c>
      <c r="D51" s="211" t="s">
        <v>606</v>
      </c>
      <c r="E51" s="184"/>
      <c r="F51" s="182"/>
      <c r="G51" s="182"/>
      <c r="H51" s="183"/>
      <c r="I51" s="530">
        <f>I52/Q51</f>
        <v>1</v>
      </c>
      <c r="J51" s="531"/>
      <c r="K51" s="182"/>
      <c r="L51" s="186"/>
      <c r="M51" s="184"/>
      <c r="N51" s="182"/>
      <c r="O51" s="182"/>
      <c r="P51" s="186"/>
      <c r="Q51" s="532">
        <f>CATALOGO!P118</f>
        <v>1438.5</v>
      </c>
      <c r="R51" s="237"/>
      <c r="S51" s="237"/>
    </row>
    <row r="52" spans="2:19" s="2" customFormat="1" ht="17.25" customHeight="1" x14ac:dyDescent="0.25">
      <c r="B52" s="527"/>
      <c r="C52" s="529"/>
      <c r="D52" s="211" t="s">
        <v>607</v>
      </c>
      <c r="E52" s="184"/>
      <c r="F52" s="182"/>
      <c r="G52" s="182"/>
      <c r="H52" s="183"/>
      <c r="I52" s="534">
        <f>Q51</f>
        <v>1438.5</v>
      </c>
      <c r="J52" s="535"/>
      <c r="K52" s="182"/>
      <c r="L52" s="186"/>
      <c r="M52" s="184"/>
      <c r="N52" s="182"/>
      <c r="O52" s="182"/>
      <c r="P52" s="186"/>
      <c r="Q52" s="533"/>
      <c r="R52" s="237"/>
      <c r="S52" s="237"/>
    </row>
    <row r="53" spans="2:19" s="2" customFormat="1" ht="17.25" customHeight="1" x14ac:dyDescent="0.25">
      <c r="B53" s="526" t="s">
        <v>626</v>
      </c>
      <c r="C53" s="528" t="s">
        <v>627</v>
      </c>
      <c r="D53" s="211" t="s">
        <v>606</v>
      </c>
      <c r="E53" s="184"/>
      <c r="F53" s="182"/>
      <c r="G53" s="182"/>
      <c r="H53" s="183"/>
      <c r="I53" s="184"/>
      <c r="J53" s="182"/>
      <c r="K53" s="536">
        <f>K54/Q53</f>
        <v>1</v>
      </c>
      <c r="L53" s="537"/>
      <c r="M53" s="184"/>
      <c r="N53" s="182"/>
      <c r="O53" s="182"/>
      <c r="P53" s="186"/>
      <c r="Q53" s="532">
        <f>CATALOGO!P121</f>
        <v>3276</v>
      </c>
      <c r="R53" s="237"/>
      <c r="S53" s="237"/>
    </row>
    <row r="54" spans="2:19" s="2" customFormat="1" ht="17.25" customHeight="1" x14ac:dyDescent="0.25">
      <c r="B54" s="527"/>
      <c r="C54" s="529"/>
      <c r="D54" s="211" t="s">
        <v>607</v>
      </c>
      <c r="E54" s="184"/>
      <c r="F54" s="182"/>
      <c r="G54" s="182"/>
      <c r="H54" s="183"/>
      <c r="I54" s="184"/>
      <c r="J54" s="182"/>
      <c r="K54" s="538">
        <f>Q53</f>
        <v>3276</v>
      </c>
      <c r="L54" s="539"/>
      <c r="M54" s="184"/>
      <c r="N54" s="182"/>
      <c r="O54" s="182"/>
      <c r="P54" s="186"/>
      <c r="Q54" s="533"/>
      <c r="R54" s="237"/>
      <c r="S54" s="237"/>
    </row>
    <row r="55" spans="2:19" s="264" customFormat="1" x14ac:dyDescent="0.25">
      <c r="B55" s="253"/>
      <c r="C55" s="254" t="s">
        <v>633</v>
      </c>
      <c r="D55" s="255"/>
      <c r="E55" s="256"/>
      <c r="F55" s="257"/>
      <c r="G55" s="258"/>
      <c r="H55" s="259"/>
      <c r="I55" s="260"/>
      <c r="J55" s="258"/>
      <c r="K55" s="258"/>
      <c r="L55" s="261"/>
      <c r="M55" s="260"/>
      <c r="N55" s="258"/>
      <c r="O55" s="258"/>
      <c r="P55" s="261"/>
      <c r="Q55" s="262"/>
      <c r="R55" s="263"/>
      <c r="S55" s="237"/>
    </row>
    <row r="56" spans="2:19" s="2" customFormat="1" ht="17.25" customHeight="1" x14ac:dyDescent="0.25">
      <c r="B56" s="526" t="s">
        <v>604</v>
      </c>
      <c r="C56" s="528" t="s">
        <v>605</v>
      </c>
      <c r="D56" s="211" t="s">
        <v>606</v>
      </c>
      <c r="E56" s="184"/>
      <c r="F56" s="182"/>
      <c r="G56" s="182"/>
      <c r="H56" s="183"/>
      <c r="I56" s="184"/>
      <c r="J56" s="182"/>
      <c r="K56" s="182"/>
      <c r="L56" s="186"/>
      <c r="M56" s="530">
        <f>M57/Q56</f>
        <v>1</v>
      </c>
      <c r="N56" s="531"/>
      <c r="O56" s="182"/>
      <c r="P56" s="186"/>
      <c r="Q56" s="532">
        <f>CATALOGO!P106</f>
        <v>6468</v>
      </c>
      <c r="R56" s="237"/>
      <c r="S56" s="237"/>
    </row>
    <row r="57" spans="2:19" s="2" customFormat="1" ht="17.25" customHeight="1" x14ac:dyDescent="0.25">
      <c r="B57" s="527"/>
      <c r="C57" s="529"/>
      <c r="D57" s="211" t="s">
        <v>607</v>
      </c>
      <c r="E57" s="184"/>
      <c r="F57" s="182"/>
      <c r="G57" s="182"/>
      <c r="H57" s="183"/>
      <c r="I57" s="184"/>
      <c r="J57" s="182"/>
      <c r="K57" s="182"/>
      <c r="L57" s="186"/>
      <c r="M57" s="534">
        <f>Q56</f>
        <v>6468</v>
      </c>
      <c r="N57" s="535"/>
      <c r="O57" s="182"/>
      <c r="P57" s="186"/>
      <c r="Q57" s="533"/>
      <c r="R57" s="237"/>
      <c r="S57" s="237"/>
    </row>
    <row r="58" spans="2:19" s="264" customFormat="1" x14ac:dyDescent="0.25">
      <c r="B58" s="253"/>
      <c r="C58" s="254" t="s">
        <v>518</v>
      </c>
      <c r="D58" s="255"/>
      <c r="E58" s="256"/>
      <c r="F58" s="257"/>
      <c r="G58" s="258"/>
      <c r="H58" s="259"/>
      <c r="I58" s="260"/>
      <c r="J58" s="258"/>
      <c r="K58" s="258"/>
      <c r="L58" s="261"/>
      <c r="M58" s="260"/>
      <c r="N58" s="258"/>
      <c r="O58" s="258"/>
      <c r="P58" s="261"/>
      <c r="Q58" s="262"/>
      <c r="R58" s="263"/>
      <c r="S58" s="237"/>
    </row>
    <row r="59" spans="2:19" s="2" customFormat="1" ht="17.25" customHeight="1" x14ac:dyDescent="0.25">
      <c r="B59" s="526" t="s">
        <v>604</v>
      </c>
      <c r="C59" s="528" t="s">
        <v>605</v>
      </c>
      <c r="D59" s="211" t="s">
        <v>606</v>
      </c>
      <c r="E59" s="184"/>
      <c r="F59" s="182"/>
      <c r="G59" s="182"/>
      <c r="H59" s="183"/>
      <c r="I59" s="184"/>
      <c r="J59" s="182"/>
      <c r="K59" s="182"/>
      <c r="L59" s="186"/>
      <c r="M59" s="530">
        <f>M60/Q59</f>
        <v>1</v>
      </c>
      <c r="N59" s="531"/>
      <c r="O59" s="182"/>
      <c r="P59" s="186"/>
      <c r="Q59" s="532">
        <f>CATALOGO!P128</f>
        <v>30184</v>
      </c>
      <c r="R59" s="237"/>
      <c r="S59" s="237"/>
    </row>
    <row r="60" spans="2:19" s="2" customFormat="1" ht="17.25" customHeight="1" x14ac:dyDescent="0.25">
      <c r="B60" s="527"/>
      <c r="C60" s="529"/>
      <c r="D60" s="211" t="s">
        <v>607</v>
      </c>
      <c r="E60" s="184"/>
      <c r="F60" s="182"/>
      <c r="G60" s="182"/>
      <c r="H60" s="183"/>
      <c r="I60" s="184"/>
      <c r="J60" s="182"/>
      <c r="K60" s="182"/>
      <c r="L60" s="186"/>
      <c r="M60" s="534">
        <f>Q59</f>
        <v>30184</v>
      </c>
      <c r="N60" s="535"/>
      <c r="O60" s="182"/>
      <c r="P60" s="186"/>
      <c r="Q60" s="533"/>
      <c r="R60" s="237"/>
      <c r="S60" s="237"/>
    </row>
    <row r="61" spans="2:19" s="2" customFormat="1" ht="17.25" customHeight="1" x14ac:dyDescent="0.25">
      <c r="B61" s="526" t="s">
        <v>614</v>
      </c>
      <c r="C61" s="528" t="s">
        <v>615</v>
      </c>
      <c r="D61" s="211" t="s">
        <v>606</v>
      </c>
      <c r="E61" s="184"/>
      <c r="F61" s="182"/>
      <c r="G61" s="182"/>
      <c r="H61" s="183"/>
      <c r="I61" s="184"/>
      <c r="J61" s="182"/>
      <c r="K61" s="182"/>
      <c r="L61" s="186"/>
      <c r="M61" s="184"/>
      <c r="N61" s="182"/>
      <c r="O61" s="536">
        <f>O62/Q61</f>
        <v>1</v>
      </c>
      <c r="P61" s="537"/>
      <c r="Q61" s="532">
        <f>CATALOGO!P130</f>
        <v>68110</v>
      </c>
      <c r="R61" s="237"/>
      <c r="S61" s="237"/>
    </row>
    <row r="62" spans="2:19" s="2" customFormat="1" ht="17.25" customHeight="1" x14ac:dyDescent="0.25">
      <c r="B62" s="527"/>
      <c r="C62" s="529"/>
      <c r="D62" s="211" t="s">
        <v>607</v>
      </c>
      <c r="E62" s="184"/>
      <c r="F62" s="182"/>
      <c r="G62" s="182"/>
      <c r="H62" s="183"/>
      <c r="I62" s="184"/>
      <c r="J62" s="182"/>
      <c r="K62" s="182"/>
      <c r="L62" s="186"/>
      <c r="M62" s="184"/>
      <c r="N62" s="182"/>
      <c r="O62" s="538">
        <f>Q61</f>
        <v>68110</v>
      </c>
      <c r="P62" s="539"/>
      <c r="Q62" s="533"/>
      <c r="R62" s="237"/>
      <c r="S62" s="237"/>
    </row>
    <row r="63" spans="2:19" s="2" customFormat="1" ht="17.25" customHeight="1" x14ac:dyDescent="0.25">
      <c r="B63" s="526" t="s">
        <v>616</v>
      </c>
      <c r="C63" s="528" t="s">
        <v>617</v>
      </c>
      <c r="D63" s="211" t="s">
        <v>606</v>
      </c>
      <c r="E63" s="184"/>
      <c r="F63" s="182"/>
      <c r="G63" s="182"/>
      <c r="H63" s="183"/>
      <c r="I63" s="184"/>
      <c r="J63" s="182"/>
      <c r="K63" s="182"/>
      <c r="L63" s="186"/>
      <c r="M63" s="184"/>
      <c r="N63" s="182"/>
      <c r="O63" s="536">
        <f>O64/Q63</f>
        <v>1</v>
      </c>
      <c r="P63" s="537"/>
      <c r="Q63" s="532">
        <f>CATALOGO!P134</f>
        <v>48930</v>
      </c>
      <c r="R63" s="237"/>
      <c r="S63" s="237"/>
    </row>
    <row r="64" spans="2:19" s="2" customFormat="1" ht="17.25" customHeight="1" x14ac:dyDescent="0.25">
      <c r="B64" s="527"/>
      <c r="C64" s="529"/>
      <c r="D64" s="211" t="s">
        <v>607</v>
      </c>
      <c r="E64" s="184"/>
      <c r="F64" s="182"/>
      <c r="G64" s="182"/>
      <c r="H64" s="183"/>
      <c r="I64" s="184"/>
      <c r="J64" s="182"/>
      <c r="K64" s="182"/>
      <c r="L64" s="186"/>
      <c r="M64" s="184"/>
      <c r="N64" s="182"/>
      <c r="O64" s="538">
        <f>Q63</f>
        <v>48930</v>
      </c>
      <c r="P64" s="539"/>
      <c r="Q64" s="533"/>
      <c r="R64" s="237"/>
      <c r="S64" s="237"/>
    </row>
    <row r="65" spans="2:19" s="2" customFormat="1" ht="17.25" customHeight="1" x14ac:dyDescent="0.25">
      <c r="B65" s="526" t="s">
        <v>618</v>
      </c>
      <c r="C65" s="528" t="s">
        <v>619</v>
      </c>
      <c r="D65" s="211" t="s">
        <v>606</v>
      </c>
      <c r="E65" s="184"/>
      <c r="F65" s="182"/>
      <c r="G65" s="182"/>
      <c r="H65" s="183"/>
      <c r="I65" s="184"/>
      <c r="J65" s="182"/>
      <c r="K65" s="182"/>
      <c r="L65" s="186"/>
      <c r="M65" s="184"/>
      <c r="N65" s="182"/>
      <c r="O65" s="536">
        <f>O66/Q65</f>
        <v>1</v>
      </c>
      <c r="P65" s="537"/>
      <c r="Q65" s="532">
        <f>CATALOGO!P136</f>
        <v>5166</v>
      </c>
      <c r="R65" s="237"/>
      <c r="S65" s="237"/>
    </row>
    <row r="66" spans="2:19" s="2" customFormat="1" ht="17.25" customHeight="1" x14ac:dyDescent="0.25">
      <c r="B66" s="527"/>
      <c r="C66" s="529"/>
      <c r="D66" s="211" t="s">
        <v>607</v>
      </c>
      <c r="E66" s="184"/>
      <c r="F66" s="182"/>
      <c r="G66" s="182"/>
      <c r="H66" s="183"/>
      <c r="I66" s="184"/>
      <c r="J66" s="182"/>
      <c r="K66" s="182"/>
      <c r="L66" s="186"/>
      <c r="M66" s="184"/>
      <c r="N66" s="182"/>
      <c r="O66" s="538">
        <f>Q65</f>
        <v>5166</v>
      </c>
      <c r="P66" s="539"/>
      <c r="Q66" s="533"/>
      <c r="R66" s="237"/>
      <c r="S66" s="237"/>
    </row>
    <row r="67" spans="2:19" s="2" customFormat="1" ht="17.25" customHeight="1" x14ac:dyDescent="0.25">
      <c r="B67" s="526" t="s">
        <v>620</v>
      </c>
      <c r="C67" s="528" t="s">
        <v>621</v>
      </c>
      <c r="D67" s="211" t="s">
        <v>606</v>
      </c>
      <c r="E67" s="184"/>
      <c r="F67" s="182"/>
      <c r="G67" s="182"/>
      <c r="H67" s="183"/>
      <c r="I67" s="184"/>
      <c r="J67" s="182"/>
      <c r="K67" s="182"/>
      <c r="L67" s="186"/>
      <c r="M67" s="184"/>
      <c r="N67" s="182"/>
      <c r="O67" s="536">
        <f>O68/Q67</f>
        <v>1</v>
      </c>
      <c r="P67" s="537"/>
      <c r="Q67" s="532">
        <f>CATALOGO!P139</f>
        <v>39319</v>
      </c>
      <c r="R67" s="237"/>
      <c r="S67" s="237"/>
    </row>
    <row r="68" spans="2:19" s="2" customFormat="1" ht="17.25" customHeight="1" x14ac:dyDescent="0.25">
      <c r="B68" s="527"/>
      <c r="C68" s="529"/>
      <c r="D68" s="211" t="s">
        <v>607</v>
      </c>
      <c r="E68" s="184"/>
      <c r="F68" s="182"/>
      <c r="G68" s="182"/>
      <c r="H68" s="183"/>
      <c r="I68" s="184"/>
      <c r="J68" s="182"/>
      <c r="K68" s="182"/>
      <c r="L68" s="186"/>
      <c r="M68" s="184"/>
      <c r="N68" s="182"/>
      <c r="O68" s="538">
        <f>Q67</f>
        <v>39319</v>
      </c>
      <c r="P68" s="539"/>
      <c r="Q68" s="533"/>
      <c r="R68" s="237"/>
      <c r="S68" s="237"/>
    </row>
    <row r="69" spans="2:19" s="2" customFormat="1" ht="17.25" customHeight="1" x14ac:dyDescent="0.25">
      <c r="B69" s="526" t="s">
        <v>626</v>
      </c>
      <c r="C69" s="528" t="s">
        <v>627</v>
      </c>
      <c r="D69" s="211" t="s">
        <v>606</v>
      </c>
      <c r="E69" s="184"/>
      <c r="F69" s="182"/>
      <c r="G69" s="182"/>
      <c r="H69" s="183"/>
      <c r="I69" s="184"/>
      <c r="J69" s="182"/>
      <c r="K69" s="182"/>
      <c r="L69" s="186"/>
      <c r="M69" s="184"/>
      <c r="N69" s="182"/>
      <c r="O69" s="536">
        <f>O70/Q69</f>
        <v>1</v>
      </c>
      <c r="P69" s="537"/>
      <c r="Q69" s="532">
        <f>CATALOGO!P143</f>
        <v>19698</v>
      </c>
      <c r="R69" s="237"/>
      <c r="S69" s="237"/>
    </row>
    <row r="70" spans="2:19" s="2" customFormat="1" ht="17.25" customHeight="1" x14ac:dyDescent="0.25">
      <c r="B70" s="527"/>
      <c r="C70" s="529"/>
      <c r="D70" s="211" t="s">
        <v>607</v>
      </c>
      <c r="E70" s="184"/>
      <c r="F70" s="182"/>
      <c r="G70" s="182"/>
      <c r="H70" s="183"/>
      <c r="I70" s="184"/>
      <c r="J70" s="182"/>
      <c r="K70" s="182"/>
      <c r="L70" s="186"/>
      <c r="M70" s="184"/>
      <c r="N70" s="182"/>
      <c r="O70" s="538">
        <f>Q69</f>
        <v>19698</v>
      </c>
      <c r="P70" s="539"/>
      <c r="Q70" s="533"/>
      <c r="R70" s="237"/>
      <c r="S70" s="237"/>
    </row>
    <row r="71" spans="2:19" s="264" customFormat="1" x14ac:dyDescent="0.25">
      <c r="B71" s="253"/>
      <c r="C71" s="254" t="s">
        <v>561</v>
      </c>
      <c r="D71" s="255"/>
      <c r="E71" s="256"/>
      <c r="F71" s="257"/>
      <c r="G71" s="258"/>
      <c r="H71" s="259"/>
      <c r="I71" s="260"/>
      <c r="J71" s="258"/>
      <c r="K71" s="258"/>
      <c r="L71" s="261"/>
      <c r="M71" s="260"/>
      <c r="N71" s="258"/>
      <c r="O71" s="258"/>
      <c r="P71" s="261"/>
      <c r="Q71" s="262"/>
      <c r="R71" s="263"/>
      <c r="S71" s="237"/>
    </row>
    <row r="72" spans="2:19" s="2" customFormat="1" ht="17.25" customHeight="1" x14ac:dyDescent="0.25">
      <c r="B72" s="526" t="s">
        <v>604</v>
      </c>
      <c r="C72" s="528" t="s">
        <v>605</v>
      </c>
      <c r="D72" s="211" t="s">
        <v>606</v>
      </c>
      <c r="E72" s="184"/>
      <c r="F72" s="182"/>
      <c r="G72" s="182"/>
      <c r="H72" s="183"/>
      <c r="I72" s="184"/>
      <c r="J72" s="182"/>
      <c r="K72" s="182"/>
      <c r="L72" s="186"/>
      <c r="M72" s="184"/>
      <c r="N72" s="182"/>
      <c r="O72" s="182"/>
      <c r="P72" s="186"/>
      <c r="Q72" s="532">
        <f>CATALOGO!P127</f>
        <v>27720</v>
      </c>
      <c r="R72" s="237"/>
      <c r="S72" s="237"/>
    </row>
    <row r="73" spans="2:19" s="2" customFormat="1" ht="17.25" customHeight="1" x14ac:dyDescent="0.25">
      <c r="B73" s="527"/>
      <c r="C73" s="529"/>
      <c r="D73" s="211" t="s">
        <v>607</v>
      </c>
      <c r="E73" s="184"/>
      <c r="F73" s="182"/>
      <c r="G73" s="182"/>
      <c r="H73" s="183"/>
      <c r="I73" s="184"/>
      <c r="J73" s="182"/>
      <c r="K73" s="182"/>
      <c r="L73" s="186"/>
      <c r="M73" s="184"/>
      <c r="N73" s="182"/>
      <c r="O73" s="182"/>
      <c r="P73" s="186"/>
      <c r="Q73" s="533"/>
      <c r="R73" s="237"/>
      <c r="S73" s="237"/>
    </row>
    <row r="74" spans="2:19" s="264" customFormat="1" x14ac:dyDescent="0.25">
      <c r="B74" s="240"/>
      <c r="C74" s="241" t="s">
        <v>520</v>
      </c>
      <c r="D74" s="242"/>
      <c r="E74" s="243"/>
      <c r="F74" s="244"/>
      <c r="G74" s="244"/>
      <c r="H74" s="245"/>
      <c r="I74" s="246"/>
      <c r="J74" s="244"/>
      <c r="K74" s="244"/>
      <c r="L74" s="247"/>
      <c r="M74" s="260"/>
      <c r="N74" s="258"/>
      <c r="O74" s="258"/>
      <c r="P74" s="261"/>
      <c r="Q74" s="252"/>
      <c r="S74" s="237"/>
    </row>
    <row r="75" spans="2:19" s="2" customFormat="1" ht="17.25" customHeight="1" x14ac:dyDescent="0.25">
      <c r="B75" s="526" t="s">
        <v>604</v>
      </c>
      <c r="C75" s="528" t="s">
        <v>605</v>
      </c>
      <c r="D75" s="211" t="s">
        <v>606</v>
      </c>
      <c r="E75" s="530">
        <f>E76/Q75</f>
        <v>1</v>
      </c>
      <c r="F75" s="531"/>
      <c r="G75" s="182"/>
      <c r="H75" s="183"/>
      <c r="I75" s="184"/>
      <c r="J75" s="182"/>
      <c r="K75" s="182"/>
      <c r="L75" s="186"/>
      <c r="M75" s="184"/>
      <c r="N75" s="182"/>
      <c r="O75" s="182"/>
      <c r="P75" s="186"/>
      <c r="Q75" s="532">
        <f>CATALOGO!P146</f>
        <v>616</v>
      </c>
      <c r="R75" s="237"/>
      <c r="S75" s="237"/>
    </row>
    <row r="76" spans="2:19" s="2" customFormat="1" ht="17.25" customHeight="1" x14ac:dyDescent="0.25">
      <c r="B76" s="527"/>
      <c r="C76" s="529"/>
      <c r="D76" s="211" t="s">
        <v>607</v>
      </c>
      <c r="E76" s="534">
        <f>Q75</f>
        <v>616</v>
      </c>
      <c r="F76" s="535"/>
      <c r="G76" s="182"/>
      <c r="H76" s="183"/>
      <c r="I76" s="184"/>
      <c r="J76" s="182"/>
      <c r="K76" s="182"/>
      <c r="L76" s="186"/>
      <c r="M76" s="184"/>
      <c r="N76" s="182"/>
      <c r="O76" s="182"/>
      <c r="P76" s="186"/>
      <c r="Q76" s="533"/>
      <c r="R76" s="237"/>
      <c r="S76" s="237"/>
    </row>
    <row r="77" spans="2:19" s="2" customFormat="1" ht="17.25" customHeight="1" x14ac:dyDescent="0.25">
      <c r="B77" s="526" t="s">
        <v>616</v>
      </c>
      <c r="C77" s="528" t="s">
        <v>617</v>
      </c>
      <c r="D77" s="211" t="s">
        <v>606</v>
      </c>
      <c r="E77" s="184"/>
      <c r="F77" s="182"/>
      <c r="G77" s="182"/>
      <c r="H77" s="183"/>
      <c r="I77" s="530">
        <f>I78/Q77</f>
        <v>1</v>
      </c>
      <c r="J77" s="531"/>
      <c r="K77" s="182"/>
      <c r="L77" s="186"/>
      <c r="M77" s="184"/>
      <c r="N77" s="182"/>
      <c r="O77" s="182"/>
      <c r="P77" s="186"/>
      <c r="Q77" s="532">
        <f>CATALOGO!P151</f>
        <v>3780</v>
      </c>
      <c r="R77" s="237"/>
      <c r="S77" s="237"/>
    </row>
    <row r="78" spans="2:19" s="2" customFormat="1" ht="17.25" customHeight="1" x14ac:dyDescent="0.25">
      <c r="B78" s="527"/>
      <c r="C78" s="529"/>
      <c r="D78" s="211" t="s">
        <v>607</v>
      </c>
      <c r="E78" s="184"/>
      <c r="F78" s="182"/>
      <c r="G78" s="182"/>
      <c r="H78" s="183"/>
      <c r="I78" s="534">
        <f>Q77</f>
        <v>3780</v>
      </c>
      <c r="J78" s="535"/>
      <c r="K78" s="182"/>
      <c r="L78" s="186"/>
      <c r="M78" s="184"/>
      <c r="N78" s="182"/>
      <c r="O78" s="182"/>
      <c r="P78" s="186"/>
      <c r="Q78" s="533"/>
      <c r="R78" s="237"/>
      <c r="S78" s="237"/>
    </row>
    <row r="79" spans="2:19" s="2" customFormat="1" ht="17.25" customHeight="1" x14ac:dyDescent="0.25">
      <c r="B79" s="526" t="s">
        <v>618</v>
      </c>
      <c r="C79" s="528" t="s">
        <v>619</v>
      </c>
      <c r="D79" s="211" t="s">
        <v>606</v>
      </c>
      <c r="E79" s="184"/>
      <c r="F79" s="182"/>
      <c r="G79" s="182"/>
      <c r="H79" s="183"/>
      <c r="I79" s="530">
        <f>I80/Q79</f>
        <v>1</v>
      </c>
      <c r="J79" s="531"/>
      <c r="K79" s="182"/>
      <c r="L79" s="186"/>
      <c r="M79" s="184"/>
      <c r="N79" s="182"/>
      <c r="O79" s="182"/>
      <c r="P79" s="186"/>
      <c r="Q79" s="532">
        <f>CATALOGO!P153</f>
        <v>5166</v>
      </c>
      <c r="R79" s="237"/>
    </row>
    <row r="80" spans="2:19" s="2" customFormat="1" ht="17.25" customHeight="1" x14ac:dyDescent="0.25">
      <c r="B80" s="527"/>
      <c r="C80" s="529"/>
      <c r="D80" s="211" t="s">
        <v>607</v>
      </c>
      <c r="E80" s="184"/>
      <c r="F80" s="182"/>
      <c r="G80" s="182"/>
      <c r="H80" s="183"/>
      <c r="I80" s="534">
        <f>Q79</f>
        <v>5166</v>
      </c>
      <c r="J80" s="535"/>
      <c r="K80" s="182"/>
      <c r="L80" s="186"/>
      <c r="M80" s="184"/>
      <c r="N80" s="182"/>
      <c r="O80" s="182"/>
      <c r="P80" s="186"/>
      <c r="Q80" s="533"/>
      <c r="R80" s="237"/>
    </row>
    <row r="81" spans="2:18" s="2" customFormat="1" ht="17.25" customHeight="1" x14ac:dyDescent="0.25">
      <c r="B81" s="526" t="s">
        <v>624</v>
      </c>
      <c r="C81" s="528" t="s">
        <v>625</v>
      </c>
      <c r="D81" s="211" t="s">
        <v>606</v>
      </c>
      <c r="E81" s="184"/>
      <c r="F81" s="182"/>
      <c r="G81" s="182"/>
      <c r="H81" s="183"/>
      <c r="I81" s="184"/>
      <c r="J81" s="536">
        <f>J82/Q81</f>
        <v>1</v>
      </c>
      <c r="K81" s="531"/>
      <c r="L81" s="186"/>
      <c r="M81" s="184"/>
      <c r="N81" s="182"/>
      <c r="O81" s="182"/>
      <c r="P81" s="186"/>
      <c r="Q81" s="532">
        <f>CATALOGO!P156</f>
        <v>6958</v>
      </c>
      <c r="R81" s="237"/>
    </row>
    <row r="82" spans="2:18" s="2" customFormat="1" ht="17.25" customHeight="1" x14ac:dyDescent="0.25">
      <c r="B82" s="527"/>
      <c r="C82" s="529"/>
      <c r="D82" s="211" t="s">
        <v>607</v>
      </c>
      <c r="E82" s="184"/>
      <c r="F82" s="182"/>
      <c r="G82" s="182"/>
      <c r="H82" s="183"/>
      <c r="I82" s="184"/>
      <c r="J82" s="538">
        <f>Q81</f>
        <v>6958</v>
      </c>
      <c r="K82" s="535"/>
      <c r="L82" s="186"/>
      <c r="M82" s="184"/>
      <c r="N82" s="182"/>
      <c r="O82" s="182"/>
      <c r="P82" s="186"/>
      <c r="Q82" s="533"/>
      <c r="R82" s="237"/>
    </row>
    <row r="83" spans="2:18" s="264" customFormat="1" x14ac:dyDescent="0.25">
      <c r="B83" s="240"/>
      <c r="C83" s="241" t="s">
        <v>563</v>
      </c>
      <c r="D83" s="242"/>
      <c r="E83" s="243"/>
      <c r="F83" s="244"/>
      <c r="G83" s="244"/>
      <c r="H83" s="245"/>
      <c r="I83" s="246"/>
      <c r="J83" s="244"/>
      <c r="K83" s="244"/>
      <c r="L83" s="247"/>
      <c r="M83" s="260"/>
      <c r="N83" s="258"/>
      <c r="O83" s="258"/>
      <c r="P83" s="261"/>
      <c r="Q83" s="252"/>
    </row>
    <row r="84" spans="2:18" s="2" customFormat="1" ht="17.25" customHeight="1" x14ac:dyDescent="0.25">
      <c r="B84" s="526" t="s">
        <v>604</v>
      </c>
      <c r="C84" s="528" t="s">
        <v>605</v>
      </c>
      <c r="D84" s="211" t="s">
        <v>606</v>
      </c>
      <c r="E84" s="530">
        <f>E85/Q84</f>
        <v>1</v>
      </c>
      <c r="F84" s="531"/>
      <c r="G84" s="182"/>
      <c r="H84" s="183"/>
      <c r="I84" s="184"/>
      <c r="J84" s="182"/>
      <c r="K84" s="182"/>
      <c r="L84" s="186"/>
      <c r="M84" s="184"/>
      <c r="N84" s="182"/>
      <c r="O84" s="182"/>
      <c r="P84" s="186"/>
      <c r="Q84" s="532">
        <f>CATALOGO!P148</f>
        <v>1232</v>
      </c>
      <c r="R84" s="237"/>
    </row>
    <row r="85" spans="2:18" s="2" customFormat="1" ht="17.25" customHeight="1" x14ac:dyDescent="0.25">
      <c r="B85" s="527"/>
      <c r="C85" s="529"/>
      <c r="D85" s="211" t="s">
        <v>607</v>
      </c>
      <c r="E85" s="534">
        <f>Q84</f>
        <v>1232</v>
      </c>
      <c r="F85" s="535"/>
      <c r="G85" s="182"/>
      <c r="H85" s="183"/>
      <c r="I85" s="184"/>
      <c r="J85" s="182"/>
      <c r="K85" s="182"/>
      <c r="L85" s="186"/>
      <c r="M85" s="184"/>
      <c r="N85" s="182"/>
      <c r="O85" s="182"/>
      <c r="P85" s="186"/>
      <c r="Q85" s="533"/>
      <c r="R85" s="237"/>
    </row>
    <row r="86" spans="2:18" s="264" customFormat="1" x14ac:dyDescent="0.25">
      <c r="B86" s="240"/>
      <c r="C86" s="241" t="s">
        <v>564</v>
      </c>
      <c r="D86" s="242"/>
      <c r="E86" s="243"/>
      <c r="F86" s="244"/>
      <c r="G86" s="244"/>
      <c r="H86" s="245"/>
      <c r="I86" s="246"/>
      <c r="J86" s="244"/>
      <c r="K86" s="244"/>
      <c r="L86" s="247"/>
      <c r="M86" s="260"/>
      <c r="N86" s="258"/>
      <c r="O86" s="258"/>
      <c r="P86" s="261"/>
      <c r="Q86" s="252"/>
    </row>
    <row r="87" spans="2:18" s="2" customFormat="1" ht="17.25" customHeight="1" x14ac:dyDescent="0.25">
      <c r="B87" s="526" t="s">
        <v>618</v>
      </c>
      <c r="C87" s="528" t="s">
        <v>619</v>
      </c>
      <c r="D87" s="211" t="s">
        <v>606</v>
      </c>
      <c r="E87" s="184"/>
      <c r="F87" s="182"/>
      <c r="G87" s="182"/>
      <c r="H87" s="183"/>
      <c r="I87" s="184"/>
      <c r="J87" s="182"/>
      <c r="K87" s="182"/>
      <c r="L87" s="186"/>
      <c r="M87" s="184"/>
      <c r="N87" s="182"/>
      <c r="O87" s="536">
        <f>O88/Q87</f>
        <v>1</v>
      </c>
      <c r="P87" s="537"/>
      <c r="Q87" s="532">
        <f>CATALOGO!P159</f>
        <v>2541</v>
      </c>
      <c r="R87" s="237"/>
    </row>
    <row r="88" spans="2:18" s="2" customFormat="1" ht="17.25" customHeight="1" x14ac:dyDescent="0.25">
      <c r="B88" s="527"/>
      <c r="C88" s="529"/>
      <c r="D88" s="211" t="s">
        <v>607</v>
      </c>
      <c r="E88" s="184"/>
      <c r="F88" s="182"/>
      <c r="G88" s="182"/>
      <c r="H88" s="183"/>
      <c r="I88" s="184"/>
      <c r="J88" s="182"/>
      <c r="K88" s="182"/>
      <c r="L88" s="186"/>
      <c r="M88" s="184"/>
      <c r="N88" s="182"/>
      <c r="O88" s="538">
        <f>Q87</f>
        <v>2541</v>
      </c>
      <c r="P88" s="539"/>
      <c r="Q88" s="533"/>
      <c r="R88" s="237"/>
    </row>
    <row r="89" spans="2:18" s="2" customFormat="1" ht="17.25" customHeight="1" x14ac:dyDescent="0.25">
      <c r="B89" s="526" t="s">
        <v>622</v>
      </c>
      <c r="C89" s="528" t="s">
        <v>623</v>
      </c>
      <c r="D89" s="211" t="s">
        <v>606</v>
      </c>
      <c r="E89" s="184"/>
      <c r="F89" s="182"/>
      <c r="G89" s="182"/>
      <c r="H89" s="183"/>
      <c r="I89" s="184"/>
      <c r="J89" s="182"/>
      <c r="K89" s="182"/>
      <c r="L89" s="186"/>
      <c r="M89" s="530">
        <f>M90/Q89</f>
        <v>1</v>
      </c>
      <c r="N89" s="531"/>
      <c r="O89" s="564"/>
      <c r="P89" s="565"/>
      <c r="Q89" s="532">
        <f>CATALOGO!P161</f>
        <v>8757</v>
      </c>
      <c r="R89" s="237"/>
    </row>
    <row r="90" spans="2:18" s="2" customFormat="1" ht="17.25" customHeight="1" x14ac:dyDescent="0.25">
      <c r="B90" s="527"/>
      <c r="C90" s="529"/>
      <c r="D90" s="211" t="s">
        <v>607</v>
      </c>
      <c r="E90" s="184"/>
      <c r="F90" s="182"/>
      <c r="G90" s="182"/>
      <c r="H90" s="183"/>
      <c r="I90" s="184"/>
      <c r="J90" s="182"/>
      <c r="K90" s="182"/>
      <c r="L90" s="186"/>
      <c r="M90" s="534">
        <f>Q89</f>
        <v>8757</v>
      </c>
      <c r="N90" s="535"/>
      <c r="O90" s="538"/>
      <c r="P90" s="539"/>
      <c r="Q90" s="533"/>
      <c r="R90" s="237"/>
    </row>
    <row r="91" spans="2:18" s="2" customFormat="1" ht="17.25" customHeight="1" x14ac:dyDescent="0.25">
      <c r="B91" s="526" t="s">
        <v>632</v>
      </c>
      <c r="C91" s="528" t="s">
        <v>564</v>
      </c>
      <c r="D91" s="211" t="s">
        <v>606</v>
      </c>
      <c r="E91" s="184"/>
      <c r="F91" s="182"/>
      <c r="G91" s="182"/>
      <c r="H91" s="183"/>
      <c r="I91" s="184"/>
      <c r="J91" s="182"/>
      <c r="K91" s="182"/>
      <c r="L91" s="186"/>
      <c r="M91" s="184"/>
      <c r="N91" s="182"/>
      <c r="O91" s="536">
        <f>O92/Q91</f>
        <v>1</v>
      </c>
      <c r="P91" s="537"/>
      <c r="Q91" s="532">
        <f>CATALOGO!P164</f>
        <v>56973</v>
      </c>
      <c r="R91" s="237"/>
    </row>
    <row r="92" spans="2:18" s="2" customFormat="1" ht="17.25" customHeight="1" thickBot="1" x14ac:dyDescent="0.3">
      <c r="B92" s="561"/>
      <c r="C92" s="562"/>
      <c r="D92" s="212" t="s">
        <v>607</v>
      </c>
      <c r="E92" s="187"/>
      <c r="F92" s="188"/>
      <c r="G92" s="188"/>
      <c r="H92" s="189"/>
      <c r="I92" s="187"/>
      <c r="J92" s="188"/>
      <c r="K92" s="188"/>
      <c r="L92" s="239"/>
      <c r="M92" s="187"/>
      <c r="N92" s="188"/>
      <c r="O92" s="538">
        <f>Q91</f>
        <v>56973</v>
      </c>
      <c r="P92" s="539"/>
      <c r="Q92" s="563"/>
      <c r="R92" s="237"/>
    </row>
    <row r="94" spans="2:18" x14ac:dyDescent="0.25">
      <c r="Q94" s="265">
        <f>SUM(Q14:Q92)</f>
        <v>523602.87</v>
      </c>
    </row>
  </sheetData>
  <mergeCells count="202">
    <mergeCell ref="O91:P91"/>
    <mergeCell ref="O92:P92"/>
    <mergeCell ref="M89:N89"/>
    <mergeCell ref="M90:N90"/>
    <mergeCell ref="E11:P11"/>
    <mergeCell ref="F21:G21"/>
    <mergeCell ref="F20:G20"/>
    <mergeCell ref="F19:G19"/>
    <mergeCell ref="F18:G18"/>
    <mergeCell ref="I12:L12"/>
    <mergeCell ref="E12:H12"/>
    <mergeCell ref="O90:P90"/>
    <mergeCell ref="K35:L35"/>
    <mergeCell ref="K36:L36"/>
    <mergeCell ref="K37:L37"/>
    <mergeCell ref="M38:N38"/>
    <mergeCell ref="M39:N39"/>
    <mergeCell ref="N40:O40"/>
    <mergeCell ref="N41:O41"/>
    <mergeCell ref="G22:H22"/>
    <mergeCell ref="G23:H23"/>
    <mergeCell ref="I24:J24"/>
    <mergeCell ref="I25:J25"/>
    <mergeCell ref="J32:K32"/>
    <mergeCell ref="B91:B92"/>
    <mergeCell ref="C91:C92"/>
    <mergeCell ref="Q91:Q92"/>
    <mergeCell ref="M56:N56"/>
    <mergeCell ref="M59:N59"/>
    <mergeCell ref="M60:N60"/>
    <mergeCell ref="O61:P61"/>
    <mergeCell ref="O62:P62"/>
    <mergeCell ref="O63:P63"/>
    <mergeCell ref="O64:P64"/>
    <mergeCell ref="B87:B88"/>
    <mergeCell ref="C87:C88"/>
    <mergeCell ref="Q87:Q88"/>
    <mergeCell ref="B89:B90"/>
    <mergeCell ref="C89:C90"/>
    <mergeCell ref="Q89:Q90"/>
    <mergeCell ref="B84:B85"/>
    <mergeCell ref="C84:C85"/>
    <mergeCell ref="E84:F84"/>
    <mergeCell ref="Q84:Q85"/>
    <mergeCell ref="E85:F85"/>
    <mergeCell ref="O87:P87"/>
    <mergeCell ref="O88:P88"/>
    <mergeCell ref="O89:P89"/>
    <mergeCell ref="C81:C82"/>
    <mergeCell ref="J81:K81"/>
    <mergeCell ref="Q81:Q82"/>
    <mergeCell ref="J82:K82"/>
    <mergeCell ref="B77:B78"/>
    <mergeCell ref="C77:C78"/>
    <mergeCell ref="I77:J77"/>
    <mergeCell ref="Q77:Q78"/>
    <mergeCell ref="I78:J78"/>
    <mergeCell ref="B81:B82"/>
    <mergeCell ref="B72:B73"/>
    <mergeCell ref="C72:C73"/>
    <mergeCell ref="Q72:Q73"/>
    <mergeCell ref="B65:B66"/>
    <mergeCell ref="C65:C66"/>
    <mergeCell ref="Q65:Q66"/>
    <mergeCell ref="B67:B68"/>
    <mergeCell ref="C67:C68"/>
    <mergeCell ref="Q67:Q68"/>
    <mergeCell ref="O65:P65"/>
    <mergeCell ref="O66:P66"/>
    <mergeCell ref="O67:P67"/>
    <mergeCell ref="O68:P68"/>
    <mergeCell ref="O69:P69"/>
    <mergeCell ref="O70:P70"/>
    <mergeCell ref="Q61:Q62"/>
    <mergeCell ref="B63:B64"/>
    <mergeCell ref="C63:C64"/>
    <mergeCell ref="Q63:Q64"/>
    <mergeCell ref="B59:B60"/>
    <mergeCell ref="C59:C60"/>
    <mergeCell ref="Q59:Q60"/>
    <mergeCell ref="B69:B70"/>
    <mergeCell ref="C69:C70"/>
    <mergeCell ref="Q69:Q70"/>
    <mergeCell ref="B61:B62"/>
    <mergeCell ref="C61:C62"/>
    <mergeCell ref="B43:B44"/>
    <mergeCell ref="C43:C44"/>
    <mergeCell ref="E43:F43"/>
    <mergeCell ref="E44:F44"/>
    <mergeCell ref="Q38:Q39"/>
    <mergeCell ref="B36:B37"/>
    <mergeCell ref="C36:C37"/>
    <mergeCell ref="Q34:Q35"/>
    <mergeCell ref="Q36:Q37"/>
    <mergeCell ref="B34:B35"/>
    <mergeCell ref="C34:C35"/>
    <mergeCell ref="Q40:Q41"/>
    <mergeCell ref="B40:B41"/>
    <mergeCell ref="C40:C41"/>
    <mergeCell ref="C38:C39"/>
    <mergeCell ref="K34:L34"/>
    <mergeCell ref="Q43:Q44"/>
    <mergeCell ref="B38:B39"/>
    <mergeCell ref="P7:Q7"/>
    <mergeCell ref="P9:Q9"/>
    <mergeCell ref="B14:B15"/>
    <mergeCell ref="C14:C15"/>
    <mergeCell ref="C20:C21"/>
    <mergeCell ref="Q20:Q21"/>
    <mergeCell ref="Q16:Q17"/>
    <mergeCell ref="B11:B12"/>
    <mergeCell ref="M12:P12"/>
    <mergeCell ref="B16:B17"/>
    <mergeCell ref="C16:C17"/>
    <mergeCell ref="E14:F14"/>
    <mergeCell ref="E15:F15"/>
    <mergeCell ref="E16:F16"/>
    <mergeCell ref="E17:F17"/>
    <mergeCell ref="Q14:Q15"/>
    <mergeCell ref="K8:L8"/>
    <mergeCell ref="B9:C9"/>
    <mergeCell ref="G7:K7"/>
    <mergeCell ref="E7:F7"/>
    <mergeCell ref="B32:B33"/>
    <mergeCell ref="C32:C33"/>
    <mergeCell ref="Q32:Q33"/>
    <mergeCell ref="J33:K33"/>
    <mergeCell ref="B28:B29"/>
    <mergeCell ref="C28:C29"/>
    <mergeCell ref="Q11:Q12"/>
    <mergeCell ref="D11:D12"/>
    <mergeCell ref="C11:C12"/>
    <mergeCell ref="Q18:Q19"/>
    <mergeCell ref="B22:B23"/>
    <mergeCell ref="C22:C23"/>
    <mergeCell ref="Q22:Q23"/>
    <mergeCell ref="Q24:Q25"/>
    <mergeCell ref="Q30:Q31"/>
    <mergeCell ref="Q26:Q27"/>
    <mergeCell ref="Q28:Q29"/>
    <mergeCell ref="B20:B21"/>
    <mergeCell ref="B24:B25"/>
    <mergeCell ref="C24:C25"/>
    <mergeCell ref="B30:B31"/>
    <mergeCell ref="C30:C31"/>
    <mergeCell ref="B26:B27"/>
    <mergeCell ref="C26:C27"/>
    <mergeCell ref="B2:D2"/>
    <mergeCell ref="B3:D3"/>
    <mergeCell ref="B4:D4"/>
    <mergeCell ref="B5:D5"/>
    <mergeCell ref="C7:D7"/>
    <mergeCell ref="N7:O7"/>
    <mergeCell ref="N9:O9"/>
    <mergeCell ref="B18:B19"/>
    <mergeCell ref="E9:L9"/>
    <mergeCell ref="C18:C19"/>
    <mergeCell ref="I26:J26"/>
    <mergeCell ref="I27:J27"/>
    <mergeCell ref="I28:J28"/>
    <mergeCell ref="I29:J29"/>
    <mergeCell ref="J30:K30"/>
    <mergeCell ref="J31:K31"/>
    <mergeCell ref="G45:H45"/>
    <mergeCell ref="G46:H46"/>
    <mergeCell ref="I47:J47"/>
    <mergeCell ref="I48:J48"/>
    <mergeCell ref="B49:B50"/>
    <mergeCell ref="B45:B46"/>
    <mergeCell ref="C45:C46"/>
    <mergeCell ref="Q45:Q46"/>
    <mergeCell ref="Q47:Q48"/>
    <mergeCell ref="B47:B48"/>
    <mergeCell ref="C47:C48"/>
    <mergeCell ref="Q53:Q54"/>
    <mergeCell ref="K53:L53"/>
    <mergeCell ref="K54:L54"/>
    <mergeCell ref="Q56:Q57"/>
    <mergeCell ref="B56:B57"/>
    <mergeCell ref="C56:C57"/>
    <mergeCell ref="C49:C50"/>
    <mergeCell ref="I49:J49"/>
    <mergeCell ref="Q49:Q50"/>
    <mergeCell ref="I50:J50"/>
    <mergeCell ref="B51:B52"/>
    <mergeCell ref="C51:C52"/>
    <mergeCell ref="I51:J51"/>
    <mergeCell ref="Q51:Q52"/>
    <mergeCell ref="I52:J52"/>
    <mergeCell ref="M57:N57"/>
    <mergeCell ref="B53:B54"/>
    <mergeCell ref="C53:C54"/>
    <mergeCell ref="B75:B76"/>
    <mergeCell ref="C75:C76"/>
    <mergeCell ref="E75:F75"/>
    <mergeCell ref="Q75:Q76"/>
    <mergeCell ref="E76:F76"/>
    <mergeCell ref="B79:B80"/>
    <mergeCell ref="C79:C80"/>
    <mergeCell ref="I79:J79"/>
    <mergeCell ref="Q79:Q80"/>
    <mergeCell ref="I80:J80"/>
  </mergeCells>
  <printOptions horizontalCentered="1"/>
  <pageMargins left="0.19685039370078741" right="0.19685039370078741" top="0.19685039370078741" bottom="0.98425196850393704" header="0.31496062992125984" footer="0.31496062992125984"/>
  <pageSetup paperSize="5" scale="50" fitToHeight="0" orientation="landscape" r:id="rId1"/>
  <rowBreaks count="1" manualBreakCount="1">
    <brk id="48" min="1" max="16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55" zoomScale="66" zoomScaleNormal="66" workbookViewId="0">
      <selection activeCell="D79" sqref="D79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13.7109375" style="12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ROUNDUP((+SUMIF(UNITARIOS!C:C,Tabla1[[#This Row],[MATERIALES]],UNITARIOS!E:E)),0)</f>
        <v>0</v>
      </c>
      <c r="F2" s="16">
        <f>Tabla1[[#This Row],[PRECIO]]*Tabla1[[#This Row],[CANTIDAD]]</f>
        <v>0</v>
      </c>
      <c r="I2" s="6" t="s">
        <v>396</v>
      </c>
      <c r="J2" s="9" t="s">
        <v>24</v>
      </c>
      <c r="K2" s="14">
        <v>20</v>
      </c>
      <c r="L2" s="26">
        <f>ROUNDUP((+SUMIF(UNITARIOS!C:C,Tabla2[[#This Row],[MANO DE OBRA]],UNITARIOS!E:E)),0)</f>
        <v>0</v>
      </c>
      <c r="M2" s="14">
        <f>Tabla2[[#This Row],[PRECIO]]*Tabla2[[#This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ROUNDUP((+SUMIF(UNITARIOS!C:C,Tabla3[[#This Row],[EQUIPO]],UNITARIOS!E:E)),0)</f>
        <v>6</v>
      </c>
      <c r="T2" s="34">
        <f>Tabla3[[#This Row],[PRECIO]]*Tabla3[[#This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ROUNDUP((+SUMIF(UNITARIOS!C:C,Tabla1[[#This Row],[MATERIALES]],UNITARIOS!E:E)),0)</f>
        <v>0</v>
      </c>
      <c r="F3" s="16">
        <f>Tabla1[[#This Row],[PRECIO]]*Tabla1[[#This Row],[CANTIDAD]]</f>
        <v>0</v>
      </c>
      <c r="I3" s="6" t="s">
        <v>330</v>
      </c>
      <c r="J3" s="9" t="s">
        <v>24</v>
      </c>
      <c r="K3" s="14">
        <v>50</v>
      </c>
      <c r="L3" s="26">
        <f>ROUNDUP((+SUMIF(UNITARIOS!C:C,Tabla2[[#This Row],[MANO DE OBRA]],UNITARIOS!E:E)),0)</f>
        <v>0</v>
      </c>
      <c r="M3" s="14">
        <f>Tabla2[[#This Row],[PRECIO]]*Tabla2[[#This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ROUNDUP((+SUMIF(UNITARIOS!C:C,Tabla3[[#This Row],[EQUIPO]],UNITARIOS!E:E)),0)</f>
        <v>0</v>
      </c>
      <c r="T3" s="12">
        <f>Tabla3[[#This Row],[PRECIO]]*Tabla3[[#This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ROUNDUP((+SUMIF(UNITARIOS!C:C,Tabla1[[#This Row],[MATERIALES]],UNITARIOS!E:E)),0)</f>
        <v>144</v>
      </c>
      <c r="F4" s="16">
        <f>Tabla1[[#This Row],[PRECIO]]*Tabla1[[#This Row],[CANTIDAD]]</f>
        <v>720</v>
      </c>
      <c r="I4" s="6" t="s">
        <v>584</v>
      </c>
      <c r="J4" s="9" t="s">
        <v>24</v>
      </c>
      <c r="K4" s="14">
        <v>20</v>
      </c>
      <c r="L4" s="26">
        <f>ROUNDUP((+SUMIF(UNITARIOS!C:C,Tabla2[[#This Row],[MANO DE OBRA]],UNITARIOS!E:E)),0)</f>
        <v>183</v>
      </c>
      <c r="M4" s="14">
        <f>Tabla2[[#This Row],[PRECIO]]*Tabla2[[#This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ROUNDUP((+SUMIF(UNITARIOS!C:C,Tabla3[[#This Row],[EQUIPO]],UNITARIOS!E:E)),0)</f>
        <v>20</v>
      </c>
      <c r="T4" s="12">
        <f>Tabla3[[#This Row],[PRECIO]]*Tabla3[[#This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ROUNDUP((+SUMIF(UNITARIOS!C:C,Tabla1[[#This Row],[MATERIALES]],UNITARIOS!E:E)),0)</f>
        <v>0</v>
      </c>
      <c r="F5" s="16">
        <f>Tabla1[[#This Row],[PRECIO]]*Tabla1[[#This Row],[CANTIDAD]]</f>
        <v>0</v>
      </c>
      <c r="I5" s="6" t="s">
        <v>186</v>
      </c>
      <c r="J5" s="9" t="s">
        <v>24</v>
      </c>
      <c r="K5" s="14">
        <v>10</v>
      </c>
      <c r="L5" s="26">
        <f>ROUNDUP((+SUMIF(UNITARIOS!C:C,Tabla2[[#This Row],[MANO DE OBRA]],UNITARIOS!E:E)),0)</f>
        <v>569</v>
      </c>
      <c r="M5" s="14">
        <f>Tabla2[[#This Row],[PRECIO]]*Tabla2[[#This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ROUNDUP((+SUMIF(UNITARIOS!C:C,Tabla3[[#This Row],[EQUIPO]],UNITARIOS!E:E)),0)</f>
        <v>0</v>
      </c>
      <c r="T5" s="12">
        <f>Tabla3[[#This Row],[PRECIO]]*Tabla3[[#This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ROUNDUP((+SUMIF(UNITARIOS!C:C,Tabla1[[#This Row],[MATERIALES]],UNITARIOS!E:E)),0)</f>
        <v>0</v>
      </c>
      <c r="F6" s="16">
        <f>Tabla1[[#This Row],[PRECIO]]*Tabla1[[#This Row],[CANTIDAD]]</f>
        <v>0</v>
      </c>
      <c r="I6" s="6" t="s">
        <v>576</v>
      </c>
      <c r="J6" s="9" t="s">
        <v>71</v>
      </c>
      <c r="K6" s="14">
        <v>100</v>
      </c>
      <c r="L6" s="26">
        <f>ROUNDUP((+SUMIF(UNITARIOS!C:C,Tabla2[[#This Row],[MANO DE OBRA]],UNITARIOS!E:E)),0)</f>
        <v>14</v>
      </c>
      <c r="M6" s="14">
        <f>Tabla2[[#This Row],[PRECIO]]*Tabla2[[#This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ROUNDUP((+SUMIF(UNITARIOS!C:C,Tabla3[[#This Row],[EQUIPO]],UNITARIOS!E:E)),0)</f>
        <v>0</v>
      </c>
      <c r="T6" s="12">
        <f>Tabla3[[#This Row],[PRECIO]]*Tabla3[[#This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ROUNDUP((+SUMIF(UNITARIOS!C:C,Tabla1[[#This Row],[MATERIALES]],UNITARIOS!E:E)),0)</f>
        <v>319</v>
      </c>
      <c r="F7" s="16">
        <f>Tabla1[[#This Row],[PRECIO]]*Tabla1[[#This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ROUNDUP((+SUMIF(UNITARIOS!C:C,Tabla2[[#This Row],[MANO DE OBRA]],UNITARIOS!E:E)),0)</f>
        <v>39</v>
      </c>
      <c r="M7" s="14">
        <f>Tabla2[[#This Row],[PRECIO]]*Tabla2[[#This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ROUNDUP((+SUMIF(UNITARIOS!C:C,Tabla3[[#This Row],[EQUIPO]],UNITARIOS!E:E)),0)</f>
        <v>0</v>
      </c>
      <c r="T7" s="12">
        <f>Tabla3[[#This Row],[PRECIO]]*Tabla3[[#This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ROUNDUP((+SUMIF(UNITARIOS!C:C,Tabla1[[#This Row],[MATERIALES]],UNITARIOS!E:E)),0)</f>
        <v>6</v>
      </c>
      <c r="F8" s="16">
        <f>Tabla1[[#This Row],[PRECIO]]*Tabla1[[#This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ROUNDUP((+SUMIF(UNITARIOS!C:C,Tabla2[[#This Row],[MANO DE OBRA]],UNITARIOS!E:E)),0)</f>
        <v>53</v>
      </c>
      <c r="M8" s="63">
        <f>Tabla2[[#This Row],[PRECIO]]*Tabla2[[#This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ROUNDUP((+SUMIF(UNITARIOS!C:C,Tabla3[[#This Row],[EQUIPO]],UNITARIOS!E:E)),0)</f>
        <v>0</v>
      </c>
      <c r="T8" s="12">
        <f>Tabla3[[#This Row],[PRECIO]]*Tabla3[[#This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ROUNDUP((+SUMIF(UNITARIOS!C:C,Tabla1[[#This Row],[MATERIALES]],UNITARIOS!E:E)),0)</f>
        <v>17</v>
      </c>
      <c r="F9" s="66">
        <f>Tabla1[[#This Row],[PRECIO]]*Tabla1[[#This Row],[CANTIDAD]]</f>
        <v>1700</v>
      </c>
      <c r="I9" s="6" t="s">
        <v>575</v>
      </c>
      <c r="J9" s="9" t="s">
        <v>24</v>
      </c>
      <c r="K9" s="14">
        <v>120</v>
      </c>
      <c r="L9" s="26">
        <f>ROUNDUP((+SUMIF(UNITARIOS!C:C,Tabla2[[#This Row],[MANO DE OBRA]],UNITARIOS!E:E)),0)</f>
        <v>33</v>
      </c>
      <c r="M9" s="14">
        <f>Tabla2[[#This Row],[PRECIO]]*Tabla2[[#This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ROUNDUP((+SUMIF(UNITARIOS!C:C,Tabla3[[#This Row],[EQUIPO]],UNITARIOS!E:E)),0)</f>
        <v>0</v>
      </c>
      <c r="T9" s="12">
        <f>Tabla3[[#This Row],[PRECIO]]*Tabla3[[#This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ROUNDUP((+SUMIF(UNITARIOS!C:C,Tabla1[[#This Row],[MATERIALES]],UNITARIOS!E:E)),0)</f>
        <v>775</v>
      </c>
      <c r="F10" s="16">
        <f>Tabla1[[#This Row],[PRECIO]]*Tabla1[[#This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ROUNDUP((+SUMIF(UNITARIOS!C:C,Tabla2[[#This Row],[MANO DE OBRA]],UNITARIOS!E:E)),0)</f>
        <v>0</v>
      </c>
      <c r="M10" s="63">
        <f>Tabla2[[#This Row],[PRECIO]]*Tabla2[[#This Row],[CANTIDAD]]</f>
        <v>0</v>
      </c>
      <c r="P10" s="6" t="s">
        <v>570</v>
      </c>
      <c r="Q10" s="7" t="s">
        <v>25</v>
      </c>
      <c r="R10" s="12">
        <v>150</v>
      </c>
      <c r="S10" s="25">
        <f>ROUNDUP((+SUMIF(UNITARIOS!C:C,Tabla3[[#This Row],[EQUIPO]],UNITARIOS!E:E)),0)</f>
        <v>0</v>
      </c>
      <c r="T10" s="12">
        <f>Tabla3[[#This Row],[PRECIO]]*Tabla3[[#This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ROUNDUP((+SUMIF(UNITARIOS!C:C,Tabla1[[#This Row],[MATERIALES]],UNITARIOS!E:E)),0)</f>
        <v>0</v>
      </c>
      <c r="F11" s="16">
        <f>Tabla1[[#This Row],[PRECIO]]*Tabla1[[#This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ROUNDUP((+SUMIF(UNITARIOS!C:C,Tabla2[[#This Row],[MANO DE OBRA]],UNITARIOS!E:E)),0)</f>
        <v>113</v>
      </c>
      <c r="M11" s="14">
        <f>Tabla2[[#This Row],[PRECIO]]*Tabla2[[#This Row],[CANTIDAD]]</f>
        <v>5650</v>
      </c>
      <c r="P11" s="6"/>
      <c r="Q11" s="7"/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ROUNDUP((+SUMIF(UNITARIOS!C:C,Tabla1[[#This Row],[MATERIALES]],UNITARIOS!E:E)),0)</f>
        <v>0</v>
      </c>
      <c r="F12" s="16">
        <f>Tabla1[[#This Row],[PRECIO]]*Tabla1[[#This Row],[CANTIDAD]]</f>
        <v>0</v>
      </c>
      <c r="I12" s="6" t="s">
        <v>574</v>
      </c>
      <c r="J12" s="9" t="s">
        <v>71</v>
      </c>
      <c r="K12" s="14">
        <v>70</v>
      </c>
      <c r="L12" s="26">
        <f>ROUNDUP((+SUMIF(UNITARIOS!C:C,Tabla2[[#This Row],[MANO DE OBRA]],UNITARIOS!E:E)),0)</f>
        <v>37</v>
      </c>
      <c r="M12" s="14">
        <f>Tabla2[[#This Row],[PRECIO]]*Tabla2[[#This Row],[CANTIDAD]]</f>
        <v>2590</v>
      </c>
      <c r="P12" s="6"/>
      <c r="Q12" s="7"/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ROUNDUP((+SUMIF(UNITARIOS!C:C,Tabla1[[#This Row],[MATERIALES]],UNITARIOS!E:E)),0)</f>
        <v>0</v>
      </c>
      <c r="F13" s="16">
        <f>Tabla1[[#This Row],[PRECIO]]*Tabla1[[#This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ROUNDUP((+SUMIF(UNITARIOS!C:C,Tabla2[[#This Row],[MANO DE OBRA]],UNITARIOS!E:E)),0)</f>
        <v>0</v>
      </c>
      <c r="M13" s="63">
        <f>Tabla2[[#This Row],[PRECIO]]*Tabla2[[#This Row],[CANTIDAD]]</f>
        <v>0</v>
      </c>
      <c r="P13" s="6"/>
      <c r="Q13" s="7"/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ROUNDUP((+SUMIF(UNITARIOS!C:C,Tabla1[[#This Row],[MATERIALES]],UNITARIOS!E:E)),0)</f>
        <v>0</v>
      </c>
      <c r="F14" s="16">
        <f>Tabla1[[#This Row],[PRECIO]]*Tabla1[[#This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ROUNDUP((+SUMIF(UNITARIOS!C:C,Tabla2[[#This Row],[MANO DE OBRA]],UNITARIOS!E:E)),0)</f>
        <v>0</v>
      </c>
      <c r="M14" s="29">
        <f>Tabla2[[#This Row],[PRECIO]]*Tabla2[[#This Row],[CANTIDAD]]</f>
        <v>0</v>
      </c>
      <c r="P14" s="6"/>
      <c r="Q14" s="7"/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ROUNDUP((+SUMIF(UNITARIOS!C:C,Tabla1[[#This Row],[MATERIALES]],UNITARIOS!E:E)),0)</f>
        <v>0</v>
      </c>
      <c r="F15" s="16">
        <f>Tabla1[[#This Row],[PRECIO]]*Tabla1[[#This Row],[CANTIDAD]]</f>
        <v>0</v>
      </c>
      <c r="I15" s="233" t="s">
        <v>597</v>
      </c>
      <c r="J15" s="9" t="s">
        <v>24</v>
      </c>
      <c r="K15" s="230">
        <v>100</v>
      </c>
      <c r="L15" s="231">
        <f>ROUNDUP((+SUMIF(UNITARIOS!C:C,Tabla2[[#This Row],[MANO DE OBRA]],UNITARIOS!E:E)),0)</f>
        <v>177</v>
      </c>
      <c r="M15" s="230">
        <f>Tabla2[[#This Row],[PRECIO]]*Tabla2[[#This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ROUNDUP((+SUMIF(UNITARIOS!C:C,Tabla1[[#This Row],[MATERIALES]],UNITARIOS!E:E)),0)</f>
        <v>0</v>
      </c>
      <c r="F16" s="16">
        <f>Tabla1[[#This Row],[PRECIO]]*Tabla1[[#This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ROUNDUP((+SUMIF(UNITARIOS!C:C,Tabla2[[#This Row],[MANO DE OBRA]],UNITARIOS!E:E)),0)</f>
        <v>0</v>
      </c>
      <c r="M16" s="14">
        <f>Tabla2[[#This Row],[PRECIO]]*Tabla2[[#This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ROUNDUP((+SUMIF(UNITARIOS!C:C,Tabla1[[#This Row],[MATERIALES]],UNITARIOS!E:E)),0)</f>
        <v>0</v>
      </c>
      <c r="F17" s="16">
        <f>Tabla1[[#This Row],[PRECIO]]*Tabla1[[#This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ROUNDUP((+SUMIF(UNITARIOS!C:C,Tabla2[[#This Row],[MANO DE OBRA]],UNITARIOS!E:E)),0)</f>
        <v>246</v>
      </c>
      <c r="M17" s="14">
        <f>Tabla2[[#This Row],[PRECIO]]*Tabla2[[#This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ROUNDUP((+SUMIF(UNITARIOS!C:C,Tabla1[[#This Row],[MATERIALES]],UNITARIOS!E:E)),0)</f>
        <v>0</v>
      </c>
      <c r="F18" s="16">
        <f>Tabla1[[#This Row],[PRECIO]]*Tabla1[[#This Row],[CANTIDAD]]</f>
        <v>0</v>
      </c>
      <c r="I18" s="6" t="s">
        <v>583</v>
      </c>
      <c r="J18" s="9" t="s">
        <v>71</v>
      </c>
      <c r="K18" s="14">
        <v>60</v>
      </c>
      <c r="L18" s="26">
        <f>ROUNDUP((+SUMIF(UNITARIOS!C:C,Tabla2[[#This Row],[MANO DE OBRA]],UNITARIOS!E:E)),0)</f>
        <v>6</v>
      </c>
      <c r="M18" s="14">
        <f>Tabla2[[#This Row],[PRECIO]]*Tabla2[[#This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ROUNDUP((+SUMIF(UNITARIOS!C:C,Tabla1[[#This Row],[MATERIALES]],UNITARIOS!E:E)),0)</f>
        <v>0</v>
      </c>
      <c r="F19" s="16">
        <f>Tabla1[[#This Row],[PRECIO]]*Tabla1[[#This Row],[CANTIDAD]]</f>
        <v>0</v>
      </c>
      <c r="I19" s="6" t="s">
        <v>572</v>
      </c>
      <c r="J19" s="9" t="s">
        <v>24</v>
      </c>
      <c r="K19" s="14">
        <v>40</v>
      </c>
      <c r="L19" s="26">
        <f>ROUNDUP((+SUMIF(UNITARIOS!C:C,Tabla2[[#This Row],[MANO DE OBRA]],UNITARIOS!E:E)),0)</f>
        <v>7</v>
      </c>
      <c r="M19" s="14">
        <f>Tabla2[[#This Row],[PRECIO]]*Tabla2[[#This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ROUNDUP((+SUMIF(UNITARIOS!C:C,Tabla1[[#This Row],[MATERIALES]],UNITARIOS!E:E)),0)</f>
        <v>0</v>
      </c>
      <c r="F20" s="16">
        <f>Tabla1[[#This Row],[PRECIO]]*Tabla1[[#This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ROUNDUP((+SUMIF(UNITARIOS!C:C,Tabla2[[#This Row],[MANO DE OBRA]],UNITARIOS!E:E)),0)</f>
        <v>37</v>
      </c>
      <c r="M20" s="14">
        <f>Tabla2[[#This Row],[PRECIO]]*Tabla2[[#This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ROUNDUP((+SUMIF(UNITARIOS!C:C,Tabla1[[#This Row],[MATERIALES]],UNITARIOS!E:E)),0)</f>
        <v>136</v>
      </c>
      <c r="F21" s="16">
        <f>Tabla1[[#This Row],[PRECIO]]*Tabla1[[#This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ROUNDUP((+SUMIF(UNITARIOS!C:C,Tabla2[[#This Row],[MANO DE OBRA]],UNITARIOS!E:E)),0)</f>
        <v>1</v>
      </c>
      <c r="M21" s="63">
        <f>Tabla2[[#This Row],[PRECIO]]*Tabla2[[#This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ROUNDUP((+SUMIF(UNITARIOS!C:C,Tabla1[[#This Row],[MATERIALES]],UNITARIOS!E:E)),0)</f>
        <v>0</v>
      </c>
      <c r="F22" s="16">
        <f>Tabla1[[#This Row],[PRECIO]]*Tabla1[[#This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ROUNDUP((+SUMIF(UNITARIOS!C:C,Tabla2[[#This Row],[MANO DE OBRA]],UNITARIOS!E:E)),0)</f>
        <v>0</v>
      </c>
      <c r="M22" s="29">
        <f>Tabla2[[#This Row],[PRECIO]]*Tabla2[[#This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ROUNDUP((+SUMIF(UNITARIOS!C:C,Tabla1[[#This Row],[MATERIALES]],UNITARIOS!E:E)),0)</f>
        <v>0</v>
      </c>
      <c r="F23" s="16">
        <f>Tabla1[[#This Row],[PRECIO]]*Tabla1[[#This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ROUNDUP((+SUMIF(UNITARIOS!C:C,Tabla2[[#This Row],[MANO DE OBRA]],UNITARIOS!E:E)),0)</f>
        <v>0</v>
      </c>
      <c r="M23" s="14">
        <f>Tabla2[[#This Row],[PRECIO]]*Tabla2[[#This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ROUNDUP((+SUMIF(UNITARIOS!C:C,Tabla1[[#This Row],[MATERIALES]],UNITARIOS!E:E)),0)</f>
        <v>0</v>
      </c>
      <c r="F24" s="16">
        <f>Tabla1[[#This Row],[PRECIO]]*Tabla1[[#This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ROUNDUP((+SUMIF(UNITARIOS!C:C,Tabla2[[#This Row],[MANO DE OBRA]],UNITARIOS!E:E)),0)</f>
        <v>1</v>
      </c>
      <c r="M24" s="29">
        <f>Tabla2[[#This Row],[PRECIO]]*Tabla2[[#This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ROUNDUP((+SUMIF(UNITARIOS!C:C,Tabla1[[#This Row],[MATERIALES]],UNITARIOS!E:E)),0)</f>
        <v>0</v>
      </c>
      <c r="F25" s="16">
        <f>Tabla1[[#This Row],[PRECIO]]*Tabla1[[#This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ROUNDUP((+SUMIF(UNITARIOS!C:C,Tabla2[[#This Row],[MANO DE OBRA]],UNITARIOS!E:E)),0)</f>
        <v>0</v>
      </c>
      <c r="M25" s="14">
        <f>Tabla2[[#This Row],[PRECIO]]*Tabla2[[#This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ROUNDUP((+SUMIF(UNITARIOS!C:C,Tabla1[[#This Row],[MATERIALES]],UNITARIOS!E:E)),0)</f>
        <v>0</v>
      </c>
      <c r="F26" s="16">
        <f>Tabla1[[#This Row],[PRECIO]]*Tabla1[[#This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ROUNDUP((+SUMIF(UNITARIOS!C:C,Tabla2[[#This Row],[MANO DE OBRA]],UNITARIOS!E:E)),0)</f>
        <v>0</v>
      </c>
      <c r="M26" s="29">
        <f>Tabla2[[#This Row],[PRECIO]]*Tabla2[[#This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ROUNDUP((+SUMIF(UNITARIOS!C:C,Tabla1[[#This Row],[MATERIALES]],UNITARIOS!E:E)),0)</f>
        <v>0</v>
      </c>
      <c r="F27" s="16">
        <f>Tabla1[[#This Row],[PRECIO]]*Tabla1[[#This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ROUNDUP((+SUMIF(UNITARIOS!C:C,Tabla2[[#This Row],[MANO DE OBRA]],UNITARIOS!E:E)),0)</f>
        <v>0</v>
      </c>
      <c r="M27" s="14">
        <f>Tabla2[[#This Row],[PRECIO]]*Tabla2[[#This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ROUNDUP((+SUMIF(UNITARIOS!C:C,Tabla1[[#This Row],[MATERIALES]],UNITARIOS!E:E)),0)</f>
        <v>0</v>
      </c>
      <c r="F28" s="16">
        <f>Tabla1[[#This Row],[PRECIO]]*Tabla1[[#This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ROUNDUP((+SUMIF(UNITARIOS!C:C,Tabla2[[#This Row],[MANO DE OBRA]],UNITARIOS!E:E)),0)</f>
        <v>0</v>
      </c>
      <c r="M28" s="14">
        <f>Tabla2[[#This Row],[PRECIO]]*Tabla2[[#This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ROUNDUP((+SUMIF(UNITARIOS!C:C,Tabla1[[#This Row],[MATERIALES]],UNITARIOS!E:E)),0)</f>
        <v>0</v>
      </c>
      <c r="F29" s="16">
        <f>Tabla1[[#This Row],[PRECIO]]*Tabla1[[#This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ROUNDUP((+SUMIF(UNITARIOS!C:C,Tabla2[[#This Row],[MANO DE OBRA]],UNITARIOS!E:E)),0)</f>
        <v>30</v>
      </c>
      <c r="M29" s="14">
        <f>Tabla2[[#This Row],[PRECIO]]*Tabla2[[#This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ROUNDUP((+SUMIF(UNITARIOS!C:C,Tabla1[[#This Row],[MATERIALES]],UNITARIOS!E:E)),0)</f>
        <v>0</v>
      </c>
      <c r="F30" s="16">
        <f>Tabla1[[#This Row],[PRECIO]]*Tabla1[[#This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ROUNDUP((+SUMIF(UNITARIOS!C:C,Tabla2[[#This Row],[MANO DE OBRA]],UNITARIOS!E:E)),0)</f>
        <v>0</v>
      </c>
      <c r="M30" s="29">
        <f>Tabla2[[#This Row],[PRECIO]]*Tabla2[[#This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ROUNDUP((+SUMIF(UNITARIOS!C:C,Tabla1[[#This Row],[MATERIALES]],UNITARIOS!E:E)),0)</f>
        <v>0</v>
      </c>
      <c r="F31" s="16">
        <f>Tabla1[[#This Row],[PRECIO]]*Tabla1[[#This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ROUNDUP((+SUMIF(UNITARIOS!C:C,Tabla2[[#This Row],[MANO DE OBRA]],UNITARIOS!E:E)),0)</f>
        <v>0</v>
      </c>
      <c r="M31" s="14">
        <f>Tabla2[[#This Row],[PRECIO]]*Tabla2[[#This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ROUNDUP((+SUMIF(UNITARIOS!C:C,Tabla1[[#This Row],[MATERIALES]],UNITARIOS!E:E)),0)</f>
        <v>77</v>
      </c>
      <c r="F32" s="16">
        <f>Tabla1[[#This Row],[PRECIO]]*Tabla1[[#This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ROUNDUP((+SUMIF(UNITARIOS!C:C,Tabla2[[#This Row],[MANO DE OBRA]],UNITARIOS!E:E)),0)</f>
        <v>0</v>
      </c>
      <c r="M32" s="63">
        <f>Tabla2[[#This Row],[PRECIO]]*Tabla2[[#This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ROUNDUP((+SUMIF(UNITARIOS!C:C,Tabla1[[#This Row],[MATERIALES]],UNITARIOS!E:E)),0)</f>
        <v>0</v>
      </c>
      <c r="F33" s="16">
        <f>Tabla1[[#This Row],[PRECIO]]*Tabla1[[#This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ROUNDUP((+SUMIF(UNITARIOS!C:C,Tabla2[[#This Row],[MANO DE OBRA]],UNITARIOS!E:E)),0)</f>
        <v>0</v>
      </c>
      <c r="M33" s="29">
        <f>Tabla2[[#This Row],[PRECIO]]*Tabla2[[#This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ROUNDUP((+SUMIF(UNITARIOS!C:C,Tabla1[[#This Row],[MATERIALES]],UNITARIOS!E:E)),0)</f>
        <v>46</v>
      </c>
      <c r="F34" s="16">
        <f>Tabla1[[#This Row],[PRECIO]]*Tabla1[[#This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ROUNDUP((+SUMIF(UNITARIOS!C:C,Tabla2[[#This Row],[MANO DE OBRA]],UNITARIOS!E:E)),0)</f>
        <v>0</v>
      </c>
      <c r="M34" s="14">
        <f>Tabla2[[#This Row],[PRECIO]]*Tabla2[[#This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ROUNDUP((+SUMIF(UNITARIOS!C:C,Tabla1[[#This Row],[MATERIALES]],UNITARIOS!E:E)),0)</f>
        <v>0</v>
      </c>
      <c r="F35" s="16">
        <f>Tabla1[[#This Row],[PRECIO]]*Tabla1[[#This Row],[CANTIDAD]]</f>
        <v>0</v>
      </c>
      <c r="I35" s="6" t="s">
        <v>382</v>
      </c>
      <c r="J35" s="9" t="s">
        <v>24</v>
      </c>
      <c r="K35" s="14">
        <v>80</v>
      </c>
      <c r="L35" s="26">
        <f>ROUNDUP((+SUMIF(UNITARIOS!C:C,Tabla2[[#This Row],[MANO DE OBRA]],UNITARIOS!E:E)),0)</f>
        <v>0</v>
      </c>
      <c r="M35" s="14">
        <f>Tabla2[[#This Row],[PRECIO]]*Tabla2[[#This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ROUNDUP((+SUMIF(UNITARIOS!C:C,Tabla1[[#This Row],[MATERIALES]],UNITARIOS!E:E)),0)</f>
        <v>13</v>
      </c>
      <c r="F36" s="16">
        <f>Tabla1[[#This Row],[PRECIO]]*Tabla1[[#This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ROUNDUP((+SUMIF(UNITARIOS!C:C,Tabla2[[#This Row],[MANO DE OBRA]],UNITARIOS!E:E)),0)</f>
        <v>246</v>
      </c>
      <c r="M36" s="29">
        <f>Tabla2[[#This Row],[PRECIO]]*Tabla2[[#This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ROUNDUP((+SUMIF(UNITARIOS!C:C,Tabla1[[#This Row],[MATERIALES]],UNITARIOS!E:E)),0)</f>
        <v>0</v>
      </c>
      <c r="F37" s="16">
        <f>Tabla1[[#This Row],[PRECIO]]*Tabla1[[#This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ROUNDUP((+SUMIF(UNITARIOS!C:C,Tabla2[[#This Row],[MANO DE OBRA]],UNITARIOS!E:E)),0)</f>
        <v>9</v>
      </c>
      <c r="M37" s="14">
        <f>Tabla2[[#This Row],[PRECIO]]*Tabla2[[#This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ROUNDUP((+SUMIF(UNITARIOS!C:C,Tabla1[[#This Row],[MATERIALES]],UNITARIOS!E:E)),0)</f>
        <v>0</v>
      </c>
      <c r="F38" s="16">
        <f>Tabla1[[#This Row],[PRECIO]]*Tabla1[[#This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ROUNDUP((+SUMIF(UNITARIOS!C:C,Tabla2[[#This Row],[MANO DE OBRA]],UNITARIOS!E:E)),0)</f>
        <v>0</v>
      </c>
      <c r="M38" s="29">
        <f>Tabla2[[#This Row],[PRECIO]]*Tabla2[[#This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ROUNDUP((+SUMIF(UNITARIOS!C:C,Tabla1[[#This Row],[MATERIALES]],UNITARIOS!E:E)),0)</f>
        <v>0</v>
      </c>
      <c r="F39" s="16">
        <f>Tabla1[[#This Row],[PRECIO]]*Tabla1[[#This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ROUNDUP((+SUMIF(UNITARIOS!C:C,Tabla2[[#This Row],[MANO DE OBRA]],UNITARIOS!E:E)),0)</f>
        <v>0</v>
      </c>
      <c r="M39" s="14">
        <f>Tabla2[[#This Row],[PRECIO]]*Tabla2[[#This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ROUNDUP((+SUMIF(UNITARIOS!C:C,Tabla1[[#This Row],[MATERIALES]],UNITARIOS!E:E)),0)</f>
        <v>50</v>
      </c>
      <c r="F40" s="16">
        <f>Tabla1[[#This Row],[PRECIO]]*Tabla1[[#This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ROUNDUP((+SUMIF(UNITARIOS!C:C,Tabla2[[#This Row],[MANO DE OBRA]],UNITARIOS!E:E)),0)</f>
        <v>0</v>
      </c>
      <c r="M40" s="14">
        <f>Tabla2[[#This Row],[PRECIO]]*Tabla2[[#This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ROUNDUP((+SUMIF(UNITARIOS!C:C,Tabla1[[#This Row],[MATERIALES]],UNITARIOS!E:E)),0)</f>
        <v>3</v>
      </c>
      <c r="F41" s="16">
        <f>Tabla1[[#This Row],[PRECIO]]*Tabla1[[#This Row],[CANTIDAD]]</f>
        <v>21</v>
      </c>
      <c r="I41" s="6" t="s">
        <v>276</v>
      </c>
      <c r="J41" s="9" t="s">
        <v>24</v>
      </c>
      <c r="K41" s="29">
        <v>60</v>
      </c>
      <c r="L41" s="30">
        <f>ROUNDUP((+SUMIF(UNITARIOS!C:C,Tabla2[[#This Row],[MANO DE OBRA]],UNITARIOS!E:E)),0)</f>
        <v>183</v>
      </c>
      <c r="M41" s="29">
        <f>Tabla2[[#This Row],[PRECIO]]*Tabla2[[#This Row],[CANTIDAD]]</f>
        <v>10980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ROUNDUP((+SUMIF(UNITARIOS!C:C,Tabla1[[#This Row],[MATERIALES]],UNITARIOS!E:E)),0)</f>
        <v>910</v>
      </c>
      <c r="F42" s="50">
        <f>Tabla1[[#This Row],[PRECIO]]*Tabla1[[#This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ROUNDUP((+SUMIF(UNITARIOS!C:C,Tabla2[[#This Row],[MANO DE OBRA]],UNITARIOS!E:E)),0)</f>
        <v>0</v>
      </c>
      <c r="M42" s="29">
        <f>Tabla2[[#This Row],[PRECIO]]*Tabla2[[#This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ROUNDUP((+SUMIF(UNITARIOS!C:C,Tabla1[[#This Row],[MATERIALES]],UNITARIOS!E:E)),0)</f>
        <v>0</v>
      </c>
      <c r="F43" s="16">
        <f>Tabla1[[#This Row],[PRECIO]]*Tabla1[[#This Row],[CANTIDAD]]</f>
        <v>0</v>
      </c>
      <c r="I43" s="27" t="s">
        <v>277</v>
      </c>
      <c r="J43" s="9" t="s">
        <v>24</v>
      </c>
      <c r="K43" s="29">
        <v>80</v>
      </c>
      <c r="L43" s="30">
        <f>ROUNDUP((+SUMIF(UNITARIOS!C:C,Tabla2[[#This Row],[MANO DE OBRA]],UNITARIOS!E:E)),0)</f>
        <v>0</v>
      </c>
      <c r="M43" s="29">
        <f>Tabla2[[#This Row],[PRECIO]]*Tabla2[[#This Row],[CANTIDAD]]</f>
        <v>0</v>
      </c>
      <c r="P43" s="6"/>
      <c r="Q43" s="7"/>
    </row>
    <row r="44" spans="2:20" s="31" customFormat="1" x14ac:dyDescent="0.25">
      <c r="B44" s="8" t="s">
        <v>573</v>
      </c>
      <c r="C44" s="9" t="s">
        <v>25</v>
      </c>
      <c r="D44" s="14">
        <v>9</v>
      </c>
      <c r="E44" s="26">
        <f>ROUNDUP((+SUMIF(UNITARIOS!C:C,Tabla1[[#This Row],[MATERIALES]],UNITARIOS!E:E)),0)</f>
        <v>1274</v>
      </c>
      <c r="F44" s="16">
        <f>Tabla1[[#This Row],[PRECIO]]*Tabla1[[#This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ROUNDUP((+SUMIF(UNITARIOS!C:C,Tabla2[[#This Row],[MANO DE OBRA]],UNITARIOS!E:E)),0)</f>
        <v>0</v>
      </c>
      <c r="M44" s="14">
        <f>Tabla2[[#This Row],[PRECIO]]*Tabla2[[#This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ROUNDUP((+SUMIF(UNITARIOS!C:C,Tabla1[[#This Row],[MATERIALES]],UNITARIOS!E:E)),0)</f>
        <v>3</v>
      </c>
      <c r="F45" s="16">
        <f>Tabla1[[#This Row],[PRECIO]]*Tabla1[[#This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ROUNDUP((+SUMIF(UNITARIOS!C:C,Tabla2[[#This Row],[MANO DE OBRA]],UNITARIOS!E:E)),0)</f>
        <v>0</v>
      </c>
      <c r="M45" s="63">
        <f>Tabla2[[#This Row],[PRECIO]]*Tabla2[[#This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ROUNDUP((+SUMIF(UNITARIOS!C:C,Tabla1[[#This Row],[MATERIALES]],UNITARIOS!E:E)),0)</f>
        <v>0</v>
      </c>
      <c r="F46" s="16">
        <f>Tabla1[[#This Row],[PRECIO]]*Tabla1[[#This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ROUNDUP((+SUMIF(UNITARIOS!C:C,Tabla2[[#This Row],[MANO DE OBRA]],UNITARIOS!E:E)),0)</f>
        <v>1</v>
      </c>
      <c r="M46" s="29">
        <f>Tabla2[[#This Row],[PRECIO]]*Tabla2[[#This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ROUNDUP((+SUMIF(UNITARIOS!C:C,Tabla1[[#This Row],[MATERIALES]],UNITARIOS!E:E)),0)</f>
        <v>0</v>
      </c>
      <c r="F47" s="16">
        <f>Tabla1[[#This Row],[PRECIO]]*Tabla1[[#This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ROUNDUP((+SUMIF(UNITARIOS!C:C,Tabla2[[#This Row],[MANO DE OBRA]],UNITARIOS!E:E)),0)</f>
        <v>0</v>
      </c>
      <c r="M47" s="14">
        <f>Tabla2[[#This Row],[PRECIO]]*Tabla2[[#This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ROUNDUP((+SUMIF(UNITARIOS!C:C,Tabla1[[#This Row],[MATERIALES]],UNITARIOS!E:E)),0)</f>
        <v>0</v>
      </c>
      <c r="F48" s="16">
        <f>Tabla1[[#This Row],[PRECIO]]*Tabla1[[#This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ROUNDUP((+SUMIF(UNITARIOS!C:C,Tabla2[[#This Row],[MANO DE OBRA]],UNITARIOS!E:E)),0)</f>
        <v>0</v>
      </c>
      <c r="M48" s="14">
        <f>Tabla2[[#This Row],[PRECIO]]*Tabla2[[#This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ROUNDUP((+SUMIF(UNITARIOS!C:C,Tabla1[[#This Row],[MATERIALES]],UNITARIOS!E:E)),0)</f>
        <v>0</v>
      </c>
      <c r="F49" s="16">
        <f>Tabla1[[#This Row],[PRECIO]]*Tabla1[[#This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ROUNDUP((+SUMIF(UNITARIOS!C:C,Tabla2[[#This Row],[MANO DE OBRA]],UNITARIOS!E:E)),0)</f>
        <v>8</v>
      </c>
      <c r="M49" s="14">
        <f>Tabla2[[#This Row],[PRECIO]]*Tabla2[[#This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ROUNDUP((+SUMIF(UNITARIOS!C:C,Tabla1[[#This Row],[MATERIALES]],UNITARIOS!E:E)),0)</f>
        <v>0</v>
      </c>
      <c r="F50" s="50">
        <f>Tabla1[[#This Row],[PRECIO]]*Tabla1[[#This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ROUNDUP((+SUMIF(UNITARIOS!C:C,Tabla2[[#This Row],[MANO DE OBRA]],UNITARIOS!E:E)),0)</f>
        <v>0</v>
      </c>
      <c r="M50" s="14">
        <f>Tabla2[[#This Row],[PRECIO]]*Tabla2[[#This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ROUNDUP((+SUMIF(UNITARIOS!C:C,Tabla1[[#This Row],[MATERIALES]],UNITARIOS!E:E)),0)</f>
        <v>3</v>
      </c>
      <c r="F51" s="50">
        <f>Tabla1[[#This Row],[PRECIO]]*Tabla1[[#This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ROUNDUP((+SUMIF(UNITARIOS!C:C,Tabla2[[#This Row],[MANO DE OBRA]],UNITARIOS!E:E)),0)</f>
        <v>0</v>
      </c>
      <c r="M51" s="14">
        <f>Tabla2[[#This Row],[PRECIO]]*Tabla2[[#This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ROUNDUP((+SUMIF(UNITARIOS!C:C,Tabla1[[#This Row],[MATERIALES]],UNITARIOS!E:E)),0)</f>
        <v>25</v>
      </c>
      <c r="F52" s="16">
        <f>Tabla1[[#This Row],[PRECIO]]*Tabla1[[#This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ROUNDUP((+SUMIF(UNITARIOS!C:C,Tabla2[[#This Row],[MANO DE OBRA]],UNITARIOS!E:E)),0)</f>
        <v>0</v>
      </c>
      <c r="M52" s="14">
        <f>Tabla2[[#This Row],[PRECIO]]*Tabla2[[#This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ROUNDUP((+SUMIF(UNITARIOS!C:C,Tabla1[[#This Row],[MATERIALES]],UNITARIOS!E:E)),0)</f>
        <v>13</v>
      </c>
      <c r="F53" s="16">
        <f>Tabla1[[#This Row],[PRECIO]]*Tabla1[[#This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ROUNDUP((+SUMIF(UNITARIOS!C:C,Tabla2[[#This Row],[MANO DE OBRA]],UNITARIOS!E:E)),0)</f>
        <v>0</v>
      </c>
      <c r="M53" s="14">
        <f>Tabla2[[#This Row],[PRECIO]]*Tabla2[[#This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ROUNDUP((+SUMIF(UNITARIOS!C:C,Tabla1[[#This Row],[MATERIALES]],UNITARIOS!E:E)),0)</f>
        <v>1</v>
      </c>
      <c r="F54" s="16">
        <f>Tabla1[[#This Row],[PRECIO]]*Tabla1[[#This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ROUNDUP((+SUMIF(UNITARIOS!C:C,Tabla2[[#This Row],[MANO DE OBRA]],UNITARIOS!E:E)),0)</f>
        <v>24</v>
      </c>
      <c r="M54" s="14">
        <f>Tabla2[[#This Row],[PRECIO]]*Tabla2[[#This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ROUNDUP((+SUMIF(UNITARIOS!C:C,Tabla1[[#This Row],[MATERIALES]],UNITARIOS!E:E)),0)</f>
        <v>1164</v>
      </c>
      <c r="F55" s="16">
        <f>Tabla1[[#This Row],[PRECIO]]*Tabla1[[#This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ROUNDUP((+SUMIF(UNITARIOS!C:C,Tabla2[[#This Row],[MANO DE OBRA]],UNITARIOS!E:E)),0)</f>
        <v>18</v>
      </c>
      <c r="M55" s="63">
        <f>Tabla2[[#This Row],[PRECIO]]*Tabla2[[#This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ROUNDUP((+SUMIF(UNITARIOS!C:C,Tabla1[[#This Row],[MATERIALES]],UNITARIOS!E:E)),0)</f>
        <v>0</v>
      </c>
      <c r="F56" s="16">
        <f>Tabla1[[#This Row],[PRECIO]]*Tabla1[[#This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ROUNDUP((+SUMIF(UNITARIOS!C:C,Tabla2[[#This Row],[MANO DE OBRA]],UNITARIOS!E:E)),0)</f>
        <v>2</v>
      </c>
      <c r="M56" s="29">
        <f>Tabla2[[#This Row],[PRECIO]]*Tabla2[[#This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ROUNDUP((+SUMIF(UNITARIOS!C:C,Tabla1[[#This Row],[MATERIALES]],UNITARIOS!E:E)),0)</f>
        <v>0</v>
      </c>
      <c r="F57" s="16">
        <f>Tabla1[[#This Row],[PRECIO]]*Tabla1[[#This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ROUNDUP((+SUMIF(UNITARIOS!C:C,Tabla2[[#This Row],[MANO DE OBRA]],UNITARIOS!E:E)),0)</f>
        <v>1</v>
      </c>
      <c r="M57" s="14">
        <f>Tabla2[[#This Row],[PRECIO]]*Tabla2[[#This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ROUNDUP((+SUMIF(UNITARIOS!C:C,Tabla1[[#This Row],[MATERIALES]],UNITARIOS!E:E)),0)</f>
        <v>0</v>
      </c>
      <c r="F58" s="16">
        <f>Tabla1[[#This Row],[PRECIO]]*Tabla1[[#This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ROUNDUP((+SUMIF(UNITARIOS!C:C,Tabla2[[#This Row],[MANO DE OBRA]],UNITARIOS!E:E)),0)</f>
        <v>0</v>
      </c>
      <c r="M58" s="14">
        <f>Tabla2[[#This Row],[PRECIO]]*Tabla2[[#This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ROUNDUP((+SUMIF(UNITARIOS!C:C,Tabla1[[#This Row],[MATERIALES]],UNITARIOS!E:E)),0)</f>
        <v>240</v>
      </c>
      <c r="F59" s="16">
        <f>Tabla1[[#This Row],[PRECIO]]*Tabla1[[#This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ROUNDUP((+SUMIF(UNITARIOS!C:C,Tabla2[[#This Row],[MANO DE OBRA]],UNITARIOS!E:E)),0)</f>
        <v>0</v>
      </c>
      <c r="M59" s="14">
        <f>Tabla2[[#This Row],[PRECIO]]*Tabla2[[#This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ROUNDUP((+SUMIF(UNITARIOS!C:C,Tabla1[[#This Row],[MATERIALES]],UNITARIOS!E:E)),0)</f>
        <v>0</v>
      </c>
      <c r="F60" s="16">
        <f>Tabla1[[#This Row],[PRECIO]]*Tabla1[[#This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ROUNDUP((+SUMIF(UNITARIOS!C:C,Tabla2[[#This Row],[MANO DE OBRA]],UNITARIOS!E:E)),0)</f>
        <v>0</v>
      </c>
      <c r="M60" s="16">
        <f>Tabla2[[#This Row],[PRECIO]]*Tabla2[[#This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ROUNDUP((+SUMIF(UNITARIOS!C:C,Tabla1[[#This Row],[MATERIALES]],UNITARIOS!E:E)),0)</f>
        <v>0</v>
      </c>
      <c r="F61" s="16">
        <f>Tabla1[[#This Row],[PRECIO]]*Tabla1[[#This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ROUNDUP((+SUMIF(UNITARIOS!C:C,Tabla2[[#This Row],[MANO DE OBRA]],UNITARIOS!E:E)),0)</f>
        <v>0</v>
      </c>
      <c r="M61" s="14">
        <f>Tabla2[[#This Row],[PRECIO]]*Tabla2[[#This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ROUNDUP((+SUMIF(UNITARIOS!C:C,Tabla1[[#This Row],[MATERIALES]],UNITARIOS!E:E)),0)</f>
        <v>0</v>
      </c>
      <c r="F62" s="16">
        <f>Tabla1[[#This Row],[PRECIO]]*Tabla1[[#This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ROUNDUP((+SUMIF(UNITARIOS!C:C,Tabla2[[#This Row],[MANO DE OBRA]],UNITARIOS!E:E)),0)</f>
        <v>0</v>
      </c>
      <c r="M62" s="14">
        <f>Tabla2[[#This Row],[PRECIO]]*Tabla2[[#This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ROUNDUP((+SUMIF(UNITARIOS!C:C,Tabla1[[#This Row],[MATERIALES]],UNITARIOS!E:E)),0)</f>
        <v>0</v>
      </c>
      <c r="F63" s="16">
        <f>Tabla1[[#This Row],[PRECIO]]*Tabla1[[#This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ROUNDUP((+SUMIF(UNITARIOS!C:C,Tabla2[[#This Row],[MANO DE OBRA]],UNITARIOS!E:E)),0)</f>
        <v>0</v>
      </c>
      <c r="M63" s="14">
        <f>Tabla2[[#This Row],[PRECIO]]*Tabla2[[#This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ROUNDUP((+SUMIF(UNITARIOS!C:C,Tabla1[[#This Row],[MATERIALES]],UNITARIOS!E:E)),0)</f>
        <v>13</v>
      </c>
      <c r="F64" s="16">
        <f>Tabla1[[#This Row],[PRECIO]]*Tabla1[[#This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ROUNDUP((+SUMIF(UNITARIOS!C:C,Tabla2[[#This Row],[MANO DE OBRA]],UNITARIOS!E:E)),0)</f>
        <v>0</v>
      </c>
      <c r="M64" s="29">
        <f>Tabla2[[#This Row],[PRECIO]]*Tabla2[[#This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ROUNDUP((+SUMIF(UNITARIOS!C:C,Tabla1[[#This Row],[MATERIALES]],UNITARIOS!E:E)),0)</f>
        <v>22</v>
      </c>
      <c r="F65" s="16">
        <f>Tabla1[[#This Row],[PRECIO]]*Tabla1[[#This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ROUNDUP((+SUMIF(UNITARIOS!C:C,Tabla2[[#This Row],[MANO DE OBRA]],UNITARIOS!E:E)),0)</f>
        <v>0</v>
      </c>
      <c r="M65" s="63">
        <f>Tabla2[[#This Row],[PRECIO]]*Tabla2[[#This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ROUNDUP((+SUMIF(UNITARIOS!C:C,Tabla1[[#This Row],[MATERIALES]],UNITARIOS!E:E)),0)</f>
        <v>1</v>
      </c>
      <c r="F66" s="16">
        <f>Tabla1[[#This Row],[PRECIO]]*Tabla1[[#This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ROUNDUP((+SUMIF(UNITARIOS!C:C,Tabla2[[#This Row],[MANO DE OBRA]],UNITARIOS!E:E)),0)</f>
        <v>8</v>
      </c>
      <c r="M66" s="29">
        <f>Tabla2[[#This Row],[PRECIO]]*Tabla2[[#This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ROUNDUP((+SUMIF(UNITARIOS!C:C,Tabla1[[#This Row],[MATERIALES]],UNITARIOS!E:E)),0)</f>
        <v>1</v>
      </c>
      <c r="F67" s="16">
        <f>Tabla1[[#This Row],[PRECIO]]*Tabla1[[#This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ROUNDUP((+SUMIF(UNITARIOS!C:C,Tabla2[[#This Row],[MANO DE OBRA]],UNITARIOS!E:E)),0)</f>
        <v>0</v>
      </c>
      <c r="M67" s="14">
        <f>Tabla2[[#This Row],[PRECIO]]*Tabla2[[#This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ROUNDUP((+SUMIF(UNITARIOS!C:C,Tabla1[[#This Row],[MATERIALES]],UNITARIOS!E:E)),0)</f>
        <v>0</v>
      </c>
      <c r="F68" s="16">
        <f>Tabla1[[#This Row],[PRECIO]]*Tabla1[[#This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ROUNDUP((+SUMIF(UNITARIOS!C:C,Tabla2[[#This Row],[MANO DE OBRA]],UNITARIOS!E:E)),0)</f>
        <v>0</v>
      </c>
      <c r="M68" s="140">
        <f>Tabla2[[#This Row],[PRECIO]]*Tabla2[[#This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ROUNDUP((+SUMIF(UNITARIOS!C:C,Tabla1[[#This Row],[MATERIALES]],UNITARIOS!E:E)),0)</f>
        <v>0</v>
      </c>
      <c r="F69" s="16">
        <f>Tabla1[[#This Row],[PRECIO]]*Tabla1[[#This Row],[CANTIDAD]]</f>
        <v>0</v>
      </c>
      <c r="I69" s="6" t="s">
        <v>585</v>
      </c>
      <c r="J69" s="9" t="s">
        <v>25</v>
      </c>
      <c r="K69" s="14">
        <v>1940</v>
      </c>
      <c r="L69" s="26">
        <f>ROUNDUP((+SUMIF(UNITARIOS!C:C,Tabla2[[#This Row],[MANO DE OBRA]],UNITARIOS!E:E)),0)</f>
        <v>3</v>
      </c>
      <c r="M69" s="14">
        <f>Tabla2[[#This Row],[PRECIO]]*Tabla2[[#This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ROUNDUP((+SUMIF(UNITARIOS!C:C,Tabla1[[#This Row],[MATERIALES]],UNITARIOS!E:E)),0)</f>
        <v>865</v>
      </c>
      <c r="F70" s="16">
        <f>Tabla1[[#This Row],[PRECIO]]*Tabla1[[#This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ROUNDUP((+SUMIF(UNITARIOS!C:C,Tabla2[[#This Row],[MANO DE OBRA]],UNITARIOS!E:E)),0)</f>
        <v>0</v>
      </c>
      <c r="M70" s="14">
        <f>Tabla2[[#This Row],[PRECIO]]*Tabla2[[#This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ROUNDUP((+SUMIF(UNITARIOS!C:C,Tabla1[[#This Row],[MATERIALES]],UNITARIOS!E:E)),0)</f>
        <v>0</v>
      </c>
      <c r="F71" s="16">
        <f>Tabla1[[#This Row],[PRECIO]]*Tabla1[[#This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ROUNDUP((+SUMIF(UNITARIOS!C:C,Tabla2[[#This Row],[MANO DE OBRA]],UNITARIOS!E:E)),0)</f>
        <v>0</v>
      </c>
      <c r="M71" s="14">
        <f>Tabla2[[#This Row],[PRECIO]]*Tabla2[[#This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ROUNDUP((+SUMIF(UNITARIOS!C:C,Tabla1[[#This Row],[MATERIALES]],UNITARIOS!E:E)),0)</f>
        <v>0</v>
      </c>
      <c r="F72" s="66">
        <f>Tabla1[[#This Row],[PRECIO]]*Tabla1[[#This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ROUNDUP((+SUMIF(UNITARIOS!C:C,Tabla2[[#This Row],[MANO DE OBRA]],UNITARIOS!E:E)),0)</f>
        <v>0</v>
      </c>
      <c r="M72" s="29">
        <f>Tabla2[[#This Row],[PRECIO]]*Tabla2[[#This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ROUNDUP((+SUMIF(UNITARIOS!C:C,Tabla1[[#This Row],[MATERIALES]],UNITARIOS!E:E)),0)</f>
        <v>0</v>
      </c>
      <c r="F73" s="16">
        <f>Tabla1[[#This Row],[PRECIO]]*Tabla1[[#This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ROUNDUP((+SUMIF(UNITARIOS!C:C,Tabla2[[#This Row],[MANO DE OBRA]],UNITARIOS!E:E)),0)</f>
        <v>0</v>
      </c>
      <c r="M73" s="29">
        <f>Tabla2[[#This Row],[PRECIO]]*Tabla2[[#This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ROUNDUP((+SUMIF(UNITARIOS!C:C,Tabla1[[#This Row],[MATERIALES]],UNITARIOS!E:E)),0)</f>
        <v>0</v>
      </c>
      <c r="F74" s="16">
        <f>Tabla1[[#This Row],[PRECIO]]*Tabla1[[#This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ROUNDUP((+SUMIF(UNITARIOS!C:C,Tabla2[[#This Row],[MANO DE OBRA]],UNITARIOS!E:E)),0)</f>
        <v>11</v>
      </c>
      <c r="M74" s="14">
        <f>Tabla2[[#This Row],[PRECIO]]*Tabla2[[#This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ROUNDUP((+SUMIF(UNITARIOS!C:C,Tabla1[[#This Row],[MATERIALES]],UNITARIOS!E:E)),0)</f>
        <v>0</v>
      </c>
      <c r="F75" s="16">
        <f>Tabla1[[#This Row],[PRECIO]]*Tabla1[[#This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ROUNDUP((+SUMIF(UNITARIOS!C:C,Tabla2[[#This Row],[MANO DE OBRA]],UNITARIOS!E:E)),0)</f>
        <v>0</v>
      </c>
      <c r="M75" s="14">
        <f>Tabla2[[#This Row],[PRECIO]]*Tabla2[[#This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ROUNDUP((+SUMIF(UNITARIOS!C:C,Tabla1[[#This Row],[MATERIALES]],UNITARIOS!E:E)),0)</f>
        <v>0</v>
      </c>
      <c r="F76" s="16">
        <f>Tabla1[[#This Row],[PRECIO]]*Tabla1[[#This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ROUNDUP((+SUMIF(UNITARIOS!C:C,Tabla2[[#This Row],[MANO DE OBRA]],UNITARIOS!E:E)),0)</f>
        <v>0</v>
      </c>
      <c r="M76" s="140">
        <f>Tabla2[[#This Row],[PRECIO]]*Tabla2[[#This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ROUNDUP((+SUMIF(UNITARIOS!C:C,Tabla1[[#This Row],[MATERIALES]],UNITARIOS!E:E)),0)</f>
        <v>0</v>
      </c>
      <c r="F77" s="16">
        <f>Tabla1[[#This Row],[PRECIO]]*Tabla1[[#This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ROUNDUP((+SUMIF(UNITARIOS!C:C,Tabla2[[#This Row],[MANO DE OBRA]],UNITARIOS!E:E)),0)</f>
        <v>0</v>
      </c>
      <c r="M77" s="29">
        <f>Tabla2[[#This Row],[PRECIO]]*Tabla2[[#This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ROUNDUP((+SUMIF(UNITARIOS!C:C,Tabla1[[#This Row],[MATERIALES]],UNITARIOS!E:E)),0)</f>
        <v>0</v>
      </c>
      <c r="F78" s="16">
        <f>Tabla1[[#This Row],[PRECIO]]*Tabla1[[#This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ROUNDUP((+SUMIF(UNITARIOS!C:C,Tabla2[[#This Row],[MANO DE OBRA]],UNITARIOS!E:E)),0)</f>
        <v>32</v>
      </c>
      <c r="M78" s="14">
        <f>Tabla2[[#This Row],[PRECIO]]*Tabla2[[#This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ROUNDUP((+SUMIF(UNITARIOS!C:C,Tabla1[[#This Row],[MATERIALES]],UNITARIOS!E:E)),0)</f>
        <v>32</v>
      </c>
      <c r="F79" s="16">
        <f>Tabla1[[#This Row],[PRECIO]]*Tabla1[[#This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ROUNDUP((+SUMIF(UNITARIOS!C:C,Tabla2[[#This Row],[MANO DE OBRA]],UNITARIOS!E:E)),0)</f>
        <v>6</v>
      </c>
      <c r="M79" s="63">
        <f>Tabla2[[#This Row],[PRECIO]]*Tabla2[[#This Row],[CANTIDAD]]</f>
        <v>600</v>
      </c>
      <c r="P79" s="6"/>
      <c r="Q79" s="7"/>
    </row>
    <row r="80" spans="2:17" x14ac:dyDescent="0.25">
      <c r="B80" s="8" t="s">
        <v>586</v>
      </c>
      <c r="C80" s="9" t="s">
        <v>25</v>
      </c>
      <c r="D80" s="14">
        <v>60</v>
      </c>
      <c r="E80" s="26">
        <f>ROUNDUP((+SUMIF(UNITARIOS!C:C,Tabla1[[#This Row],[MATERIALES]],UNITARIOS!E:E)),0)</f>
        <v>2</v>
      </c>
      <c r="F80" s="16">
        <f>Tabla1[[#This Row],[PRECIO]]*Tabla1[[#This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ROUNDUP((+SUMIF(UNITARIOS!C:C,Tabla2[[#This Row],[MANO DE OBRA]],UNITARIOS!E:E)),0)</f>
        <v>0</v>
      </c>
      <c r="M80" s="29">
        <f>Tabla2[[#This Row],[PRECIO]]*Tabla2[[#This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ROUNDUP((+SUMIF(UNITARIOS!C:C,Tabla1[[#This Row],[MATERIALES]],UNITARIOS!E:E)),0)</f>
        <v>1</v>
      </c>
      <c r="F81" s="50">
        <f>Tabla1[[#This Row],[PRECIO]]*Tabla1[[#This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ROUNDUP((+SUMIF(UNITARIOS!C:C,Tabla2[[#This Row],[MANO DE OBRA]],UNITARIOS!E:E)),0)</f>
        <v>0</v>
      </c>
      <c r="M81" s="14">
        <f>Tabla2[[#This Row],[PRECIO]]*Tabla2[[#This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ROUNDUP((+SUMIF(UNITARIOS!C:C,Tabla1[[#This Row],[MATERIALES]],UNITARIOS!E:E)),0)</f>
        <v>0</v>
      </c>
      <c r="F82" s="16">
        <f>Tabla1[[#This Row],[PRECIO]]*Tabla1[[#This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ROUNDUP((+SUMIF(UNITARIOS!C:C,Tabla2[[#This Row],[MANO DE OBRA]],UNITARIOS!E:E)),0)</f>
        <v>0</v>
      </c>
      <c r="M82" s="14">
        <f>Tabla2[[#This Row],[PRECIO]]*Tabla2[[#This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ROUNDUP((+SUMIF(UNITARIOS!C:C,Tabla1[[#This Row],[MATERIALES]],UNITARIOS!E:E)),0)</f>
        <v>2</v>
      </c>
      <c r="F83" s="16">
        <f>Tabla1[[#This Row],[PRECIO]]*Tabla1[[#This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ROUNDUP((+SUMIF(UNITARIOS!C:C,Tabla2[[#This Row],[MANO DE OBRA]],UNITARIOS!E:E)),0)</f>
        <v>17</v>
      </c>
      <c r="M83" s="140">
        <f>Tabla2[[#This Row],[PRECIO]]*Tabla2[[#This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ROUNDUP((+SUMIF(UNITARIOS!C:C,Tabla1[[#This Row],[MATERIALES]],UNITARIOS!E:E)),0)</f>
        <v>37</v>
      </c>
      <c r="F84" s="16">
        <f>Tabla1[[#This Row],[PRECIO]]*Tabla1[[#This Row],[CANTIDAD]]</f>
        <v>185</v>
      </c>
      <c r="I84" s="233" t="s">
        <v>602</v>
      </c>
      <c r="J84" s="229" t="s">
        <v>24</v>
      </c>
      <c r="K84" s="230">
        <v>80</v>
      </c>
      <c r="L84" s="231">
        <f>ROUNDUP((+SUMIF(UNITARIOS!C:C,Tabla2[[#This Row],[MANO DE OBRA]],UNITARIOS!E:E)),0)</f>
        <v>25</v>
      </c>
      <c r="M84" s="230">
        <f>Tabla2[[#This Row],[PRECIO]]*Tabla2[[#This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ROUNDUP((+SUMIF(UNITARIOS!C:C,Tabla1[[#This Row],[MATERIALES]],UNITARIOS!E:E)),0)</f>
        <v>0</v>
      </c>
      <c r="F85" s="16">
        <f>Tabla1[[#This Row],[PRECIO]]*Tabla1[[#This Row],[CANTIDAD]]</f>
        <v>0</v>
      </c>
      <c r="I85" s="6" t="s">
        <v>588</v>
      </c>
      <c r="J85" s="9" t="s">
        <v>71</v>
      </c>
      <c r="K85" s="14">
        <v>15</v>
      </c>
      <c r="L85" s="26">
        <f>ROUNDUP((+SUMIF(UNITARIOS!C:C,Tabla2[[#This Row],[MANO DE OBRA]],UNITARIOS!E:E)),0)</f>
        <v>3</v>
      </c>
      <c r="M85" s="14">
        <f>Tabla2[[#This Row],[PRECIO]]*Tabla2[[#This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ROUNDUP((+SUMIF(UNITARIOS!C:C,Tabla1[[#This Row],[MATERIALES]],UNITARIOS!E:E)),0)</f>
        <v>25</v>
      </c>
      <c r="F86" s="16">
        <f>Tabla1[[#This Row],[PRECIO]]*Tabla1[[#This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ROUNDUP((+SUMIF(UNITARIOS!C:C,Tabla2[[#This Row],[MANO DE OBRA]],UNITARIOS!E:E)),0)</f>
        <v>0</v>
      </c>
      <c r="M86" s="16">
        <f>Tabla2[[#This Row],[PRECIO]]*Tabla2[[#This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ROUNDUP((+SUMIF(UNITARIOS!C:C,Tabla1[[#This Row],[MATERIALES]],UNITARIOS!E:E)),0)</f>
        <v>0</v>
      </c>
      <c r="F87" s="16">
        <f>Tabla1[[#This Row],[PRECIO]]*Tabla1[[#This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ROUNDUP((+SUMIF(UNITARIOS!C:C,Tabla2[[#This Row],[MANO DE OBRA]],UNITARIOS!E:E)),0)</f>
        <v>0</v>
      </c>
      <c r="M87" s="14">
        <f>Tabla2[[#This Row],[PRECIO]]*Tabla2[[#This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ROUNDUP((+SUMIF(UNITARIOS!C:C,Tabla1[[#This Row],[MATERIALES]],UNITARIOS!E:E)),0)</f>
        <v>0</v>
      </c>
      <c r="F88" s="16">
        <f>Tabla1[[#This Row],[PRECIO]]*Tabla1[[#This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ROUNDUP((+SUMIF(UNITARIOS!C:C,Tabla2[[#This Row],[MANO DE OBRA]],UNITARIOS!E:E)),0)</f>
        <v>1</v>
      </c>
      <c r="M88" s="14">
        <f>Tabla2[[#This Row],[PRECIO]]*Tabla2[[#This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ROUNDUP((+SUMIF(UNITARIOS!C:C,Tabla1[[#This Row],[MATERIALES]],UNITARIOS!E:E)),0)</f>
        <v>0</v>
      </c>
      <c r="F89" s="16">
        <f>Tabla1[[#This Row],[PRECIO]]*Tabla1[[#This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ROUNDUP((+SUMIF(UNITARIOS!C:C,Tabla2[[#This Row],[MANO DE OBRA]],UNITARIOS!E:E)),0)</f>
        <v>0</v>
      </c>
      <c r="M89" s="14">
        <f>Tabla2[[#This Row],[PRECIO]]*Tabla2[[#This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ROUNDUP((+SUMIF(UNITARIOS!C:C,Tabla1[[#This Row],[MATERIALES]],UNITARIOS!E:E)),0)</f>
        <v>0</v>
      </c>
      <c r="F90" s="16">
        <f>Tabla1[[#This Row],[PRECIO]]*Tabla1[[#This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ROUNDUP((+SUMIF(UNITARIOS!C:C,Tabla2[[#This Row],[MANO DE OBRA]],UNITARIOS!E:E)),0)</f>
        <v>0</v>
      </c>
      <c r="M90" s="63">
        <f>Tabla2[[#This Row],[PRECIO]]*Tabla2[[#This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ROUNDUP((+SUMIF(UNITARIOS!C:C,Tabla1[[#This Row],[MATERIALES]],UNITARIOS!E:E)),0)</f>
        <v>0</v>
      </c>
      <c r="F91" s="16">
        <f>Tabla1[[#This Row],[PRECIO]]*Tabla1[[#This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ROUNDUP((+SUMIF(UNITARIOS!C:C,Tabla2[[#This Row],[MANO DE OBRA]],UNITARIOS!E:E)),0)</f>
        <v>2</v>
      </c>
      <c r="M91" s="14">
        <f>Tabla2[[#This Row],[PRECIO]]*Tabla2[[#This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ROUNDUP((+SUMIF(UNITARIOS!C:C,Tabla1[[#This Row],[MATERIALES]],UNITARIOS!E:E)),0)</f>
        <v>0</v>
      </c>
      <c r="F92" s="16">
        <f>Tabla1[[#This Row],[PRECIO]]*Tabla1[[#This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ROUNDUP((+SUMIF(UNITARIOS!C:C,Tabla2[[#This Row],[MANO DE OBRA]],UNITARIOS!E:E)),0)</f>
        <v>1</v>
      </c>
      <c r="M92" s="29">
        <f>Tabla2[[#This Row],[PRECIO]]*Tabla2[[#This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ROUNDUP((+SUMIF(UNITARIOS!C:C,Tabla1[[#This Row],[MATERIALES]],UNITARIOS!E:E)),0)</f>
        <v>1</v>
      </c>
      <c r="F93" s="16">
        <f>Tabla1[[#This Row],[PRECIO]]*Tabla1[[#This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ROUNDUP((+SUMIF(UNITARIOS!C:C,Tabla2[[#This Row],[MANO DE OBRA]],UNITARIOS!E:E)),0)</f>
        <v>2</v>
      </c>
      <c r="M93" s="14">
        <f>Tabla2[[#This Row],[PRECIO]]*Tabla2[[#This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ROUNDUP((+SUMIF(UNITARIOS!C:C,Tabla1[[#This Row],[MATERIALES]],UNITARIOS!E:E)),0)</f>
        <v>0</v>
      </c>
      <c r="F94" s="16">
        <f>Tabla1[[#This Row],[PRECIO]]*Tabla1[[#This Row],[CANTIDAD]]</f>
        <v>0</v>
      </c>
      <c r="I94" s="6" t="s">
        <v>591</v>
      </c>
      <c r="J94" s="9" t="s">
        <v>24</v>
      </c>
      <c r="K94" s="14">
        <v>50</v>
      </c>
      <c r="L94" s="26">
        <f>ROUNDUP((+SUMIF(UNITARIOS!C:C,Tabla2[[#This Row],[MANO DE OBRA]],UNITARIOS!E:E)),0)</f>
        <v>2</v>
      </c>
      <c r="M94" s="14">
        <f>Tabla2[[#This Row],[PRECIO]]*Tabla2[[#This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ROUNDUP((+SUMIF(UNITARIOS!C:C,Tabla1[[#This Row],[MATERIALES]],UNITARIOS!E:E)),0)</f>
        <v>0</v>
      </c>
      <c r="F95" s="16">
        <f>Tabla1[[#This Row],[PRECIO]]*Tabla1[[#This Row],[CANTIDAD]]</f>
        <v>0</v>
      </c>
      <c r="I95" s="6" t="s">
        <v>577</v>
      </c>
      <c r="J95" s="9" t="s">
        <v>71</v>
      </c>
      <c r="K95" s="14">
        <v>75</v>
      </c>
      <c r="L95" s="26">
        <f>ROUNDUP((+SUMIF(UNITARIOS!C:C,Tabla2[[#This Row],[MANO DE OBRA]],UNITARIOS!E:E)),0)</f>
        <v>10</v>
      </c>
      <c r="M95" s="14">
        <f>Tabla2[[#This Row],[PRECIO]]*Tabla2[[#This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ROUNDUP((+SUMIF(UNITARIOS!C:C,Tabla1[[#This Row],[MATERIALES]],UNITARIOS!E:E)),0)</f>
        <v>0</v>
      </c>
      <c r="F96" s="16">
        <f>Tabla1[[#This Row],[PRECIO]]*Tabla1[[#This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ROUNDUP((+SUMIF(UNITARIOS!C:C,Tabla2[[#This Row],[MANO DE OBRA]],UNITARIOS!E:E)),0)</f>
        <v>1</v>
      </c>
      <c r="M96" s="29">
        <f>Tabla2[[#This Row],[PRECIO]]*Tabla2[[#This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ROUNDUP((+SUMIF(UNITARIOS!C:C,Tabla1[[#This Row],[MATERIALES]],UNITARIOS!E:E)),0)</f>
        <v>2</v>
      </c>
      <c r="F97" s="16">
        <f>Tabla1[[#This Row],[PRECIO]]*Tabla1[[#This Row],[CANTIDAD]]</f>
        <v>450</v>
      </c>
      <c r="I97" s="6" t="s">
        <v>593</v>
      </c>
      <c r="J97" s="9" t="s">
        <v>25</v>
      </c>
      <c r="K97" s="14">
        <v>50</v>
      </c>
      <c r="L97" s="26">
        <f>ROUNDUP((+SUMIF(UNITARIOS!C:C,Tabla2[[#This Row],[MANO DE OBRA]],UNITARIOS!E:E)),0)</f>
        <v>1</v>
      </c>
      <c r="M97" s="14">
        <f>Tabla2[[#This Row],[PRECIO]]*Tabla2[[#This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ROUNDUP((+SUMIF(UNITARIOS!C:C,Tabla1[[#This Row],[MATERIALES]],UNITARIOS!E:E)),0)</f>
        <v>1</v>
      </c>
      <c r="F98" s="16">
        <f>Tabla1[[#This Row],[PRECIO]]*Tabla1[[#This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ROUNDUP((+SUMIF(UNITARIOS!C:C,Tabla2[[#This Row],[MANO DE OBRA]],UNITARIOS!E:E)),0)</f>
        <v>0</v>
      </c>
      <c r="M98" s="14">
        <f>Tabla2[[#This Row],[PRECIO]]*Tabla2[[#This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ROUNDUP((+SUMIF(UNITARIOS!C:C,Tabla1[[#This Row],[MATERIALES]],UNITARIOS!E:E)),0)</f>
        <v>1</v>
      </c>
      <c r="F99" s="16">
        <f>Tabla1[[#This Row],[PRECIO]]*Tabla1[[#This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ROUNDUP((+SUMIF(UNITARIOS!C:C,Tabla2[[#This Row],[MANO DE OBRA]],UNITARIOS!E:E)),0)</f>
        <v>4</v>
      </c>
      <c r="M99" s="29">
        <f>Tabla2[[#This Row],[PRECIO]]*Tabla2[[#This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ROUNDUP((+SUMIF(UNITARIOS!C:C,Tabla1[[#This Row],[MATERIALES]],UNITARIOS!E:E)),0)</f>
        <v>1</v>
      </c>
      <c r="F100" s="16">
        <f>Tabla1[[#This Row],[PRECIO]]*Tabla1[[#This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ROUNDUP((+SUMIF(UNITARIOS!C:C,Tabla2[[#This Row],[MANO DE OBRA]],UNITARIOS!E:E)),0)</f>
        <v>3</v>
      </c>
      <c r="M100" s="14">
        <f>Tabla2[[#This Row],[PRECIO]]*Tabla2[[#This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ROUNDUP((+SUMIF(UNITARIOS!C:C,Tabla1[[#This Row],[MATERIALES]],UNITARIOS!E:E)),0)</f>
        <v>3</v>
      </c>
      <c r="F101" s="16">
        <f>Tabla1[[#This Row],[PRECIO]]*Tabla1[[#This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ROUNDUP((+SUMIF(UNITARIOS!C:C,Tabla2[[#This Row],[MANO DE OBRA]],UNITARIOS!E:E)),0)</f>
        <v>6</v>
      </c>
      <c r="M101" s="29">
        <f>Tabla2[[#This Row],[PRECIO]]*Tabla2[[#This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ROUNDUP((+SUMIF(UNITARIOS!C:C,Tabla1[[#This Row],[MATERIALES]],UNITARIOS!E:E)),0)</f>
        <v>0</v>
      </c>
      <c r="F102" s="16">
        <f>Tabla1[[#This Row],[PRECIO]]*Tabla1[[#This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ROUNDUP((+SUMIF(UNITARIOS!C:C,Tabla2[[#This Row],[MANO DE OBRA]],UNITARIOS!E:E)),0)</f>
        <v>24</v>
      </c>
      <c r="M102" s="14">
        <f>Tabla2[[#This Row],[PRECIO]]*Tabla2[[#This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ROUNDUP((+SUMIF(UNITARIOS!C:C,Tabla1[[#This Row],[MATERIALES]],UNITARIOS!E:E)),0)</f>
        <v>1</v>
      </c>
      <c r="F103" s="16">
        <f>Tabla1[[#This Row],[PRECIO]]*Tabla1[[#This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ROUNDUP((+SUMIF(UNITARIOS!C:C,Tabla2[[#This Row],[MANO DE OBRA]],UNITARIOS!E:E)),0)</f>
        <v>0</v>
      </c>
      <c r="M103" s="14">
        <f>Tabla2[[#This Row],[PRECIO]]*Tabla2[[#This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ROUNDUP((+SUMIF(UNITARIOS!C:C,Tabla1[[#This Row],[MATERIALES]],UNITARIOS!E:E)),0)</f>
        <v>0</v>
      </c>
      <c r="F104" s="16">
        <f>Tabla1[[#This Row],[PRECIO]]*Tabla1[[#This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ROUNDUP((+SUMIF(UNITARIOS!C:C,Tabla2[[#This Row],[MANO DE OBRA]],UNITARIOS!E:E)),0)</f>
        <v>5</v>
      </c>
      <c r="M104" s="29">
        <f>Tabla2[[#This Row],[PRECIO]]*Tabla2[[#This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ROUNDUP((+SUMIF(UNITARIOS!C:C,Tabla1[[#This Row],[MATERIALES]],UNITARIOS!E:E)),0)</f>
        <v>0</v>
      </c>
      <c r="F105" s="16">
        <f>Tabla1[[#This Row],[PRECIO]]*Tabla1[[#This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ROUNDUP((+SUMIF(UNITARIOS!C:C,Tabla2[[#This Row],[MANO DE OBRA]],UNITARIOS!E:E)),0)</f>
        <v>1</v>
      </c>
      <c r="M105" s="14">
        <f>Tabla2[[#This Row],[PRECIO]]*Tabla2[[#This Row],[CANTIDAD]]</f>
        <v>500</v>
      </c>
      <c r="P105" s="6"/>
      <c r="Q105" s="7"/>
    </row>
    <row r="106" spans="2:20" x14ac:dyDescent="0.25">
      <c r="B106" s="8" t="s">
        <v>590</v>
      </c>
      <c r="C106" s="9" t="s">
        <v>24</v>
      </c>
      <c r="D106" s="14">
        <v>295</v>
      </c>
      <c r="E106" s="26">
        <f>ROUNDUP((+SUMIF(UNITARIOS!C:C,Tabla1[[#This Row],[MATERIALES]],UNITARIOS!E:E)),0)</f>
        <v>2</v>
      </c>
      <c r="F106" s="16">
        <f>Tabla1[[#This Row],[PRECIO]]*Tabla1[[#This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ROUNDUP((+SUMIF(UNITARIOS!C:C,Tabla2[[#This Row],[MANO DE OBRA]],UNITARIOS!E:E)),0)</f>
        <v>0</v>
      </c>
      <c r="M106" s="63">
        <f>Tabla2[[#This Row],[PRECIO]]*Tabla2[[#This Row],[CANTIDAD]]</f>
        <v>0</v>
      </c>
      <c r="P106" s="6"/>
      <c r="Q106" s="7"/>
    </row>
    <row r="107" spans="2:20" x14ac:dyDescent="0.25">
      <c r="B107" s="8" t="s">
        <v>568</v>
      </c>
      <c r="C107" s="9" t="s">
        <v>25</v>
      </c>
      <c r="D107" s="14">
        <v>10</v>
      </c>
      <c r="E107" s="26">
        <f>ROUNDUP((+SUMIF(UNITARIOS!C:C,Tabla1[[#This Row],[MATERIALES]],UNITARIOS!E:E)),0)</f>
        <v>24</v>
      </c>
      <c r="F107" s="16">
        <f>Tabla1[[#This Row],[PRECIO]]*Tabla1[[#This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ROUNDUP((+SUMIF(UNITARIOS!C:C,Tabla2[[#This Row],[MANO DE OBRA]],UNITARIOS!E:E)),0)</f>
        <v>0</v>
      </c>
      <c r="M107" s="63">
        <f>Tabla2[[#This Row],[PRECIO]]*Tabla2[[#This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ROUNDUP((+SUMIF(UNITARIOS!C:C,Tabla1[[#This Row],[MATERIALES]],UNITARIOS!E:E)),0)</f>
        <v>1</v>
      </c>
      <c r="F108" s="16">
        <f>Tabla1[[#This Row],[PRECIO]]*Tabla1[[#This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ROUNDUP((+SUMIF(UNITARIOS!C:C,Tabla2[[#This Row],[MANO DE OBRA]],UNITARIOS!E:E)),0)</f>
        <v>0</v>
      </c>
      <c r="M108" s="14">
        <f>Tabla2[[#This Row],[PRECIO]]*Tabla2[[#This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ROUNDUP((+SUMIF(UNITARIOS!C:C,Tabla1[[#This Row],[MATERIALES]],UNITARIOS!E:E)),0)</f>
        <v>4</v>
      </c>
      <c r="F109" s="16">
        <f>Tabla1[[#This Row],[PRECIO]]*Tabla1[[#This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ROUNDUP((+SUMIF(UNITARIOS!C:C,Tabla2[[#This Row],[MANO DE OBRA]],UNITARIOS!E:E)),0)</f>
        <v>0</v>
      </c>
      <c r="M109" s="14">
        <f>Tabla2[[#This Row],[PRECIO]]*Tabla2[[#This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ROUNDUP((+SUMIF(UNITARIOS!C:C,Tabla1[[#This Row],[MATERIALES]],UNITARIOS!E:E)),0)</f>
        <v>0</v>
      </c>
      <c r="F110" s="16">
        <f>Tabla1[[#This Row],[PRECIO]]*Tabla1[[#This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ROUNDUP((+SUMIF(UNITARIOS!C:C,Tabla2[[#This Row],[MANO DE OBRA]],UNITARIOS!E:E)),0)</f>
        <v>3</v>
      </c>
      <c r="M110" s="14">
        <f>Tabla2[[#This Row],[PRECIO]]*Tabla2[[#This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ROUNDUP((+SUMIF(UNITARIOS!C:C,Tabla1[[#This Row],[MATERIALES]],UNITARIOS!E:E)),0)</f>
        <v>24</v>
      </c>
      <c r="F111" s="16">
        <f>Tabla1[[#This Row],[PRECIO]]*Tabla1[[#This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ROUNDUP((+SUMIF(UNITARIOS!C:C,Tabla2[[#This Row],[MANO DE OBRA]],UNITARIOS!E:E)),0)</f>
        <v>1</v>
      </c>
      <c r="M111" s="16">
        <f>Tabla2[[#This Row],[PRECIO]]*Tabla2[[#This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ROUNDUP((+SUMIF(UNITARIOS!C:C,Tabla1[[#This Row],[MATERIALES]],UNITARIOS!E:E)),0)</f>
        <v>0</v>
      </c>
      <c r="F112" s="16">
        <f>Tabla1[[#This Row],[PRECIO]]*Tabla1[[#This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ROUNDUP((+SUMIF(UNITARIOS!C:C,Tabla2[[#This Row],[MANO DE OBRA]],UNITARIOS!E:E)),0)</f>
        <v>7</v>
      </c>
      <c r="M112" s="14">
        <f>Tabla2[[#This Row],[PRECIO]]*Tabla2[[#This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ROUNDUP((+SUMIF(UNITARIOS!C:C,Tabla1[[#This Row],[MATERIALES]],UNITARIOS!E:E)),0)</f>
        <v>0</v>
      </c>
      <c r="F113" s="16">
        <f>Tabla1[[#This Row],[PRECIO]]*Tabla1[[#This Row],[CANTIDAD]]</f>
        <v>0</v>
      </c>
      <c r="I113" s="6" t="s">
        <v>601</v>
      </c>
      <c r="J113" s="9" t="s">
        <v>25</v>
      </c>
      <c r="K113" s="14">
        <v>105</v>
      </c>
      <c r="L113" s="26">
        <f>ROUNDUP((+SUMIF(UNITARIOS!C:C,Tabla2[[#This Row],[MANO DE OBRA]],UNITARIOS!E:E)),0)</f>
        <v>3</v>
      </c>
      <c r="M113" s="14">
        <f>Tabla2[[#This Row],[PRECIO]]*Tabla2[[#This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ROUNDUP((+SUMIF(UNITARIOS!C:C,Tabla1[[#This Row],[MATERIALES]],UNITARIOS!E:E)),0)</f>
        <v>0</v>
      </c>
      <c r="F114" s="16">
        <f>Tabla1[[#This Row],[PRECIO]]*Tabla1[[#This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ROUNDUP((+SUMIF(UNITARIOS!C:C,Tabla2[[#This Row],[MANO DE OBRA]],UNITARIOS!E:E)),0)</f>
        <v>0</v>
      </c>
      <c r="M114" s="14">
        <f>Tabla2[[#This Row],[PRECIO]]*Tabla2[[#This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ROUNDUP((+SUMIF(UNITARIOS!C:C,Tabla1[[#This Row],[MATERIALES]],UNITARIOS!E:E)),0)</f>
        <v>0</v>
      </c>
      <c r="F115" s="16">
        <f>Tabla1[[#This Row],[PRECIO]]*Tabla1[[#This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ROUNDUP((+SUMIF(UNITARIOS!C:C,Tabla2[[#This Row],[MANO DE OBRA]],UNITARIOS!E:E)),0)</f>
        <v>48</v>
      </c>
      <c r="M115" s="14">
        <f>Tabla2[[#This Row],[PRECIO]]*Tabla2[[#This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ROUNDUP((+SUMIF(UNITARIOS!C:C,Tabla1[[#This Row],[MATERIALES]],UNITARIOS!E:E)),0)</f>
        <v>0</v>
      </c>
      <c r="F116" s="16">
        <f>Tabla1[[#This Row],[PRECIO]]*Tabla1[[#This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ROUNDUP((+SUMIF(UNITARIOS!C:C,Tabla2[[#This Row],[MANO DE OBRA]],UNITARIOS!E:E)),0)</f>
        <v>0</v>
      </c>
      <c r="M116" s="14">
        <f>Tabla2[[#This Row],[PRECIO]]*Tabla2[[#This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ROUNDUP((+SUMIF(UNITARIOS!C:C,Tabla1[[#This Row],[MATERIALES]],UNITARIOS!E:E)),0)</f>
        <v>0</v>
      </c>
      <c r="F117" s="16">
        <f>Tabla1[[#This Row],[PRECIO]]*Tabla1[[#This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ROUNDUP((+SUMIF(UNITARIOS!C:C,Tabla2[[#This Row],[MANO DE OBRA]],UNITARIOS!E:E)),0)</f>
        <v>2</v>
      </c>
      <c r="M117" s="29">
        <f>Tabla2[[#This Row],[PRECIO]]*Tabla2[[#This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ROUNDUP((+SUMIF(UNITARIOS!C:C,Tabla1[[#This Row],[MATERIALES]],UNITARIOS!E:E)),0)</f>
        <v>0</v>
      </c>
      <c r="F118" s="16">
        <f>Tabla1[[#This Row],[PRECIO]]*Tabla1[[#This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ROUNDUP((+SUMIF(UNITARIOS!C:C,Tabla2[[#This Row],[MANO DE OBRA]],UNITARIOS!E:E)),0)</f>
        <v>11</v>
      </c>
      <c r="M118" s="29">
        <f>Tabla2[[#This Row],[PRECIO]]*Tabla2[[#This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ROUNDUP((+SUMIF(UNITARIOS!C:C,Tabla1[[#This Row],[MATERIALES]],UNITARIOS!E:E)),0)</f>
        <v>0</v>
      </c>
      <c r="F119" s="16">
        <f>Tabla1[[#This Row],[PRECIO]]*Tabla1[[#This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ROUNDUP((+SUMIF(UNITARIOS!C:C,Tabla2[[#This Row],[MANO DE OBRA]],UNITARIOS!E:E)),0)</f>
        <v>0</v>
      </c>
      <c r="M119" s="14">
        <f>Tabla2[[#This Row],[PRECIO]]*Tabla2[[#This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ROUNDUP((+SUMIF(UNITARIOS!C:C,Tabla1[[#This Row],[MATERIALES]],UNITARIOS!E:E)),0)</f>
        <v>0</v>
      </c>
      <c r="F120" s="50">
        <f>Tabla1[[#This Row],[PRECIO]]*Tabla1[[#This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ROUNDUP((+SUMIF(UNITARIOS!C:C,Tabla2[[#This Row],[MANO DE OBRA]],UNITARIOS!E:E)),0)</f>
        <v>0</v>
      </c>
      <c r="M120" s="14">
        <f>Tabla2[[#This Row],[PRECIO]]*Tabla2[[#This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ROUNDUP((+SUMIF(UNITARIOS!C:C,Tabla1[[#This Row],[MATERIALES]],UNITARIOS!E:E)),0)</f>
        <v>0</v>
      </c>
      <c r="F121" s="16">
        <f>Tabla1[[#This Row],[PRECIO]]*Tabla1[[#This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ROUNDUP((+SUMIF(UNITARIOS!C:C,Tabla2[[#This Row],[MANO DE OBRA]],UNITARIOS!E:E)),0)</f>
        <v>69</v>
      </c>
      <c r="M121" s="140">
        <f>Tabla2[[#This Row],[PRECIO]]*Tabla2[[#This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ROUNDUP((+SUMIF(UNITARIOS!C:C,Tabla1[[#This Row],[MATERIALES]],UNITARIOS!E:E)),0)</f>
        <v>1</v>
      </c>
      <c r="F122" s="16">
        <f>Tabla1[[#This Row],[PRECIO]]*Tabla1[[#This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ROUNDUP((+SUMIF(UNITARIOS!C:C,Tabla2[[#This Row],[MANO DE OBRA]],UNITARIOS!E:E)),0)</f>
        <v>0</v>
      </c>
      <c r="M122" s="14">
        <f>Tabla2[[#This Row],[PRECIO]]*Tabla2[[#This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ROUNDUP((+SUMIF(UNITARIOS!C:C,Tabla1[[#This Row],[MATERIALES]],UNITARIOS!E:E)),0)</f>
        <v>0</v>
      </c>
      <c r="F123" s="50">
        <f>Tabla1[[#This Row],[PRECIO]]*Tabla1[[#This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ROUNDUP((+SUMIF(UNITARIOS!C:C,Tabla2[[#This Row],[MANO DE OBRA]],UNITARIOS!E:E)),0)</f>
        <v>48</v>
      </c>
      <c r="M123" s="14">
        <f>Tabla2[[#This Row],[PRECIO]]*Tabla2[[#This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ROUNDUP((+SUMIF(UNITARIOS!C:C,Tabla1[[#This Row],[MATERIALES]],UNITARIOS!E:E)),0)</f>
        <v>8</v>
      </c>
      <c r="F124" s="142">
        <f>Tabla1[[#This Row],[PRECIO]]*Tabla1[[#This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ROUNDUP((+SUMIF(UNITARIOS!C:C,Tabla2[[#This Row],[MANO DE OBRA]],UNITARIOS!E:E)),0)</f>
        <v>0</v>
      </c>
      <c r="M124" s="29">
        <f>Tabla2[[#This Row],[PRECIO]]*Tabla2[[#This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ROUNDUP((+SUMIF(UNITARIOS!C:C,Tabla1[[#This Row],[MATERIALES]],UNITARIOS!E:E)),0)</f>
        <v>4</v>
      </c>
      <c r="F125" s="16">
        <f>Tabla1[[#This Row],[PRECIO]]*Tabla1[[#This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ROUNDUP((+SUMIF(UNITARIOS!C:C,Tabla2[[#This Row],[MANO DE OBRA]],UNITARIOS!E:E)),0)</f>
        <v>0</v>
      </c>
      <c r="M125" s="14">
        <f>Tabla2[[#This Row],[PRECIO]]*Tabla2[[#This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ROUNDUP((+SUMIF(UNITARIOS!C:C,Tabla1[[#This Row],[MATERIALES]],UNITARIOS!E:E)),0)</f>
        <v>0</v>
      </c>
      <c r="F126" s="50">
        <f>Tabla1[[#This Row],[PRECIO]]*Tabla1[[#This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ROUNDUP((+SUMIF(UNITARIOS!C:C,Tabla2[[#This Row],[MANO DE OBRA]],UNITARIOS!E:E)),0)</f>
        <v>0</v>
      </c>
      <c r="M126" s="14">
        <f>Tabla2[[#This Row],[PRECIO]]*Tabla2[[#This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ROUNDUP((+SUMIF(UNITARIOS!C:C,Tabla1[[#This Row],[MATERIALES]],UNITARIOS!E:E)),0)</f>
        <v>4</v>
      </c>
      <c r="F127" s="16">
        <f>Tabla1[[#This Row],[PRECIO]]*Tabla1[[#This Row],[CANTIDAD]]</f>
        <v>200</v>
      </c>
      <c r="I127" s="6" t="s">
        <v>571</v>
      </c>
      <c r="J127" s="9" t="s">
        <v>24</v>
      </c>
      <c r="K127" s="14">
        <v>20</v>
      </c>
      <c r="L127" s="26">
        <f>ROUNDUP((+SUMIF(UNITARIOS!C:C,Tabla2[[#This Row],[MANO DE OBRA]],UNITARIOS!E:E)),0)</f>
        <v>7</v>
      </c>
      <c r="M127" s="14">
        <f>Tabla2[[#This Row],[PRECIO]]*Tabla2[[#This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ROUNDUP((+SUMIF(UNITARIOS!C:C,Tabla1[[#This Row],[MATERIALES]],UNITARIOS!E:E)),0)</f>
        <v>0</v>
      </c>
      <c r="F128" s="16">
        <f>Tabla1[[#This Row],[PRECIO]]*Tabla1[[#This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ROUNDUP((+SUMIF(UNITARIOS!C:C,Tabla2[[#This Row],[MANO DE OBRA]],UNITARIOS!E:E)),0)</f>
        <v>50</v>
      </c>
      <c r="M128" s="14">
        <f>Tabla2[[#This Row],[PRECIO]]*Tabla2[[#This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ROUNDUP((+SUMIF(UNITARIOS!C:C,Tabla1[[#This Row],[MATERIALES]],UNITARIOS!E:E)),0)</f>
        <v>350</v>
      </c>
      <c r="F129" s="16">
        <f>Tabla1[[#This Row],[PRECIO]]*Tabla1[[#This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ROUNDUP((+SUMIF(UNITARIOS!C:C,Tabla2[[#This Row],[MANO DE OBRA]],UNITARIOS!E:E)),0)</f>
        <v>0</v>
      </c>
      <c r="M129" s="14">
        <f>Tabla2[[#This Row],[PRECIO]]*Tabla2[[#This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ROUNDUP((+SUMIF(UNITARIOS!C:C,Tabla1[[#This Row],[MATERIALES]],UNITARIOS!E:E)),0)</f>
        <v>0</v>
      </c>
      <c r="F130" s="16">
        <f>Tabla1[[#This Row],[PRECIO]]*Tabla1[[#This Row],[CANTIDAD]]</f>
        <v>0</v>
      </c>
      <c r="I130" s="233" t="s">
        <v>565</v>
      </c>
      <c r="J130" s="229" t="s">
        <v>25</v>
      </c>
      <c r="K130" s="230">
        <v>1500</v>
      </c>
      <c r="L130" s="231">
        <f>ROUNDUP((+SUMIF(UNITARIOS!C:C,Tabla2[[#This Row],[MANO DE OBRA]],UNITARIOS!E:E)),0)</f>
        <v>1</v>
      </c>
      <c r="M130" s="230">
        <f>Tabla2[[#This Row],[PRECIO]]*Tabla2[[#This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ROUNDUP((+SUMIF(UNITARIOS!C:C,Tabla1[[#This Row],[MATERIALES]],UNITARIOS!E:E)),0)</f>
        <v>0</v>
      </c>
      <c r="F131" s="16">
        <f>Tabla1[[#This Row],[PRECIO]]*Tabla1[[#This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ROUNDUP((+SUMIF(UNITARIOS!C:C,Tabla2[[#This Row],[MANO DE OBRA]],UNITARIOS!E:E)),0)</f>
        <v>0</v>
      </c>
      <c r="M131" s="63">
        <f>Tabla2[[#This Row],[PRECIO]]*Tabla2[[#This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ROUNDUP((+SUMIF(UNITARIOS!C:C,Tabla1[[#This Row],[MATERIALES]],UNITARIOS!E:E)),0)</f>
        <v>0</v>
      </c>
      <c r="F132" s="16">
        <f>Tabla1[[#This Row],[PRECIO]]*Tabla1[[#This Row],[CANTIDAD]]</f>
        <v>0</v>
      </c>
      <c r="I132" s="6" t="s">
        <v>600</v>
      </c>
      <c r="J132" s="9" t="s">
        <v>24</v>
      </c>
      <c r="K132" s="14">
        <v>500</v>
      </c>
      <c r="L132" s="26">
        <f>ROUNDUP((+SUMIF(UNITARIOS!C:C,Tabla2[[#This Row],[MANO DE OBRA]],UNITARIOS!E:E)),0)</f>
        <v>50</v>
      </c>
      <c r="M132" s="14">
        <f>Tabla2[[#This Row],[PRECIO]]*Tabla2[[#This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ROUNDUP((+SUMIF(UNITARIOS!C:C,Tabla1[[#This Row],[MATERIALES]],UNITARIOS!E:E)),0)</f>
        <v>3</v>
      </c>
      <c r="F133" s="16">
        <f>Tabla1[[#This Row],[PRECIO]]*Tabla1[[#This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ROUNDUP((+SUMIF(UNITARIOS!C:C,Tabla2[[#This Row],[MANO DE OBRA]],UNITARIOS!E:E)),0)</f>
        <v>0</v>
      </c>
      <c r="M133" s="14">
        <f>Tabla2[[#This Row],[PRECIO]]*Tabla2[[#This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ROUNDUP((+SUMIF(UNITARIOS!C:C,Tabla1[[#This Row],[MATERIALES]],UNITARIOS!E:E)),0)</f>
        <v>0</v>
      </c>
      <c r="F134" s="16">
        <f>Tabla1[[#This Row],[PRECIO]]*Tabla1[[#This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ROUNDUP((+SUMIF(UNITARIOS!C:C,Tabla2[[#This Row],[MANO DE OBRA]],UNITARIOS!E:E)),0)</f>
        <v>0</v>
      </c>
      <c r="M134" s="14">
        <f>Tabla2[[#This Row],[PRECIO]]*Tabla2[[#This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ROUNDUP((+SUMIF(UNITARIOS!C:C,Tabla1[[#This Row],[MATERIALES]],UNITARIOS!E:E)),0)</f>
        <v>0</v>
      </c>
      <c r="F135" s="16">
        <f>Tabla1[[#This Row],[PRECIO]]*Tabla1[[#This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ROUNDUP((+SUMIF(UNITARIOS!C:C,Tabla2[[#This Row],[MANO DE OBRA]],UNITARIOS!E:E)),0)</f>
        <v>0</v>
      </c>
      <c r="M135" s="14">
        <f>Tabla2[[#This Row],[PRECIO]]*Tabla2[[#This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ROUNDUP((+SUMIF(UNITARIOS!C:C,Tabla1[[#This Row],[MATERIALES]],UNITARIOS!E:E)),0)</f>
        <v>24</v>
      </c>
      <c r="F136" s="16">
        <f>Tabla1[[#This Row],[PRECIO]]*Tabla1[[#This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ROUNDUP((+SUMIF(UNITARIOS!C:C,Tabla2[[#This Row],[MANO DE OBRA]],UNITARIOS!E:E)),0)</f>
        <v>0</v>
      </c>
      <c r="M136" s="63">
        <f>Tabla2[[#This Row],[PRECIO]]*Tabla2[[#This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ROUNDUP((+SUMIF(UNITARIOS!C:C,Tabla1[[#This Row],[MATERIALES]],UNITARIOS!E:E)),0)</f>
        <v>5</v>
      </c>
      <c r="F137" s="16">
        <f>Tabla1[[#This Row],[PRECIO]]*Tabla1[[#This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ROUNDUP((+SUMIF(UNITARIOS!C:C,Tabla2[[#This Row],[MANO DE OBRA]],UNITARIOS!E:E)),0)</f>
        <v>39</v>
      </c>
      <c r="M137" s="14">
        <f>Tabla2[[#This Row],[PRECIO]]*Tabla2[[#This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ROUNDUP((+SUMIF(UNITARIOS!C:C,Tabla1[[#This Row],[MATERIALES]],UNITARIOS!E:E)),0)</f>
        <v>0</v>
      </c>
      <c r="F138" s="16">
        <f>Tabla1[[#This Row],[PRECIO]]*Tabla1[[#This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ROUNDUP((+SUMIF(UNITARIOS!C:C,Tabla1[[#This Row],[MATERIALES]],UNITARIOS!E:E)),0)</f>
        <v>1</v>
      </c>
      <c r="F139" s="16">
        <f>Tabla1[[#This Row],[PRECIO]]*Tabla1[[#This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ROUNDUP((+SUMIF(UNITARIOS!C:C,Tabla1[[#This Row],[MATERIALES]],UNITARIOS!E:E)),0)</f>
        <v>0</v>
      </c>
      <c r="F140" s="16">
        <f>Tabla1[[#This Row],[PRECIO]]*Tabla1[[#This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ROUNDUP((+SUMIF(UNITARIOS!C:C,Tabla1[[#This Row],[MATERIALES]],UNITARIOS!E:E)),0)</f>
        <v>0</v>
      </c>
      <c r="F141" s="16">
        <f>Tabla1[[#This Row],[PRECIO]]*Tabla1[[#This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ROUNDUP((+SUMIF(UNITARIOS!C:C,Tabla1[[#This Row],[MATERIALES]],UNITARIOS!E:E)),0)</f>
        <v>0</v>
      </c>
      <c r="F142" s="16">
        <f>Tabla1[[#This Row],[PRECIO]]*Tabla1[[#This Row],[CANTIDAD]]</f>
        <v>0</v>
      </c>
      <c r="P142" s="6"/>
      <c r="Q142" s="7"/>
    </row>
    <row r="143" spans="2:17" x14ac:dyDescent="0.25">
      <c r="B143" s="8" t="s">
        <v>589</v>
      </c>
      <c r="C143" s="28" t="s">
        <v>25</v>
      </c>
      <c r="D143" s="14">
        <v>250</v>
      </c>
      <c r="E143" s="26">
        <f>ROUNDUP((+SUMIF(UNITARIOS!C:C,Tabla1[[#This Row],[MATERIALES]],UNITARIOS!E:E)),0)</f>
        <v>5</v>
      </c>
      <c r="F143" s="16">
        <f>Tabla1[[#This Row],[PRECIO]]*Tabla1[[#This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ROUNDUP((+SUMIF(UNITARIOS!C:C,Tabla1[[#This Row],[MATERIALES]],UNITARIOS!E:E)),0)</f>
        <v>2625</v>
      </c>
      <c r="F144" s="16">
        <f>Tabla1[[#This Row],[PRECIO]]*Tabla1[[#This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ROUNDUP((+SUMIF(UNITARIOS!C:C,Tabla1[[#This Row],[MATERIALES]],UNITARIOS!E:E)),0)</f>
        <v>0</v>
      </c>
      <c r="F145" s="16">
        <f>Tabla1[[#This Row],[PRECIO]]*Tabla1[[#This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ROUNDUP((+SUMIF(UNITARIOS!C:C,Tabla1[[#This Row],[MATERIALES]],UNITARIOS!E:E)),0)</f>
        <v>13</v>
      </c>
      <c r="F146" s="16">
        <f>Tabla1[[#This Row],[PRECIO]]*Tabla1[[#This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ROUNDUP((+SUMIF(UNITARIOS!C:C,Tabla1[[#This Row],[MATERIALES]],UNITARIOS!E:E)),0)</f>
        <v>0</v>
      </c>
      <c r="F147" s="50">
        <f>Tabla1[[#This Row],[PRECIO]]*Tabla1[[#This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ROUNDUP((+SUMIF(UNITARIOS!C:C,Tabla1[[#This Row],[MATERIALES]],UNITARIOS!E:E)),0)</f>
        <v>3</v>
      </c>
      <c r="F148" s="16">
        <f>Tabla1[[#This Row],[PRECIO]]*Tabla1[[#This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ROUNDUP((+SUMIF(UNITARIOS!C:C,Tabla1[[#This Row],[MATERIALES]],UNITARIOS!E:E)),0)</f>
        <v>0</v>
      </c>
      <c r="F149" s="50">
        <f>Tabla1[[#This Row],[PRECIO]]*Tabla1[[#This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ROUNDUP((+SUMIF(UNITARIOS!C:C,Tabla1[[#This Row],[MATERIALES]],UNITARIOS!E:E)),0)</f>
        <v>0</v>
      </c>
      <c r="F150" s="50">
        <f>Tabla1[[#This Row],[PRECIO]]*Tabla1[[#This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ROUNDUP((+SUMIF(UNITARIOS!C:C,Tabla1[[#This Row],[MATERIALES]],UNITARIOS!E:E)),0)</f>
        <v>3</v>
      </c>
      <c r="F151" s="16">
        <f>Tabla1[[#This Row],[PRECIO]]*Tabla1[[#This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ROUNDUP((+SUMIF(UNITARIOS!C:C,Tabla1[[#This Row],[MATERIALES]],UNITARIOS!E:E)),0)</f>
        <v>0</v>
      </c>
      <c r="F152" s="16">
        <f>Tabla1[[#This Row],[PRECIO]]*Tabla1[[#This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ROUNDUP((+SUMIF(UNITARIOS!C:C,Tabla1[[#This Row],[MATERIALES]],UNITARIOS!E:E)),0)</f>
        <v>0</v>
      </c>
      <c r="F153" s="16">
        <f>Tabla1[[#This Row],[PRECIO]]*Tabla1[[#This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ROUNDUP((+SUMIF(UNITARIOS!C:C,Tabla1[[#This Row],[MATERIALES]],UNITARIOS!E:E)),0)</f>
        <v>0</v>
      </c>
      <c r="F154" s="16">
        <f>Tabla1[[#This Row],[PRECIO]]*Tabla1[[#This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ROUNDUP((+SUMIF(UNITARIOS!C:C,Tabla1[[#This Row],[MATERIALES]],UNITARIOS!E:E)),0)</f>
        <v>1</v>
      </c>
      <c r="F155" s="16">
        <f>Tabla1[[#This Row],[PRECIO]]*Tabla1[[#This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ROUNDUP((+SUMIF(UNITARIOS!C:C,Tabla1[[#This Row],[MATERIALES]],UNITARIOS!E:E)),0)</f>
        <v>0</v>
      </c>
      <c r="F156" s="16">
        <f>Tabla1[[#This Row],[PRECIO]]*Tabla1[[#This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ROUNDUP((+SUMIF(UNITARIOS!C:C,Tabla1[[#This Row],[MATERIALES]],UNITARIOS!E:E)),0)</f>
        <v>8</v>
      </c>
      <c r="F157" s="16">
        <f>Tabla1[[#This Row],[PRECIO]]*Tabla1[[#This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ROUNDUP((+SUMIF(UNITARIOS!C:C,Tabla1[[#This Row],[MATERIALES]],UNITARIOS!E:E)),0)</f>
        <v>0</v>
      </c>
      <c r="F158" s="16">
        <f>Tabla1[[#This Row],[PRECIO]]*Tabla1[[#This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ROUNDUP((+SUMIF(UNITARIOS!C:C,Tabla1[[#This Row],[MATERIALES]],UNITARIOS!E:E)),0)</f>
        <v>0</v>
      </c>
      <c r="F159" s="16">
        <f>Tabla1[[#This Row],[PRECIO]]*Tabla1[[#This Row],[CANTIDAD]]</f>
        <v>0</v>
      </c>
      <c r="P159" s="6"/>
      <c r="Q159" s="7"/>
    </row>
    <row r="160" spans="2:17" x14ac:dyDescent="0.25">
      <c r="B160" s="8" t="s">
        <v>579</v>
      </c>
      <c r="C160" s="9" t="s">
        <v>25</v>
      </c>
      <c r="D160" s="14">
        <v>325</v>
      </c>
      <c r="E160" s="26">
        <f>ROUNDUP((+SUMIF(UNITARIOS!C:C,Tabla1[[#This Row],[MATERIALES]],UNITARIOS!E:E)),0)</f>
        <v>0</v>
      </c>
      <c r="F160" s="16">
        <f>Tabla1[[#This Row],[PRECIO]]*Tabla1[[#This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ROUNDUP((+SUMIF(UNITARIOS!C:C,Tabla1[[#This Row],[MATERIALES]],UNITARIOS!E:E)),0)</f>
        <v>0</v>
      </c>
      <c r="F161" s="16">
        <f>Tabla1[[#This Row],[PRECIO]]*Tabla1[[#This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ROUNDUP((+SUMIF(UNITARIOS!C:C,Tabla1[[#This Row],[MATERIALES]],UNITARIOS!E:E)),0)</f>
        <v>0</v>
      </c>
      <c r="F162" s="66">
        <f>Tabla1[[#This Row],[PRECIO]]*Tabla1[[#This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ROUNDUP((+SUMIF(UNITARIOS!C:C,Tabla1[[#This Row],[MATERIALES]],UNITARIOS!E:E)),0)</f>
        <v>0</v>
      </c>
      <c r="F163" s="16">
        <f>Tabla1[[#This Row],[PRECIO]]*Tabla1[[#This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ROUNDUP((+SUMIF(UNITARIOS!C:C,Tabla1[[#This Row],[MATERIALES]],UNITARIOS!E:E)),0)</f>
        <v>0</v>
      </c>
      <c r="F164" s="16">
        <f>Tabla1[[#This Row],[PRECIO]]*Tabla1[[#This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ROUNDUP((+SUMIF(UNITARIOS!C:C,Tabla1[[#This Row],[MATERIALES]],UNITARIOS!E:E)),0)</f>
        <v>0</v>
      </c>
      <c r="F165" s="16">
        <f>Tabla1[[#This Row],[PRECIO]]*Tabla1[[#This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ROUNDUP((+SUMIF(UNITARIOS!C:C,Tabla1[[#This Row],[MATERIALES]],UNITARIOS!E:E)),0)</f>
        <v>2</v>
      </c>
      <c r="F166" s="16">
        <f>Tabla1[[#This Row],[PRECIO]]*Tabla1[[#This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ROUNDUP((+SUMIF(UNITARIOS!C:C,Tabla1[[#This Row],[MATERIALES]],UNITARIOS!E:E)),0)</f>
        <v>24</v>
      </c>
      <c r="F167" s="16">
        <f>Tabla1[[#This Row],[PRECIO]]*Tabla1[[#This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ROUNDUP((+SUMIF(UNITARIOS!C:C,Tabla1[[#This Row],[MATERIALES]],UNITARIOS!E:E)),0)</f>
        <v>0</v>
      </c>
      <c r="F168" s="66">
        <f>Tabla1[[#This Row],[PRECIO]]*Tabla1[[#This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ROUNDUP((+SUMIF(UNITARIOS!C:C,Tabla1[[#This Row],[MATERIALES]],UNITARIOS!E:E)),0)</f>
        <v>2</v>
      </c>
      <c r="F169" s="16">
        <f>Tabla1[[#This Row],[PRECIO]]*Tabla1[[#This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ROUNDUP((+SUMIF(UNITARIOS!C:C,Tabla1[[#This Row],[MATERIALES]],UNITARIOS!E:E)),0)</f>
        <v>1</v>
      </c>
      <c r="F170" s="16">
        <f>Tabla1[[#This Row],[PRECIO]]*Tabla1[[#This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ROUNDUP((+SUMIF(UNITARIOS!C:C,Tabla1[[#This Row],[MATERIALES]],UNITARIOS!E:E)),0)</f>
        <v>6</v>
      </c>
      <c r="F171" s="16">
        <f>Tabla1[[#This Row],[PRECIO]]*Tabla1[[#This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ROUNDUP((+SUMIF(UNITARIOS!C:C,Tabla1[[#This Row],[MATERIALES]],UNITARIOS!E:E)),0)</f>
        <v>0</v>
      </c>
      <c r="F172" s="16">
        <f>Tabla1[[#This Row],[PRECIO]]*Tabla1[[#This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ROUNDUP((+SUMIF(UNITARIOS!C:C,Tabla1[[#This Row],[MATERIALES]],UNITARIOS!E:E)),0)</f>
        <v>0</v>
      </c>
      <c r="F173" s="16">
        <f>Tabla1[[#This Row],[PRECIO]]*Tabla1[[#This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ROUNDUP((+SUMIF(UNITARIOS!C:C,Tabla1[[#This Row],[MATERIALES]],UNITARIOS!E:E)),0)</f>
        <v>67</v>
      </c>
      <c r="F174" s="16">
        <f>Tabla1[[#This Row],[PRECIO]]*Tabla1[[#This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ROUNDUP((+SUMIF(UNITARIOS!C:C,Tabla1[[#This Row],[MATERIALES]],UNITARIOS!E:E)),0)</f>
        <v>0</v>
      </c>
      <c r="F175" s="16">
        <f>Tabla1[[#This Row],[PRECIO]]*Tabla1[[#This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ROUNDUP((+SUMIF(UNITARIOS!C:C,Tabla1[[#This Row],[MATERIALES]],UNITARIOS!E:E)),0)</f>
        <v>3</v>
      </c>
      <c r="F176" s="50">
        <f>Tabla1[[#This Row],[PRECIO]]*Tabla1[[#This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ROUNDUP((+SUMIF(UNITARIOS!C:C,Tabla1[[#This Row],[MATERIALES]],UNITARIOS!E:E)),0)</f>
        <v>10</v>
      </c>
      <c r="F177" s="16">
        <f>Tabla1[[#This Row],[PRECIO]]*Tabla1[[#This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ROUNDUP((+SUMIF(UNITARIOS!C:C,Tabla1[[#This Row],[MATERIALES]],UNITARIOS!E:E)),0)</f>
        <v>0</v>
      </c>
      <c r="F178" s="16">
        <f>Tabla1[[#This Row],[PRECIO]]*Tabla1[[#This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ROUNDUP((+SUMIF(UNITARIOS!C:C,Tabla1[[#This Row],[MATERIALES]],UNITARIOS!E:E)),0)</f>
        <v>0</v>
      </c>
      <c r="F179" s="16">
        <f>Tabla1[[#This Row],[PRECIO]]*Tabla1[[#This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ROUNDUP((+SUMIF(UNITARIOS!C:C,Tabla1[[#This Row],[MATERIALES]],UNITARIOS!E:E)),0)</f>
        <v>0</v>
      </c>
      <c r="F180" s="16">
        <f>Tabla1[[#This Row],[PRECIO]]*Tabla1[[#This Row],[CANTIDAD]]</f>
        <v>0</v>
      </c>
      <c r="P180" s="6"/>
      <c r="Q180" s="7"/>
    </row>
    <row r="181" spans="2:17" x14ac:dyDescent="0.25">
      <c r="B181" s="8" t="s">
        <v>578</v>
      </c>
      <c r="C181" s="9" t="s">
        <v>25</v>
      </c>
      <c r="D181" s="14">
        <v>1100</v>
      </c>
      <c r="E181" s="26">
        <f>ROUNDUP((+SUMIF(UNITARIOS!C:C,Tabla1[[#This Row],[MATERIALES]],UNITARIOS!E:E)),0)</f>
        <v>0</v>
      </c>
      <c r="F181" s="16">
        <f>Tabla1[[#This Row],[PRECIO]]*Tabla1[[#This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ROUNDUP((+SUMIF(UNITARIOS!C:C,Tabla1[[#This Row],[MATERIALES]],UNITARIOS!E:E)),0)</f>
        <v>0</v>
      </c>
      <c r="F182" s="16">
        <f>Tabla1[[#This Row],[PRECIO]]*Tabla1[[#This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ROUNDUP((+SUMIF(UNITARIOS!C:C,Tabla1[[#This Row],[MATERIALES]],UNITARIOS!E:E)),0)</f>
        <v>23</v>
      </c>
      <c r="F183" s="16">
        <f>Tabla1[[#This Row],[PRECIO]]*Tabla1[[#This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ROUNDUP((+SUMIF(UNITARIOS!C:C,Tabla1[[#This Row],[MATERIALES]],UNITARIOS!E:E)),0)</f>
        <v>0</v>
      </c>
      <c r="F184" s="16">
        <f>Tabla1[[#This Row],[PRECIO]]*Tabla1[[#This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ROUNDUP((+SUMIF(UNITARIOS!C:C,Tabla1[[#This Row],[MATERIALES]],UNITARIOS!E:E)),0)</f>
        <v>0</v>
      </c>
      <c r="F185" s="16">
        <f>Tabla1[[#This Row],[PRECIO]]*Tabla1[[#This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ROUNDUP((+SUMIF(UNITARIOS!C:C,Tabla1[[#This Row],[MATERIALES]],UNITARIOS!E:E)),0)</f>
        <v>0</v>
      </c>
      <c r="F186" s="16">
        <f>Tabla1[[#This Row],[PRECIO]]*Tabla1[[#This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ROUNDUP((+SUMIF(UNITARIOS!C:C,Tabla1[[#This Row],[MATERIALES]],UNITARIOS!E:E)),0)</f>
        <v>0</v>
      </c>
      <c r="F187" s="66">
        <f>Tabla1[[#This Row],[PRECIO]]*Tabla1[[#This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ROUNDUP((+SUMIF(UNITARIOS!C:C,Tabla1[[#This Row],[MATERIALES]],UNITARIOS!E:E)),0)</f>
        <v>0</v>
      </c>
      <c r="F188" s="16">
        <f>Tabla1[[#This Row],[PRECIO]]*Tabla1[[#This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ROUNDUP((+SUMIF(UNITARIOS!C:C,Tabla1[[#This Row],[MATERIALES]],UNITARIOS!E:E)),0)</f>
        <v>0</v>
      </c>
      <c r="F189" s="16">
        <f>Tabla1[[#This Row],[PRECIO]]*Tabla1[[#This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ROUNDUP((+SUMIF(UNITARIOS!C:C,Tabla1[[#This Row],[MATERIALES]],UNITARIOS!E:E)),0)</f>
        <v>0</v>
      </c>
      <c r="F190" s="16">
        <f>Tabla1[[#This Row],[PRECIO]]*Tabla1[[#This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ROUNDUP((+SUMIF(UNITARIOS!C:C,Tabla1[[#This Row],[MATERIALES]],UNITARIOS!E:E)),0)</f>
        <v>0</v>
      </c>
      <c r="F191" s="16">
        <f>Tabla1[[#This Row],[PRECIO]]*Tabla1[[#This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ROUNDUP((+SUMIF(UNITARIOS!C:C,Tabla1[[#This Row],[MATERIALES]],UNITARIOS!E:E)),0)</f>
        <v>0</v>
      </c>
      <c r="F192" s="16">
        <f>Tabla1[[#This Row],[PRECIO]]*Tabla1[[#This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ROUNDUP((+SUMIF(UNITARIOS!C:C,Tabla1[[#This Row],[MATERIALES]],UNITARIOS!E:E)),0)</f>
        <v>0</v>
      </c>
      <c r="F193" s="16">
        <f>Tabla1[[#This Row],[PRECIO]]*Tabla1[[#This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ROUNDUP((+SUMIF(UNITARIOS!C:C,Tabla1[[#This Row],[MATERIALES]],UNITARIOS!E:E)),0)</f>
        <v>0</v>
      </c>
      <c r="F194" s="16">
        <f>Tabla1[[#This Row],[PRECIO]]*Tabla1[[#This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ROUNDUP((+SUMIF(UNITARIOS!C:C,Tabla1[[#This Row],[MATERIALES]],UNITARIOS!E:E)),0)</f>
        <v>0</v>
      </c>
      <c r="F195" s="16">
        <f>Tabla1[[#This Row],[PRECIO]]*Tabla1[[#This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ROUNDUP((+SUMIF(UNITARIOS!C:C,Tabla1[[#This Row],[MATERIALES]],UNITARIOS!E:E)),0)</f>
        <v>0</v>
      </c>
      <c r="F196" s="16">
        <f>Tabla1[[#This Row],[PRECIO]]*Tabla1[[#This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ROUNDUP((+SUMIF(UNITARIOS!C:C,Tabla1[[#This Row],[MATERIALES]],UNITARIOS!E:E)),0)</f>
        <v>23</v>
      </c>
      <c r="F197" s="16">
        <f>Tabla1[[#This Row],[PRECIO]]*Tabla1[[#This Row],[CANTIDAD]]</f>
        <v>2300</v>
      </c>
      <c r="P197" s="6"/>
      <c r="Q197" s="7"/>
    </row>
    <row r="198" spans="2:17" x14ac:dyDescent="0.25">
      <c r="B198" s="8" t="s">
        <v>581</v>
      </c>
      <c r="C198" s="9" t="s">
        <v>25</v>
      </c>
      <c r="D198" s="14">
        <v>10</v>
      </c>
      <c r="E198" s="26">
        <f>ROUNDUP((+SUMIF(UNITARIOS!C:C,Tabla1[[#This Row],[MATERIALES]],UNITARIOS!E:E)),0)</f>
        <v>1</v>
      </c>
      <c r="F198" s="16">
        <f>Tabla1[[#This Row],[PRECIO]]*Tabla1[[#This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ROUNDUP((+SUMIF(UNITARIOS!C:C,Tabla1[[#This Row],[MATERIALES]],UNITARIOS!E:E)),0)</f>
        <v>0</v>
      </c>
      <c r="F199" s="16">
        <f>Tabla1[[#This Row],[PRECIO]]*Tabla1[[#This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ROUNDUP((+SUMIF(UNITARIOS!C:C,Tabla1[[#This Row],[MATERIALES]],UNITARIOS!E:E)),0)</f>
        <v>6</v>
      </c>
      <c r="F200" s="16">
        <f>Tabla1[[#This Row],[PRECIO]]*Tabla1[[#This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ROUNDUP((+SUMIF(UNITARIOS!C:C,Tabla1[[#This Row],[MATERIALES]],UNITARIOS!E:E)),0)</f>
        <v>0</v>
      </c>
      <c r="F201" s="16">
        <f>Tabla1[[#This Row],[PRECIO]]*Tabla1[[#This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ROUNDUP((+SUMIF(UNITARIOS!C:C,Tabla1[[#This Row],[MATERIALES]],UNITARIOS!E:E)),0)</f>
        <v>0</v>
      </c>
      <c r="F202" s="16">
        <f>Tabla1[[#This Row],[PRECIO]]*Tabla1[[#This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ROUNDUP((+SUMIF(UNITARIOS!C:C,Tabla1[[#This Row],[MATERIALES]],UNITARIOS!E:E)),0)</f>
        <v>0</v>
      </c>
      <c r="F203" s="16">
        <f>Tabla1[[#This Row],[PRECIO]]*Tabla1[[#This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ROUNDUP((+SUMIF(UNITARIOS!C:C,Tabla1[[#This Row],[MATERIALES]],UNITARIOS!E:E)),0)</f>
        <v>0</v>
      </c>
      <c r="F204" s="16">
        <f>Tabla1[[#This Row],[PRECIO]]*Tabla1[[#This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ROUNDUP((+SUMIF(UNITARIOS!C:C,Tabla1[[#This Row],[MATERIALES]],UNITARIOS!E:E)),0)</f>
        <v>0</v>
      </c>
      <c r="F205" s="16">
        <f>Tabla1[[#This Row],[PRECIO]]*Tabla1[[#This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ROUNDUP((+SUMIF(UNITARIOS!C:C,Tabla1[[#This Row],[MATERIALES]],UNITARIOS!E:E)),0)</f>
        <v>0</v>
      </c>
      <c r="F206" s="16">
        <f>Tabla1[[#This Row],[PRECIO]]*Tabla1[[#This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ROUNDUP((+SUMIF(UNITARIOS!C:C,Tabla1[[#This Row],[MATERIALES]],UNITARIOS!E:E)),0)</f>
        <v>0</v>
      </c>
      <c r="F207" s="16">
        <f>Tabla1[[#This Row],[PRECIO]]*Tabla1[[#This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ROUNDUP((+SUMIF(UNITARIOS!C:C,Tabla1[[#This Row],[MATERIALES]],UNITARIOS!E:E)),0)</f>
        <v>0</v>
      </c>
      <c r="F208" s="16">
        <f>Tabla1[[#This Row],[PRECIO]]*Tabla1[[#This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ROUNDUP((+SUMIF(UNITARIOS!C:C,Tabla1[[#This Row],[MATERIALES]],UNITARIOS!E:E)),0)</f>
        <v>0</v>
      </c>
      <c r="F209" s="66">
        <f>Tabla1[[#This Row],[PRECIO]]*Tabla1[[#This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ROUNDUP((+SUMIF(UNITARIOS!C:C,Tabla1[[#This Row],[MATERIALES]],UNITARIOS!E:E)),0)</f>
        <v>2</v>
      </c>
      <c r="F210" s="16">
        <f>Tabla1[[#This Row],[PRECIO]]*Tabla1[[#This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ROUNDUP((+SUMIF(UNITARIOS!C:C,Tabla1[[#This Row],[MATERIALES]],UNITARIOS!E:E)),0)</f>
        <v>0</v>
      </c>
      <c r="F211" s="16">
        <f>Tabla1[[#This Row],[PRECIO]]*Tabla1[[#This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ROUNDUP((+SUMIF(UNITARIOS!C:C,Tabla1[[#This Row],[MATERIALES]],UNITARIOS!E:E)),0)</f>
        <v>1</v>
      </c>
      <c r="F212" s="16">
        <f>Tabla1[[#This Row],[PRECIO]]*Tabla1[[#This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ROUNDUP((+SUMIF(UNITARIOS!C:C,Tabla1[[#This Row],[MATERIALES]],UNITARIOS!E:E)),0)</f>
        <v>0</v>
      </c>
      <c r="F213" s="16">
        <f>Tabla1[[#This Row],[PRECIO]]*Tabla1[[#This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ROUNDUP((+SUMIF(UNITARIOS!C:C,Tabla1[[#This Row],[MATERIALES]],UNITARIOS!E:E)),0)</f>
        <v>0</v>
      </c>
      <c r="F214" s="16">
        <f>Tabla1[[#This Row],[PRECIO]]*Tabla1[[#This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ROUNDUP((+SUMIF(UNITARIOS!C:C,Tabla1[[#This Row],[MATERIALES]],UNITARIOS!E:E)),0)</f>
        <v>0</v>
      </c>
      <c r="F215" s="16">
        <f>Tabla1[[#This Row],[PRECIO]]*Tabla1[[#This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ROUNDUP((+SUMIF(UNITARIOS!C:C,Tabla1[[#This Row],[MATERIALES]],UNITARIOS!E:E)),0)</f>
        <v>0</v>
      </c>
      <c r="F216" s="16">
        <f>Tabla1[[#This Row],[PRECIO]]*Tabla1[[#This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ROUNDUP((+SUMIF(UNITARIOS!C:C,Tabla1[[#This Row],[MATERIALES]],UNITARIOS!E:E)),0)</f>
        <v>0</v>
      </c>
      <c r="F217" s="16">
        <f>Tabla1[[#This Row],[PRECIO]]*Tabla1[[#This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ROUNDUP((+SUMIF(UNITARIOS!C:C,Tabla1[[#This Row],[MATERIALES]],UNITARIOS!E:E)),0)</f>
        <v>0</v>
      </c>
      <c r="F218" s="16">
        <f>Tabla1[[#This Row],[PRECIO]]*Tabla1[[#This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ROUNDUP((+SUMIF(UNITARIOS!C:C,Tabla1[[#This Row],[MATERIALES]],UNITARIOS!E:E)),0)</f>
        <v>37</v>
      </c>
      <c r="F219" s="50">
        <f>Tabla1[[#This Row],[PRECIO]]*Tabla1[[#This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ROUNDUP((+SUMIF(UNITARIOS!C:C,Tabla1[[#This Row],[MATERIALES]],UNITARIOS!E:E)),0)</f>
        <v>0</v>
      </c>
      <c r="F220" s="16">
        <f>Tabla1[[#This Row],[PRECIO]]*Tabla1[[#This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ROUNDUP((+SUMIF(UNITARIOS!C:C,Tabla1[[#This Row],[MATERIALES]],UNITARIOS!E:E)),0)</f>
        <v>0</v>
      </c>
      <c r="F221" s="16">
        <f>Tabla1[[#This Row],[PRECIO]]*Tabla1[[#This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ROUNDUP((+SUMIF(UNITARIOS!C:C,Tabla1[[#This Row],[MATERIALES]],UNITARIOS!E:E)),0)</f>
        <v>0</v>
      </c>
      <c r="F222" s="16">
        <f>Tabla1[[#This Row],[PRECIO]]*Tabla1[[#This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ROUNDUP((+SUMIF(UNITARIOS!C:C,Tabla1[[#This Row],[MATERIALES]],UNITARIOS!E:E)),0)</f>
        <v>1</v>
      </c>
      <c r="F223" s="16">
        <f>Tabla1[[#This Row],[PRECIO]]*Tabla1[[#This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ROUNDUP((+SUMIF(UNITARIOS!C:C,Tabla1[[#This Row],[MATERIALES]],UNITARIOS!E:E)),0)</f>
        <v>1</v>
      </c>
      <c r="F224" s="16">
        <f>Tabla1[[#This Row],[PRECIO]]*Tabla1[[#This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ROUNDUP((+SUMIF(UNITARIOS!C:C,Tabla1[[#This Row],[MATERIALES]],UNITARIOS!E:E)),0)</f>
        <v>0</v>
      </c>
      <c r="F225" s="66">
        <f>Tabla1[[#This Row],[PRECIO]]*Tabla1[[#This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ROUNDUP((+SUMIF(UNITARIOS!C:C,Tabla1[[#This Row],[MATERIALES]],UNITARIOS!E:E)),0)</f>
        <v>0</v>
      </c>
      <c r="F226" s="50">
        <f>Tabla1[[#This Row],[PRECIO]]*Tabla1[[#This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ROUNDUP((+SUMIF(UNITARIOS!C:C,Tabla1[[#This Row],[MATERIALES]],UNITARIOS!E:E)),0)</f>
        <v>10</v>
      </c>
      <c r="F227" s="16">
        <f>Tabla1[[#This Row],[PRECIO]]*Tabla1[[#This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ROUNDUP((+SUMIF(UNITARIOS!C:C,Tabla1[[#This Row],[MATERIALES]],UNITARIOS!E:E)),0)</f>
        <v>1</v>
      </c>
      <c r="F228" s="50">
        <f>Tabla1[[#This Row],[PRECIO]]*Tabla1[[#This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ROUNDUP((+SUMIF(UNITARIOS!C:C,Tabla1[[#This Row],[MATERIALES]],UNITARIOS!E:E)),0)</f>
        <v>0</v>
      </c>
      <c r="F229" s="16">
        <f>Tabla1[[#This Row],[PRECIO]]*Tabla1[[#This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ROUNDUP((+SUMIF(UNITARIOS!C:C,Tabla1[[#This Row],[MATERIALES]],UNITARIOS!E:E)),0)</f>
        <v>15</v>
      </c>
      <c r="F230" s="16">
        <f>Tabla1[[#This Row],[PRECIO]]*Tabla1[[#This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ROUNDUP((+SUMIF(UNITARIOS!C:C,Tabla1[[#This Row],[MATERIALES]],UNITARIOS!E:E)),0)</f>
        <v>0</v>
      </c>
      <c r="F231" s="16">
        <f>Tabla1[[#This Row],[PRECIO]]*Tabla1[[#This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ROUNDUP((+SUMIF(UNITARIOS!C:C,Tabla1[[#This Row],[MATERIALES]],UNITARIOS!E:E)),0)</f>
        <v>0</v>
      </c>
      <c r="F232" s="16">
        <f>Tabla1[[#This Row],[PRECIO]]*Tabla1[[#This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ROUNDUP((+SUMIF(UNITARIOS!C:C,Tabla1[[#This Row],[MATERIALES]],UNITARIOS!E:E)),0)</f>
        <v>0</v>
      </c>
      <c r="F233" s="16">
        <f>Tabla1[[#This Row],[PRECIO]]*Tabla1[[#This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ROUNDUP((+SUMIF(UNITARIOS!C:C,Tabla1[[#This Row],[MATERIALES]],UNITARIOS!E:E)),0)</f>
        <v>0</v>
      </c>
      <c r="F234" s="16">
        <f>Tabla1[[#This Row],[PRECIO]]*Tabla1[[#This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ROUNDUP((+SUMIF(UNITARIOS!C:C,Tabla1[[#This Row],[MATERIALES]],UNITARIOS!E:E)),0)</f>
        <v>2</v>
      </c>
      <c r="F235" s="66">
        <f>Tabla1[[#This Row],[PRECIO]]*Tabla1[[#This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ROUNDUP((+SUMIF(UNITARIOS!C:C,Tabla1[[#This Row],[MATERIALES]],UNITARIOS!E:E)),0)</f>
        <v>0</v>
      </c>
      <c r="F236" s="16">
        <f>Tabla1[[#This Row],[PRECIO]]*Tabla1[[#This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ROUNDUP((+SUMIF(UNITARIOS!C:C,Tabla1[[#This Row],[MATERIALES]],UNITARIOS!E:E)),0)</f>
        <v>0</v>
      </c>
      <c r="F237" s="16">
        <f>Tabla1[[#This Row],[PRECIO]]*Tabla1[[#This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ROUNDUP((+SUMIF(UNITARIOS!C:C,Tabla1[[#This Row],[MATERIALES]],UNITARIOS!E:E)),0)</f>
        <v>0</v>
      </c>
      <c r="F238" s="16">
        <f>Tabla1[[#This Row],[PRECIO]]*Tabla1[[#This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ROUNDUP((+SUMIF(UNITARIOS!C:C,Tabla1[[#This Row],[MATERIALES]],UNITARIOS!E:E)),0)</f>
        <v>0</v>
      </c>
      <c r="F239" s="16">
        <f>Tabla1[[#This Row],[PRECIO]]*Tabla1[[#This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ROUNDUP((+SUMIF(UNITARIOS!C:C,Tabla1[[#This Row],[MATERIALES]],UNITARIOS!E:E)),0)</f>
        <v>1</v>
      </c>
      <c r="F240" s="16">
        <f>Tabla1[[#This Row],[PRECIO]]*Tabla1[[#This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ROUNDUP((+SUMIF(UNITARIOS!C:C,Tabla1[[#This Row],[MATERIALES]],UNITARIOS!E:E)),0)</f>
        <v>48</v>
      </c>
      <c r="F241" s="16">
        <f>Tabla1[[#This Row],[PRECIO]]*Tabla1[[#This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ROUNDUP((+SUMIF(UNITARIOS!C:C,Tabla1[[#This Row],[MATERIALES]],UNITARIOS!E:E)),0)</f>
        <v>0</v>
      </c>
      <c r="F242" s="16">
        <f>Tabla1[[#This Row],[PRECIO]]*Tabla1[[#This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ROUNDUP((+SUMIF(UNITARIOS!C:C,Tabla1[[#This Row],[MATERIALES]],UNITARIOS!E:E)),0)</f>
        <v>75</v>
      </c>
      <c r="F243" s="16">
        <f>Tabla1[[#This Row],[PRECIO]]*Tabla1[[#This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ROUNDUP((+SUMIF(UNITARIOS!C:C,Tabla1[[#This Row],[MATERIALES]],UNITARIOS!E:E)),0)</f>
        <v>0</v>
      </c>
      <c r="F244" s="16">
        <f>Tabla1[[#This Row],[PRECIO]]*Tabla1[[#This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ROUNDUP((+SUMIF(UNITARIOS!C:C,Tabla1[[#This Row],[MATERIALES]],UNITARIOS!E:E)),0)</f>
        <v>6</v>
      </c>
      <c r="F245" s="16">
        <f>Tabla1[[#This Row],[PRECIO]]*Tabla1[[#This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ROUNDUP((+SUMIF(UNITARIOS!C:C,Tabla1[[#This Row],[MATERIALES]],UNITARIOS!E:E)),0)</f>
        <v>3</v>
      </c>
      <c r="F246" s="16">
        <f>Tabla1[[#This Row],[PRECIO]]*Tabla1[[#This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ROUNDUP((+SUMIF(UNITARIOS!C:C,Tabla1[[#This Row],[MATERIALES]],UNITARIOS!E:E)),0)</f>
        <v>0</v>
      </c>
      <c r="F247" s="16">
        <f>Tabla1[[#This Row],[PRECIO]]*Tabla1[[#This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ROUNDUP((+SUMIF(UNITARIOS!C:C,Tabla1[[#This Row],[MATERIALES]],UNITARIOS!E:E)),0)</f>
        <v>0</v>
      </c>
      <c r="F248" s="16">
        <f>Tabla1[[#This Row],[PRECIO]]*Tabla1[[#This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ROUNDUP((+SUMIF(UNITARIOS!C:C,Tabla1[[#This Row],[MATERIALES]],UNITARIOS!E:E)),0)</f>
        <v>1</v>
      </c>
      <c r="F249" s="16">
        <f>Tabla1[[#This Row],[PRECIO]]*Tabla1[[#This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ROUNDUP((+SUMIF(UNITARIOS!C:C,Tabla1[[#This Row],[MATERIALES]],UNITARIOS!E:E)),0)</f>
        <v>0</v>
      </c>
      <c r="F250" s="16">
        <f>Tabla1[[#This Row],[PRECIO]]*Tabla1[[#This Row],[CANTIDAD]]</f>
        <v>0</v>
      </c>
      <c r="P250" s="6"/>
      <c r="Q250" s="7"/>
    </row>
    <row r="251" spans="2:17" x14ac:dyDescent="0.25">
      <c r="B251" s="8" t="s">
        <v>587</v>
      </c>
      <c r="C251" s="9" t="s">
        <v>25</v>
      </c>
      <c r="D251" s="14">
        <v>380</v>
      </c>
      <c r="E251" s="26">
        <f>ROUNDUP((+SUMIF(UNITARIOS!C:C,Tabla1[[#This Row],[MATERIALES]],UNITARIOS!E:E)),0)</f>
        <v>2</v>
      </c>
      <c r="F251" s="16">
        <f>Tabla1[[#This Row],[PRECIO]]*Tabla1[[#This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ROUNDUP((+SUMIF(UNITARIOS!C:C,Tabla1[[#This Row],[MATERIALES]],UNITARIOS!E:E)),0)</f>
        <v>1</v>
      </c>
      <c r="F252" s="16">
        <f>Tabla1[[#This Row],[PRECIO]]*Tabla1[[#This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ROUNDUP((+SUMIF(UNITARIOS!C:C,Tabla1[[#This Row],[MATERIALES]],UNITARIOS!E:E)),0)</f>
        <v>0</v>
      </c>
      <c r="F253" s="16">
        <f>Tabla1[[#This Row],[PRECIO]]*Tabla1[[#This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ROUNDUP((+SUMIF(UNITARIOS!C:C,Tabla1[[#This Row],[MATERIALES]],UNITARIOS!E:E)),0)</f>
        <v>2</v>
      </c>
      <c r="F254" s="16">
        <f>Tabla1[[#This Row],[PRECIO]]*Tabla1[[#This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ROUNDUP((+SUMIF(UNITARIOS!C:C,Tabla1[[#This Row],[MATERIALES]],UNITARIOS!E:E)),0)</f>
        <v>0</v>
      </c>
      <c r="F255" s="16">
        <f>Tabla1[[#This Row],[PRECIO]]*Tabla1[[#This Row],[CANTIDAD]]</f>
        <v>0</v>
      </c>
      <c r="P255" s="6"/>
      <c r="Q255" s="7"/>
    </row>
    <row r="256" spans="2:17" x14ac:dyDescent="0.25">
      <c r="B256" s="8" t="s">
        <v>580</v>
      </c>
      <c r="C256" s="9" t="s">
        <v>25</v>
      </c>
      <c r="D256" s="14">
        <v>20</v>
      </c>
      <c r="E256" s="26">
        <f>ROUNDUP((+SUMIF(UNITARIOS!C:C,Tabla1[[#This Row],[MATERIALES]],UNITARIOS!E:E)),0)</f>
        <v>1</v>
      </c>
      <c r="F256" s="16">
        <f>Tabla1[[#This Row],[PRECIO]]*Tabla1[[#This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ROUNDUP((+SUMIF(UNITARIOS!C:C,Tabla1[[#This Row],[MATERIALES]],UNITARIOS!E:E)),0)</f>
        <v>0</v>
      </c>
      <c r="F257" s="50">
        <f>Tabla1[[#This Row],[PRECIO]]*Tabla1[[#This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ROUNDUP((+SUMIF(UNITARIOS!C:C,Tabla1[[#This Row],[MATERIALES]],UNITARIOS!E:E)),0)</f>
        <v>0</v>
      </c>
      <c r="F258" s="50">
        <f>Tabla1[[#This Row],[PRECIO]]*Tabla1[[#This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ROUNDUP((+SUMIF(UNITARIOS!C:C,Tabla1[[#This Row],[MATERIALES]],UNITARIOS!E:E)),0)</f>
        <v>0</v>
      </c>
      <c r="F259" s="16">
        <f>Tabla1[[#This Row],[PRECIO]]*Tabla1[[#This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ROUNDUP((+SUMIF(UNITARIOS!C:C,Tabla1[[#This Row],[MATERIALES]],UNITARIOS!E:E)),0)</f>
        <v>0</v>
      </c>
      <c r="F260" s="16">
        <f>Tabla1[[#This Row],[PRECIO]]*Tabla1[[#This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ROUNDUP((+SUMIF(UNITARIOS!C:C,Tabla1[[#This Row],[MATERIALES]],UNITARIOS!E:E)),0)</f>
        <v>0</v>
      </c>
      <c r="F261" s="16">
        <f>Tabla1[[#This Row],[PRECIO]]*Tabla1[[#This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ROUNDUP((+SUMIF(UNITARIOS!C:C,Tabla1[[#This Row],[MATERIALES]],UNITARIOS!E:E)),0)</f>
        <v>0</v>
      </c>
      <c r="F262" s="16">
        <f>Tabla1[[#This Row],[PRECIO]]*Tabla1[[#This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ROUNDUP((+SUMIF(UNITARIOS!C:C,Tabla1[[#This Row],[MATERIALES]],UNITARIOS!E:E)),0)</f>
        <v>0</v>
      </c>
      <c r="F263" s="16">
        <f>Tabla1[[#This Row],[PRECIO]]*Tabla1[[#This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ROUNDUP((+SUMIF(UNITARIOS!C:C,Tabla1[[#This Row],[MATERIALES]],UNITARIOS!E:E)),0)</f>
        <v>0</v>
      </c>
      <c r="F264" s="16">
        <f>Tabla1[[#This Row],[PRECIO]]*Tabla1[[#This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ROUNDUP((+SUMIF(UNITARIOS!C:C,Tabla1[[#This Row],[MATERIALES]],UNITARIOS!E:E)),0)</f>
        <v>0</v>
      </c>
      <c r="F265" s="16">
        <f>Tabla1[[#This Row],[PRECIO]]*Tabla1[[#This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ROUNDUP((+SUMIF(UNITARIOS!C:C,Tabla1[[#This Row],[MATERIALES]],UNITARIOS!E:E)),0)</f>
        <v>0</v>
      </c>
      <c r="F266" s="16">
        <f>Tabla1[[#This Row],[PRECIO]]*Tabla1[[#This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ROUNDUP((+SUMIF(UNITARIOS!C:C,Tabla1[[#This Row],[MATERIALES]],UNITARIOS!E:E)),0)</f>
        <v>3</v>
      </c>
      <c r="F267" s="16">
        <f>Tabla1[[#This Row],[PRECIO]]*Tabla1[[#This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ROUNDUP((+SUMIF(UNITARIOS!C:C,Tabla1[[#This Row],[MATERIALES]],UNITARIOS!E:E)),0)</f>
        <v>0</v>
      </c>
      <c r="F268" s="16">
        <f>Tabla1[[#This Row],[PRECIO]]*Tabla1[[#This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ROUNDUP((+SUMIF(UNITARIOS!C:C,Tabla1[[#This Row],[MATERIALES]],UNITARIOS!E:E)),0)</f>
        <v>0</v>
      </c>
      <c r="F269" s="16">
        <f>Tabla1[[#This Row],[PRECIO]]*Tabla1[[#This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ROUNDUP((+SUMIF(UNITARIOS!C:C,Tabla1[[#This Row],[MATERIALES]],UNITARIOS!E:E)),0)</f>
        <v>0</v>
      </c>
      <c r="F270" s="16">
        <f>Tabla1[[#This Row],[PRECIO]]*Tabla1[[#This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ROUNDUP((+SUMIF(UNITARIOS!C:C,Tabla1[[#This Row],[MATERIALES]],UNITARIOS!E:E)),0)</f>
        <v>0</v>
      </c>
      <c r="F271" s="16">
        <f>Tabla1[[#This Row],[PRECIO]]*Tabla1[[#This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ROUNDUP((+SUMIF(UNITARIOS!C:C,Tabla1[[#This Row],[MATERIALES]],UNITARIOS!E:E)),0)</f>
        <v>54</v>
      </c>
      <c r="F272" s="16">
        <f>Tabla1[[#This Row],[PRECIO]]*Tabla1[[#This Row],[CANTIDAD]]</f>
        <v>270</v>
      </c>
      <c r="P272" s="6"/>
      <c r="Q272" s="7"/>
    </row>
    <row r="273" spans="2:17" x14ac:dyDescent="0.25">
      <c r="B273" s="8" t="s">
        <v>582</v>
      </c>
      <c r="C273" s="9" t="s">
        <v>25</v>
      </c>
      <c r="D273" s="14">
        <v>20</v>
      </c>
      <c r="E273" s="26">
        <f>ROUNDUP((+SUMIF(UNITARIOS!C:C,Tabla1[[#This Row],[MATERIALES]],UNITARIOS!E:E)),0)</f>
        <v>1</v>
      </c>
      <c r="F273" s="16">
        <f>Tabla1[[#This Row],[PRECIO]]*Tabla1[[#This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ROUNDUP((+SUMIF(UNITARIOS!C:C,Tabla1[[#This Row],[MATERIALES]],UNITARIOS!E:E)),0)</f>
        <v>48</v>
      </c>
      <c r="F274" s="16">
        <f>Tabla1[[#This Row],[PRECIO]]*Tabla1[[#This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ROUNDUP((+SUMIF(UNITARIOS!C:C,Tabla1[[#This Row],[MATERIALES]],UNITARIOS!E:E)),0)</f>
        <v>1</v>
      </c>
      <c r="F275" s="50">
        <f>Tabla1[[#This Row],[PRECIO]]*Tabla1[[#This Row],[CANTIDAD]]</f>
        <v>70</v>
      </c>
      <c r="P275" s="6"/>
      <c r="Q275" s="7"/>
    </row>
    <row r="276" spans="2:17" x14ac:dyDescent="0.25">
      <c r="B276" s="8" t="s">
        <v>592</v>
      </c>
      <c r="C276" s="28" t="s">
        <v>25</v>
      </c>
      <c r="D276" s="14">
        <v>1110</v>
      </c>
      <c r="E276" s="26">
        <f>ROUNDUP((+SUMIF(UNITARIOS!C:C,Tabla1[[#This Row],[MATERIALES]],UNITARIOS!E:E)),0)</f>
        <v>1</v>
      </c>
      <c r="F276" s="16">
        <f>Tabla1[[#This Row],[PRECIO]]*Tabla1[[#This Row],[CANTIDAD]]</f>
        <v>1110</v>
      </c>
      <c r="P276" s="6"/>
      <c r="Q276" s="7"/>
    </row>
    <row r="277" spans="2:17" x14ac:dyDescent="0.25">
      <c r="B277" s="228" t="s">
        <v>594</v>
      </c>
      <c r="C277" s="9" t="s">
        <v>24</v>
      </c>
      <c r="D277" s="230">
        <v>250</v>
      </c>
      <c r="E277" s="231">
        <f>ROUNDUP((+SUMIF(UNITARIOS!C:C,Tabla1[[#This Row],[MATERIALES]],UNITARIOS!E:E)),0)</f>
        <v>160</v>
      </c>
      <c r="F277" s="232">
        <f>Tabla1[[#This Row],[PRECIO]]*Tabla1[[#This Row],[CANTIDAD]]</f>
        <v>40000</v>
      </c>
      <c r="P277" s="6"/>
      <c r="Q277" s="7"/>
    </row>
    <row r="278" spans="2:17" x14ac:dyDescent="0.25">
      <c r="B278" s="228" t="s">
        <v>595</v>
      </c>
      <c r="C278" s="229" t="s">
        <v>71</v>
      </c>
      <c r="D278" s="230">
        <v>45</v>
      </c>
      <c r="E278" s="231">
        <f>ROUNDUP((+SUMIF(UNITARIOS!C:C,Tabla1[[#This Row],[MATERIALES]],UNITARIOS!E:E)),0)</f>
        <v>93</v>
      </c>
      <c r="F278" s="232">
        <f>Tabla1[[#This Row],[PRECIO]]*Tabla1[[#This Row],[CANTIDAD]]</f>
        <v>4185</v>
      </c>
      <c r="P278" s="6"/>
      <c r="Q278" s="7"/>
    </row>
    <row r="279" spans="2:17" x14ac:dyDescent="0.25">
      <c r="B279" s="228" t="s">
        <v>596</v>
      </c>
      <c r="C279" s="229" t="s">
        <v>25</v>
      </c>
      <c r="D279" s="230">
        <v>20</v>
      </c>
      <c r="E279" s="231">
        <f>ROUNDUP((+SUMIF(UNITARIOS!C:C,Tabla1[[#This Row],[MATERIALES]],UNITARIOS!E:E)),0)</f>
        <v>15</v>
      </c>
      <c r="F279" s="232">
        <f>Tabla1[[#This Row],[PRECIO]]*Tabla1[[#This Row],[CANTIDAD]]</f>
        <v>300</v>
      </c>
      <c r="P279" s="6"/>
      <c r="Q279" s="7"/>
    </row>
    <row r="280" spans="2:17" x14ac:dyDescent="0.25">
      <c r="B280" s="8" t="s">
        <v>598</v>
      </c>
      <c r="C280" s="9" t="s">
        <v>24</v>
      </c>
      <c r="D280" s="14">
        <v>90</v>
      </c>
      <c r="E280" s="26">
        <f>ROUNDUP((+SUMIF(UNITARIOS!C:C,Tabla1[[#This Row],[MATERIALES]],UNITARIOS!E:E)),0)</f>
        <v>96</v>
      </c>
      <c r="F280" s="16">
        <f>Tabla1[[#This Row],[PRECIO]]*Tabla1[[#This Row],[CANTIDAD]]</f>
        <v>8640</v>
      </c>
      <c r="P280" s="6"/>
      <c r="Q280" s="7"/>
    </row>
    <row r="281" spans="2:17" x14ac:dyDescent="0.25">
      <c r="B281" s="8" t="s">
        <v>599</v>
      </c>
      <c r="C281" s="9" t="s">
        <v>24</v>
      </c>
      <c r="D281" s="14">
        <v>125</v>
      </c>
      <c r="E281" s="26">
        <f>ROUNDUP((+SUMIF(UNITARIOS!C:C,Tabla1[[#This Row],[MATERIALES]],UNITARIOS!E:E)),0)</f>
        <v>30</v>
      </c>
      <c r="F281" s="16">
        <f>Tabla1[[#This Row],[PRECIO]]*Tabla1[[#This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sheetProtection algorithmName="SHA-512" hashValue="KFNPtRmH0LhWgA0Pd16dZuMnd5PhX1hk2pkWRHUI6NvnEM3U1RcuTvXXxF5pcapd1qZVDfMqkXQAjRLkFbVT+Q==" saltValue="xLHUiyGzYIJkK48UoYfdFQ==" spinCount="100000" sheet="1" objects="1" scenarios="1"/>
  <sortState ref="P3:Q9">
    <sortCondition ref="P2"/>
  </sortState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256" zoomScale="66" zoomScaleNormal="66" workbookViewId="0">
      <selection activeCell="B284" sqref="B284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21.85546875" style="12" bestFit="1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ROUNDUP((+SUMIF(UNITARIOS!C:C,PRECIOSM[[#This Row],[MATERIALES]],UNITARIOS!E:E)),0)</f>
        <v>0</v>
      </c>
      <c r="F2" s="16">
        <f>PRECIOSM[[#This Row],[PRECIO]]*PRECIOSM[[#This Row],[CANTIDAD]]</f>
        <v>0</v>
      </c>
      <c r="I2" s="6" t="s">
        <v>396</v>
      </c>
      <c r="J2" s="9" t="s">
        <v>24</v>
      </c>
      <c r="K2" s="14">
        <v>20</v>
      </c>
      <c r="L2" s="26">
        <f>ROUNDUP((+SUMIF(UNITARIOS!C:C,PRECIOSMO[[#This Row],[MANO DE OBRA]],UNITARIOS!E:E)),0)</f>
        <v>0</v>
      </c>
      <c r="M2" s="14">
        <f>PRECIOSMO[[#This Row],[PRECIO]]*PRECIOSMO[[#This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ROUNDUP((+SUMIF(UNITARIOS!C:C,PRECIOSH[[#This Row],[EQUIPO]],UNITARIOS!E:E)),0)</f>
        <v>6</v>
      </c>
      <c r="T2" s="34">
        <f>PRECIOSH[[#This Row],[PRECIO]]*PRECIOSH[[#This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ROUNDUP((+SUMIF(UNITARIOS!C:C,PRECIOSM[[#This Row],[MATERIALES]],UNITARIOS!E:E)),0)</f>
        <v>0</v>
      </c>
      <c r="F3" s="16">
        <f>PRECIOSM[[#This Row],[PRECIO]]*PRECIOSM[[#This Row],[CANTIDAD]]</f>
        <v>0</v>
      </c>
      <c r="I3" s="6" t="s">
        <v>330</v>
      </c>
      <c r="J3" s="9" t="s">
        <v>24</v>
      </c>
      <c r="K3" s="14">
        <v>50</v>
      </c>
      <c r="L3" s="26">
        <f>ROUNDUP((+SUMIF(UNITARIOS!C:C,PRECIOSMO[[#This Row],[MANO DE OBRA]],UNITARIOS!E:E)),0)</f>
        <v>0</v>
      </c>
      <c r="M3" s="14">
        <f>PRECIOSMO[[#This Row],[PRECIO]]*PRECIOSMO[[#This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ROUNDUP((+SUMIF(UNITARIOS!C:C,PRECIOSH[[#This Row],[EQUIPO]],UNITARIOS!E:E)),0)</f>
        <v>0</v>
      </c>
      <c r="T3" s="12">
        <f>PRECIOSH[[#This Row],[PRECIO]]*PRECIOSH[[#This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ROUNDUP((+SUMIF(UNITARIOS!C:C,PRECIOSM[[#This Row],[MATERIALES]],UNITARIOS!E:E)),0)</f>
        <v>144</v>
      </c>
      <c r="F4" s="16">
        <f>PRECIOSM[[#This Row],[PRECIO]]*PRECIOSM[[#This Row],[CANTIDAD]]</f>
        <v>720</v>
      </c>
      <c r="I4" s="6" t="s">
        <v>584</v>
      </c>
      <c r="J4" s="9" t="s">
        <v>24</v>
      </c>
      <c r="K4" s="14">
        <v>20</v>
      </c>
      <c r="L4" s="26">
        <f>ROUNDUP((+SUMIF(UNITARIOS!C:C,PRECIOSMO[[#This Row],[MANO DE OBRA]],UNITARIOS!E:E)),0)</f>
        <v>183</v>
      </c>
      <c r="M4" s="14">
        <f>PRECIOSMO[[#This Row],[PRECIO]]*PRECIOSMO[[#This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ROUNDUP((+SUMIF(UNITARIOS!C:C,PRECIOSH[[#This Row],[EQUIPO]],UNITARIOS!E:E)),0)</f>
        <v>20</v>
      </c>
      <c r="T4" s="12">
        <f>PRECIOSH[[#This Row],[PRECIO]]*PRECIOSH[[#This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ROUNDUP((+SUMIF(UNITARIOS!C:C,PRECIOSM[[#This Row],[MATERIALES]],UNITARIOS!E:E)),0)</f>
        <v>0</v>
      </c>
      <c r="F5" s="16">
        <f>PRECIOSM[[#This Row],[PRECIO]]*PRECIOSM[[#This Row],[CANTIDAD]]</f>
        <v>0</v>
      </c>
      <c r="I5" s="6" t="s">
        <v>186</v>
      </c>
      <c r="J5" s="9" t="s">
        <v>24</v>
      </c>
      <c r="K5" s="14">
        <v>10</v>
      </c>
      <c r="L5" s="26">
        <f>ROUNDUP((+SUMIF(UNITARIOS!C:C,PRECIOSMO[[#This Row],[MANO DE OBRA]],UNITARIOS!E:E)),0)</f>
        <v>569</v>
      </c>
      <c r="M5" s="14">
        <f>PRECIOSMO[[#This Row],[PRECIO]]*PRECIOSMO[[#This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ROUNDUP((+SUMIF(UNITARIOS!C:C,PRECIOSH[[#This Row],[EQUIPO]],UNITARIOS!E:E)),0)</f>
        <v>0</v>
      </c>
      <c r="T5" s="12">
        <f>PRECIOSH[[#This Row],[PRECIO]]*PRECIOSH[[#This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ROUNDUP((+SUMIF(UNITARIOS!C:C,PRECIOSM[[#This Row],[MATERIALES]],UNITARIOS!E:E)),0)</f>
        <v>0</v>
      </c>
      <c r="F6" s="16">
        <f>PRECIOSM[[#This Row],[PRECIO]]*PRECIOSM[[#This Row],[CANTIDAD]]</f>
        <v>0</v>
      </c>
      <c r="I6" s="6" t="s">
        <v>576</v>
      </c>
      <c r="J6" s="9" t="s">
        <v>71</v>
      </c>
      <c r="K6" s="14">
        <v>100</v>
      </c>
      <c r="L6" s="26">
        <f>ROUNDUP((+SUMIF(UNITARIOS!C:C,PRECIOSMO[[#This Row],[MANO DE OBRA]],UNITARIOS!E:E)),0)</f>
        <v>14</v>
      </c>
      <c r="M6" s="14">
        <f>PRECIOSMO[[#This Row],[PRECIO]]*PRECIOSMO[[#This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ROUNDUP((+SUMIF(UNITARIOS!C:C,PRECIOSH[[#This Row],[EQUIPO]],UNITARIOS!E:E)),0)</f>
        <v>0</v>
      </c>
      <c r="T6" s="12">
        <f>PRECIOSH[[#This Row],[PRECIO]]*PRECIOSH[[#This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ROUNDUP((+SUMIF(UNITARIOS!C:C,PRECIOSM[[#This Row],[MATERIALES]],UNITARIOS!E:E)),0)</f>
        <v>319</v>
      </c>
      <c r="F7" s="16">
        <f>PRECIOSM[[#This Row],[PRECIO]]*PRECIOSM[[#This Row],[CANTIDAD]]</f>
        <v>12760</v>
      </c>
      <c r="I7" s="6" t="s">
        <v>450</v>
      </c>
      <c r="J7" s="9" t="s">
        <v>71</v>
      </c>
      <c r="K7" s="14">
        <v>75</v>
      </c>
      <c r="L7" s="26">
        <f>ROUNDUP((+SUMIF(UNITARIOS!C:C,PRECIOSMO[[#This Row],[MANO DE OBRA]],UNITARIOS!E:E)),0)</f>
        <v>39</v>
      </c>
      <c r="M7" s="14">
        <f>PRECIOSMO[[#This Row],[PRECIO]]*PRECIOSMO[[#This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ROUNDUP((+SUMIF(UNITARIOS!C:C,PRECIOSH[[#This Row],[EQUIPO]],UNITARIOS!E:E)),0)</f>
        <v>0</v>
      </c>
      <c r="T7" s="12">
        <f>PRECIOSH[[#This Row],[PRECIO]]*PRECIOSH[[#This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ROUNDUP((+SUMIF(UNITARIOS!C:C,PRECIOSM[[#This Row],[MATERIALES]],UNITARIOS!E:E)),0)</f>
        <v>6</v>
      </c>
      <c r="F8" s="16">
        <f>PRECIOSM[[#This Row],[PRECIO]]*PRECIOSM[[#This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ROUNDUP((+SUMIF(UNITARIOS!C:C,PRECIOSMO[[#This Row],[MANO DE OBRA]],UNITARIOS!E:E)),0)</f>
        <v>53</v>
      </c>
      <c r="M8" s="63">
        <f>PRECIOSMO[[#This Row],[PRECIO]]*PRECIOSMO[[#This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ROUNDUP((+SUMIF(UNITARIOS!C:C,PRECIOSH[[#This Row],[EQUIPO]],UNITARIOS!E:E)),0)</f>
        <v>0</v>
      </c>
      <c r="T8" s="12">
        <f>PRECIOSH[[#This Row],[PRECIO]]*PRECIOSH[[#This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ROUNDUP((+SUMIF(UNITARIOS!C:C,PRECIOSM[[#This Row],[MATERIALES]],UNITARIOS!E:E)),0)</f>
        <v>17</v>
      </c>
      <c r="F9" s="66">
        <f>PRECIOSM[[#This Row],[PRECIO]]*PRECIOSM[[#This Row],[CANTIDAD]]</f>
        <v>1700</v>
      </c>
      <c r="I9" s="6" t="s">
        <v>575</v>
      </c>
      <c r="J9" s="9" t="s">
        <v>24</v>
      </c>
      <c r="K9" s="14">
        <v>120</v>
      </c>
      <c r="L9" s="26">
        <f>ROUNDUP((+SUMIF(UNITARIOS!C:C,PRECIOSMO[[#This Row],[MANO DE OBRA]],UNITARIOS!E:E)),0)</f>
        <v>33</v>
      </c>
      <c r="M9" s="14">
        <f>PRECIOSMO[[#This Row],[PRECIO]]*PRECIOSMO[[#This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ROUNDUP((+SUMIF(UNITARIOS!C:C,PRECIOSH[[#This Row],[EQUIPO]],UNITARIOS!E:E)),0)</f>
        <v>0</v>
      </c>
      <c r="T9" s="12">
        <f>PRECIOSH[[#This Row],[PRECIO]]*PRECIOSH[[#This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ROUNDUP((+SUMIF(UNITARIOS!C:C,PRECIOSM[[#This Row],[MATERIALES]],UNITARIOS!E:E)),0)</f>
        <v>775</v>
      </c>
      <c r="F10" s="16">
        <f>PRECIOSM[[#This Row],[PRECIO]]*PRECIOSM[[#This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ROUNDUP((+SUMIF(UNITARIOS!C:C,PRECIOSMO[[#This Row],[MANO DE OBRA]],UNITARIOS!E:E)),0)</f>
        <v>0</v>
      </c>
      <c r="M10" s="63">
        <f>PRECIOSMO[[#This Row],[PRECIO]]*PRECIOSMO[[#This Row],[CANTIDAD]]</f>
        <v>0</v>
      </c>
      <c r="P10" s="6" t="s">
        <v>570</v>
      </c>
      <c r="Q10" s="7" t="s">
        <v>25</v>
      </c>
      <c r="R10" s="12">
        <v>150</v>
      </c>
      <c r="S10" s="25">
        <f>ROUNDUP((+SUMIF(UNITARIOS!C:C,PRECIOSH[[#This Row],[EQUIPO]],UNITARIOS!E:E)),0)</f>
        <v>0</v>
      </c>
      <c r="T10" s="12">
        <f>PRECIOSH[[#This Row],[PRECIO]]*PRECIOSH[[#This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ROUNDUP((+SUMIF(UNITARIOS!C:C,PRECIOSM[[#This Row],[MATERIALES]],UNITARIOS!E:E)),0)</f>
        <v>0</v>
      </c>
      <c r="F11" s="16">
        <f>PRECIOSM[[#This Row],[PRECIO]]*PRECIOSM[[#This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ROUNDUP((+SUMIF(UNITARIOS!C:C,PRECIOSMO[[#This Row],[MANO DE OBRA]],UNITARIOS!E:E)),0)</f>
        <v>113</v>
      </c>
      <c r="M11" s="14">
        <f>PRECIOSMO[[#This Row],[PRECIO]]*PRECIOSMO[[#This Row],[CANTIDAD]]</f>
        <v>5650</v>
      </c>
      <c r="P11" s="6" t="s">
        <v>648</v>
      </c>
      <c r="Q11" s="7" t="s">
        <v>25</v>
      </c>
      <c r="R11" s="12">
        <v>2000</v>
      </c>
      <c r="S11" s="25">
        <f>ROUNDUP((+SUMIF(UNITARIOS!C:C,PRECIOSH[[#This Row],[EQUIPO]],UNITARIOS!E:E)),0)</f>
        <v>0</v>
      </c>
      <c r="T11" s="12">
        <f>PRECIOSH[[#This Row],[PRECIO]]*PRECIOSH[[#This Row],[CANTIDAD]]</f>
        <v>0</v>
      </c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ROUNDUP((+SUMIF(UNITARIOS!C:C,PRECIOSM[[#This Row],[MATERIALES]],UNITARIOS!E:E)),0)</f>
        <v>0</v>
      </c>
      <c r="F12" s="16">
        <f>PRECIOSM[[#This Row],[PRECIO]]*PRECIOSM[[#This Row],[CANTIDAD]]</f>
        <v>0</v>
      </c>
      <c r="I12" s="6" t="s">
        <v>574</v>
      </c>
      <c r="J12" s="9" t="s">
        <v>71</v>
      </c>
      <c r="K12" s="14">
        <v>70</v>
      </c>
      <c r="L12" s="26">
        <f>ROUNDUP((+SUMIF(UNITARIOS!C:C,PRECIOSMO[[#This Row],[MANO DE OBRA]],UNITARIOS!E:E)),0)</f>
        <v>37</v>
      </c>
      <c r="M12" s="14">
        <f>PRECIOSMO[[#This Row],[PRECIO]]*PRECIOSMO[[#This Row],[CANTIDAD]]</f>
        <v>2590</v>
      </c>
      <c r="P12" s="6" t="s">
        <v>650</v>
      </c>
      <c r="Q12" s="7" t="s">
        <v>25</v>
      </c>
      <c r="R12" s="12">
        <v>100</v>
      </c>
      <c r="S12" s="25">
        <f>ROUNDUP((+SUMIF(UNITARIOS!C:C,PRECIOSH[[#This Row],[EQUIPO]],UNITARIOS!E:E)),0)</f>
        <v>0</v>
      </c>
      <c r="T12" s="12">
        <f>PRECIOSH[[#This Row],[PRECIO]]*PRECIOSH[[#This Row],[CANTIDAD]]</f>
        <v>0</v>
      </c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ROUNDUP((+SUMIF(UNITARIOS!C:C,PRECIOSM[[#This Row],[MATERIALES]],UNITARIOS!E:E)),0)</f>
        <v>0</v>
      </c>
      <c r="F13" s="16">
        <f>PRECIOSM[[#This Row],[PRECIO]]*PRECIOSM[[#This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ROUNDUP((+SUMIF(UNITARIOS!C:C,PRECIOSMO[[#This Row],[MANO DE OBRA]],UNITARIOS!E:E)),0)</f>
        <v>0</v>
      </c>
      <c r="M13" s="63">
        <f>PRECIOSMO[[#This Row],[PRECIO]]*PRECIOSMO[[#This Row],[CANTIDAD]]</f>
        <v>0</v>
      </c>
      <c r="P13" s="6" t="s">
        <v>651</v>
      </c>
      <c r="Q13" s="7" t="s">
        <v>25</v>
      </c>
      <c r="R13" s="12">
        <v>200</v>
      </c>
      <c r="S13" s="25">
        <f>ROUNDUP((+SUMIF(UNITARIOS!C:C,PRECIOSH[[#This Row],[EQUIPO]],UNITARIOS!E:E)),0)</f>
        <v>0</v>
      </c>
      <c r="T13" s="12">
        <f>PRECIOSH[[#This Row],[PRECIO]]*PRECIOSH[[#This Row],[CANTIDAD]]</f>
        <v>0</v>
      </c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ROUNDUP((+SUMIF(UNITARIOS!C:C,PRECIOSM[[#This Row],[MATERIALES]],UNITARIOS!E:E)),0)</f>
        <v>0</v>
      </c>
      <c r="F14" s="16">
        <f>PRECIOSM[[#This Row],[PRECIO]]*PRECIOSM[[#This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ROUNDUP((+SUMIF(UNITARIOS!C:C,PRECIOSMO[[#This Row],[MANO DE OBRA]],UNITARIOS!E:E)),0)</f>
        <v>0</v>
      </c>
      <c r="M14" s="29">
        <f>PRECIOSMO[[#This Row],[PRECIO]]*PRECIOSMO[[#This Row],[CANTIDAD]]</f>
        <v>0</v>
      </c>
      <c r="P14" s="6" t="s">
        <v>652</v>
      </c>
      <c r="Q14" s="7" t="s">
        <v>25</v>
      </c>
      <c r="R14" s="12">
        <v>700</v>
      </c>
      <c r="S14" s="25">
        <f>ROUNDUP((+SUMIF(UNITARIOS!C:C,PRECIOSH[[#This Row],[EQUIPO]],UNITARIOS!E:E)),0)</f>
        <v>0</v>
      </c>
      <c r="T14" s="12">
        <f>PRECIOSH[[#This Row],[PRECIO]]*PRECIOSH[[#This Row],[CANTIDAD]]</f>
        <v>0</v>
      </c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ROUNDUP((+SUMIF(UNITARIOS!C:C,PRECIOSM[[#This Row],[MATERIALES]],UNITARIOS!E:E)),0)</f>
        <v>0</v>
      </c>
      <c r="F15" s="16">
        <f>PRECIOSM[[#This Row],[PRECIO]]*PRECIOSM[[#This Row],[CANTIDAD]]</f>
        <v>0</v>
      </c>
      <c r="I15" s="233" t="s">
        <v>597</v>
      </c>
      <c r="J15" s="9" t="s">
        <v>24</v>
      </c>
      <c r="K15" s="230">
        <v>100</v>
      </c>
      <c r="L15" s="231">
        <f>ROUNDUP((+SUMIF(UNITARIOS!C:C,PRECIOSMO[[#This Row],[MANO DE OBRA]],UNITARIOS!E:E)),0)</f>
        <v>177</v>
      </c>
      <c r="M15" s="230">
        <f>PRECIOSMO[[#This Row],[PRECIO]]*PRECIOSMO[[#This Row],[CANTIDAD]]</f>
        <v>17700</v>
      </c>
      <c r="P15" s="6" t="s">
        <v>706</v>
      </c>
      <c r="Q15" s="7" t="s">
        <v>25</v>
      </c>
      <c r="R15" s="12">
        <v>150</v>
      </c>
      <c r="S15" s="25">
        <f>ROUNDUP((+SUMIF(UNITARIOS!C:C,PRECIOSH[[#This Row],[EQUIPO]],UNITARIOS!E:E)),0)</f>
        <v>0</v>
      </c>
      <c r="T15" s="12">
        <f>PRECIOSH[[#This Row],[PRECIO]]*PRECIOSH[[#This Row],[CANTIDAD]]</f>
        <v>0</v>
      </c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ROUNDUP((+SUMIF(UNITARIOS!C:C,PRECIOSM[[#This Row],[MATERIALES]],UNITARIOS!E:E)),0)</f>
        <v>0</v>
      </c>
      <c r="F16" s="16">
        <f>PRECIOSM[[#This Row],[PRECIO]]*PRECIOSM[[#This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ROUNDUP((+SUMIF(UNITARIOS!C:C,PRECIOSMO[[#This Row],[MANO DE OBRA]],UNITARIOS!E:E)),0)</f>
        <v>0</v>
      </c>
      <c r="M16" s="14">
        <f>PRECIOSMO[[#This Row],[PRECIO]]*PRECIOSMO[[#This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ROUNDUP((+SUMIF(UNITARIOS!C:C,PRECIOSM[[#This Row],[MATERIALES]],UNITARIOS!E:E)),0)</f>
        <v>0</v>
      </c>
      <c r="F17" s="16">
        <f>PRECIOSM[[#This Row],[PRECIO]]*PRECIOSM[[#This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ROUNDUP((+SUMIF(UNITARIOS!C:C,PRECIOSMO[[#This Row],[MANO DE OBRA]],UNITARIOS!E:E)),0)</f>
        <v>246</v>
      </c>
      <c r="M17" s="14">
        <f>PRECIOSMO[[#This Row],[PRECIO]]*PRECIOSMO[[#This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ROUNDUP((+SUMIF(UNITARIOS!C:C,PRECIOSM[[#This Row],[MATERIALES]],UNITARIOS!E:E)),0)</f>
        <v>0</v>
      </c>
      <c r="F18" s="16">
        <f>PRECIOSM[[#This Row],[PRECIO]]*PRECIOSM[[#This Row],[CANTIDAD]]</f>
        <v>0</v>
      </c>
      <c r="I18" s="6" t="s">
        <v>583</v>
      </c>
      <c r="J18" s="9" t="s">
        <v>71</v>
      </c>
      <c r="K18" s="14">
        <v>60</v>
      </c>
      <c r="L18" s="26">
        <f>ROUNDUP((+SUMIF(UNITARIOS!C:C,PRECIOSMO[[#This Row],[MANO DE OBRA]],UNITARIOS!E:E)),0)</f>
        <v>6</v>
      </c>
      <c r="M18" s="14">
        <f>PRECIOSMO[[#This Row],[PRECIO]]*PRECIOSMO[[#This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ROUNDUP((+SUMIF(UNITARIOS!C:C,PRECIOSM[[#This Row],[MATERIALES]],UNITARIOS!E:E)),0)</f>
        <v>0</v>
      </c>
      <c r="F19" s="16">
        <f>PRECIOSM[[#This Row],[PRECIO]]*PRECIOSM[[#This Row],[CANTIDAD]]</f>
        <v>0</v>
      </c>
      <c r="I19" s="6" t="s">
        <v>572</v>
      </c>
      <c r="J19" s="9" t="s">
        <v>24</v>
      </c>
      <c r="K19" s="14">
        <v>40</v>
      </c>
      <c r="L19" s="26">
        <f>ROUNDUP((+SUMIF(UNITARIOS!C:C,PRECIOSMO[[#This Row],[MANO DE OBRA]],UNITARIOS!E:E)),0)</f>
        <v>7</v>
      </c>
      <c r="M19" s="14">
        <f>PRECIOSMO[[#This Row],[PRECIO]]*PRECIOSMO[[#This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ROUNDUP((+SUMIF(UNITARIOS!C:C,PRECIOSM[[#This Row],[MATERIALES]],UNITARIOS!E:E)),0)</f>
        <v>0</v>
      </c>
      <c r="F20" s="16">
        <f>PRECIOSM[[#This Row],[PRECIO]]*PRECIOSM[[#This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ROUNDUP((+SUMIF(UNITARIOS!C:C,PRECIOSMO[[#This Row],[MANO DE OBRA]],UNITARIOS!E:E)),0)</f>
        <v>37</v>
      </c>
      <c r="M20" s="14">
        <f>PRECIOSMO[[#This Row],[PRECIO]]*PRECIOSMO[[#This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ROUNDUP((+SUMIF(UNITARIOS!C:C,PRECIOSM[[#This Row],[MATERIALES]],UNITARIOS!E:E)),0)</f>
        <v>136</v>
      </c>
      <c r="F21" s="16">
        <f>PRECIOSM[[#This Row],[PRECIO]]*PRECIOSM[[#This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ROUNDUP((+SUMIF(UNITARIOS!C:C,PRECIOSMO[[#This Row],[MANO DE OBRA]],UNITARIOS!E:E)),0)</f>
        <v>1</v>
      </c>
      <c r="M21" s="63">
        <f>PRECIOSMO[[#This Row],[PRECIO]]*PRECIOSMO[[#This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ROUNDUP((+SUMIF(UNITARIOS!C:C,PRECIOSM[[#This Row],[MATERIALES]],UNITARIOS!E:E)),0)</f>
        <v>0</v>
      </c>
      <c r="F22" s="16">
        <f>PRECIOSM[[#This Row],[PRECIO]]*PRECIOSM[[#This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ROUNDUP((+SUMIF(UNITARIOS!C:C,PRECIOSMO[[#This Row],[MANO DE OBRA]],UNITARIOS!E:E)),0)</f>
        <v>0</v>
      </c>
      <c r="M22" s="29">
        <f>PRECIOSMO[[#This Row],[PRECIO]]*PRECIOSMO[[#This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ROUNDUP((+SUMIF(UNITARIOS!C:C,PRECIOSM[[#This Row],[MATERIALES]],UNITARIOS!E:E)),0)</f>
        <v>0</v>
      </c>
      <c r="F23" s="16">
        <f>PRECIOSM[[#This Row],[PRECIO]]*PRECIOSM[[#This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ROUNDUP((+SUMIF(UNITARIOS!C:C,PRECIOSMO[[#This Row],[MANO DE OBRA]],UNITARIOS!E:E)),0)</f>
        <v>0</v>
      </c>
      <c r="M23" s="14">
        <f>PRECIOSMO[[#This Row],[PRECIO]]*PRECIOSMO[[#This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ROUNDUP((+SUMIF(UNITARIOS!C:C,PRECIOSM[[#This Row],[MATERIALES]],UNITARIOS!E:E)),0)</f>
        <v>0</v>
      </c>
      <c r="F24" s="16">
        <f>PRECIOSM[[#This Row],[PRECIO]]*PRECIOSM[[#This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ROUNDUP((+SUMIF(UNITARIOS!C:C,PRECIOSMO[[#This Row],[MANO DE OBRA]],UNITARIOS!E:E)),0)</f>
        <v>1</v>
      </c>
      <c r="M24" s="29">
        <f>PRECIOSMO[[#This Row],[PRECIO]]*PRECIOSMO[[#This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ROUNDUP((+SUMIF(UNITARIOS!C:C,PRECIOSM[[#This Row],[MATERIALES]],UNITARIOS!E:E)),0)</f>
        <v>0</v>
      </c>
      <c r="F25" s="16">
        <f>PRECIOSM[[#This Row],[PRECIO]]*PRECIOSM[[#This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ROUNDUP((+SUMIF(UNITARIOS!C:C,PRECIOSMO[[#This Row],[MANO DE OBRA]],UNITARIOS!E:E)),0)</f>
        <v>0</v>
      </c>
      <c r="M25" s="14">
        <f>PRECIOSMO[[#This Row],[PRECIO]]*PRECIOSMO[[#This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ROUNDUP((+SUMIF(UNITARIOS!C:C,PRECIOSM[[#This Row],[MATERIALES]],UNITARIOS!E:E)),0)</f>
        <v>0</v>
      </c>
      <c r="F26" s="16">
        <f>PRECIOSM[[#This Row],[PRECIO]]*PRECIOSM[[#This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ROUNDUP((+SUMIF(UNITARIOS!C:C,PRECIOSMO[[#This Row],[MANO DE OBRA]],UNITARIOS!E:E)),0)</f>
        <v>0</v>
      </c>
      <c r="M26" s="29">
        <f>PRECIOSMO[[#This Row],[PRECIO]]*PRECIOSMO[[#This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ROUNDUP((+SUMIF(UNITARIOS!C:C,PRECIOSM[[#This Row],[MATERIALES]],UNITARIOS!E:E)),0)</f>
        <v>0</v>
      </c>
      <c r="F27" s="16">
        <f>PRECIOSM[[#This Row],[PRECIO]]*PRECIOSM[[#This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ROUNDUP((+SUMIF(UNITARIOS!C:C,PRECIOSMO[[#This Row],[MANO DE OBRA]],UNITARIOS!E:E)),0)</f>
        <v>0</v>
      </c>
      <c r="M27" s="14">
        <f>PRECIOSMO[[#This Row],[PRECIO]]*PRECIOSMO[[#This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ROUNDUP((+SUMIF(UNITARIOS!C:C,PRECIOSM[[#This Row],[MATERIALES]],UNITARIOS!E:E)),0)</f>
        <v>0</v>
      </c>
      <c r="F28" s="16">
        <f>PRECIOSM[[#This Row],[PRECIO]]*PRECIOSM[[#This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ROUNDUP((+SUMIF(UNITARIOS!C:C,PRECIOSMO[[#This Row],[MANO DE OBRA]],UNITARIOS!E:E)),0)</f>
        <v>0</v>
      </c>
      <c r="M28" s="14">
        <f>PRECIOSMO[[#This Row],[PRECIO]]*PRECIOSMO[[#This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ROUNDUP((+SUMIF(UNITARIOS!C:C,PRECIOSM[[#This Row],[MATERIALES]],UNITARIOS!E:E)),0)</f>
        <v>0</v>
      </c>
      <c r="F29" s="16">
        <f>PRECIOSM[[#This Row],[PRECIO]]*PRECIOSM[[#This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ROUNDUP((+SUMIF(UNITARIOS!C:C,PRECIOSMO[[#This Row],[MANO DE OBRA]],UNITARIOS!E:E)),0)</f>
        <v>30</v>
      </c>
      <c r="M29" s="14">
        <f>PRECIOSMO[[#This Row],[PRECIO]]*PRECIOSMO[[#This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ROUNDUP((+SUMIF(UNITARIOS!C:C,PRECIOSM[[#This Row],[MATERIALES]],UNITARIOS!E:E)),0)</f>
        <v>0</v>
      </c>
      <c r="F30" s="16">
        <f>PRECIOSM[[#This Row],[PRECIO]]*PRECIOSM[[#This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ROUNDUP((+SUMIF(UNITARIOS!C:C,PRECIOSMO[[#This Row],[MANO DE OBRA]],UNITARIOS!E:E)),0)</f>
        <v>0</v>
      </c>
      <c r="M30" s="29">
        <f>PRECIOSMO[[#This Row],[PRECIO]]*PRECIOSMO[[#This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ROUNDUP((+SUMIF(UNITARIOS!C:C,PRECIOSM[[#This Row],[MATERIALES]],UNITARIOS!E:E)),0)</f>
        <v>0</v>
      </c>
      <c r="F31" s="16">
        <f>PRECIOSM[[#This Row],[PRECIO]]*PRECIOSM[[#This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ROUNDUP((+SUMIF(UNITARIOS!C:C,PRECIOSMO[[#This Row],[MANO DE OBRA]],UNITARIOS!E:E)),0)</f>
        <v>0</v>
      </c>
      <c r="M31" s="14">
        <f>PRECIOSMO[[#This Row],[PRECIO]]*PRECIOSMO[[#This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ROUNDUP((+SUMIF(UNITARIOS!C:C,PRECIOSM[[#This Row],[MATERIALES]],UNITARIOS!E:E)),0)</f>
        <v>77</v>
      </c>
      <c r="F32" s="16">
        <f>PRECIOSM[[#This Row],[PRECIO]]*PRECIOSM[[#This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ROUNDUP((+SUMIF(UNITARIOS!C:C,PRECIOSMO[[#This Row],[MANO DE OBRA]],UNITARIOS!E:E)),0)</f>
        <v>0</v>
      </c>
      <c r="M32" s="63">
        <f>PRECIOSMO[[#This Row],[PRECIO]]*PRECIOSMO[[#This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ROUNDUP((+SUMIF(UNITARIOS!C:C,PRECIOSM[[#This Row],[MATERIALES]],UNITARIOS!E:E)),0)</f>
        <v>0</v>
      </c>
      <c r="F33" s="16">
        <f>PRECIOSM[[#This Row],[PRECIO]]*PRECIOSM[[#This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ROUNDUP((+SUMIF(UNITARIOS!C:C,PRECIOSMO[[#This Row],[MANO DE OBRA]],UNITARIOS!E:E)),0)</f>
        <v>0</v>
      </c>
      <c r="M33" s="29">
        <f>PRECIOSMO[[#This Row],[PRECIO]]*PRECIOSMO[[#This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ROUNDUP((+SUMIF(UNITARIOS!C:C,PRECIOSM[[#This Row],[MATERIALES]],UNITARIOS!E:E)),0)</f>
        <v>46</v>
      </c>
      <c r="F34" s="16">
        <f>PRECIOSM[[#This Row],[PRECIO]]*PRECIOSM[[#This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ROUNDUP((+SUMIF(UNITARIOS!C:C,PRECIOSMO[[#This Row],[MANO DE OBRA]],UNITARIOS!E:E)),0)</f>
        <v>0</v>
      </c>
      <c r="M34" s="14">
        <f>PRECIOSMO[[#This Row],[PRECIO]]*PRECIOSMO[[#This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ROUNDUP((+SUMIF(UNITARIOS!C:C,PRECIOSM[[#This Row],[MATERIALES]],UNITARIOS!E:E)),0)</f>
        <v>0</v>
      </c>
      <c r="F35" s="16">
        <f>PRECIOSM[[#This Row],[PRECIO]]*PRECIOSM[[#This Row],[CANTIDAD]]</f>
        <v>0</v>
      </c>
      <c r="I35" s="6" t="s">
        <v>649</v>
      </c>
      <c r="J35" s="9" t="s">
        <v>24</v>
      </c>
      <c r="K35" s="14">
        <v>65</v>
      </c>
      <c r="L35" s="26">
        <f>ROUNDUP((+SUMIF(UNITARIOS!C:C,PRECIOSMO[[#This Row],[MANO DE OBRA]],UNITARIOS!E:E)),0)</f>
        <v>0</v>
      </c>
      <c r="M35" s="14">
        <f>PRECIOSMO[[#This Row],[PRECIO]]*PRECIOSMO[[#This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ROUNDUP((+SUMIF(UNITARIOS!C:C,PRECIOSM[[#This Row],[MATERIALES]],UNITARIOS!E:E)),0)</f>
        <v>13</v>
      </c>
      <c r="F36" s="16">
        <f>PRECIOSM[[#This Row],[PRECIO]]*PRECIOSM[[#This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ROUNDUP((+SUMIF(UNITARIOS!C:C,PRECIOSMO[[#This Row],[MANO DE OBRA]],UNITARIOS!E:E)),0)</f>
        <v>246</v>
      </c>
      <c r="M36" s="29">
        <f>PRECIOSMO[[#This Row],[PRECIO]]*PRECIOSMO[[#This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ROUNDUP((+SUMIF(UNITARIOS!C:C,PRECIOSM[[#This Row],[MATERIALES]],UNITARIOS!E:E)),0)</f>
        <v>0</v>
      </c>
      <c r="F37" s="16">
        <f>PRECIOSM[[#This Row],[PRECIO]]*PRECIOSM[[#This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ROUNDUP((+SUMIF(UNITARIOS!C:C,PRECIOSMO[[#This Row],[MANO DE OBRA]],UNITARIOS!E:E)),0)</f>
        <v>9</v>
      </c>
      <c r="M37" s="14">
        <f>PRECIOSMO[[#This Row],[PRECIO]]*PRECIOSMO[[#This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ROUNDUP((+SUMIF(UNITARIOS!C:C,PRECIOSM[[#This Row],[MATERIALES]],UNITARIOS!E:E)),0)</f>
        <v>0</v>
      </c>
      <c r="F38" s="16">
        <f>PRECIOSM[[#This Row],[PRECIO]]*PRECIOSM[[#This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ROUNDUP((+SUMIF(UNITARIOS!C:C,PRECIOSMO[[#This Row],[MANO DE OBRA]],UNITARIOS!E:E)),0)</f>
        <v>0</v>
      </c>
      <c r="M38" s="29">
        <f>PRECIOSMO[[#This Row],[PRECIO]]*PRECIOSMO[[#This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ROUNDUP((+SUMIF(UNITARIOS!C:C,PRECIOSM[[#This Row],[MATERIALES]],UNITARIOS!E:E)),0)</f>
        <v>0</v>
      </c>
      <c r="F39" s="16">
        <f>PRECIOSM[[#This Row],[PRECIO]]*PRECIOSM[[#This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ROUNDUP((+SUMIF(UNITARIOS!C:C,PRECIOSMO[[#This Row],[MANO DE OBRA]],UNITARIOS!E:E)),0)</f>
        <v>0</v>
      </c>
      <c r="M39" s="14">
        <f>PRECIOSMO[[#This Row],[PRECIO]]*PRECIOSMO[[#This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ROUNDUP((+SUMIF(UNITARIOS!C:C,PRECIOSM[[#This Row],[MATERIALES]],UNITARIOS!E:E)),0)</f>
        <v>50</v>
      </c>
      <c r="F40" s="16">
        <f>PRECIOSM[[#This Row],[PRECIO]]*PRECIOSM[[#This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ROUNDUP((+SUMIF(UNITARIOS!C:C,PRECIOSMO[[#This Row],[MANO DE OBRA]],UNITARIOS!E:E)),0)</f>
        <v>0</v>
      </c>
      <c r="M40" s="14">
        <f>PRECIOSMO[[#This Row],[PRECIO]]*PRECIOSMO[[#This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ROUNDUP((+SUMIF(UNITARIOS!C:C,PRECIOSM[[#This Row],[MATERIALES]],UNITARIOS!E:E)),0)</f>
        <v>3</v>
      </c>
      <c r="F41" s="16">
        <f>PRECIOSM[[#This Row],[PRECIO]]*PRECIOSM[[#This Row],[CANTIDAD]]</f>
        <v>21</v>
      </c>
      <c r="I41" s="6" t="s">
        <v>276</v>
      </c>
      <c r="J41" s="9" t="s">
        <v>24</v>
      </c>
      <c r="K41" s="29">
        <v>10</v>
      </c>
      <c r="L41" s="30">
        <f>ROUNDUP((+SUMIF(UNITARIOS!C:C,PRECIOSMO[[#This Row],[MANO DE OBRA]],UNITARIOS!E:E)),0)</f>
        <v>183</v>
      </c>
      <c r="M41" s="29">
        <f>PRECIOSMO[[#This Row],[PRECIO]]*PRECIOSMO[[#This Row],[CANTIDAD]]</f>
        <v>1830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ROUNDUP((+SUMIF(UNITARIOS!C:C,PRECIOSM[[#This Row],[MATERIALES]],UNITARIOS!E:E)),0)</f>
        <v>910</v>
      </c>
      <c r="F42" s="50">
        <f>PRECIOSM[[#This Row],[PRECIO]]*PRECIOSM[[#This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ROUNDUP((+SUMIF(UNITARIOS!C:C,PRECIOSMO[[#This Row],[MANO DE OBRA]],UNITARIOS!E:E)),0)</f>
        <v>0</v>
      </c>
      <c r="M42" s="29">
        <f>PRECIOSMO[[#This Row],[PRECIO]]*PRECIOSMO[[#This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ROUNDUP((+SUMIF(UNITARIOS!C:C,PRECIOSM[[#This Row],[MATERIALES]],UNITARIOS!E:E)),0)</f>
        <v>0</v>
      </c>
      <c r="F43" s="16">
        <f>PRECIOSM[[#This Row],[PRECIO]]*PRECIOSM[[#This Row],[CANTIDAD]]</f>
        <v>0</v>
      </c>
      <c r="I43" s="6" t="s">
        <v>277</v>
      </c>
      <c r="J43" s="9" t="s">
        <v>24</v>
      </c>
      <c r="K43" s="29">
        <v>10</v>
      </c>
      <c r="L43" s="30">
        <f>ROUNDUP((+SUMIF(UNITARIOS!C:C,PRECIOSMO[[#This Row],[MANO DE OBRA]],UNITARIOS!E:E)),0)</f>
        <v>0</v>
      </c>
      <c r="M43" s="29">
        <f>PRECIOSMO[[#This Row],[PRECIO]]*PRECIOSMO[[#This Row],[CANTIDAD]]</f>
        <v>0</v>
      </c>
      <c r="P43" s="6"/>
      <c r="Q43" s="7"/>
    </row>
    <row r="44" spans="2:20" s="31" customFormat="1" x14ac:dyDescent="0.25">
      <c r="B44" s="8" t="s">
        <v>573</v>
      </c>
      <c r="C44" s="9" t="s">
        <v>25</v>
      </c>
      <c r="D44" s="14">
        <v>9</v>
      </c>
      <c r="E44" s="26">
        <f>ROUNDUP((+SUMIF(UNITARIOS!C:C,PRECIOSM[[#This Row],[MATERIALES]],UNITARIOS!E:E)),0)</f>
        <v>1274</v>
      </c>
      <c r="F44" s="16">
        <f>PRECIOSM[[#This Row],[PRECIO]]*PRECIOSM[[#This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ROUNDUP((+SUMIF(UNITARIOS!C:C,PRECIOSMO[[#This Row],[MANO DE OBRA]],UNITARIOS!E:E)),0)</f>
        <v>0</v>
      </c>
      <c r="M44" s="14">
        <f>PRECIOSMO[[#This Row],[PRECIO]]*PRECIOSMO[[#This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ROUNDUP((+SUMIF(UNITARIOS!C:C,PRECIOSM[[#This Row],[MATERIALES]],UNITARIOS!E:E)),0)</f>
        <v>3</v>
      </c>
      <c r="F45" s="16">
        <f>PRECIOSM[[#This Row],[PRECIO]]*PRECIOSM[[#This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ROUNDUP((+SUMIF(UNITARIOS!C:C,PRECIOSMO[[#This Row],[MANO DE OBRA]],UNITARIOS!E:E)),0)</f>
        <v>0</v>
      </c>
      <c r="M45" s="63">
        <f>PRECIOSMO[[#This Row],[PRECIO]]*PRECIOSMO[[#This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ROUNDUP((+SUMIF(UNITARIOS!C:C,PRECIOSM[[#This Row],[MATERIALES]],UNITARIOS!E:E)),0)</f>
        <v>0</v>
      </c>
      <c r="F46" s="16">
        <f>PRECIOSM[[#This Row],[PRECIO]]*PRECIOSM[[#This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ROUNDUP((+SUMIF(UNITARIOS!C:C,PRECIOSMO[[#This Row],[MANO DE OBRA]],UNITARIOS!E:E)),0)</f>
        <v>1</v>
      </c>
      <c r="M46" s="29">
        <f>PRECIOSMO[[#This Row],[PRECIO]]*PRECIOSMO[[#This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ROUNDUP((+SUMIF(UNITARIOS!C:C,PRECIOSM[[#This Row],[MATERIALES]],UNITARIOS!E:E)),0)</f>
        <v>0</v>
      </c>
      <c r="F47" s="16">
        <f>PRECIOSM[[#This Row],[PRECIO]]*PRECIOSM[[#This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ROUNDUP((+SUMIF(UNITARIOS!C:C,PRECIOSMO[[#This Row],[MANO DE OBRA]],UNITARIOS!E:E)),0)</f>
        <v>0</v>
      </c>
      <c r="M47" s="14">
        <f>PRECIOSMO[[#This Row],[PRECIO]]*PRECIOSMO[[#This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ROUNDUP((+SUMIF(UNITARIOS!C:C,PRECIOSM[[#This Row],[MATERIALES]],UNITARIOS!E:E)),0)</f>
        <v>0</v>
      </c>
      <c r="F48" s="16">
        <f>PRECIOSM[[#This Row],[PRECIO]]*PRECIOSM[[#This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ROUNDUP((+SUMIF(UNITARIOS!C:C,PRECIOSMO[[#This Row],[MANO DE OBRA]],UNITARIOS!E:E)),0)</f>
        <v>0</v>
      </c>
      <c r="M48" s="14">
        <f>PRECIOSMO[[#This Row],[PRECIO]]*PRECIOSMO[[#This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ROUNDUP((+SUMIF(UNITARIOS!C:C,PRECIOSM[[#This Row],[MATERIALES]],UNITARIOS!E:E)),0)</f>
        <v>0</v>
      </c>
      <c r="F49" s="16">
        <f>PRECIOSM[[#This Row],[PRECIO]]*PRECIOSM[[#This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ROUNDUP((+SUMIF(UNITARIOS!C:C,PRECIOSMO[[#This Row],[MANO DE OBRA]],UNITARIOS!E:E)),0)</f>
        <v>8</v>
      </c>
      <c r="M49" s="14">
        <f>PRECIOSMO[[#This Row],[PRECIO]]*PRECIOSMO[[#This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ROUNDUP((+SUMIF(UNITARIOS!C:C,PRECIOSM[[#This Row],[MATERIALES]],UNITARIOS!E:E)),0)</f>
        <v>0</v>
      </c>
      <c r="F50" s="50">
        <f>PRECIOSM[[#This Row],[PRECIO]]*PRECIOSM[[#This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ROUNDUP((+SUMIF(UNITARIOS!C:C,PRECIOSMO[[#This Row],[MANO DE OBRA]],UNITARIOS!E:E)),0)</f>
        <v>0</v>
      </c>
      <c r="M50" s="14">
        <f>PRECIOSMO[[#This Row],[PRECIO]]*PRECIOSMO[[#This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ROUNDUP((+SUMIF(UNITARIOS!C:C,PRECIOSM[[#This Row],[MATERIALES]],UNITARIOS!E:E)),0)</f>
        <v>3</v>
      </c>
      <c r="F51" s="50">
        <f>PRECIOSM[[#This Row],[PRECIO]]*PRECIOSM[[#This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ROUNDUP((+SUMIF(UNITARIOS!C:C,PRECIOSMO[[#This Row],[MANO DE OBRA]],UNITARIOS!E:E)),0)</f>
        <v>0</v>
      </c>
      <c r="M51" s="14">
        <f>PRECIOSMO[[#This Row],[PRECIO]]*PRECIOSMO[[#This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ROUNDUP((+SUMIF(UNITARIOS!C:C,PRECIOSM[[#This Row],[MATERIALES]],UNITARIOS!E:E)),0)</f>
        <v>25</v>
      </c>
      <c r="F52" s="16">
        <f>PRECIOSM[[#This Row],[PRECIO]]*PRECIOSM[[#This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ROUNDUP((+SUMIF(UNITARIOS!C:C,PRECIOSMO[[#This Row],[MANO DE OBRA]],UNITARIOS!E:E)),0)</f>
        <v>0</v>
      </c>
      <c r="M52" s="14">
        <f>PRECIOSMO[[#This Row],[PRECIO]]*PRECIOSMO[[#This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ROUNDUP((+SUMIF(UNITARIOS!C:C,PRECIOSM[[#This Row],[MATERIALES]],UNITARIOS!E:E)),0)</f>
        <v>13</v>
      </c>
      <c r="F53" s="16">
        <f>PRECIOSM[[#This Row],[PRECIO]]*PRECIOSM[[#This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ROUNDUP((+SUMIF(UNITARIOS!C:C,PRECIOSMO[[#This Row],[MANO DE OBRA]],UNITARIOS!E:E)),0)</f>
        <v>0</v>
      </c>
      <c r="M53" s="14">
        <f>PRECIOSMO[[#This Row],[PRECIO]]*PRECIOSMO[[#This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ROUNDUP((+SUMIF(UNITARIOS!C:C,PRECIOSM[[#This Row],[MATERIALES]],UNITARIOS!E:E)),0)</f>
        <v>1</v>
      </c>
      <c r="F54" s="16">
        <f>PRECIOSM[[#This Row],[PRECIO]]*PRECIOSM[[#This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ROUNDUP((+SUMIF(UNITARIOS!C:C,PRECIOSMO[[#This Row],[MANO DE OBRA]],UNITARIOS!E:E)),0)</f>
        <v>24</v>
      </c>
      <c r="M54" s="14">
        <f>PRECIOSMO[[#This Row],[PRECIO]]*PRECIOSMO[[#This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ROUNDUP((+SUMIF(UNITARIOS!C:C,PRECIOSM[[#This Row],[MATERIALES]],UNITARIOS!E:E)),0)</f>
        <v>1164</v>
      </c>
      <c r="F55" s="16">
        <f>PRECIOSM[[#This Row],[PRECIO]]*PRECIOSM[[#This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ROUNDUP((+SUMIF(UNITARIOS!C:C,PRECIOSMO[[#This Row],[MANO DE OBRA]],UNITARIOS!E:E)),0)</f>
        <v>18</v>
      </c>
      <c r="M55" s="63">
        <f>PRECIOSMO[[#This Row],[PRECIO]]*PRECIOSMO[[#This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ROUNDUP((+SUMIF(UNITARIOS!C:C,PRECIOSM[[#This Row],[MATERIALES]],UNITARIOS!E:E)),0)</f>
        <v>0</v>
      </c>
      <c r="F56" s="16">
        <f>PRECIOSM[[#This Row],[PRECIO]]*PRECIOSM[[#This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ROUNDUP((+SUMIF(UNITARIOS!C:C,PRECIOSMO[[#This Row],[MANO DE OBRA]],UNITARIOS!E:E)),0)</f>
        <v>2</v>
      </c>
      <c r="M56" s="29">
        <f>PRECIOSMO[[#This Row],[PRECIO]]*PRECIOSMO[[#This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ROUNDUP((+SUMIF(UNITARIOS!C:C,PRECIOSM[[#This Row],[MATERIALES]],UNITARIOS!E:E)),0)</f>
        <v>0</v>
      </c>
      <c r="F57" s="16">
        <f>PRECIOSM[[#This Row],[PRECIO]]*PRECIOSM[[#This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ROUNDUP((+SUMIF(UNITARIOS!C:C,PRECIOSMO[[#This Row],[MANO DE OBRA]],UNITARIOS!E:E)),0)</f>
        <v>1</v>
      </c>
      <c r="M57" s="14">
        <f>PRECIOSMO[[#This Row],[PRECIO]]*PRECIOSMO[[#This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ROUNDUP((+SUMIF(UNITARIOS!C:C,PRECIOSM[[#This Row],[MATERIALES]],UNITARIOS!E:E)),0)</f>
        <v>0</v>
      </c>
      <c r="F58" s="16">
        <f>PRECIOSM[[#This Row],[PRECIO]]*PRECIOSM[[#This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ROUNDUP((+SUMIF(UNITARIOS!C:C,PRECIOSMO[[#This Row],[MANO DE OBRA]],UNITARIOS!E:E)),0)</f>
        <v>0</v>
      </c>
      <c r="M58" s="14">
        <f>PRECIOSMO[[#This Row],[PRECIO]]*PRECIOSMO[[#This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ROUNDUP((+SUMIF(UNITARIOS!C:C,PRECIOSM[[#This Row],[MATERIALES]],UNITARIOS!E:E)),0)</f>
        <v>240</v>
      </c>
      <c r="F59" s="16">
        <f>PRECIOSM[[#This Row],[PRECIO]]*PRECIOSM[[#This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ROUNDUP((+SUMIF(UNITARIOS!C:C,PRECIOSMO[[#This Row],[MANO DE OBRA]],UNITARIOS!E:E)),0)</f>
        <v>0</v>
      </c>
      <c r="M59" s="14">
        <f>PRECIOSMO[[#This Row],[PRECIO]]*PRECIOSMO[[#This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ROUNDUP((+SUMIF(UNITARIOS!C:C,PRECIOSM[[#This Row],[MATERIALES]],UNITARIOS!E:E)),0)</f>
        <v>0</v>
      </c>
      <c r="F60" s="16">
        <f>PRECIOSM[[#This Row],[PRECIO]]*PRECIOSM[[#This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ROUNDUP((+SUMIF(UNITARIOS!C:C,PRECIOSMO[[#This Row],[MANO DE OBRA]],UNITARIOS!E:E)),0)</f>
        <v>0</v>
      </c>
      <c r="M60" s="16">
        <f>PRECIOSMO[[#This Row],[PRECIO]]*PRECIOSMO[[#This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ROUNDUP((+SUMIF(UNITARIOS!C:C,PRECIOSM[[#This Row],[MATERIALES]],UNITARIOS!E:E)),0)</f>
        <v>0</v>
      </c>
      <c r="F61" s="16">
        <f>PRECIOSM[[#This Row],[PRECIO]]*PRECIOSM[[#This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ROUNDUP((+SUMIF(UNITARIOS!C:C,PRECIOSMO[[#This Row],[MANO DE OBRA]],UNITARIOS!E:E)),0)</f>
        <v>0</v>
      </c>
      <c r="M61" s="14">
        <f>PRECIOSMO[[#This Row],[PRECIO]]*PRECIOSMO[[#This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ROUNDUP((+SUMIF(UNITARIOS!C:C,PRECIOSM[[#This Row],[MATERIALES]],UNITARIOS!E:E)),0)</f>
        <v>0</v>
      </c>
      <c r="F62" s="16">
        <f>PRECIOSM[[#This Row],[PRECIO]]*PRECIOSM[[#This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ROUNDUP((+SUMIF(UNITARIOS!C:C,PRECIOSMO[[#This Row],[MANO DE OBRA]],UNITARIOS!E:E)),0)</f>
        <v>0</v>
      </c>
      <c r="M62" s="14">
        <f>PRECIOSMO[[#This Row],[PRECIO]]*PRECIOSMO[[#This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ROUNDUP((+SUMIF(UNITARIOS!C:C,PRECIOSM[[#This Row],[MATERIALES]],UNITARIOS!E:E)),0)</f>
        <v>0</v>
      </c>
      <c r="F63" s="16">
        <f>PRECIOSM[[#This Row],[PRECIO]]*PRECIOSM[[#This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ROUNDUP((+SUMIF(UNITARIOS!C:C,PRECIOSMO[[#This Row],[MANO DE OBRA]],UNITARIOS!E:E)),0)</f>
        <v>0</v>
      </c>
      <c r="M63" s="14">
        <f>PRECIOSMO[[#This Row],[PRECIO]]*PRECIOSMO[[#This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ROUNDUP((+SUMIF(UNITARIOS!C:C,PRECIOSM[[#This Row],[MATERIALES]],UNITARIOS!E:E)),0)</f>
        <v>13</v>
      </c>
      <c r="F64" s="16">
        <f>PRECIOSM[[#This Row],[PRECIO]]*PRECIOSM[[#This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ROUNDUP((+SUMIF(UNITARIOS!C:C,PRECIOSMO[[#This Row],[MANO DE OBRA]],UNITARIOS!E:E)),0)</f>
        <v>0</v>
      </c>
      <c r="M64" s="29">
        <f>PRECIOSMO[[#This Row],[PRECIO]]*PRECIOSMO[[#This Row],[CANTIDAD]]</f>
        <v>0</v>
      </c>
      <c r="P64" s="6"/>
      <c r="Q64" s="7"/>
    </row>
    <row r="65" spans="2:17" ht="28.5" x14ac:dyDescent="0.25">
      <c r="B65" s="8" t="s">
        <v>661</v>
      </c>
      <c r="C65" s="9" t="s">
        <v>64</v>
      </c>
      <c r="D65" s="14">
        <v>50</v>
      </c>
      <c r="E65" s="26">
        <f>ROUNDUP((+SUMIF(UNITARIOS!C:C,PRECIOSM[[#This Row],[MATERIALES]],UNITARIOS!E:E)),0)</f>
        <v>0</v>
      </c>
      <c r="F65" s="16">
        <f>PRECIOSM[[#This Row],[PRECIO]]*PRECIOSM[[#This Row],[CANTIDAD]]</f>
        <v>0</v>
      </c>
      <c r="I65" s="6" t="s">
        <v>452</v>
      </c>
      <c r="J65" s="28" t="s">
        <v>25</v>
      </c>
      <c r="K65" s="29">
        <v>8019.7</v>
      </c>
      <c r="L65" s="64">
        <f>ROUNDUP((+SUMIF(UNITARIOS!C:C,PRECIOSMO[[#This Row],[MANO DE OBRA]],UNITARIOS!E:E)),0)</f>
        <v>0</v>
      </c>
      <c r="M65" s="63">
        <f>PRECIOSMO[[#This Row],[PRECIO]]*PRECIOSMO[[#This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ROUNDUP((+SUMIF(UNITARIOS!C:C,PRECIOSM[[#This Row],[MATERIALES]],UNITARIOS!E:E)),0)</f>
        <v>1</v>
      </c>
      <c r="F66" s="16">
        <f>PRECIOSM[[#This Row],[PRECIO]]*PRECIOSM[[#This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ROUNDUP((+SUMIF(UNITARIOS!C:C,PRECIOSMO[[#This Row],[MANO DE OBRA]],UNITARIOS!E:E)),0)</f>
        <v>8</v>
      </c>
      <c r="M66" s="29">
        <f>PRECIOSMO[[#This Row],[PRECIO]]*PRECIOSMO[[#This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ROUNDUP((+SUMIF(UNITARIOS!C:C,PRECIOSM[[#This Row],[MATERIALES]],UNITARIOS!E:E)),0)</f>
        <v>1</v>
      </c>
      <c r="F67" s="16">
        <f>PRECIOSM[[#This Row],[PRECIO]]*PRECIOSM[[#This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ROUNDUP((+SUMIF(UNITARIOS!C:C,PRECIOSMO[[#This Row],[MANO DE OBRA]],UNITARIOS!E:E)),0)</f>
        <v>0</v>
      </c>
      <c r="M67" s="14">
        <f>PRECIOSMO[[#This Row],[PRECIO]]*PRECIOSMO[[#This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ROUNDUP((+SUMIF(UNITARIOS!C:C,PRECIOSM[[#This Row],[MATERIALES]],UNITARIOS!E:E)),0)</f>
        <v>0</v>
      </c>
      <c r="F68" s="16">
        <f>PRECIOSM[[#This Row],[PRECIO]]*PRECIOSM[[#This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ROUNDUP((+SUMIF(UNITARIOS!C:C,PRECIOSMO[[#This Row],[MANO DE OBRA]],UNITARIOS!E:E)),0)</f>
        <v>0</v>
      </c>
      <c r="M68" s="140">
        <f>PRECIOSMO[[#This Row],[PRECIO]]*PRECIOSMO[[#This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ROUNDUP((+SUMIF(UNITARIOS!C:C,PRECIOSM[[#This Row],[MATERIALES]],UNITARIOS!E:E)),0)</f>
        <v>0</v>
      </c>
      <c r="F69" s="16">
        <f>PRECIOSM[[#This Row],[PRECIO]]*PRECIOSM[[#This Row],[CANTIDAD]]</f>
        <v>0</v>
      </c>
      <c r="I69" s="6" t="s">
        <v>585</v>
      </c>
      <c r="J69" s="9" t="s">
        <v>25</v>
      </c>
      <c r="K69" s="14">
        <v>1940</v>
      </c>
      <c r="L69" s="26">
        <f>ROUNDUP((+SUMIF(UNITARIOS!C:C,PRECIOSMO[[#This Row],[MANO DE OBRA]],UNITARIOS!E:E)),0)</f>
        <v>3</v>
      </c>
      <c r="M69" s="14">
        <f>PRECIOSMO[[#This Row],[PRECIO]]*PRECIOSMO[[#This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ROUNDUP((+SUMIF(UNITARIOS!C:C,PRECIOSM[[#This Row],[MATERIALES]],UNITARIOS!E:E)),0)</f>
        <v>865</v>
      </c>
      <c r="F70" s="16">
        <f>PRECIOSM[[#This Row],[PRECIO]]*PRECIOSM[[#This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ROUNDUP((+SUMIF(UNITARIOS!C:C,PRECIOSMO[[#This Row],[MANO DE OBRA]],UNITARIOS!E:E)),0)</f>
        <v>0</v>
      </c>
      <c r="M70" s="14">
        <f>PRECIOSMO[[#This Row],[PRECIO]]*PRECIOSMO[[#This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ROUNDUP((+SUMIF(UNITARIOS!C:C,PRECIOSM[[#This Row],[MATERIALES]],UNITARIOS!E:E)),0)</f>
        <v>0</v>
      </c>
      <c r="F71" s="16">
        <f>PRECIOSM[[#This Row],[PRECIO]]*PRECIOSM[[#This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ROUNDUP((+SUMIF(UNITARIOS!C:C,PRECIOSMO[[#This Row],[MANO DE OBRA]],UNITARIOS!E:E)),0)</f>
        <v>0</v>
      </c>
      <c r="M71" s="14">
        <f>PRECIOSMO[[#This Row],[PRECIO]]*PRECIOSMO[[#This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ROUNDUP((+SUMIF(UNITARIOS!C:C,PRECIOSM[[#This Row],[MATERIALES]],UNITARIOS!E:E)),0)</f>
        <v>0</v>
      </c>
      <c r="F72" s="66">
        <f>PRECIOSM[[#This Row],[PRECIO]]*PRECIOSM[[#This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ROUNDUP((+SUMIF(UNITARIOS!C:C,PRECIOSMO[[#This Row],[MANO DE OBRA]],UNITARIOS!E:E)),0)</f>
        <v>0</v>
      </c>
      <c r="M72" s="29">
        <f>PRECIOSMO[[#This Row],[PRECIO]]*PRECIOSMO[[#This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ROUNDUP((+SUMIF(UNITARIOS!C:C,PRECIOSM[[#This Row],[MATERIALES]],UNITARIOS!E:E)),0)</f>
        <v>0</v>
      </c>
      <c r="F73" s="16">
        <f>PRECIOSM[[#This Row],[PRECIO]]*PRECIOSM[[#This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ROUNDUP((+SUMIF(UNITARIOS!C:C,PRECIOSMO[[#This Row],[MANO DE OBRA]],UNITARIOS!E:E)),0)</f>
        <v>0</v>
      </c>
      <c r="M73" s="29">
        <f>PRECIOSMO[[#This Row],[PRECIO]]*PRECIOSMO[[#This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ROUNDUP((+SUMIF(UNITARIOS!C:C,PRECIOSM[[#This Row],[MATERIALES]],UNITARIOS!E:E)),0)</f>
        <v>0</v>
      </c>
      <c r="F74" s="16">
        <f>PRECIOSM[[#This Row],[PRECIO]]*PRECIOSM[[#This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ROUNDUP((+SUMIF(UNITARIOS!C:C,PRECIOSMO[[#This Row],[MANO DE OBRA]],UNITARIOS!E:E)),0)</f>
        <v>11</v>
      </c>
      <c r="M74" s="14">
        <f>PRECIOSMO[[#This Row],[PRECIO]]*PRECIOSMO[[#This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ROUNDUP((+SUMIF(UNITARIOS!C:C,PRECIOSM[[#This Row],[MATERIALES]],UNITARIOS!E:E)),0)</f>
        <v>0</v>
      </c>
      <c r="F75" s="16">
        <f>PRECIOSM[[#This Row],[PRECIO]]*PRECIOSM[[#This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ROUNDUP((+SUMIF(UNITARIOS!C:C,PRECIOSMO[[#This Row],[MANO DE OBRA]],UNITARIOS!E:E)),0)</f>
        <v>0</v>
      </c>
      <c r="M75" s="14">
        <f>PRECIOSMO[[#This Row],[PRECIO]]*PRECIOSMO[[#This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ROUNDUP((+SUMIF(UNITARIOS!C:C,PRECIOSM[[#This Row],[MATERIALES]],UNITARIOS!E:E)),0)</f>
        <v>0</v>
      </c>
      <c r="F76" s="16">
        <f>PRECIOSM[[#This Row],[PRECIO]]*PRECIOSM[[#This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ROUNDUP((+SUMIF(UNITARIOS!C:C,PRECIOSMO[[#This Row],[MANO DE OBRA]],UNITARIOS!E:E)),0)</f>
        <v>0</v>
      </c>
      <c r="M76" s="140">
        <f>PRECIOSMO[[#This Row],[PRECIO]]*PRECIOSMO[[#This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ROUNDUP((+SUMIF(UNITARIOS!C:C,PRECIOSM[[#This Row],[MATERIALES]],UNITARIOS!E:E)),0)</f>
        <v>0</v>
      </c>
      <c r="F77" s="16">
        <f>PRECIOSM[[#This Row],[PRECIO]]*PRECIOSM[[#This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ROUNDUP((+SUMIF(UNITARIOS!C:C,PRECIOSMO[[#This Row],[MANO DE OBRA]],UNITARIOS!E:E)),0)</f>
        <v>0</v>
      </c>
      <c r="M77" s="29">
        <f>PRECIOSMO[[#This Row],[PRECIO]]*PRECIOSMO[[#This Row],[CANTIDAD]]</f>
        <v>0</v>
      </c>
      <c r="P77" s="6"/>
      <c r="Q77" s="7"/>
    </row>
    <row r="78" spans="2:17" x14ac:dyDescent="0.25">
      <c r="B78" s="8" t="s">
        <v>217</v>
      </c>
      <c r="C78" s="9" t="s">
        <v>25</v>
      </c>
      <c r="D78" s="14">
        <v>1</v>
      </c>
      <c r="E78" s="26">
        <f>ROUNDUP((+SUMIF(UNITARIOS!C:C,PRECIOSM[[#This Row],[MATERIALES]],UNITARIOS!E:E)),0)</f>
        <v>0</v>
      </c>
      <c r="F78" s="16">
        <f>PRECIOSM[[#This Row],[PRECIO]]*PRECIOSM[[#This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ROUNDUP((+SUMIF(UNITARIOS!C:C,PRECIOSMO[[#This Row],[MANO DE OBRA]],UNITARIOS!E:E)),0)</f>
        <v>32</v>
      </c>
      <c r="M78" s="14">
        <f>PRECIOSMO[[#This Row],[PRECIO]]*PRECIOSMO[[#This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ROUNDUP((+SUMIF(UNITARIOS!C:C,PRECIOSM[[#This Row],[MATERIALES]],UNITARIOS!E:E)),0)</f>
        <v>32</v>
      </c>
      <c r="F79" s="16">
        <f>PRECIOSM[[#This Row],[PRECIO]]*PRECIOSM[[#This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ROUNDUP((+SUMIF(UNITARIOS!C:C,PRECIOSMO[[#This Row],[MANO DE OBRA]],UNITARIOS!E:E)),0)</f>
        <v>6</v>
      </c>
      <c r="M79" s="63">
        <f>PRECIOSMO[[#This Row],[PRECIO]]*PRECIOSMO[[#This Row],[CANTIDAD]]</f>
        <v>600</v>
      </c>
      <c r="P79" s="6"/>
      <c r="Q79" s="7"/>
    </row>
    <row r="80" spans="2:17" x14ac:dyDescent="0.25">
      <c r="B80" s="8" t="s">
        <v>586</v>
      </c>
      <c r="C80" s="9" t="s">
        <v>25</v>
      </c>
      <c r="D80" s="14">
        <v>60</v>
      </c>
      <c r="E80" s="26">
        <f>ROUNDUP((+SUMIF(UNITARIOS!C:C,PRECIOSM[[#This Row],[MATERIALES]],UNITARIOS!E:E)),0)</f>
        <v>2</v>
      </c>
      <c r="F80" s="16">
        <f>PRECIOSM[[#This Row],[PRECIO]]*PRECIOSM[[#This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ROUNDUP((+SUMIF(UNITARIOS!C:C,PRECIOSMO[[#This Row],[MANO DE OBRA]],UNITARIOS!E:E)),0)</f>
        <v>0</v>
      </c>
      <c r="M80" s="29">
        <f>PRECIOSMO[[#This Row],[PRECIO]]*PRECIOSMO[[#This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ROUNDUP((+SUMIF(UNITARIOS!C:C,PRECIOSM[[#This Row],[MATERIALES]],UNITARIOS!E:E)),0)</f>
        <v>1</v>
      </c>
      <c r="F81" s="50">
        <f>PRECIOSM[[#This Row],[PRECIO]]*PRECIOSM[[#This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ROUNDUP((+SUMIF(UNITARIOS!C:C,PRECIOSMO[[#This Row],[MANO DE OBRA]],UNITARIOS!E:E)),0)</f>
        <v>0</v>
      </c>
      <c r="M81" s="14">
        <f>PRECIOSMO[[#This Row],[PRECIO]]*PRECIOSMO[[#This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ROUNDUP((+SUMIF(UNITARIOS!C:C,PRECIOSM[[#This Row],[MATERIALES]],UNITARIOS!E:E)),0)</f>
        <v>0</v>
      </c>
      <c r="F82" s="16">
        <f>PRECIOSM[[#This Row],[PRECIO]]*PRECIOSM[[#This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ROUNDUP((+SUMIF(UNITARIOS!C:C,PRECIOSMO[[#This Row],[MANO DE OBRA]],UNITARIOS!E:E)),0)</f>
        <v>0</v>
      </c>
      <c r="M82" s="14">
        <f>PRECIOSMO[[#This Row],[PRECIO]]*PRECIOSMO[[#This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ROUNDUP((+SUMIF(UNITARIOS!C:C,PRECIOSM[[#This Row],[MATERIALES]],UNITARIOS!E:E)),0)</f>
        <v>2</v>
      </c>
      <c r="F83" s="16">
        <f>PRECIOSM[[#This Row],[PRECIO]]*PRECIOSM[[#This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ROUNDUP((+SUMIF(UNITARIOS!C:C,PRECIOSMO[[#This Row],[MANO DE OBRA]],UNITARIOS!E:E)),0)</f>
        <v>17</v>
      </c>
      <c r="M83" s="140">
        <f>PRECIOSMO[[#This Row],[PRECIO]]*PRECIOSMO[[#This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ROUNDUP((+SUMIF(UNITARIOS!C:C,PRECIOSM[[#This Row],[MATERIALES]],UNITARIOS!E:E)),0)</f>
        <v>37</v>
      </c>
      <c r="F84" s="16">
        <f>PRECIOSM[[#This Row],[PRECIO]]*PRECIOSM[[#This Row],[CANTIDAD]]</f>
        <v>185</v>
      </c>
      <c r="I84" s="233" t="s">
        <v>602</v>
      </c>
      <c r="J84" s="229" t="s">
        <v>24</v>
      </c>
      <c r="K84" s="230">
        <v>80</v>
      </c>
      <c r="L84" s="231">
        <f>ROUNDUP((+SUMIF(UNITARIOS!C:C,PRECIOSMO[[#This Row],[MANO DE OBRA]],UNITARIOS!E:E)),0)</f>
        <v>25</v>
      </c>
      <c r="M84" s="230">
        <f>PRECIOSMO[[#This Row],[PRECIO]]*PRECIOSMO[[#This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ROUNDUP((+SUMIF(UNITARIOS!C:C,PRECIOSM[[#This Row],[MATERIALES]],UNITARIOS!E:E)),0)</f>
        <v>0</v>
      </c>
      <c r="F85" s="16">
        <f>PRECIOSM[[#This Row],[PRECIO]]*PRECIOSM[[#This Row],[CANTIDAD]]</f>
        <v>0</v>
      </c>
      <c r="I85" s="6" t="s">
        <v>588</v>
      </c>
      <c r="J85" s="9" t="s">
        <v>71</v>
      </c>
      <c r="K85" s="14">
        <v>15</v>
      </c>
      <c r="L85" s="26">
        <f>ROUNDUP((+SUMIF(UNITARIOS!C:C,PRECIOSMO[[#This Row],[MANO DE OBRA]],UNITARIOS!E:E)),0)</f>
        <v>3</v>
      </c>
      <c r="M85" s="14">
        <f>PRECIOSMO[[#This Row],[PRECIO]]*PRECIOSMO[[#This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ROUNDUP((+SUMIF(UNITARIOS!C:C,PRECIOSM[[#This Row],[MATERIALES]],UNITARIOS!E:E)),0)</f>
        <v>25</v>
      </c>
      <c r="F86" s="16">
        <f>PRECIOSM[[#This Row],[PRECIO]]*PRECIOSM[[#This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ROUNDUP((+SUMIF(UNITARIOS!C:C,PRECIOSMO[[#This Row],[MANO DE OBRA]],UNITARIOS!E:E)),0)</f>
        <v>0</v>
      </c>
      <c r="M86" s="16">
        <f>PRECIOSMO[[#This Row],[PRECIO]]*PRECIOSMO[[#This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ROUNDUP((+SUMIF(UNITARIOS!C:C,PRECIOSM[[#This Row],[MATERIALES]],UNITARIOS!E:E)),0)</f>
        <v>0</v>
      </c>
      <c r="F87" s="16">
        <f>PRECIOSM[[#This Row],[PRECIO]]*PRECIOSM[[#This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ROUNDUP((+SUMIF(UNITARIOS!C:C,PRECIOSMO[[#This Row],[MANO DE OBRA]],UNITARIOS!E:E)),0)</f>
        <v>0</v>
      </c>
      <c r="M87" s="14">
        <f>PRECIOSMO[[#This Row],[PRECIO]]*PRECIOSMO[[#This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ROUNDUP((+SUMIF(UNITARIOS!C:C,PRECIOSM[[#This Row],[MATERIALES]],UNITARIOS!E:E)),0)</f>
        <v>0</v>
      </c>
      <c r="F88" s="16">
        <f>PRECIOSM[[#This Row],[PRECIO]]*PRECIOSM[[#This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ROUNDUP((+SUMIF(UNITARIOS!C:C,PRECIOSMO[[#This Row],[MANO DE OBRA]],UNITARIOS!E:E)),0)</f>
        <v>1</v>
      </c>
      <c r="M88" s="14">
        <f>PRECIOSMO[[#This Row],[PRECIO]]*PRECIOSMO[[#This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ROUNDUP((+SUMIF(UNITARIOS!C:C,PRECIOSM[[#This Row],[MATERIALES]],UNITARIOS!E:E)),0)</f>
        <v>0</v>
      </c>
      <c r="F89" s="16">
        <f>PRECIOSM[[#This Row],[PRECIO]]*PRECIOSM[[#This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ROUNDUP((+SUMIF(UNITARIOS!C:C,PRECIOSMO[[#This Row],[MANO DE OBRA]],UNITARIOS!E:E)),0)</f>
        <v>0</v>
      </c>
      <c r="M89" s="14">
        <f>PRECIOSMO[[#This Row],[PRECIO]]*PRECIOSMO[[#This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ROUNDUP((+SUMIF(UNITARIOS!C:C,PRECIOSM[[#This Row],[MATERIALES]],UNITARIOS!E:E)),0)</f>
        <v>0</v>
      </c>
      <c r="F90" s="16">
        <f>PRECIOSM[[#This Row],[PRECIO]]*PRECIOSM[[#This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ROUNDUP((+SUMIF(UNITARIOS!C:C,PRECIOSMO[[#This Row],[MANO DE OBRA]],UNITARIOS!E:E)),0)</f>
        <v>0</v>
      </c>
      <c r="M90" s="63">
        <f>PRECIOSMO[[#This Row],[PRECIO]]*PRECIOSMO[[#This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ROUNDUP((+SUMIF(UNITARIOS!C:C,PRECIOSM[[#This Row],[MATERIALES]],UNITARIOS!E:E)),0)</f>
        <v>0</v>
      </c>
      <c r="F91" s="16">
        <f>PRECIOSM[[#This Row],[PRECIO]]*PRECIOSM[[#This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ROUNDUP((+SUMIF(UNITARIOS!C:C,PRECIOSMO[[#This Row],[MANO DE OBRA]],UNITARIOS!E:E)),0)</f>
        <v>2</v>
      </c>
      <c r="M91" s="14">
        <f>PRECIOSMO[[#This Row],[PRECIO]]*PRECIOSMO[[#This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ROUNDUP((+SUMIF(UNITARIOS!C:C,PRECIOSM[[#This Row],[MATERIALES]],UNITARIOS!E:E)),0)</f>
        <v>0</v>
      </c>
      <c r="F92" s="16">
        <f>PRECIOSM[[#This Row],[PRECIO]]*PRECIOSM[[#This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ROUNDUP((+SUMIF(UNITARIOS!C:C,PRECIOSMO[[#This Row],[MANO DE OBRA]],UNITARIOS!E:E)),0)</f>
        <v>1</v>
      </c>
      <c r="M92" s="29">
        <f>PRECIOSMO[[#This Row],[PRECIO]]*PRECIOSMO[[#This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ROUNDUP((+SUMIF(UNITARIOS!C:C,PRECIOSM[[#This Row],[MATERIALES]],UNITARIOS!E:E)),0)</f>
        <v>1</v>
      </c>
      <c r="F93" s="16">
        <f>PRECIOSM[[#This Row],[PRECIO]]*PRECIOSM[[#This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ROUNDUP((+SUMIF(UNITARIOS!C:C,PRECIOSMO[[#This Row],[MANO DE OBRA]],UNITARIOS!E:E)),0)</f>
        <v>2</v>
      </c>
      <c r="M93" s="14">
        <f>PRECIOSMO[[#This Row],[PRECIO]]*PRECIOSMO[[#This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ROUNDUP((+SUMIF(UNITARIOS!C:C,PRECIOSM[[#This Row],[MATERIALES]],UNITARIOS!E:E)),0)</f>
        <v>0</v>
      </c>
      <c r="F94" s="16">
        <f>PRECIOSM[[#This Row],[PRECIO]]*PRECIOSM[[#This Row],[CANTIDAD]]</f>
        <v>0</v>
      </c>
      <c r="I94" s="6" t="s">
        <v>591</v>
      </c>
      <c r="J94" s="9" t="s">
        <v>24</v>
      </c>
      <c r="K94" s="14">
        <v>50</v>
      </c>
      <c r="L94" s="26">
        <f>ROUNDUP((+SUMIF(UNITARIOS!C:C,PRECIOSMO[[#This Row],[MANO DE OBRA]],UNITARIOS!E:E)),0)</f>
        <v>2</v>
      </c>
      <c r="M94" s="14">
        <f>PRECIOSMO[[#This Row],[PRECIO]]*PRECIOSMO[[#This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ROUNDUP((+SUMIF(UNITARIOS!C:C,PRECIOSM[[#This Row],[MATERIALES]],UNITARIOS!E:E)),0)</f>
        <v>0</v>
      </c>
      <c r="F95" s="16">
        <f>PRECIOSM[[#This Row],[PRECIO]]*PRECIOSM[[#This Row],[CANTIDAD]]</f>
        <v>0</v>
      </c>
      <c r="I95" s="6" t="s">
        <v>577</v>
      </c>
      <c r="J95" s="9" t="s">
        <v>71</v>
      </c>
      <c r="K95" s="14">
        <v>75</v>
      </c>
      <c r="L95" s="26">
        <f>ROUNDUP((+SUMIF(UNITARIOS!C:C,PRECIOSMO[[#This Row],[MANO DE OBRA]],UNITARIOS!E:E)),0)</f>
        <v>10</v>
      </c>
      <c r="M95" s="14">
        <f>PRECIOSMO[[#This Row],[PRECIO]]*PRECIOSMO[[#This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ROUNDUP((+SUMIF(UNITARIOS!C:C,PRECIOSM[[#This Row],[MATERIALES]],UNITARIOS!E:E)),0)</f>
        <v>0</v>
      </c>
      <c r="F96" s="16">
        <f>PRECIOSM[[#This Row],[PRECIO]]*PRECIOSM[[#This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ROUNDUP((+SUMIF(UNITARIOS!C:C,PRECIOSMO[[#This Row],[MANO DE OBRA]],UNITARIOS!E:E)),0)</f>
        <v>1</v>
      </c>
      <c r="M96" s="29">
        <f>PRECIOSMO[[#This Row],[PRECIO]]*PRECIOSMO[[#This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ROUNDUP((+SUMIF(UNITARIOS!C:C,PRECIOSM[[#This Row],[MATERIALES]],UNITARIOS!E:E)),0)</f>
        <v>2</v>
      </c>
      <c r="F97" s="16">
        <f>PRECIOSM[[#This Row],[PRECIO]]*PRECIOSM[[#This Row],[CANTIDAD]]</f>
        <v>450</v>
      </c>
      <c r="I97" s="6" t="s">
        <v>593</v>
      </c>
      <c r="J97" s="9" t="s">
        <v>25</v>
      </c>
      <c r="K97" s="14">
        <v>50</v>
      </c>
      <c r="L97" s="26">
        <f>ROUNDUP((+SUMIF(UNITARIOS!C:C,PRECIOSMO[[#This Row],[MANO DE OBRA]],UNITARIOS!E:E)),0)</f>
        <v>1</v>
      </c>
      <c r="M97" s="14">
        <f>PRECIOSMO[[#This Row],[PRECIO]]*PRECIOSMO[[#This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ROUNDUP((+SUMIF(UNITARIOS!C:C,PRECIOSM[[#This Row],[MATERIALES]],UNITARIOS!E:E)),0)</f>
        <v>1</v>
      </c>
      <c r="F98" s="16">
        <f>PRECIOSM[[#This Row],[PRECIO]]*PRECIOSM[[#This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ROUNDUP((+SUMIF(UNITARIOS!C:C,PRECIOSMO[[#This Row],[MANO DE OBRA]],UNITARIOS!E:E)),0)</f>
        <v>0</v>
      </c>
      <c r="M98" s="14">
        <f>PRECIOSMO[[#This Row],[PRECIO]]*PRECIOSMO[[#This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ROUNDUP((+SUMIF(UNITARIOS!C:C,PRECIOSM[[#This Row],[MATERIALES]],UNITARIOS!E:E)),0)</f>
        <v>1</v>
      </c>
      <c r="F99" s="16">
        <f>PRECIOSM[[#This Row],[PRECIO]]*PRECIOSM[[#This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ROUNDUP((+SUMIF(UNITARIOS!C:C,PRECIOSMO[[#This Row],[MANO DE OBRA]],UNITARIOS!E:E)),0)</f>
        <v>4</v>
      </c>
      <c r="M99" s="29">
        <f>PRECIOSMO[[#This Row],[PRECIO]]*PRECIOSMO[[#This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ROUNDUP((+SUMIF(UNITARIOS!C:C,PRECIOSM[[#This Row],[MATERIALES]],UNITARIOS!E:E)),0)</f>
        <v>1</v>
      </c>
      <c r="F100" s="16">
        <f>PRECIOSM[[#This Row],[PRECIO]]*PRECIOSM[[#This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ROUNDUP((+SUMIF(UNITARIOS!C:C,PRECIOSMO[[#This Row],[MANO DE OBRA]],UNITARIOS!E:E)),0)</f>
        <v>3</v>
      </c>
      <c r="M100" s="14">
        <f>PRECIOSMO[[#This Row],[PRECIO]]*PRECIOSMO[[#This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ROUNDUP((+SUMIF(UNITARIOS!C:C,PRECIOSM[[#This Row],[MATERIALES]],UNITARIOS!E:E)),0)</f>
        <v>3</v>
      </c>
      <c r="F101" s="16">
        <f>PRECIOSM[[#This Row],[PRECIO]]*PRECIOSM[[#This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ROUNDUP((+SUMIF(UNITARIOS!C:C,PRECIOSMO[[#This Row],[MANO DE OBRA]],UNITARIOS!E:E)),0)</f>
        <v>6</v>
      </c>
      <c r="M101" s="29">
        <f>PRECIOSMO[[#This Row],[PRECIO]]*PRECIOSMO[[#This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ROUNDUP((+SUMIF(UNITARIOS!C:C,PRECIOSM[[#This Row],[MATERIALES]],UNITARIOS!E:E)),0)</f>
        <v>0</v>
      </c>
      <c r="F102" s="16">
        <f>PRECIOSM[[#This Row],[PRECIO]]*PRECIOSM[[#This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ROUNDUP((+SUMIF(UNITARIOS!C:C,PRECIOSMO[[#This Row],[MANO DE OBRA]],UNITARIOS!E:E)),0)</f>
        <v>24</v>
      </c>
      <c r="M102" s="14">
        <f>PRECIOSMO[[#This Row],[PRECIO]]*PRECIOSMO[[#This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ROUNDUP((+SUMIF(UNITARIOS!C:C,PRECIOSM[[#This Row],[MATERIALES]],UNITARIOS!E:E)),0)</f>
        <v>1</v>
      </c>
      <c r="F103" s="16">
        <f>PRECIOSM[[#This Row],[PRECIO]]*PRECIOSM[[#This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ROUNDUP((+SUMIF(UNITARIOS!C:C,PRECIOSMO[[#This Row],[MANO DE OBRA]],UNITARIOS!E:E)),0)</f>
        <v>0</v>
      </c>
      <c r="M103" s="14">
        <f>PRECIOSMO[[#This Row],[PRECIO]]*PRECIOSMO[[#This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ROUNDUP((+SUMIF(UNITARIOS!C:C,PRECIOSM[[#This Row],[MATERIALES]],UNITARIOS!E:E)),0)</f>
        <v>0</v>
      </c>
      <c r="F104" s="16">
        <f>PRECIOSM[[#This Row],[PRECIO]]*PRECIOSM[[#This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ROUNDUP((+SUMIF(UNITARIOS!C:C,PRECIOSMO[[#This Row],[MANO DE OBRA]],UNITARIOS!E:E)),0)</f>
        <v>5</v>
      </c>
      <c r="M104" s="29">
        <f>PRECIOSMO[[#This Row],[PRECIO]]*PRECIOSMO[[#This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ROUNDUP((+SUMIF(UNITARIOS!C:C,PRECIOSM[[#This Row],[MATERIALES]],UNITARIOS!E:E)),0)</f>
        <v>0</v>
      </c>
      <c r="F105" s="16">
        <f>PRECIOSM[[#This Row],[PRECIO]]*PRECIOSM[[#This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ROUNDUP((+SUMIF(UNITARIOS!C:C,PRECIOSMO[[#This Row],[MANO DE OBRA]],UNITARIOS!E:E)),0)</f>
        <v>1</v>
      </c>
      <c r="M105" s="14">
        <f>PRECIOSMO[[#This Row],[PRECIO]]*PRECIOSMO[[#This Row],[CANTIDAD]]</f>
        <v>500</v>
      </c>
      <c r="P105" s="6"/>
      <c r="Q105" s="7"/>
    </row>
    <row r="106" spans="2:20" x14ac:dyDescent="0.25">
      <c r="B106" s="8" t="s">
        <v>590</v>
      </c>
      <c r="C106" s="9" t="s">
        <v>24</v>
      </c>
      <c r="D106" s="14">
        <v>295</v>
      </c>
      <c r="E106" s="26">
        <f>ROUNDUP((+SUMIF(UNITARIOS!C:C,PRECIOSM[[#This Row],[MATERIALES]],UNITARIOS!E:E)),0)</f>
        <v>2</v>
      </c>
      <c r="F106" s="16">
        <f>PRECIOSM[[#This Row],[PRECIO]]*PRECIOSM[[#This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ROUNDUP((+SUMIF(UNITARIOS!C:C,PRECIOSMO[[#This Row],[MANO DE OBRA]],UNITARIOS!E:E)),0)</f>
        <v>0</v>
      </c>
      <c r="M106" s="63">
        <f>PRECIOSMO[[#This Row],[PRECIO]]*PRECIOSMO[[#This Row],[CANTIDAD]]</f>
        <v>0</v>
      </c>
      <c r="P106" s="6"/>
      <c r="Q106" s="7"/>
    </row>
    <row r="107" spans="2:20" x14ac:dyDescent="0.25">
      <c r="B107" s="8" t="s">
        <v>568</v>
      </c>
      <c r="C107" s="9" t="s">
        <v>25</v>
      </c>
      <c r="D107" s="14">
        <v>10</v>
      </c>
      <c r="E107" s="26">
        <f>ROUNDUP((+SUMIF(UNITARIOS!C:C,PRECIOSM[[#This Row],[MATERIALES]],UNITARIOS!E:E)),0)</f>
        <v>24</v>
      </c>
      <c r="F107" s="16">
        <f>PRECIOSM[[#This Row],[PRECIO]]*PRECIOSM[[#This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ROUNDUP((+SUMIF(UNITARIOS!C:C,PRECIOSMO[[#This Row],[MANO DE OBRA]],UNITARIOS!E:E)),0)</f>
        <v>0</v>
      </c>
      <c r="M107" s="63">
        <f>PRECIOSMO[[#This Row],[PRECIO]]*PRECIOSMO[[#This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ROUNDUP((+SUMIF(UNITARIOS!C:C,PRECIOSM[[#This Row],[MATERIALES]],UNITARIOS!E:E)),0)</f>
        <v>1</v>
      </c>
      <c r="F108" s="16">
        <f>PRECIOSM[[#This Row],[PRECIO]]*PRECIOSM[[#This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ROUNDUP((+SUMIF(UNITARIOS!C:C,PRECIOSMO[[#This Row],[MANO DE OBRA]],UNITARIOS!E:E)),0)</f>
        <v>0</v>
      </c>
      <c r="M108" s="14">
        <f>PRECIOSMO[[#This Row],[PRECIO]]*PRECIOSMO[[#This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ROUNDUP((+SUMIF(UNITARIOS!C:C,PRECIOSM[[#This Row],[MATERIALES]],UNITARIOS!E:E)),0)</f>
        <v>4</v>
      </c>
      <c r="F109" s="16">
        <f>PRECIOSM[[#This Row],[PRECIO]]*PRECIOSM[[#This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ROUNDUP((+SUMIF(UNITARIOS!C:C,PRECIOSMO[[#This Row],[MANO DE OBRA]],UNITARIOS!E:E)),0)</f>
        <v>0</v>
      </c>
      <c r="M109" s="14">
        <f>PRECIOSMO[[#This Row],[PRECIO]]*PRECIOSMO[[#This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ROUNDUP((+SUMIF(UNITARIOS!C:C,PRECIOSM[[#This Row],[MATERIALES]],UNITARIOS!E:E)),0)</f>
        <v>0</v>
      </c>
      <c r="F110" s="16">
        <f>PRECIOSM[[#This Row],[PRECIO]]*PRECIOSM[[#This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ROUNDUP((+SUMIF(UNITARIOS!C:C,PRECIOSMO[[#This Row],[MANO DE OBRA]],UNITARIOS!E:E)),0)</f>
        <v>3</v>
      </c>
      <c r="M110" s="14">
        <f>PRECIOSMO[[#This Row],[PRECIO]]*PRECIOSMO[[#This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ROUNDUP((+SUMIF(UNITARIOS!C:C,PRECIOSM[[#This Row],[MATERIALES]],UNITARIOS!E:E)),0)</f>
        <v>24</v>
      </c>
      <c r="F111" s="16">
        <f>PRECIOSM[[#This Row],[PRECIO]]*PRECIOSM[[#This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ROUNDUP((+SUMIF(UNITARIOS!C:C,PRECIOSMO[[#This Row],[MANO DE OBRA]],UNITARIOS!E:E)),0)</f>
        <v>1</v>
      </c>
      <c r="M111" s="16">
        <f>PRECIOSMO[[#This Row],[PRECIO]]*PRECIOSMO[[#This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ROUNDUP((+SUMIF(UNITARIOS!C:C,PRECIOSM[[#This Row],[MATERIALES]],UNITARIOS!E:E)),0)</f>
        <v>0</v>
      </c>
      <c r="F112" s="16">
        <f>PRECIOSM[[#This Row],[PRECIO]]*PRECIOSM[[#This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ROUNDUP((+SUMIF(UNITARIOS!C:C,PRECIOSMO[[#This Row],[MANO DE OBRA]],UNITARIOS!E:E)),0)</f>
        <v>7</v>
      </c>
      <c r="M112" s="14">
        <f>PRECIOSMO[[#This Row],[PRECIO]]*PRECIOSMO[[#This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ROUNDUP((+SUMIF(UNITARIOS!C:C,PRECIOSM[[#This Row],[MATERIALES]],UNITARIOS!E:E)),0)</f>
        <v>0</v>
      </c>
      <c r="F113" s="16">
        <f>PRECIOSM[[#This Row],[PRECIO]]*PRECIOSM[[#This Row],[CANTIDAD]]</f>
        <v>0</v>
      </c>
      <c r="I113" s="6" t="s">
        <v>601</v>
      </c>
      <c r="J113" s="9" t="s">
        <v>25</v>
      </c>
      <c r="K113" s="14">
        <v>105</v>
      </c>
      <c r="L113" s="26">
        <f>ROUNDUP((+SUMIF(UNITARIOS!C:C,PRECIOSMO[[#This Row],[MANO DE OBRA]],UNITARIOS!E:E)),0)</f>
        <v>3</v>
      </c>
      <c r="M113" s="14">
        <f>PRECIOSMO[[#This Row],[PRECIO]]*PRECIOSMO[[#This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ROUNDUP((+SUMIF(UNITARIOS!C:C,PRECIOSM[[#This Row],[MATERIALES]],UNITARIOS!E:E)),0)</f>
        <v>0</v>
      </c>
      <c r="F114" s="16">
        <f>PRECIOSM[[#This Row],[PRECIO]]*PRECIOSM[[#This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ROUNDUP((+SUMIF(UNITARIOS!C:C,PRECIOSMO[[#This Row],[MANO DE OBRA]],UNITARIOS!E:E)),0)</f>
        <v>0</v>
      </c>
      <c r="M114" s="14">
        <f>PRECIOSMO[[#This Row],[PRECIO]]*PRECIOSMO[[#This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ROUNDUP((+SUMIF(UNITARIOS!C:C,PRECIOSM[[#This Row],[MATERIALES]],UNITARIOS!E:E)),0)</f>
        <v>0</v>
      </c>
      <c r="F115" s="16">
        <f>PRECIOSM[[#This Row],[PRECIO]]*PRECIOSM[[#This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ROUNDUP((+SUMIF(UNITARIOS!C:C,PRECIOSMO[[#This Row],[MANO DE OBRA]],UNITARIOS!E:E)),0)</f>
        <v>48</v>
      </c>
      <c r="M115" s="14">
        <f>PRECIOSMO[[#This Row],[PRECIO]]*PRECIOSMO[[#This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ROUNDUP((+SUMIF(UNITARIOS!C:C,PRECIOSM[[#This Row],[MATERIALES]],UNITARIOS!E:E)),0)</f>
        <v>0</v>
      </c>
      <c r="F116" s="16">
        <f>PRECIOSM[[#This Row],[PRECIO]]*PRECIOSM[[#This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ROUNDUP((+SUMIF(UNITARIOS!C:C,PRECIOSMO[[#This Row],[MANO DE OBRA]],UNITARIOS!E:E)),0)</f>
        <v>0</v>
      </c>
      <c r="M116" s="14">
        <f>PRECIOSMO[[#This Row],[PRECIO]]*PRECIOSMO[[#This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ROUNDUP((+SUMIF(UNITARIOS!C:C,PRECIOSM[[#This Row],[MATERIALES]],UNITARIOS!E:E)),0)</f>
        <v>0</v>
      </c>
      <c r="F117" s="16">
        <f>PRECIOSM[[#This Row],[PRECIO]]*PRECIOSM[[#This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ROUNDUP((+SUMIF(UNITARIOS!C:C,PRECIOSMO[[#This Row],[MANO DE OBRA]],UNITARIOS!E:E)),0)</f>
        <v>2</v>
      </c>
      <c r="M117" s="29">
        <f>PRECIOSMO[[#This Row],[PRECIO]]*PRECIOSMO[[#This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ROUNDUP((+SUMIF(UNITARIOS!C:C,PRECIOSM[[#This Row],[MATERIALES]],UNITARIOS!E:E)),0)</f>
        <v>0</v>
      </c>
      <c r="F118" s="16">
        <f>PRECIOSM[[#This Row],[PRECIO]]*PRECIOSM[[#This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ROUNDUP((+SUMIF(UNITARIOS!C:C,PRECIOSMO[[#This Row],[MANO DE OBRA]],UNITARIOS!E:E)),0)</f>
        <v>11</v>
      </c>
      <c r="M118" s="29">
        <f>PRECIOSMO[[#This Row],[PRECIO]]*PRECIOSMO[[#This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ROUNDUP((+SUMIF(UNITARIOS!C:C,PRECIOSM[[#This Row],[MATERIALES]],UNITARIOS!E:E)),0)</f>
        <v>0</v>
      </c>
      <c r="F119" s="16">
        <f>PRECIOSM[[#This Row],[PRECIO]]*PRECIOSM[[#This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ROUNDUP((+SUMIF(UNITARIOS!C:C,PRECIOSMO[[#This Row],[MANO DE OBRA]],UNITARIOS!E:E)),0)</f>
        <v>0</v>
      </c>
      <c r="M119" s="14">
        <f>PRECIOSMO[[#This Row],[PRECIO]]*PRECIOSMO[[#This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ROUNDUP((+SUMIF(UNITARIOS!C:C,PRECIOSM[[#This Row],[MATERIALES]],UNITARIOS!E:E)),0)</f>
        <v>0</v>
      </c>
      <c r="F120" s="50">
        <f>PRECIOSM[[#This Row],[PRECIO]]*PRECIOSM[[#This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ROUNDUP((+SUMIF(UNITARIOS!C:C,PRECIOSMO[[#This Row],[MANO DE OBRA]],UNITARIOS!E:E)),0)</f>
        <v>0</v>
      </c>
      <c r="M120" s="14">
        <f>PRECIOSMO[[#This Row],[PRECIO]]*PRECIOSMO[[#This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ROUNDUP((+SUMIF(UNITARIOS!C:C,PRECIOSM[[#This Row],[MATERIALES]],UNITARIOS!E:E)),0)</f>
        <v>0</v>
      </c>
      <c r="F121" s="16">
        <f>PRECIOSM[[#This Row],[PRECIO]]*PRECIOSM[[#This Row],[CANTIDAD]]</f>
        <v>0</v>
      </c>
      <c r="I121" s="6" t="s">
        <v>465</v>
      </c>
      <c r="J121" s="139" t="s">
        <v>24</v>
      </c>
      <c r="K121" s="140">
        <v>95</v>
      </c>
      <c r="L121" s="141">
        <f>ROUNDUP((+SUMIF(UNITARIOS!C:C,PRECIOSMO[[#This Row],[MANO DE OBRA]],UNITARIOS!E:E)),0)</f>
        <v>69</v>
      </c>
      <c r="M121" s="140">
        <f>PRECIOSMO[[#This Row],[PRECIO]]*PRECIOSMO[[#This Row],[CANTIDAD]]</f>
        <v>6555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ROUNDUP((+SUMIF(UNITARIOS!C:C,PRECIOSM[[#This Row],[MATERIALES]],UNITARIOS!E:E)),0)</f>
        <v>1</v>
      </c>
      <c r="F122" s="16">
        <f>PRECIOSM[[#This Row],[PRECIO]]*PRECIOSM[[#This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ROUNDUP((+SUMIF(UNITARIOS!C:C,PRECIOSMO[[#This Row],[MANO DE OBRA]],UNITARIOS!E:E)),0)</f>
        <v>0</v>
      </c>
      <c r="M122" s="14">
        <f>PRECIOSMO[[#This Row],[PRECIO]]*PRECIOSMO[[#This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ROUNDUP((+SUMIF(UNITARIOS!C:C,PRECIOSM[[#This Row],[MATERIALES]],UNITARIOS!E:E)),0)</f>
        <v>0</v>
      </c>
      <c r="F123" s="50">
        <f>PRECIOSM[[#This Row],[PRECIO]]*PRECIOSM[[#This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ROUNDUP((+SUMIF(UNITARIOS!C:C,PRECIOSMO[[#This Row],[MANO DE OBRA]],UNITARIOS!E:E)),0)</f>
        <v>48</v>
      </c>
      <c r="M123" s="14">
        <f>PRECIOSMO[[#This Row],[PRECIO]]*PRECIOSMO[[#This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ROUNDUP((+SUMIF(UNITARIOS!C:C,PRECIOSM[[#This Row],[MATERIALES]],UNITARIOS!E:E)),0)</f>
        <v>8</v>
      </c>
      <c r="F124" s="142">
        <f>PRECIOSM[[#This Row],[PRECIO]]*PRECIOSM[[#This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ROUNDUP((+SUMIF(UNITARIOS!C:C,PRECIOSMO[[#This Row],[MANO DE OBRA]],UNITARIOS!E:E)),0)</f>
        <v>0</v>
      </c>
      <c r="M124" s="29">
        <f>PRECIOSMO[[#This Row],[PRECIO]]*PRECIOSMO[[#This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ROUNDUP((+SUMIF(UNITARIOS!C:C,PRECIOSM[[#This Row],[MATERIALES]],UNITARIOS!E:E)),0)</f>
        <v>4</v>
      </c>
      <c r="F125" s="16">
        <f>PRECIOSM[[#This Row],[PRECIO]]*PRECIOSM[[#This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ROUNDUP((+SUMIF(UNITARIOS!C:C,PRECIOSMO[[#This Row],[MANO DE OBRA]],UNITARIOS!E:E)),0)</f>
        <v>0</v>
      </c>
      <c r="M125" s="14">
        <f>PRECIOSMO[[#This Row],[PRECIO]]*PRECIOSMO[[#This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ROUNDUP((+SUMIF(UNITARIOS!C:C,PRECIOSM[[#This Row],[MATERIALES]],UNITARIOS!E:E)),0)</f>
        <v>0</v>
      </c>
      <c r="F126" s="50">
        <f>PRECIOSM[[#This Row],[PRECIO]]*PRECIOSM[[#This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ROUNDUP((+SUMIF(UNITARIOS!C:C,PRECIOSMO[[#This Row],[MANO DE OBRA]],UNITARIOS!E:E)),0)</f>
        <v>0</v>
      </c>
      <c r="M126" s="14">
        <f>PRECIOSMO[[#This Row],[PRECIO]]*PRECIOSMO[[#This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ROUNDUP((+SUMIF(UNITARIOS!C:C,PRECIOSM[[#This Row],[MATERIALES]],UNITARIOS!E:E)),0)</f>
        <v>4</v>
      </c>
      <c r="F127" s="16">
        <f>PRECIOSM[[#This Row],[PRECIO]]*PRECIOSM[[#This Row],[CANTIDAD]]</f>
        <v>200</v>
      </c>
      <c r="I127" s="6" t="s">
        <v>571</v>
      </c>
      <c r="J127" s="9" t="s">
        <v>24</v>
      </c>
      <c r="K127" s="14">
        <v>20</v>
      </c>
      <c r="L127" s="26">
        <f>ROUNDUP((+SUMIF(UNITARIOS!C:C,PRECIOSMO[[#This Row],[MANO DE OBRA]],UNITARIOS!E:E)),0)</f>
        <v>7</v>
      </c>
      <c r="M127" s="14">
        <f>PRECIOSMO[[#This Row],[PRECIO]]*PRECIOSMO[[#This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ROUNDUP((+SUMIF(UNITARIOS!C:C,PRECIOSM[[#This Row],[MATERIALES]],UNITARIOS!E:E)),0)</f>
        <v>0</v>
      </c>
      <c r="F128" s="16">
        <f>PRECIOSM[[#This Row],[PRECIO]]*PRECIOSM[[#This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ROUNDUP((+SUMIF(UNITARIOS!C:C,PRECIOSMO[[#This Row],[MANO DE OBRA]],UNITARIOS!E:E)),0)</f>
        <v>50</v>
      </c>
      <c r="M128" s="14">
        <f>PRECIOSMO[[#This Row],[PRECIO]]*PRECIOSMO[[#This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ROUNDUP((+SUMIF(UNITARIOS!C:C,PRECIOSM[[#This Row],[MATERIALES]],UNITARIOS!E:E)),0)</f>
        <v>350</v>
      </c>
      <c r="F129" s="16">
        <f>PRECIOSM[[#This Row],[PRECIO]]*PRECIOSM[[#This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ROUNDUP((+SUMIF(UNITARIOS!C:C,PRECIOSMO[[#This Row],[MANO DE OBRA]],UNITARIOS!E:E)),0)</f>
        <v>0</v>
      </c>
      <c r="M129" s="14">
        <f>PRECIOSMO[[#This Row],[PRECIO]]*PRECIOSMO[[#This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ROUNDUP((+SUMIF(UNITARIOS!C:C,PRECIOSM[[#This Row],[MATERIALES]],UNITARIOS!E:E)),0)</f>
        <v>0</v>
      </c>
      <c r="F130" s="16">
        <f>PRECIOSM[[#This Row],[PRECIO]]*PRECIOSM[[#This Row],[CANTIDAD]]</f>
        <v>0</v>
      </c>
      <c r="I130" s="233" t="s">
        <v>565</v>
      </c>
      <c r="J130" s="229" t="s">
        <v>25</v>
      </c>
      <c r="K130" s="230">
        <v>1500</v>
      </c>
      <c r="L130" s="231">
        <f>ROUNDUP((+SUMIF(UNITARIOS!C:C,PRECIOSMO[[#This Row],[MANO DE OBRA]],UNITARIOS!E:E)),0)</f>
        <v>1</v>
      </c>
      <c r="M130" s="230">
        <f>PRECIOSMO[[#This Row],[PRECIO]]*PRECIOSMO[[#This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ROUNDUP((+SUMIF(UNITARIOS!C:C,PRECIOSM[[#This Row],[MATERIALES]],UNITARIOS!E:E)),0)</f>
        <v>0</v>
      </c>
      <c r="F131" s="16">
        <f>PRECIOSM[[#This Row],[PRECIO]]*PRECIOSM[[#This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ROUNDUP((+SUMIF(UNITARIOS!C:C,PRECIOSMO[[#This Row],[MANO DE OBRA]],UNITARIOS!E:E)),0)</f>
        <v>0</v>
      </c>
      <c r="M131" s="63">
        <f>PRECIOSMO[[#This Row],[PRECIO]]*PRECIOSMO[[#This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ROUNDUP((+SUMIF(UNITARIOS!C:C,PRECIOSM[[#This Row],[MATERIALES]],UNITARIOS!E:E)),0)</f>
        <v>0</v>
      </c>
      <c r="F132" s="16">
        <f>PRECIOSM[[#This Row],[PRECIO]]*PRECIOSM[[#This Row],[CANTIDAD]]</f>
        <v>0</v>
      </c>
      <c r="I132" s="6" t="s">
        <v>600</v>
      </c>
      <c r="J132" s="9" t="s">
        <v>24</v>
      </c>
      <c r="K132" s="14">
        <v>500</v>
      </c>
      <c r="L132" s="26">
        <f>ROUNDUP((+SUMIF(UNITARIOS!C:C,PRECIOSMO[[#This Row],[MANO DE OBRA]],UNITARIOS!E:E)),0)</f>
        <v>50</v>
      </c>
      <c r="M132" s="14">
        <f>PRECIOSMO[[#This Row],[PRECIO]]*PRECIOSMO[[#This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ROUNDUP((+SUMIF(UNITARIOS!C:C,PRECIOSM[[#This Row],[MATERIALES]],UNITARIOS!E:E)),0)</f>
        <v>3</v>
      </c>
      <c r="F133" s="16">
        <f>PRECIOSM[[#This Row],[PRECIO]]*PRECIOSM[[#This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ROUNDUP((+SUMIF(UNITARIOS!C:C,PRECIOSMO[[#This Row],[MANO DE OBRA]],UNITARIOS!E:E)),0)</f>
        <v>0</v>
      </c>
      <c r="M133" s="14">
        <f>PRECIOSMO[[#This Row],[PRECIO]]*PRECIOSMO[[#This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ROUNDUP((+SUMIF(UNITARIOS!C:C,PRECIOSM[[#This Row],[MATERIALES]],UNITARIOS!E:E)),0)</f>
        <v>0</v>
      </c>
      <c r="F134" s="16">
        <f>PRECIOSM[[#This Row],[PRECIO]]*PRECIOSM[[#This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ROUNDUP((+SUMIF(UNITARIOS!C:C,PRECIOSMO[[#This Row],[MANO DE OBRA]],UNITARIOS!E:E)),0)</f>
        <v>0</v>
      </c>
      <c r="M134" s="14">
        <f>PRECIOSMO[[#This Row],[PRECIO]]*PRECIOSMO[[#This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ROUNDUP((+SUMIF(UNITARIOS!C:C,PRECIOSM[[#This Row],[MATERIALES]],UNITARIOS!E:E)),0)</f>
        <v>0</v>
      </c>
      <c r="F135" s="16">
        <f>PRECIOSM[[#This Row],[PRECIO]]*PRECIOSM[[#This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ROUNDUP((+SUMIF(UNITARIOS!C:C,PRECIOSMO[[#This Row],[MANO DE OBRA]],UNITARIOS!E:E)),0)</f>
        <v>0</v>
      </c>
      <c r="M135" s="14">
        <f>PRECIOSMO[[#This Row],[PRECIO]]*PRECIOSMO[[#This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ROUNDUP((+SUMIF(UNITARIOS!C:C,PRECIOSM[[#This Row],[MATERIALES]],UNITARIOS!E:E)),0)</f>
        <v>24</v>
      </c>
      <c r="F136" s="16">
        <f>PRECIOSM[[#This Row],[PRECIO]]*PRECIOSM[[#This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ROUNDUP((+SUMIF(UNITARIOS!C:C,PRECIOSMO[[#This Row],[MANO DE OBRA]],UNITARIOS!E:E)),0)</f>
        <v>0</v>
      </c>
      <c r="M136" s="63">
        <f>PRECIOSMO[[#This Row],[PRECIO]]*PRECIOSMO[[#This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ROUNDUP((+SUMIF(UNITARIOS!C:C,PRECIOSM[[#This Row],[MATERIALES]],UNITARIOS!E:E)),0)</f>
        <v>5</v>
      </c>
      <c r="F137" s="16">
        <f>PRECIOSM[[#This Row],[PRECIO]]*PRECIOSM[[#This Row],[CANTIDAD]]</f>
        <v>3500</v>
      </c>
      <c r="I137" s="6" t="s">
        <v>491</v>
      </c>
      <c r="J137" s="9" t="s">
        <v>657</v>
      </c>
      <c r="K137" s="14">
        <v>90</v>
      </c>
      <c r="L137" s="26">
        <f>ROUNDUP((+SUMIF(UNITARIOS!C:C,PRECIOSMO[[#This Row],[MANO DE OBRA]],UNITARIOS!E:E)),0)</f>
        <v>39</v>
      </c>
      <c r="M137" s="14">
        <f>PRECIOSMO[[#This Row],[PRECIO]]*PRECIOSMO[[#This Row],[CANTIDAD]]</f>
        <v>3510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ROUNDUP((+SUMIF(UNITARIOS!C:C,PRECIOSM[[#This Row],[MATERIALES]],UNITARIOS!E:E)),0)</f>
        <v>0</v>
      </c>
      <c r="F138" s="16">
        <f>PRECIOSM[[#This Row],[PRECIO]]*PRECIOSM[[#This Row],[CANTIDAD]]</f>
        <v>0</v>
      </c>
      <c r="I138" s="6" t="s">
        <v>662</v>
      </c>
      <c r="J138" s="9" t="s">
        <v>25</v>
      </c>
      <c r="K138" s="14">
        <v>150</v>
      </c>
      <c r="L138" s="26">
        <f>ROUNDUP((+SUMIF(UNITARIOS!C:C,PRECIOSMO[[#This Row],[MANO DE OBRA]],UNITARIOS!E:E)),0)</f>
        <v>0</v>
      </c>
      <c r="M138" s="14">
        <f>PRECIOSMO[[#This Row],[PRECIO]]*PRECIOSMO[[#This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ROUNDUP((+SUMIF(UNITARIOS!C:C,PRECIOSM[[#This Row],[MATERIALES]],UNITARIOS!E:E)),0)</f>
        <v>1</v>
      </c>
      <c r="F139" s="16">
        <f>PRECIOSM[[#This Row],[PRECIO]]*PRECIOSM[[#This Row],[CANTIDAD]]</f>
        <v>2000</v>
      </c>
      <c r="I139" s="6" t="s">
        <v>664</v>
      </c>
      <c r="J139" s="9" t="s">
        <v>24</v>
      </c>
      <c r="K139" s="14">
        <v>45</v>
      </c>
      <c r="L139" s="26">
        <f>ROUNDUP((+SUMIF(UNITARIOS!C:C,PRECIOSMO[[#This Row],[MANO DE OBRA]],UNITARIOS!E:E)),0)</f>
        <v>0</v>
      </c>
      <c r="M139" s="14">
        <f>PRECIOSMO[[#This Row],[PRECIO]]*PRECIOSMO[[#This Row],[CANTIDAD]]</f>
        <v>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ROUNDUP((+SUMIF(UNITARIOS!C:C,PRECIOSM[[#This Row],[MATERIALES]],UNITARIOS!E:E)),0)</f>
        <v>0</v>
      </c>
      <c r="F140" s="16">
        <f>PRECIOSM[[#This Row],[PRECIO]]*PRECIOSM[[#This Row],[CANTIDAD]]</f>
        <v>0</v>
      </c>
      <c r="I140" s="6" t="s">
        <v>665</v>
      </c>
      <c r="J140" s="9" t="s">
        <v>71</v>
      </c>
      <c r="K140" s="14">
        <v>155</v>
      </c>
      <c r="L140" s="26">
        <f>ROUNDUP((+SUMIF(UNITARIOS!C:C,PRECIOSMO[[#This Row],[MANO DE OBRA]],UNITARIOS!E:E)),0)</f>
        <v>0</v>
      </c>
      <c r="M140" s="14">
        <f>PRECIOSMO[[#This Row],[PRECIO]]*PRECIOSMO[[#This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ROUNDUP((+SUMIF(UNITARIOS!C:C,PRECIOSM[[#This Row],[MATERIALES]],UNITARIOS!E:E)),0)</f>
        <v>0</v>
      </c>
      <c r="F141" s="16">
        <f>PRECIOSM[[#This Row],[PRECIO]]*PRECIOSM[[#This Row],[CANTIDAD]]</f>
        <v>0</v>
      </c>
      <c r="I141" s="6" t="s">
        <v>712</v>
      </c>
      <c r="J141" s="9" t="s">
        <v>24</v>
      </c>
      <c r="K141" s="14">
        <v>110</v>
      </c>
      <c r="L141" s="26">
        <f>ROUNDUP((+SUMIF(UNITARIOS!C:C,PRECIOSMO[[#This Row],[MANO DE OBRA]],UNITARIOS!E:E)),0)</f>
        <v>0</v>
      </c>
      <c r="M141" s="14">
        <f>PRECIOSMO[[#This Row],[PRECIO]]*PRECIOSMO[[#This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ROUNDUP((+SUMIF(UNITARIOS!C:C,PRECIOSM[[#This Row],[MATERIALES]],UNITARIOS!E:E)),0)</f>
        <v>0</v>
      </c>
      <c r="F142" s="16">
        <f>PRECIOSM[[#This Row],[PRECIO]]*PRECIOSM[[#This Row],[CANTIDAD]]</f>
        <v>0</v>
      </c>
      <c r="P142" s="6"/>
      <c r="Q142" s="7"/>
    </row>
    <row r="143" spans="2:17" x14ac:dyDescent="0.25">
      <c r="B143" s="8" t="s">
        <v>589</v>
      </c>
      <c r="C143" s="28" t="s">
        <v>25</v>
      </c>
      <c r="D143" s="14">
        <v>250</v>
      </c>
      <c r="E143" s="26">
        <f>ROUNDUP((+SUMIF(UNITARIOS!C:C,PRECIOSM[[#This Row],[MATERIALES]],UNITARIOS!E:E)),0)</f>
        <v>5</v>
      </c>
      <c r="F143" s="16">
        <f>PRECIOSM[[#This Row],[PRECIO]]*PRECIOSM[[#This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ROUNDUP((+SUMIF(UNITARIOS!C:C,PRECIOSM[[#This Row],[MATERIALES]],UNITARIOS!E:E)),0)</f>
        <v>2625</v>
      </c>
      <c r="F144" s="16">
        <f>PRECIOSM[[#This Row],[PRECIO]]*PRECIOSM[[#This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ROUNDUP((+SUMIF(UNITARIOS!C:C,PRECIOSM[[#This Row],[MATERIALES]],UNITARIOS!E:E)),0)</f>
        <v>0</v>
      </c>
      <c r="F145" s="16">
        <f>PRECIOSM[[#This Row],[PRECIO]]*PRECIOSM[[#This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ROUNDUP((+SUMIF(UNITARIOS!C:C,PRECIOSM[[#This Row],[MATERIALES]],UNITARIOS!E:E)),0)</f>
        <v>13</v>
      </c>
      <c r="F146" s="16">
        <f>PRECIOSM[[#This Row],[PRECIO]]*PRECIOSM[[#This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ROUNDUP((+SUMIF(UNITARIOS!C:C,PRECIOSM[[#This Row],[MATERIALES]],UNITARIOS!E:E)),0)</f>
        <v>0</v>
      </c>
      <c r="F147" s="50">
        <f>PRECIOSM[[#This Row],[PRECIO]]*PRECIOSM[[#This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ROUNDUP((+SUMIF(UNITARIOS!C:C,PRECIOSM[[#This Row],[MATERIALES]],UNITARIOS!E:E)),0)</f>
        <v>3</v>
      </c>
      <c r="F148" s="16">
        <f>PRECIOSM[[#This Row],[PRECIO]]*PRECIOSM[[#This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ROUNDUP((+SUMIF(UNITARIOS!C:C,PRECIOSM[[#This Row],[MATERIALES]],UNITARIOS!E:E)),0)</f>
        <v>0</v>
      </c>
      <c r="F149" s="50">
        <f>PRECIOSM[[#This Row],[PRECIO]]*PRECIOSM[[#This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ROUNDUP((+SUMIF(UNITARIOS!C:C,PRECIOSM[[#This Row],[MATERIALES]],UNITARIOS!E:E)),0)</f>
        <v>0</v>
      </c>
      <c r="F150" s="50">
        <f>PRECIOSM[[#This Row],[PRECIO]]*PRECIOSM[[#This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ROUNDUP((+SUMIF(UNITARIOS!C:C,PRECIOSM[[#This Row],[MATERIALES]],UNITARIOS!E:E)),0)</f>
        <v>3</v>
      </c>
      <c r="F151" s="16">
        <f>PRECIOSM[[#This Row],[PRECIO]]*PRECIOSM[[#This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ROUNDUP((+SUMIF(UNITARIOS!C:C,PRECIOSM[[#This Row],[MATERIALES]],UNITARIOS!E:E)),0)</f>
        <v>0</v>
      </c>
      <c r="F152" s="16">
        <f>PRECIOSM[[#This Row],[PRECIO]]*PRECIOSM[[#This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ROUNDUP((+SUMIF(UNITARIOS!C:C,PRECIOSM[[#This Row],[MATERIALES]],UNITARIOS!E:E)),0)</f>
        <v>0</v>
      </c>
      <c r="F153" s="16">
        <f>PRECIOSM[[#This Row],[PRECIO]]*PRECIOSM[[#This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ROUNDUP((+SUMIF(UNITARIOS!C:C,PRECIOSM[[#This Row],[MATERIALES]],UNITARIOS!E:E)),0)</f>
        <v>0</v>
      </c>
      <c r="F154" s="16">
        <f>PRECIOSM[[#This Row],[PRECIO]]*PRECIOSM[[#This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ROUNDUP((+SUMIF(UNITARIOS!C:C,PRECIOSM[[#This Row],[MATERIALES]],UNITARIOS!E:E)),0)</f>
        <v>1</v>
      </c>
      <c r="F155" s="16">
        <f>PRECIOSM[[#This Row],[PRECIO]]*PRECIOSM[[#This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ROUNDUP((+SUMIF(UNITARIOS!C:C,PRECIOSM[[#This Row],[MATERIALES]],UNITARIOS!E:E)),0)</f>
        <v>0</v>
      </c>
      <c r="F156" s="16">
        <f>PRECIOSM[[#This Row],[PRECIO]]*PRECIOSM[[#This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ROUNDUP((+SUMIF(UNITARIOS!C:C,PRECIOSM[[#This Row],[MATERIALES]],UNITARIOS!E:E)),0)</f>
        <v>8</v>
      </c>
      <c r="F157" s="16">
        <f>PRECIOSM[[#This Row],[PRECIO]]*PRECIOSM[[#This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ROUNDUP((+SUMIF(UNITARIOS!C:C,PRECIOSM[[#This Row],[MATERIALES]],UNITARIOS!E:E)),0)</f>
        <v>0</v>
      </c>
      <c r="F158" s="16">
        <f>PRECIOSM[[#This Row],[PRECIO]]*PRECIOSM[[#This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ROUNDUP((+SUMIF(UNITARIOS!C:C,PRECIOSM[[#This Row],[MATERIALES]],UNITARIOS!E:E)),0)</f>
        <v>0</v>
      </c>
      <c r="F159" s="16">
        <f>PRECIOSM[[#This Row],[PRECIO]]*PRECIOSM[[#This Row],[CANTIDAD]]</f>
        <v>0</v>
      </c>
      <c r="P159" s="6"/>
      <c r="Q159" s="7"/>
    </row>
    <row r="160" spans="2:17" x14ac:dyDescent="0.25">
      <c r="B160" s="8" t="s">
        <v>579</v>
      </c>
      <c r="C160" s="9" t="s">
        <v>25</v>
      </c>
      <c r="D160" s="14">
        <v>325</v>
      </c>
      <c r="E160" s="26">
        <f>ROUNDUP((+SUMIF(UNITARIOS!C:C,PRECIOSM[[#This Row],[MATERIALES]],UNITARIOS!E:E)),0)</f>
        <v>0</v>
      </c>
      <c r="F160" s="16">
        <f>PRECIOSM[[#This Row],[PRECIO]]*PRECIOSM[[#This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ROUNDUP((+SUMIF(UNITARIOS!C:C,PRECIOSM[[#This Row],[MATERIALES]],UNITARIOS!E:E)),0)</f>
        <v>0</v>
      </c>
      <c r="F161" s="16">
        <f>PRECIOSM[[#This Row],[PRECIO]]*PRECIOSM[[#This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ROUNDUP((+SUMIF(UNITARIOS!C:C,PRECIOSM[[#This Row],[MATERIALES]],UNITARIOS!E:E)),0)</f>
        <v>0</v>
      </c>
      <c r="F162" s="66">
        <f>PRECIOSM[[#This Row],[PRECIO]]*PRECIOSM[[#This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ROUNDUP((+SUMIF(UNITARIOS!C:C,PRECIOSM[[#This Row],[MATERIALES]],UNITARIOS!E:E)),0)</f>
        <v>0</v>
      </c>
      <c r="F163" s="16">
        <f>PRECIOSM[[#This Row],[PRECIO]]*PRECIOSM[[#This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ROUNDUP((+SUMIF(UNITARIOS!C:C,PRECIOSM[[#This Row],[MATERIALES]],UNITARIOS!E:E)),0)</f>
        <v>0</v>
      </c>
      <c r="F164" s="16">
        <f>PRECIOSM[[#This Row],[PRECIO]]*PRECIOSM[[#This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ROUNDUP((+SUMIF(UNITARIOS!C:C,PRECIOSM[[#This Row],[MATERIALES]],UNITARIOS!E:E)),0)</f>
        <v>0</v>
      </c>
      <c r="F165" s="16">
        <f>PRECIOSM[[#This Row],[PRECIO]]*PRECIOSM[[#This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ROUNDUP((+SUMIF(UNITARIOS!C:C,PRECIOSM[[#This Row],[MATERIALES]],UNITARIOS!E:E)),0)</f>
        <v>2</v>
      </c>
      <c r="F166" s="16">
        <f>PRECIOSM[[#This Row],[PRECIO]]*PRECIOSM[[#This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ROUNDUP((+SUMIF(UNITARIOS!C:C,PRECIOSM[[#This Row],[MATERIALES]],UNITARIOS!E:E)),0)</f>
        <v>24</v>
      </c>
      <c r="F167" s="16">
        <f>PRECIOSM[[#This Row],[PRECIO]]*PRECIOSM[[#This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ROUNDUP((+SUMIF(UNITARIOS!C:C,PRECIOSM[[#This Row],[MATERIALES]],UNITARIOS!E:E)),0)</f>
        <v>0</v>
      </c>
      <c r="F168" s="66">
        <f>PRECIOSM[[#This Row],[PRECIO]]*PRECIOSM[[#This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ROUNDUP((+SUMIF(UNITARIOS!C:C,PRECIOSM[[#This Row],[MATERIALES]],UNITARIOS!E:E)),0)</f>
        <v>2</v>
      </c>
      <c r="F169" s="16">
        <f>PRECIOSM[[#This Row],[PRECIO]]*PRECIOSM[[#This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ROUNDUP((+SUMIF(UNITARIOS!C:C,PRECIOSM[[#This Row],[MATERIALES]],UNITARIOS!E:E)),0)</f>
        <v>1</v>
      </c>
      <c r="F170" s="16">
        <f>PRECIOSM[[#This Row],[PRECIO]]*PRECIOSM[[#This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ROUNDUP((+SUMIF(UNITARIOS!C:C,PRECIOSM[[#This Row],[MATERIALES]],UNITARIOS!E:E)),0)</f>
        <v>6</v>
      </c>
      <c r="F171" s="16">
        <f>PRECIOSM[[#This Row],[PRECIO]]*PRECIOSM[[#This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ROUNDUP((+SUMIF(UNITARIOS!C:C,PRECIOSM[[#This Row],[MATERIALES]],UNITARIOS!E:E)),0)</f>
        <v>0</v>
      </c>
      <c r="F172" s="16">
        <f>PRECIOSM[[#This Row],[PRECIO]]*PRECIOSM[[#This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ROUNDUP((+SUMIF(UNITARIOS!C:C,PRECIOSM[[#This Row],[MATERIALES]],UNITARIOS!E:E)),0)</f>
        <v>0</v>
      </c>
      <c r="F173" s="16">
        <f>PRECIOSM[[#This Row],[PRECIO]]*PRECIOSM[[#This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ROUNDUP((+SUMIF(UNITARIOS!C:C,PRECIOSM[[#This Row],[MATERIALES]],UNITARIOS!E:E)),0)</f>
        <v>67</v>
      </c>
      <c r="F174" s="16">
        <f>PRECIOSM[[#This Row],[PRECIO]]*PRECIOSM[[#This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ROUNDUP((+SUMIF(UNITARIOS!C:C,PRECIOSM[[#This Row],[MATERIALES]],UNITARIOS!E:E)),0)</f>
        <v>0</v>
      </c>
      <c r="F175" s="16">
        <f>PRECIOSM[[#This Row],[PRECIO]]*PRECIOSM[[#This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ROUNDUP((+SUMIF(UNITARIOS!C:C,PRECIOSM[[#This Row],[MATERIALES]],UNITARIOS!E:E)),0)</f>
        <v>3</v>
      </c>
      <c r="F176" s="50">
        <f>PRECIOSM[[#This Row],[PRECIO]]*PRECIOSM[[#This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ROUNDUP((+SUMIF(UNITARIOS!C:C,PRECIOSM[[#This Row],[MATERIALES]],UNITARIOS!E:E)),0)</f>
        <v>10</v>
      </c>
      <c r="F177" s="16">
        <f>PRECIOSM[[#This Row],[PRECIO]]*PRECIOSM[[#This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ROUNDUP((+SUMIF(UNITARIOS!C:C,PRECIOSM[[#This Row],[MATERIALES]],UNITARIOS!E:E)),0)</f>
        <v>0</v>
      </c>
      <c r="F178" s="16">
        <f>PRECIOSM[[#This Row],[PRECIO]]*PRECIOSM[[#This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ROUNDUP((+SUMIF(UNITARIOS!C:C,PRECIOSM[[#This Row],[MATERIALES]],UNITARIOS!E:E)),0)</f>
        <v>0</v>
      </c>
      <c r="F179" s="16">
        <f>PRECIOSM[[#This Row],[PRECIO]]*PRECIOSM[[#This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ROUNDUP((+SUMIF(UNITARIOS!C:C,PRECIOSM[[#This Row],[MATERIALES]],UNITARIOS!E:E)),0)</f>
        <v>0</v>
      </c>
      <c r="F180" s="16">
        <f>PRECIOSM[[#This Row],[PRECIO]]*PRECIOSM[[#This Row],[CANTIDAD]]</f>
        <v>0</v>
      </c>
      <c r="P180" s="6"/>
      <c r="Q180" s="7"/>
    </row>
    <row r="181" spans="2:17" x14ac:dyDescent="0.25">
      <c r="B181" s="8" t="s">
        <v>578</v>
      </c>
      <c r="C181" s="9" t="s">
        <v>25</v>
      </c>
      <c r="D181" s="14">
        <v>1100</v>
      </c>
      <c r="E181" s="26">
        <f>ROUNDUP((+SUMIF(UNITARIOS!C:C,PRECIOSM[[#This Row],[MATERIALES]],UNITARIOS!E:E)),0)</f>
        <v>0</v>
      </c>
      <c r="F181" s="16">
        <f>PRECIOSM[[#This Row],[PRECIO]]*PRECIOSM[[#This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ROUNDUP((+SUMIF(UNITARIOS!C:C,PRECIOSM[[#This Row],[MATERIALES]],UNITARIOS!E:E)),0)</f>
        <v>0</v>
      </c>
      <c r="F182" s="16">
        <f>PRECIOSM[[#This Row],[PRECIO]]*PRECIOSM[[#This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ROUNDUP((+SUMIF(UNITARIOS!C:C,PRECIOSM[[#This Row],[MATERIALES]],UNITARIOS!E:E)),0)</f>
        <v>23</v>
      </c>
      <c r="F183" s="16">
        <f>PRECIOSM[[#This Row],[PRECIO]]*PRECIOSM[[#This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ROUNDUP((+SUMIF(UNITARIOS!C:C,PRECIOSM[[#This Row],[MATERIALES]],UNITARIOS!E:E)),0)</f>
        <v>0</v>
      </c>
      <c r="F184" s="16">
        <f>PRECIOSM[[#This Row],[PRECIO]]*PRECIOSM[[#This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ROUNDUP((+SUMIF(UNITARIOS!C:C,PRECIOSM[[#This Row],[MATERIALES]],UNITARIOS!E:E)),0)</f>
        <v>0</v>
      </c>
      <c r="F185" s="16">
        <f>PRECIOSM[[#This Row],[PRECIO]]*PRECIOSM[[#This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ROUNDUP((+SUMIF(UNITARIOS!C:C,PRECIOSM[[#This Row],[MATERIALES]],UNITARIOS!E:E)),0)</f>
        <v>0</v>
      </c>
      <c r="F186" s="16">
        <f>PRECIOSM[[#This Row],[PRECIO]]*PRECIOSM[[#This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ROUNDUP((+SUMIF(UNITARIOS!C:C,PRECIOSM[[#This Row],[MATERIALES]],UNITARIOS!E:E)),0)</f>
        <v>0</v>
      </c>
      <c r="F187" s="66">
        <f>PRECIOSM[[#This Row],[PRECIO]]*PRECIOSM[[#This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ROUNDUP((+SUMIF(UNITARIOS!C:C,PRECIOSM[[#This Row],[MATERIALES]],UNITARIOS!E:E)),0)</f>
        <v>0</v>
      </c>
      <c r="F188" s="16">
        <f>PRECIOSM[[#This Row],[PRECIO]]*PRECIOSM[[#This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ROUNDUP((+SUMIF(UNITARIOS!C:C,PRECIOSM[[#This Row],[MATERIALES]],UNITARIOS!E:E)),0)</f>
        <v>0</v>
      </c>
      <c r="F189" s="16">
        <f>PRECIOSM[[#This Row],[PRECIO]]*PRECIOSM[[#This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ROUNDUP((+SUMIF(UNITARIOS!C:C,PRECIOSM[[#This Row],[MATERIALES]],UNITARIOS!E:E)),0)</f>
        <v>0</v>
      </c>
      <c r="F190" s="16">
        <f>PRECIOSM[[#This Row],[PRECIO]]*PRECIOSM[[#This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ROUNDUP((+SUMIF(UNITARIOS!C:C,PRECIOSM[[#This Row],[MATERIALES]],UNITARIOS!E:E)),0)</f>
        <v>0</v>
      </c>
      <c r="F191" s="16">
        <f>PRECIOSM[[#This Row],[PRECIO]]*PRECIOSM[[#This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ROUNDUP((+SUMIF(UNITARIOS!C:C,PRECIOSM[[#This Row],[MATERIALES]],UNITARIOS!E:E)),0)</f>
        <v>0</v>
      </c>
      <c r="F192" s="16">
        <f>PRECIOSM[[#This Row],[PRECIO]]*PRECIOSM[[#This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ROUNDUP((+SUMIF(UNITARIOS!C:C,PRECIOSM[[#This Row],[MATERIALES]],UNITARIOS!E:E)),0)</f>
        <v>0</v>
      </c>
      <c r="F193" s="16">
        <f>PRECIOSM[[#This Row],[PRECIO]]*PRECIOSM[[#This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ROUNDUP((+SUMIF(UNITARIOS!C:C,PRECIOSM[[#This Row],[MATERIALES]],UNITARIOS!E:E)),0)</f>
        <v>0</v>
      </c>
      <c r="F194" s="16">
        <f>PRECIOSM[[#This Row],[PRECIO]]*PRECIOSM[[#This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ROUNDUP((+SUMIF(UNITARIOS!C:C,PRECIOSM[[#This Row],[MATERIALES]],UNITARIOS!E:E)),0)</f>
        <v>0</v>
      </c>
      <c r="F195" s="16">
        <f>PRECIOSM[[#This Row],[PRECIO]]*PRECIOSM[[#This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ROUNDUP((+SUMIF(UNITARIOS!C:C,PRECIOSM[[#This Row],[MATERIALES]],UNITARIOS!E:E)),0)</f>
        <v>0</v>
      </c>
      <c r="F196" s="16">
        <f>PRECIOSM[[#This Row],[PRECIO]]*PRECIOSM[[#This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ROUNDUP((+SUMIF(UNITARIOS!C:C,PRECIOSM[[#This Row],[MATERIALES]],UNITARIOS!E:E)),0)</f>
        <v>23</v>
      </c>
      <c r="F197" s="16">
        <f>PRECIOSM[[#This Row],[PRECIO]]*PRECIOSM[[#This Row],[CANTIDAD]]</f>
        <v>2300</v>
      </c>
      <c r="P197" s="6"/>
      <c r="Q197" s="7"/>
    </row>
    <row r="198" spans="2:17" x14ac:dyDescent="0.25">
      <c r="B198" s="8" t="s">
        <v>581</v>
      </c>
      <c r="C198" s="9" t="s">
        <v>25</v>
      </c>
      <c r="D198" s="14">
        <v>10</v>
      </c>
      <c r="E198" s="26">
        <f>ROUNDUP((+SUMIF(UNITARIOS!C:C,PRECIOSM[[#This Row],[MATERIALES]],UNITARIOS!E:E)),0)</f>
        <v>1</v>
      </c>
      <c r="F198" s="16">
        <f>PRECIOSM[[#This Row],[PRECIO]]*PRECIOSM[[#This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ROUNDUP((+SUMIF(UNITARIOS!C:C,PRECIOSM[[#This Row],[MATERIALES]],UNITARIOS!E:E)),0)</f>
        <v>0</v>
      </c>
      <c r="F199" s="16">
        <f>PRECIOSM[[#This Row],[PRECIO]]*PRECIOSM[[#This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ROUNDUP((+SUMIF(UNITARIOS!C:C,PRECIOSM[[#This Row],[MATERIALES]],UNITARIOS!E:E)),0)</f>
        <v>6</v>
      </c>
      <c r="F200" s="16">
        <f>PRECIOSM[[#This Row],[PRECIO]]*PRECIOSM[[#This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ROUNDUP((+SUMIF(UNITARIOS!C:C,PRECIOSM[[#This Row],[MATERIALES]],UNITARIOS!E:E)),0)</f>
        <v>0</v>
      </c>
      <c r="F201" s="16">
        <f>PRECIOSM[[#This Row],[PRECIO]]*PRECIOSM[[#This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ROUNDUP((+SUMIF(UNITARIOS!C:C,PRECIOSM[[#This Row],[MATERIALES]],UNITARIOS!E:E)),0)</f>
        <v>0</v>
      </c>
      <c r="F202" s="16">
        <f>PRECIOSM[[#This Row],[PRECIO]]*PRECIOSM[[#This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ROUNDUP((+SUMIF(UNITARIOS!C:C,PRECIOSM[[#This Row],[MATERIALES]],UNITARIOS!E:E)),0)</f>
        <v>0</v>
      </c>
      <c r="F203" s="16">
        <f>PRECIOSM[[#This Row],[PRECIO]]*PRECIOSM[[#This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ROUNDUP((+SUMIF(UNITARIOS!C:C,PRECIOSM[[#This Row],[MATERIALES]],UNITARIOS!E:E)),0)</f>
        <v>0</v>
      </c>
      <c r="F204" s="16">
        <f>PRECIOSM[[#This Row],[PRECIO]]*PRECIOSM[[#This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ROUNDUP((+SUMIF(UNITARIOS!C:C,PRECIOSM[[#This Row],[MATERIALES]],UNITARIOS!E:E)),0)</f>
        <v>0</v>
      </c>
      <c r="F205" s="16">
        <f>PRECIOSM[[#This Row],[PRECIO]]*PRECIOSM[[#This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ROUNDUP((+SUMIF(UNITARIOS!C:C,PRECIOSM[[#This Row],[MATERIALES]],UNITARIOS!E:E)),0)</f>
        <v>0</v>
      </c>
      <c r="F206" s="16">
        <f>PRECIOSM[[#This Row],[PRECIO]]*PRECIOSM[[#This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ROUNDUP((+SUMIF(UNITARIOS!C:C,PRECIOSM[[#This Row],[MATERIALES]],UNITARIOS!E:E)),0)</f>
        <v>0</v>
      </c>
      <c r="F207" s="16">
        <f>PRECIOSM[[#This Row],[PRECIO]]*PRECIOSM[[#This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ROUNDUP((+SUMIF(UNITARIOS!C:C,PRECIOSM[[#This Row],[MATERIALES]],UNITARIOS!E:E)),0)</f>
        <v>0</v>
      </c>
      <c r="F208" s="16">
        <f>PRECIOSM[[#This Row],[PRECIO]]*PRECIOSM[[#This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ROUNDUP((+SUMIF(UNITARIOS!C:C,PRECIOSM[[#This Row],[MATERIALES]],UNITARIOS!E:E)),0)</f>
        <v>0</v>
      </c>
      <c r="F209" s="66">
        <f>PRECIOSM[[#This Row],[PRECIO]]*PRECIOSM[[#This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ROUNDUP((+SUMIF(UNITARIOS!C:C,PRECIOSM[[#This Row],[MATERIALES]],UNITARIOS!E:E)),0)</f>
        <v>2</v>
      </c>
      <c r="F210" s="16">
        <f>PRECIOSM[[#This Row],[PRECIO]]*PRECIOSM[[#This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ROUNDUP((+SUMIF(UNITARIOS!C:C,PRECIOSM[[#This Row],[MATERIALES]],UNITARIOS!E:E)),0)</f>
        <v>0</v>
      </c>
      <c r="F211" s="16">
        <f>PRECIOSM[[#This Row],[PRECIO]]*PRECIOSM[[#This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ROUNDUP((+SUMIF(UNITARIOS!C:C,PRECIOSM[[#This Row],[MATERIALES]],UNITARIOS!E:E)),0)</f>
        <v>1</v>
      </c>
      <c r="F212" s="16">
        <f>PRECIOSM[[#This Row],[PRECIO]]*PRECIOSM[[#This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ROUNDUP((+SUMIF(UNITARIOS!C:C,PRECIOSM[[#This Row],[MATERIALES]],UNITARIOS!E:E)),0)</f>
        <v>0</v>
      </c>
      <c r="F213" s="16">
        <f>PRECIOSM[[#This Row],[PRECIO]]*PRECIOSM[[#This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ROUNDUP((+SUMIF(UNITARIOS!C:C,PRECIOSM[[#This Row],[MATERIALES]],UNITARIOS!E:E)),0)</f>
        <v>0</v>
      </c>
      <c r="F214" s="16">
        <f>PRECIOSM[[#This Row],[PRECIO]]*PRECIOSM[[#This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ROUNDUP((+SUMIF(UNITARIOS!C:C,PRECIOSM[[#This Row],[MATERIALES]],UNITARIOS!E:E)),0)</f>
        <v>0</v>
      </c>
      <c r="F215" s="16">
        <f>PRECIOSM[[#This Row],[PRECIO]]*PRECIOSM[[#This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ROUNDUP((+SUMIF(UNITARIOS!C:C,PRECIOSM[[#This Row],[MATERIALES]],UNITARIOS!E:E)),0)</f>
        <v>0</v>
      </c>
      <c r="F216" s="16">
        <f>PRECIOSM[[#This Row],[PRECIO]]*PRECIOSM[[#This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ROUNDUP((+SUMIF(UNITARIOS!C:C,PRECIOSM[[#This Row],[MATERIALES]],UNITARIOS!E:E)),0)</f>
        <v>0</v>
      </c>
      <c r="F217" s="16">
        <f>PRECIOSM[[#This Row],[PRECIO]]*PRECIOSM[[#This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ROUNDUP((+SUMIF(UNITARIOS!C:C,PRECIOSM[[#This Row],[MATERIALES]],UNITARIOS!E:E)),0)</f>
        <v>0</v>
      </c>
      <c r="F218" s="16">
        <f>PRECIOSM[[#This Row],[PRECIO]]*PRECIOSM[[#This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ROUNDUP((+SUMIF(UNITARIOS!C:C,PRECIOSM[[#This Row],[MATERIALES]],UNITARIOS!E:E)),0)</f>
        <v>37</v>
      </c>
      <c r="F219" s="50">
        <f>PRECIOSM[[#This Row],[PRECIO]]*PRECIOSM[[#This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ROUNDUP((+SUMIF(UNITARIOS!C:C,PRECIOSM[[#This Row],[MATERIALES]],UNITARIOS!E:E)),0)</f>
        <v>0</v>
      </c>
      <c r="F220" s="16">
        <f>PRECIOSM[[#This Row],[PRECIO]]*PRECIOSM[[#This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ROUNDUP((+SUMIF(UNITARIOS!C:C,PRECIOSM[[#This Row],[MATERIALES]],UNITARIOS!E:E)),0)</f>
        <v>0</v>
      </c>
      <c r="F221" s="16">
        <f>PRECIOSM[[#This Row],[PRECIO]]*PRECIOSM[[#This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ROUNDUP((+SUMIF(UNITARIOS!C:C,PRECIOSM[[#This Row],[MATERIALES]],UNITARIOS!E:E)),0)</f>
        <v>0</v>
      </c>
      <c r="F222" s="16">
        <f>PRECIOSM[[#This Row],[PRECIO]]*PRECIOSM[[#This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ROUNDUP((+SUMIF(UNITARIOS!C:C,PRECIOSM[[#This Row],[MATERIALES]],UNITARIOS!E:E)),0)</f>
        <v>1</v>
      </c>
      <c r="F223" s="16">
        <f>PRECIOSM[[#This Row],[PRECIO]]*PRECIOSM[[#This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ROUNDUP((+SUMIF(UNITARIOS!C:C,PRECIOSM[[#This Row],[MATERIALES]],UNITARIOS!E:E)),0)</f>
        <v>1</v>
      </c>
      <c r="F224" s="16">
        <f>PRECIOSM[[#This Row],[PRECIO]]*PRECIOSM[[#This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ROUNDUP((+SUMIF(UNITARIOS!C:C,PRECIOSM[[#This Row],[MATERIALES]],UNITARIOS!E:E)),0)</f>
        <v>0</v>
      </c>
      <c r="F225" s="66">
        <f>PRECIOSM[[#This Row],[PRECIO]]*PRECIOSM[[#This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ROUNDUP((+SUMIF(UNITARIOS!C:C,PRECIOSM[[#This Row],[MATERIALES]],UNITARIOS!E:E)),0)</f>
        <v>0</v>
      </c>
      <c r="F226" s="50">
        <f>PRECIOSM[[#This Row],[PRECIO]]*PRECIOSM[[#This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ROUNDUP((+SUMIF(UNITARIOS!C:C,PRECIOSM[[#This Row],[MATERIALES]],UNITARIOS!E:E)),0)</f>
        <v>10</v>
      </c>
      <c r="F227" s="16">
        <f>PRECIOSM[[#This Row],[PRECIO]]*PRECIOSM[[#This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ROUNDUP((+SUMIF(UNITARIOS!C:C,PRECIOSM[[#This Row],[MATERIALES]],UNITARIOS!E:E)),0)</f>
        <v>1</v>
      </c>
      <c r="F228" s="50">
        <f>PRECIOSM[[#This Row],[PRECIO]]*PRECIOSM[[#This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ROUNDUP((+SUMIF(UNITARIOS!C:C,PRECIOSM[[#This Row],[MATERIALES]],UNITARIOS!E:E)),0)</f>
        <v>0</v>
      </c>
      <c r="F229" s="16">
        <f>PRECIOSM[[#This Row],[PRECIO]]*PRECIOSM[[#This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ROUNDUP((+SUMIF(UNITARIOS!C:C,PRECIOSM[[#This Row],[MATERIALES]],UNITARIOS!E:E)),0)</f>
        <v>15</v>
      </c>
      <c r="F230" s="16">
        <f>PRECIOSM[[#This Row],[PRECIO]]*PRECIOSM[[#This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ROUNDUP((+SUMIF(UNITARIOS!C:C,PRECIOSM[[#This Row],[MATERIALES]],UNITARIOS!E:E)),0)</f>
        <v>0</v>
      </c>
      <c r="F231" s="16">
        <f>PRECIOSM[[#This Row],[PRECIO]]*PRECIOSM[[#This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ROUNDUP((+SUMIF(UNITARIOS!C:C,PRECIOSM[[#This Row],[MATERIALES]],UNITARIOS!E:E)),0)</f>
        <v>0</v>
      </c>
      <c r="F232" s="16">
        <f>PRECIOSM[[#This Row],[PRECIO]]*PRECIOSM[[#This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ROUNDUP((+SUMIF(UNITARIOS!C:C,PRECIOSM[[#This Row],[MATERIALES]],UNITARIOS!E:E)),0)</f>
        <v>0</v>
      </c>
      <c r="F233" s="16">
        <f>PRECIOSM[[#This Row],[PRECIO]]*PRECIOSM[[#This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ROUNDUP((+SUMIF(UNITARIOS!C:C,PRECIOSM[[#This Row],[MATERIALES]],UNITARIOS!E:E)),0)</f>
        <v>0</v>
      </c>
      <c r="F234" s="16">
        <f>PRECIOSM[[#This Row],[PRECIO]]*PRECIOSM[[#This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ROUNDUP((+SUMIF(UNITARIOS!C:C,PRECIOSM[[#This Row],[MATERIALES]],UNITARIOS!E:E)),0)</f>
        <v>2</v>
      </c>
      <c r="F235" s="66">
        <f>PRECIOSM[[#This Row],[PRECIO]]*PRECIOSM[[#This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ROUNDUP((+SUMIF(UNITARIOS!C:C,PRECIOSM[[#This Row],[MATERIALES]],UNITARIOS!E:E)),0)</f>
        <v>0</v>
      </c>
      <c r="F236" s="16">
        <f>PRECIOSM[[#This Row],[PRECIO]]*PRECIOSM[[#This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ROUNDUP((+SUMIF(UNITARIOS!C:C,PRECIOSM[[#This Row],[MATERIALES]],UNITARIOS!E:E)),0)</f>
        <v>0</v>
      </c>
      <c r="F237" s="16">
        <f>PRECIOSM[[#This Row],[PRECIO]]*PRECIOSM[[#This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ROUNDUP((+SUMIF(UNITARIOS!C:C,PRECIOSM[[#This Row],[MATERIALES]],UNITARIOS!E:E)),0)</f>
        <v>0</v>
      </c>
      <c r="F238" s="16">
        <f>PRECIOSM[[#This Row],[PRECIO]]*PRECIOSM[[#This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ROUNDUP((+SUMIF(UNITARIOS!C:C,PRECIOSM[[#This Row],[MATERIALES]],UNITARIOS!E:E)),0)</f>
        <v>0</v>
      </c>
      <c r="F239" s="16">
        <f>PRECIOSM[[#This Row],[PRECIO]]*PRECIOSM[[#This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ROUNDUP((+SUMIF(UNITARIOS!C:C,PRECIOSM[[#This Row],[MATERIALES]],UNITARIOS!E:E)),0)</f>
        <v>1</v>
      </c>
      <c r="F240" s="16">
        <f>PRECIOSM[[#This Row],[PRECIO]]*PRECIOSM[[#This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ROUNDUP((+SUMIF(UNITARIOS!C:C,PRECIOSM[[#This Row],[MATERIALES]],UNITARIOS!E:E)),0)</f>
        <v>48</v>
      </c>
      <c r="F241" s="16">
        <f>PRECIOSM[[#This Row],[PRECIO]]*PRECIOSM[[#This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ROUNDUP((+SUMIF(UNITARIOS!C:C,PRECIOSM[[#This Row],[MATERIALES]],UNITARIOS!E:E)),0)</f>
        <v>0</v>
      </c>
      <c r="F242" s="16">
        <f>PRECIOSM[[#This Row],[PRECIO]]*PRECIOSM[[#This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ROUNDUP((+SUMIF(UNITARIOS!C:C,PRECIOSM[[#This Row],[MATERIALES]],UNITARIOS!E:E)),0)</f>
        <v>75</v>
      </c>
      <c r="F243" s="16">
        <f>PRECIOSM[[#This Row],[PRECIO]]*PRECIOSM[[#This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ROUNDUP((+SUMIF(UNITARIOS!C:C,PRECIOSM[[#This Row],[MATERIALES]],UNITARIOS!E:E)),0)</f>
        <v>0</v>
      </c>
      <c r="F244" s="16">
        <f>PRECIOSM[[#This Row],[PRECIO]]*PRECIOSM[[#This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ROUNDUP((+SUMIF(UNITARIOS!C:C,PRECIOSM[[#This Row],[MATERIALES]],UNITARIOS!E:E)),0)</f>
        <v>6</v>
      </c>
      <c r="F245" s="16">
        <f>PRECIOSM[[#This Row],[PRECIO]]*PRECIOSM[[#This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ROUNDUP((+SUMIF(UNITARIOS!C:C,PRECIOSM[[#This Row],[MATERIALES]],UNITARIOS!E:E)),0)</f>
        <v>3</v>
      </c>
      <c r="F246" s="16">
        <f>PRECIOSM[[#This Row],[PRECIO]]*PRECIOSM[[#This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ROUNDUP((+SUMIF(UNITARIOS!C:C,PRECIOSM[[#This Row],[MATERIALES]],UNITARIOS!E:E)),0)</f>
        <v>0</v>
      </c>
      <c r="F247" s="16">
        <f>PRECIOSM[[#This Row],[PRECIO]]*PRECIOSM[[#This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ROUNDUP((+SUMIF(UNITARIOS!C:C,PRECIOSM[[#This Row],[MATERIALES]],UNITARIOS!E:E)),0)</f>
        <v>0</v>
      </c>
      <c r="F248" s="16">
        <f>PRECIOSM[[#This Row],[PRECIO]]*PRECIOSM[[#This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ROUNDUP((+SUMIF(UNITARIOS!C:C,PRECIOSM[[#This Row],[MATERIALES]],UNITARIOS!E:E)),0)</f>
        <v>1</v>
      </c>
      <c r="F249" s="16">
        <f>PRECIOSM[[#This Row],[PRECIO]]*PRECIOSM[[#This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ROUNDUP((+SUMIF(UNITARIOS!C:C,PRECIOSM[[#This Row],[MATERIALES]],UNITARIOS!E:E)),0)</f>
        <v>0</v>
      </c>
      <c r="F250" s="16">
        <f>PRECIOSM[[#This Row],[PRECIO]]*PRECIOSM[[#This Row],[CANTIDAD]]</f>
        <v>0</v>
      </c>
      <c r="P250" s="6"/>
      <c r="Q250" s="7"/>
    </row>
    <row r="251" spans="2:17" x14ac:dyDescent="0.25">
      <c r="B251" s="8" t="s">
        <v>587</v>
      </c>
      <c r="C251" s="9" t="s">
        <v>25</v>
      </c>
      <c r="D251" s="14">
        <v>380</v>
      </c>
      <c r="E251" s="26">
        <f>ROUNDUP((+SUMIF(UNITARIOS!C:C,PRECIOSM[[#This Row],[MATERIALES]],UNITARIOS!E:E)),0)</f>
        <v>2</v>
      </c>
      <c r="F251" s="16">
        <f>PRECIOSM[[#This Row],[PRECIO]]*PRECIOSM[[#This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ROUNDUP((+SUMIF(UNITARIOS!C:C,PRECIOSM[[#This Row],[MATERIALES]],UNITARIOS!E:E)),0)</f>
        <v>1</v>
      </c>
      <c r="F252" s="16">
        <f>PRECIOSM[[#This Row],[PRECIO]]*PRECIOSM[[#This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ROUNDUP((+SUMIF(UNITARIOS!C:C,PRECIOSM[[#This Row],[MATERIALES]],UNITARIOS!E:E)),0)</f>
        <v>0</v>
      </c>
      <c r="F253" s="16">
        <f>PRECIOSM[[#This Row],[PRECIO]]*PRECIOSM[[#This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ROUNDUP((+SUMIF(UNITARIOS!C:C,PRECIOSM[[#This Row],[MATERIALES]],UNITARIOS!E:E)),0)</f>
        <v>2</v>
      </c>
      <c r="F254" s="16">
        <f>PRECIOSM[[#This Row],[PRECIO]]*PRECIOSM[[#This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ROUNDUP((+SUMIF(UNITARIOS!C:C,PRECIOSM[[#This Row],[MATERIALES]],UNITARIOS!E:E)),0)</f>
        <v>0</v>
      </c>
      <c r="F255" s="16">
        <f>PRECIOSM[[#This Row],[PRECIO]]*PRECIOSM[[#This Row],[CANTIDAD]]</f>
        <v>0</v>
      </c>
      <c r="P255" s="6"/>
      <c r="Q255" s="7"/>
    </row>
    <row r="256" spans="2:17" x14ac:dyDescent="0.25">
      <c r="B256" s="8" t="s">
        <v>580</v>
      </c>
      <c r="C256" s="9" t="s">
        <v>25</v>
      </c>
      <c r="D256" s="14">
        <v>20</v>
      </c>
      <c r="E256" s="26">
        <f>ROUNDUP((+SUMIF(UNITARIOS!C:C,PRECIOSM[[#This Row],[MATERIALES]],UNITARIOS!E:E)),0)</f>
        <v>1</v>
      </c>
      <c r="F256" s="16">
        <f>PRECIOSM[[#This Row],[PRECIO]]*PRECIOSM[[#This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ROUNDUP((+SUMIF(UNITARIOS!C:C,PRECIOSM[[#This Row],[MATERIALES]],UNITARIOS!E:E)),0)</f>
        <v>0</v>
      </c>
      <c r="F257" s="50">
        <f>PRECIOSM[[#This Row],[PRECIO]]*PRECIOSM[[#This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ROUNDUP((+SUMIF(UNITARIOS!C:C,PRECIOSM[[#This Row],[MATERIALES]],UNITARIOS!E:E)),0)</f>
        <v>0</v>
      </c>
      <c r="F258" s="50">
        <f>PRECIOSM[[#This Row],[PRECIO]]*PRECIOSM[[#This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ROUNDUP((+SUMIF(UNITARIOS!C:C,PRECIOSM[[#This Row],[MATERIALES]],UNITARIOS!E:E)),0)</f>
        <v>0</v>
      </c>
      <c r="F259" s="16">
        <f>PRECIOSM[[#This Row],[PRECIO]]*PRECIOSM[[#This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ROUNDUP((+SUMIF(UNITARIOS!C:C,PRECIOSM[[#This Row],[MATERIALES]],UNITARIOS!E:E)),0)</f>
        <v>0</v>
      </c>
      <c r="F260" s="16">
        <f>PRECIOSM[[#This Row],[PRECIO]]*PRECIOSM[[#This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ROUNDUP((+SUMIF(UNITARIOS!C:C,PRECIOSM[[#This Row],[MATERIALES]],UNITARIOS!E:E)),0)</f>
        <v>0</v>
      </c>
      <c r="F261" s="16">
        <f>PRECIOSM[[#This Row],[PRECIO]]*PRECIOSM[[#This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ROUNDUP((+SUMIF(UNITARIOS!C:C,PRECIOSM[[#This Row],[MATERIALES]],UNITARIOS!E:E)),0)</f>
        <v>0</v>
      </c>
      <c r="F262" s="16">
        <f>PRECIOSM[[#This Row],[PRECIO]]*PRECIOSM[[#This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ROUNDUP((+SUMIF(UNITARIOS!C:C,PRECIOSM[[#This Row],[MATERIALES]],UNITARIOS!E:E)),0)</f>
        <v>0</v>
      </c>
      <c r="F263" s="16">
        <f>PRECIOSM[[#This Row],[PRECIO]]*PRECIOSM[[#This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ROUNDUP((+SUMIF(UNITARIOS!C:C,PRECIOSM[[#This Row],[MATERIALES]],UNITARIOS!E:E)),0)</f>
        <v>0</v>
      </c>
      <c r="F264" s="16">
        <f>PRECIOSM[[#This Row],[PRECIO]]*PRECIOSM[[#This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ROUNDUP((+SUMIF(UNITARIOS!C:C,PRECIOSM[[#This Row],[MATERIALES]],UNITARIOS!E:E)),0)</f>
        <v>0</v>
      </c>
      <c r="F265" s="16">
        <f>PRECIOSM[[#This Row],[PRECIO]]*PRECIOSM[[#This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ROUNDUP((+SUMIF(UNITARIOS!C:C,PRECIOSM[[#This Row],[MATERIALES]],UNITARIOS!E:E)),0)</f>
        <v>0</v>
      </c>
      <c r="F266" s="16">
        <f>PRECIOSM[[#This Row],[PRECIO]]*PRECIOSM[[#This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ROUNDUP((+SUMIF(UNITARIOS!C:C,PRECIOSM[[#This Row],[MATERIALES]],UNITARIOS!E:E)),0)</f>
        <v>3</v>
      </c>
      <c r="F267" s="16">
        <f>PRECIOSM[[#This Row],[PRECIO]]*PRECIOSM[[#This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ROUNDUP((+SUMIF(UNITARIOS!C:C,PRECIOSM[[#This Row],[MATERIALES]],UNITARIOS!E:E)),0)</f>
        <v>0</v>
      </c>
      <c r="F268" s="16">
        <f>PRECIOSM[[#This Row],[PRECIO]]*PRECIOSM[[#This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ROUNDUP((+SUMIF(UNITARIOS!C:C,PRECIOSM[[#This Row],[MATERIALES]],UNITARIOS!E:E)),0)</f>
        <v>0</v>
      </c>
      <c r="F269" s="16">
        <f>PRECIOSM[[#This Row],[PRECIO]]*PRECIOSM[[#This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ROUNDUP((+SUMIF(UNITARIOS!C:C,PRECIOSM[[#This Row],[MATERIALES]],UNITARIOS!E:E)),0)</f>
        <v>0</v>
      </c>
      <c r="F270" s="16">
        <f>PRECIOSM[[#This Row],[PRECIO]]*PRECIOSM[[#This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ROUNDUP((+SUMIF(UNITARIOS!C:C,PRECIOSM[[#This Row],[MATERIALES]],UNITARIOS!E:E)),0)</f>
        <v>0</v>
      </c>
      <c r="F271" s="16">
        <f>PRECIOSM[[#This Row],[PRECIO]]*PRECIOSM[[#This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ROUNDUP((+SUMIF(UNITARIOS!C:C,PRECIOSM[[#This Row],[MATERIALES]],UNITARIOS!E:E)),0)</f>
        <v>54</v>
      </c>
      <c r="F272" s="16">
        <f>PRECIOSM[[#This Row],[PRECIO]]*PRECIOSM[[#This Row],[CANTIDAD]]</f>
        <v>270</v>
      </c>
      <c r="P272" s="6"/>
      <c r="Q272" s="7"/>
    </row>
    <row r="273" spans="2:17" x14ac:dyDescent="0.25">
      <c r="B273" s="8" t="s">
        <v>582</v>
      </c>
      <c r="C273" s="9" t="s">
        <v>25</v>
      </c>
      <c r="D273" s="14">
        <v>20</v>
      </c>
      <c r="E273" s="26">
        <f>ROUNDUP((+SUMIF(UNITARIOS!C:C,PRECIOSM[[#This Row],[MATERIALES]],UNITARIOS!E:E)),0)</f>
        <v>1</v>
      </c>
      <c r="F273" s="16">
        <f>PRECIOSM[[#This Row],[PRECIO]]*PRECIOSM[[#This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ROUNDUP((+SUMIF(UNITARIOS!C:C,PRECIOSM[[#This Row],[MATERIALES]],UNITARIOS!E:E)),0)</f>
        <v>48</v>
      </c>
      <c r="F274" s="16">
        <f>PRECIOSM[[#This Row],[PRECIO]]*PRECIOSM[[#This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ROUNDUP((+SUMIF(UNITARIOS!C:C,PRECIOSM[[#This Row],[MATERIALES]],UNITARIOS!E:E)),0)</f>
        <v>1</v>
      </c>
      <c r="F275" s="50">
        <f>PRECIOSM[[#This Row],[PRECIO]]*PRECIOSM[[#This Row],[CANTIDAD]]</f>
        <v>70</v>
      </c>
      <c r="P275" s="6"/>
      <c r="Q275" s="7"/>
    </row>
    <row r="276" spans="2:17" x14ac:dyDescent="0.25">
      <c r="B276" s="8" t="s">
        <v>592</v>
      </c>
      <c r="C276" s="28" t="s">
        <v>25</v>
      </c>
      <c r="D276" s="14">
        <v>1110</v>
      </c>
      <c r="E276" s="26">
        <f>ROUNDUP((+SUMIF(UNITARIOS!C:C,PRECIOSM[[#This Row],[MATERIALES]],UNITARIOS!E:E)),0)</f>
        <v>1</v>
      </c>
      <c r="F276" s="16">
        <f>PRECIOSM[[#This Row],[PRECIO]]*PRECIOSM[[#This Row],[CANTIDAD]]</f>
        <v>1110</v>
      </c>
      <c r="P276" s="6"/>
      <c r="Q276" s="7"/>
    </row>
    <row r="277" spans="2:17" x14ac:dyDescent="0.25">
      <c r="B277" s="228" t="s">
        <v>594</v>
      </c>
      <c r="C277" s="9" t="s">
        <v>24</v>
      </c>
      <c r="D277" s="230">
        <v>250</v>
      </c>
      <c r="E277" s="231">
        <f>ROUNDUP((+SUMIF(UNITARIOS!C:C,PRECIOSM[[#This Row],[MATERIALES]],UNITARIOS!E:E)),0)</f>
        <v>160</v>
      </c>
      <c r="F277" s="232">
        <f>PRECIOSM[[#This Row],[PRECIO]]*PRECIOSM[[#This Row],[CANTIDAD]]</f>
        <v>40000</v>
      </c>
      <c r="P277" s="6"/>
      <c r="Q277" s="7"/>
    </row>
    <row r="278" spans="2:17" x14ac:dyDescent="0.25">
      <c r="B278" s="228" t="s">
        <v>595</v>
      </c>
      <c r="C278" s="229" t="s">
        <v>71</v>
      </c>
      <c r="D278" s="230">
        <v>45</v>
      </c>
      <c r="E278" s="231">
        <f>ROUNDUP((+SUMIF(UNITARIOS!C:C,PRECIOSM[[#This Row],[MATERIALES]],UNITARIOS!E:E)),0)</f>
        <v>93</v>
      </c>
      <c r="F278" s="232">
        <f>PRECIOSM[[#This Row],[PRECIO]]*PRECIOSM[[#This Row],[CANTIDAD]]</f>
        <v>4185</v>
      </c>
      <c r="P278" s="6"/>
      <c r="Q278" s="7"/>
    </row>
    <row r="279" spans="2:17" x14ac:dyDescent="0.25">
      <c r="B279" s="228" t="s">
        <v>596</v>
      </c>
      <c r="C279" s="229" t="s">
        <v>25</v>
      </c>
      <c r="D279" s="230">
        <v>20</v>
      </c>
      <c r="E279" s="231">
        <f>ROUNDUP((+SUMIF(UNITARIOS!C:C,PRECIOSM[[#This Row],[MATERIALES]],UNITARIOS!E:E)),0)</f>
        <v>15</v>
      </c>
      <c r="F279" s="232">
        <f>PRECIOSM[[#This Row],[PRECIO]]*PRECIOSM[[#This Row],[CANTIDAD]]</f>
        <v>300</v>
      </c>
      <c r="P279" s="6"/>
      <c r="Q279" s="7"/>
    </row>
    <row r="280" spans="2:17" x14ac:dyDescent="0.25">
      <c r="B280" s="8" t="s">
        <v>598</v>
      </c>
      <c r="C280" s="9" t="s">
        <v>24</v>
      </c>
      <c r="D280" s="14">
        <v>90</v>
      </c>
      <c r="E280" s="26">
        <f>ROUNDUP((+SUMIF(UNITARIOS!C:C,PRECIOSM[[#This Row],[MATERIALES]],UNITARIOS!E:E)),0)</f>
        <v>96</v>
      </c>
      <c r="F280" s="16">
        <f>PRECIOSM[[#This Row],[PRECIO]]*PRECIOSM[[#This Row],[CANTIDAD]]</f>
        <v>8640</v>
      </c>
      <c r="P280" s="6"/>
      <c r="Q280" s="7"/>
    </row>
    <row r="281" spans="2:17" x14ac:dyDescent="0.25">
      <c r="B281" s="8" t="s">
        <v>599</v>
      </c>
      <c r="C281" s="9" t="s">
        <v>24</v>
      </c>
      <c r="D281" s="14">
        <v>125</v>
      </c>
      <c r="E281" s="26">
        <f>ROUNDUP((+SUMIF(UNITARIOS!C:C,PRECIOSM[[#This Row],[MATERIALES]],UNITARIOS!E:E)),0)</f>
        <v>30</v>
      </c>
      <c r="F281" s="16">
        <f>PRECIOSM[[#This Row],[PRECIO]]*PRECIOSM[[#This Row],[CANTIDAD]]</f>
        <v>3750</v>
      </c>
      <c r="P281" s="6"/>
      <c r="Q281" s="7"/>
    </row>
    <row r="282" spans="2:17" x14ac:dyDescent="0.25">
      <c r="B282" s="8" t="s">
        <v>658</v>
      </c>
      <c r="C282" s="9" t="s">
        <v>66</v>
      </c>
      <c r="D282" s="14">
        <v>10</v>
      </c>
      <c r="E282" s="26">
        <f>ROUNDUP((+SUMIF(UNITARIOS!C:C,PRECIOSM[[#This Row],[MATERIALES]],UNITARIOS!E:E)),0)</f>
        <v>0</v>
      </c>
      <c r="F282" s="16">
        <f>PRECIOSM[[#This Row],[PRECIO]]*PRECIOSM[[#This Row],[CANTIDAD]]</f>
        <v>0</v>
      </c>
      <c r="P282" s="6"/>
      <c r="Q282" s="7"/>
    </row>
    <row r="283" spans="2:17" x14ac:dyDescent="0.25">
      <c r="B283" s="8" t="s">
        <v>659</v>
      </c>
      <c r="C283" s="9" t="s">
        <v>660</v>
      </c>
      <c r="D283" s="14">
        <v>25</v>
      </c>
      <c r="E283" s="26">
        <f>ROUNDUP((+SUMIF(UNITARIOS!C:C,PRECIOSM[[#This Row],[MATERIALES]],UNITARIOS!E:E)),0)</f>
        <v>0</v>
      </c>
      <c r="F283" s="16">
        <f>PRECIOSM[[#This Row],[PRECIO]]*PRECIOSM[[#This Row],[CANTIDAD]]</f>
        <v>0</v>
      </c>
      <c r="P283" s="6"/>
      <c r="Q283" s="7"/>
    </row>
    <row r="284" spans="2:17" x14ac:dyDescent="0.25">
      <c r="B284" s="8" t="s">
        <v>726</v>
      </c>
      <c r="C284" s="9" t="s">
        <v>25</v>
      </c>
      <c r="D284" s="14">
        <v>8</v>
      </c>
      <c r="E284" s="26">
        <f>ROUNDUP((+SUMIF(UNITARIOS!C:C,PRECIOSM[[#This Row],[MATERIALES]],UNITARIOS!E:E)),0)</f>
        <v>0</v>
      </c>
      <c r="F284" s="16">
        <f>PRECIOSM[[#This Row],[PRECIO]]*PRECIOSM[[#This Row],[CANTIDAD]]</f>
        <v>0</v>
      </c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B29" sqref="B29"/>
    </sheetView>
  </sheetViews>
  <sheetFormatPr baseColWidth="10" defaultRowHeight="15" x14ac:dyDescent="0.25"/>
  <cols>
    <col min="2" max="2" width="21.140625" customWidth="1"/>
  </cols>
  <sheetData>
    <row r="2" spans="2:2" x14ac:dyDescent="0.25">
      <c r="B2" s="237">
        <v>8521.9399999999987</v>
      </c>
    </row>
    <row r="3" spans="2:2" x14ac:dyDescent="0.25">
      <c r="B3" s="237">
        <v>24337.32</v>
      </c>
    </row>
    <row r="4" spans="2:2" x14ac:dyDescent="0.25">
      <c r="B4" s="237">
        <v>49749</v>
      </c>
    </row>
    <row r="5" spans="2:2" x14ac:dyDescent="0.25">
      <c r="B5" s="237">
        <v>100640.46999999999</v>
      </c>
    </row>
    <row r="6" spans="2:2" x14ac:dyDescent="0.25">
      <c r="B6" s="237">
        <v>5572</v>
      </c>
    </row>
    <row r="7" spans="2:2" x14ac:dyDescent="0.25">
      <c r="B7" s="237">
        <v>90756.329999999987</v>
      </c>
    </row>
    <row r="8" spans="2:2" x14ac:dyDescent="0.25">
      <c r="B8" s="237">
        <v>8148</v>
      </c>
    </row>
    <row r="9" spans="2:2" x14ac:dyDescent="0.25">
      <c r="B9" s="237">
        <v>15217.999999999998</v>
      </c>
    </row>
    <row r="10" spans="2:2" x14ac:dyDescent="0.25">
      <c r="B10" s="237">
        <v>9550.7999999999993</v>
      </c>
    </row>
    <row r="11" spans="2:2" x14ac:dyDescent="0.25">
      <c r="B11" s="237">
        <v>10150</v>
      </c>
    </row>
    <row r="12" spans="2:2" x14ac:dyDescent="0.25">
      <c r="B12" s="237">
        <v>11389</v>
      </c>
    </row>
    <row r="13" spans="2:2" x14ac:dyDescent="0.25">
      <c r="B13" s="237">
        <v>6426</v>
      </c>
    </row>
    <row r="14" spans="2:2" x14ac:dyDescent="0.25">
      <c r="B14" s="237">
        <v>12537</v>
      </c>
    </row>
    <row r="15" spans="2:2" x14ac:dyDescent="0.25">
      <c r="B15" s="237">
        <v>4508</v>
      </c>
    </row>
    <row r="16" spans="2:2" x14ac:dyDescent="0.25">
      <c r="B16" s="237">
        <v>1330</v>
      </c>
    </row>
    <row r="17" spans="2:2" x14ac:dyDescent="0.25">
      <c r="B17" s="237">
        <v>10290</v>
      </c>
    </row>
    <row r="18" spans="2:2" x14ac:dyDescent="0.25">
      <c r="B18" s="237">
        <v>15715</v>
      </c>
    </row>
    <row r="19" spans="2:2" x14ac:dyDescent="0.25">
      <c r="B19" s="237">
        <v>7749</v>
      </c>
    </row>
    <row r="20" spans="2:2" x14ac:dyDescent="0.25">
      <c r="B20" s="237">
        <v>9590</v>
      </c>
    </row>
    <row r="21" spans="2:2" x14ac:dyDescent="0.25">
      <c r="B21" s="237">
        <v>2730</v>
      </c>
    </row>
    <row r="22" spans="2:2" x14ac:dyDescent="0.25">
      <c r="B22" s="237">
        <v>4270</v>
      </c>
    </row>
    <row r="23" spans="2:2" x14ac:dyDescent="0.25">
      <c r="B23" s="237">
        <v>3192</v>
      </c>
    </row>
    <row r="24" spans="2:2" x14ac:dyDescent="0.25">
      <c r="B24" s="237">
        <v>114660</v>
      </c>
    </row>
    <row r="25" spans="2:2" x14ac:dyDescent="0.25">
      <c r="B25" s="237">
        <v>72030</v>
      </c>
    </row>
    <row r="26" spans="2:2" x14ac:dyDescent="0.25">
      <c r="B26" s="237">
        <v>7749</v>
      </c>
    </row>
    <row r="27" spans="2:2" x14ac:dyDescent="0.25">
      <c r="B27" s="237">
        <v>57540</v>
      </c>
    </row>
    <row r="28" spans="2:2" x14ac:dyDescent="0.25">
      <c r="B28" s="237">
        <v>27090</v>
      </c>
    </row>
    <row r="29" spans="2:2" x14ac:dyDescent="0.25">
      <c r="B29" s="237">
        <v>32130</v>
      </c>
    </row>
    <row r="30" spans="2:2" x14ac:dyDescent="0.25">
      <c r="B30" s="237">
        <v>924</v>
      </c>
    </row>
    <row r="31" spans="2:2" x14ac:dyDescent="0.25">
      <c r="B31" s="237">
        <v>5726</v>
      </c>
    </row>
    <row r="32" spans="2:2" x14ac:dyDescent="0.25">
      <c r="B32" s="237">
        <v>7749</v>
      </c>
    </row>
    <row r="33" spans="2:2" x14ac:dyDescent="0.25">
      <c r="B33" s="237">
        <v>10437</v>
      </c>
    </row>
    <row r="34" spans="2:2" x14ac:dyDescent="0.25">
      <c r="B34" s="237">
        <v>2604</v>
      </c>
    </row>
    <row r="35" spans="2:2" x14ac:dyDescent="0.25">
      <c r="B35" s="237">
        <v>2100</v>
      </c>
    </row>
    <row r="36" spans="2:2" x14ac:dyDescent="0.25">
      <c r="B36" s="237">
        <v>8757.1400000000012</v>
      </c>
    </row>
    <row r="37" spans="2:2" x14ac:dyDescent="0.25">
      <c r="B37" s="237">
        <v>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13</vt:i4>
      </vt:variant>
    </vt:vector>
  </HeadingPairs>
  <TitlesOfParts>
    <vt:vector size="23" baseType="lpstr">
      <vt:lpstr>CATALOGO</vt:lpstr>
      <vt:lpstr>CATALOGO (2)</vt:lpstr>
      <vt:lpstr>PROPUESTA DE RENGLONES</vt:lpstr>
      <vt:lpstr>UNITARIOS</vt:lpstr>
      <vt:lpstr>UNITARIOS NUEVOS</vt:lpstr>
      <vt:lpstr>ADMINISTRATIVO</vt:lpstr>
      <vt:lpstr>CRONOGRAMA</vt:lpstr>
      <vt:lpstr>PRECIOS</vt:lpstr>
      <vt:lpstr>PRECIOS NUEVOS</vt:lpstr>
      <vt:lpstr>Hoja1</vt:lpstr>
      <vt:lpstr>ADMINISTRATIVO!Área_de_impresión</vt:lpstr>
      <vt:lpstr>CATALOGO!Área_de_impresión</vt:lpstr>
      <vt:lpstr>'CATALOGO (2)'!Área_de_impresión</vt:lpstr>
      <vt:lpstr>CRONOGRAMA!Área_de_impresión</vt:lpstr>
      <vt:lpstr>'PROPUESTA DE RENGLONES'!Área_de_impresión</vt:lpstr>
      <vt:lpstr>UNITARIOS!Área_de_impresión</vt:lpstr>
      <vt:lpstr>'UNITARIOS NUEVOS'!Área_de_impresión</vt:lpstr>
      <vt:lpstr>CATALOGO!Títulos_a_imprimir</vt:lpstr>
      <vt:lpstr>'CATALOGO (2)'!Títulos_a_imprimir</vt:lpstr>
      <vt:lpstr>CRONOGRAMA!Títulos_a_imprimir</vt:lpstr>
      <vt:lpstr>'PROPUESTA DE RENGLONES'!Títulos_a_imprimir</vt:lpstr>
      <vt:lpstr>UNITARIOS!Títulos_a_imprimir</vt:lpstr>
      <vt:lpstr>'UNITARIOS NUEVOS'!Títulos_a_imprimir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cp:lastPrinted>2022-07-19T11:13:43Z</cp:lastPrinted>
  <dcterms:created xsi:type="dcterms:W3CDTF">2021-06-15T14:18:10Z</dcterms:created>
  <dcterms:modified xsi:type="dcterms:W3CDTF">2022-08-19T01:10:44Z</dcterms:modified>
</cp:coreProperties>
</file>