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tesis\cálculos\"/>
    </mc:Choice>
  </mc:AlternateContent>
  <bookViews>
    <workbookView xWindow="0" yWindow="0" windowWidth="20400" windowHeight="7620" activeTab="3"/>
  </bookViews>
  <sheets>
    <sheet name="Integración de cargas (2)" sheetId="13" r:id="rId1"/>
    <sheet name="Formato" sheetId="9" r:id="rId2"/>
    <sheet name="Hoja1" sheetId="1" r:id="rId3"/>
    <sheet name="Viguitas" sheetId="14" r:id="rId4"/>
    <sheet name="Cimiento Corrido" sheetId="11" r:id="rId5"/>
    <sheet name="Hoja2" sheetId="10" r:id="rId6"/>
    <sheet name="SEAOC" sheetId="6" r:id="rId7"/>
    <sheet name="AGIES" sheetId="7" r:id="rId8"/>
    <sheet name="Viga" sheetId="2" r:id="rId9"/>
    <sheet name="Hoja4" sheetId="12" r:id="rId10"/>
    <sheet name="Integración de cargas" sheetId="8" r:id="rId11"/>
    <sheet name="Losa" sheetId="3" r:id="rId12"/>
    <sheet name="Zapata" sheetId="4" r:id="rId13"/>
    <sheet name="Zapata (3)" sheetId="16" r:id="rId14"/>
    <sheet name="Zapata (4)" sheetId="17" r:id="rId15"/>
    <sheet name="Zapata (5)" sheetId="18" r:id="rId16"/>
    <sheet name="Zapata (2)" sheetId="15" r:id="rId17"/>
    <sheet name="Costanera" sheetId="5" r:id="rId18"/>
    <sheet name="Zapata (6)" sheetId="19" r:id="rId19"/>
    <sheet name="Zapata (7)" sheetId="20" r:id="rId20"/>
    <sheet name="Zapata (8)" sheetId="21" r:id="rId21"/>
    <sheet name="Zapata (9)" sheetId="22" r:id="rId22"/>
    <sheet name="Zapata (10)" sheetId="23" r:id="rId23"/>
    <sheet name="Zapata (11)" sheetId="24" r:id="rId24"/>
  </sheets>
  <definedNames>
    <definedName name="_xlnm._FilterDatabase" localSheetId="10" hidden="1">'Integración de cargas'!$C$6:$L$7</definedName>
    <definedName name="_xlnm._FilterDatabase" localSheetId="0" hidden="1">'Integración de cargas (2)'!$C$6:$L$7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4" l="1"/>
  <c r="E17" i="14"/>
  <c r="G16" i="14"/>
  <c r="H16" i="14" s="1"/>
  <c r="D12" i="14"/>
  <c r="D11" i="14"/>
  <c r="G11" i="14" s="1"/>
  <c r="E11" i="14"/>
  <c r="E7" i="14"/>
  <c r="G7" i="14" s="1"/>
  <c r="H7" i="14" s="1"/>
  <c r="E6" i="14"/>
  <c r="G6" i="14" s="1"/>
  <c r="H6" i="14" s="1"/>
  <c r="G17" i="14" l="1"/>
  <c r="H17" i="14" s="1"/>
  <c r="E12" i="14"/>
  <c r="G12" i="14" s="1"/>
  <c r="H11" i="14"/>
  <c r="AT62" i="1"/>
  <c r="AW62" i="1" s="1"/>
  <c r="AW64" i="1"/>
  <c r="AT64" i="1"/>
  <c r="AT63" i="1"/>
  <c r="AW63" i="1" s="1"/>
  <c r="AT51" i="1"/>
  <c r="AW51" i="1" s="1"/>
  <c r="AT53" i="1"/>
  <c r="AW53" i="1" s="1"/>
  <c r="AT52" i="1"/>
  <c r="AW52" i="1" s="1"/>
  <c r="AU61" i="1"/>
  <c r="AU60" i="1"/>
  <c r="AU59" i="1"/>
  <c r="AU58" i="1"/>
  <c r="BA83" i="1" s="1"/>
  <c r="BA84" i="1" s="1"/>
  <c r="AW58" i="1"/>
  <c r="AS50" i="1"/>
  <c r="AU50" i="1"/>
  <c r="AU49" i="1"/>
  <c r="AU48" i="1"/>
  <c r="AU47" i="1"/>
  <c r="AW47" i="1" s="1"/>
  <c r="H12" i="14" l="1"/>
  <c r="C40" i="4"/>
  <c r="C35" i="4"/>
  <c r="F39" i="4"/>
  <c r="F37" i="4"/>
  <c r="C36" i="4"/>
  <c r="C31" i="4"/>
  <c r="F29" i="16"/>
  <c r="F24" i="4"/>
  <c r="C24" i="4"/>
  <c r="C23" i="4"/>
  <c r="C19" i="4"/>
  <c r="C17" i="4"/>
  <c r="C15" i="4"/>
  <c r="C9" i="4"/>
  <c r="C25" i="4" l="1"/>
  <c r="C7" i="24"/>
  <c r="C6" i="24" s="1"/>
  <c r="F50" i="24"/>
  <c r="H50" i="24" s="1"/>
  <c r="C50" i="24"/>
  <c r="F49" i="24"/>
  <c r="H49" i="24" s="1"/>
  <c r="H52" i="24" s="1"/>
  <c r="I52" i="24" s="1"/>
  <c r="C49" i="24"/>
  <c r="C45" i="24"/>
  <c r="C46" i="24" s="1"/>
  <c r="N42" i="24"/>
  <c r="N41" i="24"/>
  <c r="N40" i="24"/>
  <c r="N39" i="24"/>
  <c r="N36" i="24"/>
  <c r="N38" i="24" s="1"/>
  <c r="C36" i="24"/>
  <c r="L35" i="24"/>
  <c r="N35" i="24" s="1"/>
  <c r="K35" i="24"/>
  <c r="N37" i="24" s="1"/>
  <c r="D31" i="24"/>
  <c r="N27" i="24"/>
  <c r="O27" i="24" s="1"/>
  <c r="F24" i="24"/>
  <c r="F37" i="24" s="1"/>
  <c r="F40" i="24" s="1"/>
  <c r="C24" i="24"/>
  <c r="C23" i="24"/>
  <c r="C19" i="24"/>
  <c r="D19" i="24" s="1"/>
  <c r="C17" i="24"/>
  <c r="F16" i="24"/>
  <c r="F11" i="24"/>
  <c r="F10" i="24"/>
  <c r="C7" i="23"/>
  <c r="C6" i="23" s="1"/>
  <c r="F50" i="23"/>
  <c r="H50" i="23" s="1"/>
  <c r="C50" i="23"/>
  <c r="F49" i="23"/>
  <c r="H49" i="23" s="1"/>
  <c r="C49" i="23"/>
  <c r="C45" i="23"/>
  <c r="C46" i="23" s="1"/>
  <c r="N42" i="23"/>
  <c r="N41" i="23"/>
  <c r="N40" i="23"/>
  <c r="N39" i="23"/>
  <c r="N37" i="23"/>
  <c r="N36" i="23"/>
  <c r="N38" i="23" s="1"/>
  <c r="L35" i="23"/>
  <c r="N35" i="23" s="1"/>
  <c r="K35" i="23"/>
  <c r="D31" i="23"/>
  <c r="N27" i="23"/>
  <c r="O27" i="23" s="1"/>
  <c r="F24" i="23"/>
  <c r="F37" i="23" s="1"/>
  <c r="F40" i="23" s="1"/>
  <c r="C24" i="23"/>
  <c r="C23" i="23"/>
  <c r="C19" i="23"/>
  <c r="D19" i="23" s="1"/>
  <c r="D20" i="23" s="1"/>
  <c r="C17" i="23"/>
  <c r="F16" i="23"/>
  <c r="F11" i="23"/>
  <c r="F10" i="23"/>
  <c r="C7" i="22"/>
  <c r="C6" i="22"/>
  <c r="C9" i="22" s="1"/>
  <c r="F9" i="22" s="1"/>
  <c r="C15" i="22" s="1"/>
  <c r="C16" i="22" s="1"/>
  <c r="F50" i="22"/>
  <c r="H50" i="22" s="1"/>
  <c r="C50" i="22"/>
  <c r="F49" i="22"/>
  <c r="H49" i="22" s="1"/>
  <c r="C49" i="22"/>
  <c r="C45" i="22"/>
  <c r="C46" i="22" s="1"/>
  <c r="N42" i="22"/>
  <c r="N41" i="22"/>
  <c r="N40" i="22"/>
  <c r="N39" i="22"/>
  <c r="N38" i="22"/>
  <c r="N36" i="22"/>
  <c r="L35" i="22"/>
  <c r="N35" i="22" s="1"/>
  <c r="K35" i="22"/>
  <c r="N37" i="22" s="1"/>
  <c r="D31" i="22"/>
  <c r="N27" i="22"/>
  <c r="O27" i="22" s="1"/>
  <c r="F24" i="22"/>
  <c r="F37" i="22" s="1"/>
  <c r="F40" i="22" s="1"/>
  <c r="C24" i="22"/>
  <c r="C23" i="22"/>
  <c r="C19" i="22"/>
  <c r="D19" i="22" s="1"/>
  <c r="D20" i="22" s="1"/>
  <c r="C17" i="22"/>
  <c r="F16" i="22"/>
  <c r="F11" i="22"/>
  <c r="F10" i="22"/>
  <c r="C24" i="21"/>
  <c r="C23" i="21"/>
  <c r="C17" i="21"/>
  <c r="C7" i="21"/>
  <c r="N44" i="24" l="1"/>
  <c r="N44" i="22"/>
  <c r="H52" i="22"/>
  <c r="I52" i="22" s="1"/>
  <c r="N44" i="23"/>
  <c r="C43" i="24"/>
  <c r="C47" i="24" s="1"/>
  <c r="F35" i="24"/>
  <c r="C9" i="24"/>
  <c r="F9" i="24" s="1"/>
  <c r="C15" i="24" s="1"/>
  <c r="C16" i="24" s="1"/>
  <c r="C13" i="24"/>
  <c r="C28" i="24"/>
  <c r="D20" i="24"/>
  <c r="C29" i="24" s="1"/>
  <c r="F35" i="23"/>
  <c r="C28" i="23"/>
  <c r="C29" i="23"/>
  <c r="C9" i="23"/>
  <c r="F9" i="23" s="1"/>
  <c r="C15" i="23" s="1"/>
  <c r="C16" i="23" s="1"/>
  <c r="C13" i="23"/>
  <c r="H52" i="23"/>
  <c r="I52" i="23" s="1"/>
  <c r="C43" i="23"/>
  <c r="C47" i="23" s="1"/>
  <c r="C36" i="23"/>
  <c r="F35" i="22"/>
  <c r="C28" i="22"/>
  <c r="C25" i="22"/>
  <c r="C27" i="22" s="1"/>
  <c r="F28" i="22" s="1"/>
  <c r="C29" i="22"/>
  <c r="C13" i="22"/>
  <c r="C43" i="22"/>
  <c r="C47" i="22" s="1"/>
  <c r="C36" i="22"/>
  <c r="C25" i="23" l="1"/>
  <c r="C27" i="23" s="1"/>
  <c r="C32" i="23" s="1"/>
  <c r="C25" i="24"/>
  <c r="C27" i="24" s="1"/>
  <c r="C32" i="24" s="1"/>
  <c r="F29" i="24"/>
  <c r="C31" i="24"/>
  <c r="F28" i="24"/>
  <c r="F29" i="22"/>
  <c r="C32" i="22"/>
  <c r="C31" i="22"/>
  <c r="F29" i="23" l="1"/>
  <c r="F28" i="23"/>
  <c r="C31" i="23"/>
  <c r="F39" i="23" s="1"/>
  <c r="F39" i="24"/>
  <c r="C40" i="24"/>
  <c r="C42" i="24" s="1"/>
  <c r="C35" i="24"/>
  <c r="C35" i="23"/>
  <c r="C40" i="23"/>
  <c r="C42" i="23" s="1"/>
  <c r="C35" i="22"/>
  <c r="C40" i="22"/>
  <c r="C42" i="22" s="1"/>
  <c r="F39" i="22"/>
  <c r="C6" i="21" l="1"/>
  <c r="C9" i="21" s="1"/>
  <c r="F50" i="21"/>
  <c r="H50" i="21" s="1"/>
  <c r="C50" i="21"/>
  <c r="F49" i="21"/>
  <c r="H49" i="21" s="1"/>
  <c r="H52" i="21" s="1"/>
  <c r="I52" i="21" s="1"/>
  <c r="C49" i="21"/>
  <c r="C45" i="21"/>
  <c r="C46" i="21" s="1"/>
  <c r="N42" i="21"/>
  <c r="N41" i="21"/>
  <c r="N40" i="21"/>
  <c r="N39" i="21"/>
  <c r="N36" i="21"/>
  <c r="N38" i="21" s="1"/>
  <c r="L35" i="21"/>
  <c r="N35" i="21" s="1"/>
  <c r="K35" i="21"/>
  <c r="N37" i="21" s="1"/>
  <c r="D31" i="21"/>
  <c r="N27" i="21"/>
  <c r="O27" i="21" s="1"/>
  <c r="F24" i="21"/>
  <c r="C19" i="21"/>
  <c r="D19" i="21" s="1"/>
  <c r="D20" i="21" s="1"/>
  <c r="F16" i="21"/>
  <c r="F11" i="21"/>
  <c r="F10" i="21"/>
  <c r="AS61" i="1"/>
  <c r="AW61" i="1" s="1"/>
  <c r="AW60" i="1"/>
  <c r="AW59" i="1"/>
  <c r="N44" i="21" l="1"/>
  <c r="AW65" i="1"/>
  <c r="C43" i="21"/>
  <c r="C47" i="21" s="1"/>
  <c r="C36" i="21"/>
  <c r="F35" i="21"/>
  <c r="C29" i="21"/>
  <c r="F37" i="21"/>
  <c r="F40" i="21" s="1"/>
  <c r="C28" i="21"/>
  <c r="F9" i="21"/>
  <c r="C15" i="21" s="1"/>
  <c r="C13" i="21"/>
  <c r="C7" i="20"/>
  <c r="F50" i="20"/>
  <c r="H50" i="20" s="1"/>
  <c r="C50" i="20"/>
  <c r="H49" i="20"/>
  <c r="H52" i="20" s="1"/>
  <c r="I52" i="20" s="1"/>
  <c r="F49" i="20"/>
  <c r="C49" i="20"/>
  <c r="C45" i="20"/>
  <c r="C46" i="20" s="1"/>
  <c r="C47" i="20" s="1"/>
  <c r="C43" i="20"/>
  <c r="N42" i="20"/>
  <c r="N41" i="20"/>
  <c r="N40" i="20"/>
  <c r="N39" i="20"/>
  <c r="N36" i="20"/>
  <c r="N38" i="20" s="1"/>
  <c r="L35" i="20"/>
  <c r="N35" i="20" s="1"/>
  <c r="K35" i="20"/>
  <c r="N37" i="20" s="1"/>
  <c r="F35" i="20"/>
  <c r="D31" i="20"/>
  <c r="O27" i="20"/>
  <c r="N27" i="20"/>
  <c r="F24" i="20"/>
  <c r="F37" i="20" s="1"/>
  <c r="F40" i="20" s="1"/>
  <c r="C24" i="20"/>
  <c r="C23" i="20"/>
  <c r="D19" i="20"/>
  <c r="D20" i="20" s="1"/>
  <c r="C19" i="20"/>
  <c r="C17" i="20"/>
  <c r="F16" i="20"/>
  <c r="F11" i="20"/>
  <c r="F10" i="20"/>
  <c r="C6" i="20"/>
  <c r="C9" i="20" s="1"/>
  <c r="F9" i="20" s="1"/>
  <c r="C15" i="20" s="1"/>
  <c r="C16" i="20" s="1"/>
  <c r="H50" i="19"/>
  <c r="F50" i="19"/>
  <c r="C50" i="19"/>
  <c r="F49" i="19"/>
  <c r="H49" i="19" s="1"/>
  <c r="C49" i="19"/>
  <c r="C45" i="19"/>
  <c r="C46" i="19" s="1"/>
  <c r="N42" i="19"/>
  <c r="N41" i="19"/>
  <c r="N40" i="19"/>
  <c r="N39" i="19"/>
  <c r="N36" i="19"/>
  <c r="N38" i="19" s="1"/>
  <c r="L35" i="19"/>
  <c r="N35" i="19" s="1"/>
  <c r="K35" i="19"/>
  <c r="N37" i="19" s="1"/>
  <c r="D31" i="19"/>
  <c r="F24" i="19"/>
  <c r="C43" i="19" s="1"/>
  <c r="C24" i="19"/>
  <c r="C23" i="19"/>
  <c r="C19" i="19"/>
  <c r="D19" i="19" s="1"/>
  <c r="D20" i="19" s="1"/>
  <c r="C17" i="19"/>
  <c r="F16" i="19"/>
  <c r="F35" i="19" s="1"/>
  <c r="C13" i="19"/>
  <c r="F11" i="19"/>
  <c r="F10" i="19"/>
  <c r="C7" i="19"/>
  <c r="C6" i="19"/>
  <c r="C9" i="19" s="1"/>
  <c r="F9" i="19" s="1"/>
  <c r="C15" i="19" s="1"/>
  <c r="C16" i="19" s="1"/>
  <c r="C7" i="18"/>
  <c r="C6" i="18" s="1"/>
  <c r="F50" i="18"/>
  <c r="H50" i="18" s="1"/>
  <c r="C50" i="18"/>
  <c r="F49" i="18"/>
  <c r="H49" i="18" s="1"/>
  <c r="C49" i="18"/>
  <c r="C46" i="18"/>
  <c r="C47" i="18" s="1"/>
  <c r="C45" i="18"/>
  <c r="C43" i="18"/>
  <c r="N42" i="18"/>
  <c r="N41" i="18"/>
  <c r="N40" i="18"/>
  <c r="N39" i="18"/>
  <c r="N37" i="18"/>
  <c r="N36" i="18"/>
  <c r="N38" i="18" s="1"/>
  <c r="C36" i="18"/>
  <c r="L35" i="18"/>
  <c r="N35" i="18" s="1"/>
  <c r="K35" i="18"/>
  <c r="D31" i="18"/>
  <c r="N27" i="18"/>
  <c r="O27" i="18" s="1"/>
  <c r="F24" i="18"/>
  <c r="F37" i="18" s="1"/>
  <c r="F40" i="18" s="1"/>
  <c r="C24" i="18"/>
  <c r="C23" i="18"/>
  <c r="C19" i="18"/>
  <c r="D19" i="18" s="1"/>
  <c r="D20" i="18" s="1"/>
  <c r="C17" i="18"/>
  <c r="F16" i="18"/>
  <c r="F11" i="18"/>
  <c r="F10" i="18"/>
  <c r="C7" i="16"/>
  <c r="C19" i="17"/>
  <c r="D19" i="17" s="1"/>
  <c r="C7" i="17"/>
  <c r="H52" i="19" l="1"/>
  <c r="I52" i="19" s="1"/>
  <c r="C47" i="19"/>
  <c r="C28" i="20"/>
  <c r="N44" i="20"/>
  <c r="C28" i="18"/>
  <c r="C29" i="20"/>
  <c r="F29" i="20" s="1"/>
  <c r="C25" i="20"/>
  <c r="C27" i="20" s="1"/>
  <c r="C29" i="19"/>
  <c r="C29" i="18"/>
  <c r="C36" i="19"/>
  <c r="C13" i="20"/>
  <c r="F35" i="18"/>
  <c r="H52" i="18"/>
  <c r="I52" i="18" s="1"/>
  <c r="C28" i="19"/>
  <c r="C25" i="21"/>
  <c r="C27" i="21" s="1"/>
  <c r="C16" i="21"/>
  <c r="F28" i="20"/>
  <c r="C36" i="20"/>
  <c r="N44" i="19"/>
  <c r="C25" i="19"/>
  <c r="C27" i="19" s="1"/>
  <c r="F37" i="19"/>
  <c r="F40" i="19" s="1"/>
  <c r="C9" i="18"/>
  <c r="F9" i="18" s="1"/>
  <c r="C13" i="18"/>
  <c r="N44" i="18"/>
  <c r="C32" i="20" l="1"/>
  <c r="C31" i="20"/>
  <c r="C40" i="20" s="1"/>
  <c r="C42" i="20" s="1"/>
  <c r="C32" i="21"/>
  <c r="C31" i="21"/>
  <c r="F28" i="21"/>
  <c r="F29" i="21"/>
  <c r="C32" i="19"/>
  <c r="C31" i="19"/>
  <c r="F29" i="19"/>
  <c r="F28" i="19"/>
  <c r="C25" i="18"/>
  <c r="C27" i="18" s="1"/>
  <c r="C15" i="18"/>
  <c r="C16" i="18" s="1"/>
  <c r="F39" i="20" l="1"/>
  <c r="C35" i="20"/>
  <c r="C40" i="21"/>
  <c r="C42" i="21" s="1"/>
  <c r="F39" i="21"/>
  <c r="C35" i="21"/>
  <c r="F39" i="19"/>
  <c r="C40" i="19"/>
  <c r="C42" i="19" s="1"/>
  <c r="C35" i="19"/>
  <c r="C31" i="18"/>
  <c r="C32" i="18"/>
  <c r="F29" i="18"/>
  <c r="F28" i="18"/>
  <c r="C40" i="18" l="1"/>
  <c r="C42" i="18" s="1"/>
  <c r="F39" i="18"/>
  <c r="C35" i="18"/>
  <c r="C6" i="16" l="1"/>
  <c r="C9" i="16" s="1"/>
  <c r="N27" i="17"/>
  <c r="O27" i="17" s="1"/>
  <c r="C45" i="16"/>
  <c r="C46" i="16" s="1"/>
  <c r="F11" i="17"/>
  <c r="F10" i="17"/>
  <c r="C28" i="17" s="1"/>
  <c r="C6" i="17"/>
  <c r="C9" i="17" s="1"/>
  <c r="F9" i="17" s="1"/>
  <c r="C15" i="17" s="1"/>
  <c r="C16" i="17" s="1"/>
  <c r="H50" i="17"/>
  <c r="F50" i="17"/>
  <c r="C50" i="17"/>
  <c r="F49" i="17"/>
  <c r="H49" i="17" s="1"/>
  <c r="C49" i="17"/>
  <c r="C45" i="17"/>
  <c r="C46" i="17" s="1"/>
  <c r="N42" i="17"/>
  <c r="N41" i="17"/>
  <c r="N40" i="17"/>
  <c r="N39" i="17"/>
  <c r="N36" i="17"/>
  <c r="N38" i="17" s="1"/>
  <c r="L35" i="17"/>
  <c r="N35" i="17" s="1"/>
  <c r="K35" i="17"/>
  <c r="N37" i="17" s="1"/>
  <c r="D31" i="17"/>
  <c r="F24" i="17"/>
  <c r="F37" i="17" s="1"/>
  <c r="F40" i="17" s="1"/>
  <c r="C24" i="17"/>
  <c r="C23" i="17"/>
  <c r="D20" i="17"/>
  <c r="C17" i="17"/>
  <c r="F16" i="17"/>
  <c r="E50" i="16"/>
  <c r="F50" i="16" s="1"/>
  <c r="H50" i="16" s="1"/>
  <c r="E49" i="16"/>
  <c r="F49" i="16" s="1"/>
  <c r="H49" i="16" s="1"/>
  <c r="H50" i="4"/>
  <c r="F50" i="4"/>
  <c r="F49" i="4"/>
  <c r="H49" i="4" s="1"/>
  <c r="H52" i="4" s="1"/>
  <c r="I52" i="4" s="1"/>
  <c r="C50" i="4"/>
  <c r="C49" i="4"/>
  <c r="C50" i="16"/>
  <c r="C49" i="16"/>
  <c r="I58" i="4" l="1"/>
  <c r="H52" i="17"/>
  <c r="I52" i="17" s="1"/>
  <c r="N44" i="17"/>
  <c r="F35" i="17"/>
  <c r="C36" i="17"/>
  <c r="C43" i="17"/>
  <c r="C47" i="17" s="1"/>
  <c r="C29" i="17"/>
  <c r="C25" i="17"/>
  <c r="C27" i="17" s="1"/>
  <c r="C13" i="17"/>
  <c r="H52" i="16"/>
  <c r="I52" i="16" s="1"/>
  <c r="C23" i="16"/>
  <c r="F11" i="16"/>
  <c r="N42" i="16"/>
  <c r="P42" i="16" s="1"/>
  <c r="N41" i="16"/>
  <c r="N40" i="16"/>
  <c r="N39" i="16"/>
  <c r="N36" i="16"/>
  <c r="N38" i="16" s="1"/>
  <c r="L35" i="16"/>
  <c r="N35" i="16" s="1"/>
  <c r="K35" i="16"/>
  <c r="N37" i="16" s="1"/>
  <c r="D31" i="16"/>
  <c r="F24" i="16"/>
  <c r="C24" i="16"/>
  <c r="C19" i="16"/>
  <c r="D19" i="16" s="1"/>
  <c r="D20" i="16" s="1"/>
  <c r="C17" i="16"/>
  <c r="F16" i="16"/>
  <c r="F10" i="16"/>
  <c r="C26" i="15"/>
  <c r="N40" i="4"/>
  <c r="K35" i="4"/>
  <c r="N37" i="4" s="1"/>
  <c r="N36" i="4"/>
  <c r="N38" i="4" s="1"/>
  <c r="N42" i="4"/>
  <c r="N41" i="4"/>
  <c r="N39" i="4"/>
  <c r="L35" i="4"/>
  <c r="N35" i="4" s="1"/>
  <c r="F10" i="4"/>
  <c r="C6" i="15"/>
  <c r="C5" i="15" s="1"/>
  <c r="C8" i="15" s="1"/>
  <c r="C14" i="15" s="1"/>
  <c r="C18" i="15" s="1"/>
  <c r="C19" i="15" s="1"/>
  <c r="C53" i="15"/>
  <c r="C54" i="15" s="1"/>
  <c r="D34" i="15"/>
  <c r="C27" i="15"/>
  <c r="F26" i="15"/>
  <c r="C43" i="15" s="1"/>
  <c r="C46" i="15" s="1"/>
  <c r="C25" i="15"/>
  <c r="C22" i="15"/>
  <c r="D22" i="15" s="1"/>
  <c r="C20" i="15"/>
  <c r="F19" i="15"/>
  <c r="C16" i="15"/>
  <c r="C15" i="15"/>
  <c r="C45" i="4"/>
  <c r="C46" i="4" s="1"/>
  <c r="F16" i="4"/>
  <c r="C27" i="4" s="1"/>
  <c r="N44" i="16" l="1"/>
  <c r="P44" i="16"/>
  <c r="Q44" i="16"/>
  <c r="N44" i="4"/>
  <c r="I58" i="24"/>
  <c r="I58" i="22"/>
  <c r="I58" i="23"/>
  <c r="I58" i="21"/>
  <c r="I58" i="20"/>
  <c r="I58" i="18"/>
  <c r="I58" i="19"/>
  <c r="I58" i="17"/>
  <c r="C32" i="17"/>
  <c r="F40" i="4"/>
  <c r="C43" i="4"/>
  <c r="C47" i="4" s="1"/>
  <c r="F37" i="16"/>
  <c r="F40" i="16" s="1"/>
  <c r="C36" i="16"/>
  <c r="C43" i="16"/>
  <c r="C47" i="16" s="1"/>
  <c r="F29" i="17"/>
  <c r="F28" i="17"/>
  <c r="C31" i="17"/>
  <c r="C28" i="16"/>
  <c r="F35" i="16"/>
  <c r="C29" i="16"/>
  <c r="F9" i="16"/>
  <c r="C15" i="16" s="1"/>
  <c r="C16" i="16" s="1"/>
  <c r="C13" i="16"/>
  <c r="C41" i="15"/>
  <c r="D23" i="15"/>
  <c r="C32" i="15" s="1"/>
  <c r="C31" i="15"/>
  <c r="C28" i="15"/>
  <c r="C30" i="15" s="1"/>
  <c r="C12" i="15"/>
  <c r="C51" i="15"/>
  <c r="C55" i="15" s="1"/>
  <c r="C39" i="15"/>
  <c r="F35" i="4"/>
  <c r="C40" i="17" l="1"/>
  <c r="C42" i="17" s="1"/>
  <c r="C35" i="17"/>
  <c r="F39" i="17"/>
  <c r="C25" i="16"/>
  <c r="C27" i="16" s="1"/>
  <c r="C32" i="16" s="1"/>
  <c r="F32" i="15"/>
  <c r="C34" i="15"/>
  <c r="C35" i="15"/>
  <c r="F31" i="15"/>
  <c r="C31" i="16" l="1"/>
  <c r="F28" i="16"/>
  <c r="C48" i="15"/>
  <c r="C50" i="15" s="1"/>
  <c r="C38" i="15"/>
  <c r="C45" i="15"/>
  <c r="C35" i="16" l="1"/>
  <c r="C40" i="16"/>
  <c r="C42" i="16" s="1"/>
  <c r="F39" i="16"/>
  <c r="O92" i="2" l="1"/>
  <c r="P92" i="2" s="1"/>
  <c r="R92" i="2" s="1"/>
  <c r="O91" i="2"/>
  <c r="P91" i="2" s="1"/>
  <c r="R91" i="2" s="1"/>
  <c r="O90" i="2"/>
  <c r="P90" i="2" s="1"/>
  <c r="R90" i="2" s="1"/>
  <c r="O89" i="2"/>
  <c r="P89" i="2" s="1"/>
  <c r="R89" i="2" s="1"/>
  <c r="O84" i="2"/>
  <c r="P84" i="2" s="1"/>
  <c r="R84" i="2" s="1"/>
  <c r="O83" i="2"/>
  <c r="P83" i="2" s="1"/>
  <c r="R83" i="2" s="1"/>
  <c r="O82" i="2"/>
  <c r="P82" i="2" s="1"/>
  <c r="R82" i="2" s="1"/>
  <c r="O81" i="2"/>
  <c r="P81" i="2" s="1"/>
  <c r="R81" i="2" s="1"/>
  <c r="O74" i="2"/>
  <c r="P74" i="2" s="1"/>
  <c r="R74" i="2" s="1"/>
  <c r="O73" i="2"/>
  <c r="P73" i="2" s="1"/>
  <c r="R73" i="2" s="1"/>
  <c r="O72" i="2"/>
  <c r="P72" i="2" s="1"/>
  <c r="R72" i="2" s="1"/>
  <c r="O71" i="2"/>
  <c r="P71" i="2" s="1"/>
  <c r="R71" i="2" s="1"/>
  <c r="C26" i="2"/>
  <c r="D26" i="2" s="1"/>
  <c r="F26" i="2" s="1"/>
  <c r="P97" i="2" l="1"/>
  <c r="P98" i="2" s="1"/>
  <c r="R93" i="2"/>
  <c r="R85" i="2"/>
  <c r="R75" i="2"/>
  <c r="W19" i="2" l="1"/>
  <c r="X19" i="2" s="1"/>
  <c r="W18" i="2"/>
  <c r="X18" i="2" s="1"/>
  <c r="X22" i="2" s="1"/>
  <c r="X24" i="2" s="1"/>
  <c r="F11" i="4" l="1"/>
  <c r="C13" i="4"/>
  <c r="F9" i="4" l="1"/>
  <c r="C16" i="4" l="1"/>
  <c r="I55" i="13"/>
  <c r="H55" i="13"/>
  <c r="I60" i="13"/>
  <c r="H60" i="13"/>
  <c r="I54" i="13"/>
  <c r="H54" i="13"/>
  <c r="I58" i="13"/>
  <c r="H58" i="13"/>
  <c r="K58" i="13" s="1"/>
  <c r="I57" i="13"/>
  <c r="H57" i="13"/>
  <c r="I56" i="13"/>
  <c r="H56" i="13"/>
  <c r="I53" i="13"/>
  <c r="H53" i="13"/>
  <c r="I59" i="13"/>
  <c r="H59" i="13"/>
  <c r="I52" i="13"/>
  <c r="H52" i="13"/>
  <c r="I13" i="13"/>
  <c r="H13" i="13"/>
  <c r="I18" i="13"/>
  <c r="H18" i="13"/>
  <c r="I12" i="13"/>
  <c r="H12" i="13"/>
  <c r="I16" i="13"/>
  <c r="H16" i="13"/>
  <c r="I15" i="13"/>
  <c r="H15" i="13"/>
  <c r="I14" i="13"/>
  <c r="H14" i="13"/>
  <c r="I11" i="13"/>
  <c r="H11" i="13"/>
  <c r="I17" i="13"/>
  <c r="H17" i="13"/>
  <c r="I10" i="13"/>
  <c r="H10" i="13"/>
  <c r="I42" i="13"/>
  <c r="H42" i="13"/>
  <c r="I47" i="13"/>
  <c r="H47" i="13"/>
  <c r="I41" i="13"/>
  <c r="H41" i="13"/>
  <c r="U43" i="13"/>
  <c r="I45" i="13"/>
  <c r="H45" i="13"/>
  <c r="U42" i="13"/>
  <c r="I44" i="13"/>
  <c r="H44" i="13"/>
  <c r="U41" i="13"/>
  <c r="I43" i="13"/>
  <c r="H43" i="13"/>
  <c r="U40" i="13"/>
  <c r="I40" i="13"/>
  <c r="H40" i="13"/>
  <c r="U39" i="13"/>
  <c r="I46" i="13"/>
  <c r="H46" i="13"/>
  <c r="U38" i="13"/>
  <c r="I39" i="13"/>
  <c r="H39" i="13"/>
  <c r="U37" i="13"/>
  <c r="I9" i="13"/>
  <c r="H9" i="13"/>
  <c r="U36" i="13"/>
  <c r="I51" i="13"/>
  <c r="H51" i="13"/>
  <c r="U35" i="13"/>
  <c r="I50" i="13"/>
  <c r="H50" i="13"/>
  <c r="U34" i="13"/>
  <c r="I36" i="13"/>
  <c r="H36" i="13"/>
  <c r="K36" i="13" s="1"/>
  <c r="U33" i="13"/>
  <c r="I26" i="13"/>
  <c r="H26" i="13"/>
  <c r="U32" i="13"/>
  <c r="I25" i="13"/>
  <c r="H25" i="13"/>
  <c r="U31" i="13"/>
  <c r="I35" i="13"/>
  <c r="H35" i="13"/>
  <c r="U30" i="13"/>
  <c r="I24" i="13"/>
  <c r="H24" i="13"/>
  <c r="U29" i="13"/>
  <c r="I23" i="13"/>
  <c r="H23" i="13"/>
  <c r="U28" i="13"/>
  <c r="I32" i="13"/>
  <c r="H32" i="13"/>
  <c r="U27" i="13"/>
  <c r="I64" i="13"/>
  <c r="H64" i="13"/>
  <c r="U26" i="13"/>
  <c r="I63" i="13"/>
  <c r="H63" i="13"/>
  <c r="U25" i="13"/>
  <c r="I38" i="13"/>
  <c r="H38" i="13"/>
  <c r="U24" i="13"/>
  <c r="I30" i="13"/>
  <c r="H30" i="13"/>
  <c r="U23" i="13"/>
  <c r="I29" i="13"/>
  <c r="H29" i="13"/>
  <c r="U22" i="13"/>
  <c r="I37" i="13"/>
  <c r="H37" i="13"/>
  <c r="U21" i="13"/>
  <c r="I28" i="13"/>
  <c r="H28" i="13"/>
  <c r="K28" i="13" s="1"/>
  <c r="U20" i="13"/>
  <c r="I27" i="13"/>
  <c r="H27" i="13"/>
  <c r="U19" i="13"/>
  <c r="I31" i="13"/>
  <c r="H31" i="13"/>
  <c r="U18" i="13"/>
  <c r="I62" i="13"/>
  <c r="H62" i="13"/>
  <c r="U17" i="13"/>
  <c r="I61" i="13"/>
  <c r="H61" i="13"/>
  <c r="U16" i="13"/>
  <c r="I34" i="13"/>
  <c r="H34" i="13"/>
  <c r="U15" i="13"/>
  <c r="I22" i="13"/>
  <c r="H22" i="13"/>
  <c r="U14" i="13"/>
  <c r="I21" i="13"/>
  <c r="H21" i="13"/>
  <c r="U13" i="13"/>
  <c r="I33" i="13"/>
  <c r="H33" i="13"/>
  <c r="U12" i="13"/>
  <c r="I20" i="13"/>
  <c r="H20" i="13"/>
  <c r="U11" i="13"/>
  <c r="I19" i="13"/>
  <c r="H19" i="13"/>
  <c r="U10" i="13"/>
  <c r="I8" i="13"/>
  <c r="H8" i="13"/>
  <c r="U9" i="13"/>
  <c r="I49" i="13"/>
  <c r="H49" i="13"/>
  <c r="K49" i="13" s="1"/>
  <c r="U8" i="13"/>
  <c r="I48" i="13"/>
  <c r="H48" i="13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C11" i="12"/>
  <c r="E10" i="12"/>
  <c r="E9" i="12"/>
  <c r="E8" i="12"/>
  <c r="E7" i="12"/>
  <c r="E11" i="12" s="1"/>
  <c r="E6" i="12"/>
  <c r="R15" i="11"/>
  <c r="R16" i="11" s="1"/>
  <c r="O11" i="11"/>
  <c r="N11" i="11"/>
  <c r="J11" i="11"/>
  <c r="M11" i="11" s="1"/>
  <c r="K11" i="11"/>
  <c r="E11" i="11"/>
  <c r="F11" i="11" s="1"/>
  <c r="D11" i="11"/>
  <c r="C11" i="11"/>
  <c r="EA253" i="1"/>
  <c r="EE257" i="1" s="1"/>
  <c r="DV246" i="1"/>
  <c r="DH193" i="1"/>
  <c r="DV234" i="1"/>
  <c r="DV233" i="1"/>
  <c r="DV232" i="1"/>
  <c r="DQ214" i="1"/>
  <c r="DQ215" i="1"/>
  <c r="DQ213" i="1"/>
  <c r="DQ212" i="1"/>
  <c r="DQ221" i="1"/>
  <c r="DQ220" i="1"/>
  <c r="DQ219" i="1"/>
  <c r="DQ218" i="1"/>
  <c r="DQ217" i="1"/>
  <c r="DQ216" i="1"/>
  <c r="DF193" i="1"/>
  <c r="DD193" i="1"/>
  <c r="CY187" i="1"/>
  <c r="CW186" i="1"/>
  <c r="CS185" i="1"/>
  <c r="CS180" i="1"/>
  <c r="CQ180" i="1"/>
  <c r="R10" i="11" l="1"/>
  <c r="P11" i="11"/>
  <c r="R11" i="11"/>
  <c r="J20" i="13"/>
  <c r="L20" i="13" s="1"/>
  <c r="K32" i="13"/>
  <c r="L11" i="11"/>
  <c r="K8" i="13"/>
  <c r="K42" i="13"/>
  <c r="DL197" i="1"/>
  <c r="DP214" i="1" s="1"/>
  <c r="DV248" i="1"/>
  <c r="EE259" i="1"/>
  <c r="EE258" i="1"/>
  <c r="DL204" i="1"/>
  <c r="DP221" i="1" s="1"/>
  <c r="DL203" i="1"/>
  <c r="DP220" i="1" s="1"/>
  <c r="DL196" i="1"/>
  <c r="DP213" i="1" s="1"/>
  <c r="DQ225" i="1"/>
  <c r="EE256" i="1"/>
  <c r="K23" i="13"/>
  <c r="K48" i="13"/>
  <c r="K34" i="13"/>
  <c r="K25" i="13"/>
  <c r="K24" i="13"/>
  <c r="K56" i="13"/>
  <c r="K61" i="13"/>
  <c r="K26" i="13"/>
  <c r="K43" i="13"/>
  <c r="K44" i="13"/>
  <c r="J47" i="13"/>
  <c r="L47" i="13" s="1"/>
  <c r="J42" i="13"/>
  <c r="L42" i="13" s="1"/>
  <c r="J53" i="13"/>
  <c r="L53" i="13" s="1"/>
  <c r="K18" i="13"/>
  <c r="K62" i="13"/>
  <c r="J51" i="13"/>
  <c r="L51" i="13" s="1"/>
  <c r="K22" i="13"/>
  <c r="K45" i="13"/>
  <c r="J39" i="13"/>
  <c r="L39" i="13" s="1"/>
  <c r="K53" i="13"/>
  <c r="J43" i="13"/>
  <c r="L43" i="13" s="1"/>
  <c r="J10" i="13"/>
  <c r="L10" i="13" s="1"/>
  <c r="J21" i="13"/>
  <c r="L21" i="13" s="1"/>
  <c r="J23" i="13"/>
  <c r="L23" i="13" s="1"/>
  <c r="J26" i="13"/>
  <c r="L26" i="13" s="1"/>
  <c r="K38" i="13"/>
  <c r="K41" i="13"/>
  <c r="K33" i="13"/>
  <c r="J27" i="13"/>
  <c r="L27" i="13" s="1"/>
  <c r="K9" i="13"/>
  <c r="K14" i="13"/>
  <c r="J18" i="13"/>
  <c r="L18" i="13" s="1"/>
  <c r="J40" i="13"/>
  <c r="L40" i="13" s="1"/>
  <c r="K54" i="13"/>
  <c r="K50" i="13"/>
  <c r="J49" i="13"/>
  <c r="L49" i="13" s="1"/>
  <c r="J30" i="13"/>
  <c r="L30" i="13" s="1"/>
  <c r="K35" i="13"/>
  <c r="K17" i="13"/>
  <c r="J13" i="13"/>
  <c r="L13" i="13" s="1"/>
  <c r="J45" i="13"/>
  <c r="L45" i="13" s="1"/>
  <c r="J61" i="13"/>
  <c r="L61" i="13" s="1"/>
  <c r="K31" i="13"/>
  <c r="J37" i="13"/>
  <c r="L37" i="13" s="1"/>
  <c r="K12" i="13"/>
  <c r="K21" i="13"/>
  <c r="J38" i="13"/>
  <c r="L38" i="13" s="1"/>
  <c r="K64" i="13"/>
  <c r="K40" i="13"/>
  <c r="J48" i="13"/>
  <c r="L48" i="13" s="1"/>
  <c r="J8" i="13"/>
  <c r="L8" i="13" s="1"/>
  <c r="K20" i="13"/>
  <c r="J28" i="13"/>
  <c r="L28" i="13" s="1"/>
  <c r="K29" i="13"/>
  <c r="J25" i="13"/>
  <c r="L25" i="13" s="1"/>
  <c r="J36" i="13"/>
  <c r="L36" i="13" s="1"/>
  <c r="K47" i="13"/>
  <c r="K10" i="13"/>
  <c r="J14" i="13"/>
  <c r="L14" i="13" s="1"/>
  <c r="J12" i="13"/>
  <c r="L12" i="13" s="1"/>
  <c r="K52" i="13"/>
  <c r="J32" i="13"/>
  <c r="L32" i="13" s="1"/>
  <c r="J24" i="13"/>
  <c r="L24" i="13" s="1"/>
  <c r="K51" i="13"/>
  <c r="K39" i="13"/>
  <c r="K57" i="13"/>
  <c r="J54" i="13"/>
  <c r="L54" i="13" s="1"/>
  <c r="J63" i="13"/>
  <c r="L63" i="13" s="1"/>
  <c r="K15" i="13"/>
  <c r="K59" i="13"/>
  <c r="K60" i="13"/>
  <c r="J33" i="13"/>
  <c r="L33" i="13" s="1"/>
  <c r="K19" i="13"/>
  <c r="J34" i="13"/>
  <c r="L34" i="13" s="1"/>
  <c r="J62" i="13"/>
  <c r="L62" i="13" s="1"/>
  <c r="K30" i="13"/>
  <c r="K63" i="13"/>
  <c r="J9" i="13"/>
  <c r="L9" i="13" s="1"/>
  <c r="K46" i="13"/>
  <c r="K16" i="13"/>
  <c r="J60" i="13"/>
  <c r="L60" i="13" s="1"/>
  <c r="K27" i="13"/>
  <c r="K37" i="13"/>
  <c r="J44" i="13"/>
  <c r="L44" i="13" s="1"/>
  <c r="K11" i="13"/>
  <c r="K13" i="13"/>
  <c r="J58" i="13"/>
  <c r="L58" i="13" s="1"/>
  <c r="K55" i="13"/>
  <c r="J41" i="13"/>
  <c r="L41" i="13" s="1"/>
  <c r="J16" i="13"/>
  <c r="L16" i="13" s="1"/>
  <c r="J57" i="13"/>
  <c r="L57" i="13" s="1"/>
  <c r="J11" i="13"/>
  <c r="L11" i="13" s="1"/>
  <c r="J59" i="13"/>
  <c r="L59" i="13" s="1"/>
  <c r="J19" i="13"/>
  <c r="L19" i="13" s="1"/>
  <c r="J22" i="13"/>
  <c r="L22" i="13" s="1"/>
  <c r="J31" i="13"/>
  <c r="L31" i="13" s="1"/>
  <c r="J29" i="13"/>
  <c r="L29" i="13" s="1"/>
  <c r="J64" i="13"/>
  <c r="L64" i="13" s="1"/>
  <c r="J35" i="13"/>
  <c r="L35" i="13" s="1"/>
  <c r="J50" i="13"/>
  <c r="L50" i="13" s="1"/>
  <c r="J46" i="13"/>
  <c r="L46" i="13" s="1"/>
  <c r="J15" i="13"/>
  <c r="L15" i="13" s="1"/>
  <c r="J56" i="13"/>
  <c r="L56" i="13" s="1"/>
  <c r="J17" i="13"/>
  <c r="L17" i="13" s="1"/>
  <c r="J52" i="13"/>
  <c r="L52" i="13" s="1"/>
  <c r="J55" i="13"/>
  <c r="L55" i="13" s="1"/>
  <c r="R13" i="11"/>
  <c r="R18" i="11" s="1"/>
  <c r="R19" i="11" s="1"/>
  <c r="DL201" i="1"/>
  <c r="DP218" i="1" s="1"/>
  <c r="DL200" i="1"/>
  <c r="DP217" i="1" s="1"/>
  <c r="DL199" i="1"/>
  <c r="DP216" i="1" s="1"/>
  <c r="DL202" i="1"/>
  <c r="DP219" i="1" s="1"/>
  <c r="DL198" i="1"/>
  <c r="DP215" i="1" s="1"/>
  <c r="DL195" i="1"/>
  <c r="DP212" i="1" s="1"/>
  <c r="DA185" i="1"/>
  <c r="DP222" i="1" s="1"/>
  <c r="DA184" i="1"/>
  <c r="DP211" i="1" s="1"/>
  <c r="DA187" i="1"/>
  <c r="DP224" i="1" s="1"/>
  <c r="DA183" i="1"/>
  <c r="DP210" i="1" s="1"/>
  <c r="DA182" i="1"/>
  <c r="DP209" i="1" s="1"/>
  <c r="DA186" i="1"/>
  <c r="DP223" i="1" s="1"/>
  <c r="DR215" i="1" l="1"/>
  <c r="DU238" i="1"/>
  <c r="DW238" i="1" s="1"/>
  <c r="DR222" i="1"/>
  <c r="DU245" i="1"/>
  <c r="DW245" i="1" s="1"/>
  <c r="DR219" i="1"/>
  <c r="DU242" i="1"/>
  <c r="DW242" i="1" s="1"/>
  <c r="DR212" i="1"/>
  <c r="DU235" i="1"/>
  <c r="DW235" i="1" s="1"/>
  <c r="DR214" i="1"/>
  <c r="DU237" i="1"/>
  <c r="DW237" i="1" s="1"/>
  <c r="DR220" i="1"/>
  <c r="DU243" i="1"/>
  <c r="DW243" i="1" s="1"/>
  <c r="DR210" i="1"/>
  <c r="DU233" i="1"/>
  <c r="DW233" i="1" s="1"/>
  <c r="DR217" i="1"/>
  <c r="DU240" i="1"/>
  <c r="DW240" i="1" s="1"/>
  <c r="DR216" i="1"/>
  <c r="DU239" i="1"/>
  <c r="DW239" i="1" s="1"/>
  <c r="DR223" i="1"/>
  <c r="DU246" i="1"/>
  <c r="DW246" i="1" s="1"/>
  <c r="DR224" i="1"/>
  <c r="DU247" i="1"/>
  <c r="DW247" i="1" s="1"/>
  <c r="DR221" i="1"/>
  <c r="DU244" i="1"/>
  <c r="DW244" i="1" s="1"/>
  <c r="DR213" i="1"/>
  <c r="DU236" i="1"/>
  <c r="DW236" i="1" s="1"/>
  <c r="DR218" i="1"/>
  <c r="DU241" i="1"/>
  <c r="DW241" i="1" s="1"/>
  <c r="DR209" i="1"/>
  <c r="DU232" i="1"/>
  <c r="DP225" i="1"/>
  <c r="DR211" i="1"/>
  <c r="DU234" i="1"/>
  <c r="DW234" i="1" s="1"/>
  <c r="O9" i="9"/>
  <c r="S9" i="9" s="1"/>
  <c r="I19" i="8"/>
  <c r="K9" i="9"/>
  <c r="W9" i="9" s="1"/>
  <c r="H9" i="9"/>
  <c r="F9" i="9"/>
  <c r="I9" i="9" s="1"/>
  <c r="P9" i="9" s="1"/>
  <c r="T9" i="9" s="1"/>
  <c r="D9" i="9"/>
  <c r="J5" i="9"/>
  <c r="J7" i="9" s="1"/>
  <c r="N5" i="9"/>
  <c r="N7" i="9" s="1"/>
  <c r="R5" i="9"/>
  <c r="R7" i="9" s="1"/>
  <c r="R8" i="9" s="1"/>
  <c r="Z4" i="9"/>
  <c r="Z5" i="9" s="1"/>
  <c r="Z7" i="9" s="1"/>
  <c r="Y4" i="9"/>
  <c r="Y5" i="9" s="1"/>
  <c r="Y7" i="9" s="1"/>
  <c r="V4" i="9"/>
  <c r="V5" i="9" s="1"/>
  <c r="V7" i="9" s="1"/>
  <c r="U4" i="9"/>
  <c r="U5" i="9" s="1"/>
  <c r="U7" i="9" s="1"/>
  <c r="R4" i="9"/>
  <c r="Q4" i="9"/>
  <c r="Q5" i="9" s="1"/>
  <c r="Q7" i="9" s="1"/>
  <c r="N4" i="9"/>
  <c r="J4" i="9"/>
  <c r="G4" i="9"/>
  <c r="G5" i="9" s="1"/>
  <c r="G7" i="9" s="1"/>
  <c r="AA4" i="9"/>
  <c r="AA5" i="9" s="1"/>
  <c r="AA7" i="9" s="1"/>
  <c r="X4" i="9"/>
  <c r="X5" i="9" s="1"/>
  <c r="X7" i="9" s="1"/>
  <c r="W4" i="9"/>
  <c r="W5" i="9" s="1"/>
  <c r="W7" i="9" s="1"/>
  <c r="T4" i="9"/>
  <c r="T5" i="9" s="1"/>
  <c r="T7" i="9" s="1"/>
  <c r="S4" i="9"/>
  <c r="S5" i="9" s="1"/>
  <c r="S7" i="9" s="1"/>
  <c r="P4" i="9"/>
  <c r="P5" i="9" s="1"/>
  <c r="P7" i="9" s="1"/>
  <c r="O4" i="9"/>
  <c r="O5" i="9" s="1"/>
  <c r="O7" i="9" s="1"/>
  <c r="M4" i="9"/>
  <c r="M5" i="9" s="1"/>
  <c r="M7" i="9" s="1"/>
  <c r="L4" i="9"/>
  <c r="L5" i="9" s="1"/>
  <c r="L7" i="9" s="1"/>
  <c r="K4" i="9"/>
  <c r="K5" i="9" s="1"/>
  <c r="K7" i="9" s="1"/>
  <c r="I4" i="9"/>
  <c r="I5" i="9" s="1"/>
  <c r="I7" i="9" s="1"/>
  <c r="H4" i="9"/>
  <c r="H5" i="9" s="1"/>
  <c r="H7" i="9" s="1"/>
  <c r="F4" i="9"/>
  <c r="F5" i="9" s="1"/>
  <c r="F7" i="9" s="1"/>
  <c r="E4" i="9"/>
  <c r="E5" i="9" s="1"/>
  <c r="E7" i="9" s="1"/>
  <c r="D4" i="9"/>
  <c r="D5" i="9" s="1"/>
  <c r="D7" i="9" s="1"/>
  <c r="AY92" i="9"/>
  <c r="AZ92" i="9" s="1"/>
  <c r="BA92" i="9" s="1"/>
  <c r="BB92" i="9" s="1"/>
  <c r="AX92" i="9"/>
  <c r="BC92" i="9" s="1"/>
  <c r="BD92" i="9" s="1"/>
  <c r="AY91" i="9"/>
  <c r="AZ91" i="9" s="1"/>
  <c r="BA91" i="9" s="1"/>
  <c r="BB91" i="9" s="1"/>
  <c r="AX91" i="9"/>
  <c r="BC91" i="9" s="1"/>
  <c r="BD91" i="9" s="1"/>
  <c r="AR90" i="9"/>
  <c r="AR91" i="9" s="1"/>
  <c r="AW88" i="9"/>
  <c r="AW89" i="9" s="1"/>
  <c r="AQ80" i="9"/>
  <c r="AO72" i="9"/>
  <c r="AQ71" i="9"/>
  <c r="AL62" i="9"/>
  <c r="AL74" i="9" s="1"/>
  <c r="AM61" i="9"/>
  <c r="AT62" i="9" s="1"/>
  <c r="AZ58" i="9"/>
  <c r="AV58" i="9"/>
  <c r="AT59" i="9" s="1"/>
  <c r="AR58" i="9"/>
  <c r="AN58" i="9"/>
  <c r="AL59" i="9" s="1"/>
  <c r="BE55" i="9"/>
  <c r="BE61" i="9" s="1"/>
  <c r="BE54" i="9"/>
  <c r="M8" i="9" l="1"/>
  <c r="D8" i="9"/>
  <c r="K8" i="9"/>
  <c r="H8" i="9"/>
  <c r="T8" i="9"/>
  <c r="DU248" i="1"/>
  <c r="DW232" i="1"/>
  <c r="DW248" i="1" s="1"/>
  <c r="DR225" i="1"/>
  <c r="DR228" i="1" s="1"/>
  <c r="U8" i="9"/>
  <c r="N8" i="9"/>
  <c r="P8" i="9"/>
  <c r="E8" i="9"/>
  <c r="V8" i="9"/>
  <c r="G8" i="9"/>
  <c r="J8" i="9"/>
  <c r="O8" i="9"/>
  <c r="F8" i="9"/>
  <c r="S8" i="9"/>
  <c r="Q8" i="9"/>
  <c r="W8" i="9"/>
  <c r="I8" i="9"/>
  <c r="BE58" i="9"/>
  <c r="BE60" i="9"/>
  <c r="AL60" i="9" s="1"/>
  <c r="BE57" i="9"/>
  <c r="AS59" i="9" s="1"/>
  <c r="AT74" i="9"/>
  <c r="AU71" i="9" s="1"/>
  <c r="AS61" i="9"/>
  <c r="AU61" i="9"/>
  <c r="BB59" i="9"/>
  <c r="BY155" i="1"/>
  <c r="BY156" i="1"/>
  <c r="BY149" i="1"/>
  <c r="BZ149" i="1" s="1"/>
  <c r="BY148" i="1"/>
  <c r="BZ148" i="1" s="1"/>
  <c r="BM137" i="1"/>
  <c r="BL123" i="1"/>
  <c r="BN123" i="1"/>
  <c r="BM136" i="1"/>
  <c r="BA59" i="9" l="1"/>
  <c r="AU59" i="9"/>
  <c r="BB60" i="9"/>
  <c r="DW251" i="1"/>
  <c r="AT60" i="9"/>
  <c r="AM59" i="9"/>
  <c r="BB62" i="9"/>
  <c r="BA61" i="9"/>
  <c r="BZ150" i="1"/>
  <c r="BZ151" i="1" l="1"/>
  <c r="CD161" i="1"/>
  <c r="BB74" i="9"/>
  <c r="BC71" i="9" s="1"/>
  <c r="AO71" i="9"/>
  <c r="AM71" i="9" l="1"/>
  <c r="AM62" i="9" s="1"/>
  <c r="AL63" i="9" l="1"/>
  <c r="AL75" i="9" s="1"/>
  <c r="AM72" i="9" s="1"/>
  <c r="AU62" i="9"/>
  <c r="AS62" i="9"/>
  <c r="AT63" i="9"/>
  <c r="AT75" i="9" l="1"/>
  <c r="AU72" i="9" s="1"/>
  <c r="AM63" i="9"/>
  <c r="AL64" i="9"/>
  <c r="BB63" i="9"/>
  <c r="BA62" i="9"/>
  <c r="AS63" i="9" l="1"/>
  <c r="AU63" i="9"/>
  <c r="BB75" i="9"/>
  <c r="BC72" i="9" s="1"/>
  <c r="AL76" i="9"/>
  <c r="AM73" i="9" s="1"/>
  <c r="AT64" i="9"/>
  <c r="AT76" i="9" l="1"/>
  <c r="AU73" i="9" s="1"/>
  <c r="BB64" i="9"/>
  <c r="BA63" i="9"/>
  <c r="AM64" i="9"/>
  <c r="AL65" i="9"/>
  <c r="AS64" i="9" l="1"/>
  <c r="AU64" i="9"/>
  <c r="AL77" i="9"/>
  <c r="AM74" i="9"/>
  <c r="AT65" i="9"/>
  <c r="BB76" i="9"/>
  <c r="BC73" i="9" s="1"/>
  <c r="AM65" i="9" l="1"/>
  <c r="AL66" i="9"/>
  <c r="AT77" i="9"/>
  <c r="AU74" i="9" s="1"/>
  <c r="BB65" i="9"/>
  <c r="BA64" i="9"/>
  <c r="AL78" i="9" l="1"/>
  <c r="AM75" i="9" s="1"/>
  <c r="AT66" i="9"/>
  <c r="AU65" i="9"/>
  <c r="AS65" i="9"/>
  <c r="BB77" i="9"/>
  <c r="BC74" i="9" s="1"/>
  <c r="BB66" i="9" l="1"/>
  <c r="BA65" i="9"/>
  <c r="AT78" i="9"/>
  <c r="AU75" i="9" s="1"/>
  <c r="AL67" i="9"/>
  <c r="AM66" i="9"/>
  <c r="AL79" i="9" l="1"/>
  <c r="AL80" i="9" s="1"/>
  <c r="AT67" i="9"/>
  <c r="AU66" i="9"/>
  <c r="AS66" i="9"/>
  <c r="BB78" i="9"/>
  <c r="BC75" i="9" s="1"/>
  <c r="BB67" i="9" l="1"/>
  <c r="BA66" i="9"/>
  <c r="AT79" i="9"/>
  <c r="AM76" i="9"/>
  <c r="AM67" i="9" s="1"/>
  <c r="AL68" i="9"/>
  <c r="BB79" i="9" l="1"/>
  <c r="BB80" i="9" s="1"/>
  <c r="AU76" i="9"/>
  <c r="AT68" i="9" l="1"/>
  <c r="AS67" i="9"/>
  <c r="AU67" i="9"/>
  <c r="AT80" i="9"/>
  <c r="BC76" i="9"/>
  <c r="BA67" i="9" s="1"/>
  <c r="BB68" i="9" l="1"/>
  <c r="I23" i="8"/>
  <c r="J23" i="8" s="1"/>
  <c r="L23" i="8" s="1"/>
  <c r="I24" i="8"/>
  <c r="I25" i="8"/>
  <c r="I26" i="8"/>
  <c r="I27" i="8"/>
  <c r="J27" i="8" s="1"/>
  <c r="L27" i="8" s="1"/>
  <c r="I28" i="8"/>
  <c r="I29" i="8"/>
  <c r="I30" i="8"/>
  <c r="I31" i="8"/>
  <c r="J31" i="8" s="1"/>
  <c r="L31" i="8" s="1"/>
  <c r="I32" i="8"/>
  <c r="I33" i="8"/>
  <c r="I34" i="8"/>
  <c r="I35" i="8"/>
  <c r="J35" i="8" s="1"/>
  <c r="L35" i="8" s="1"/>
  <c r="I36" i="8"/>
  <c r="I37" i="8"/>
  <c r="I38" i="8"/>
  <c r="I39" i="8"/>
  <c r="J39" i="8" s="1"/>
  <c r="L39" i="8" s="1"/>
  <c r="I40" i="8"/>
  <c r="I41" i="8"/>
  <c r="I42" i="8"/>
  <c r="I43" i="8"/>
  <c r="J43" i="8" s="1"/>
  <c r="L43" i="8" s="1"/>
  <c r="I44" i="8"/>
  <c r="I45" i="8"/>
  <c r="I46" i="8"/>
  <c r="I47" i="8"/>
  <c r="J47" i="8" s="1"/>
  <c r="L47" i="8" s="1"/>
  <c r="I48" i="8"/>
  <c r="I49" i="8"/>
  <c r="I50" i="8"/>
  <c r="I51" i="8"/>
  <c r="J51" i="8" s="1"/>
  <c r="L51" i="8" s="1"/>
  <c r="I52" i="8"/>
  <c r="I53" i="8"/>
  <c r="I54" i="8"/>
  <c r="I55" i="8"/>
  <c r="J55" i="8" s="1"/>
  <c r="L55" i="8" s="1"/>
  <c r="I56" i="8"/>
  <c r="I57" i="8"/>
  <c r="I58" i="8"/>
  <c r="I59" i="8"/>
  <c r="J59" i="8" s="1"/>
  <c r="L59" i="8" s="1"/>
  <c r="I60" i="8"/>
  <c r="I61" i="8"/>
  <c r="I62" i="8"/>
  <c r="I63" i="8"/>
  <c r="J63" i="8" s="1"/>
  <c r="L63" i="8" s="1"/>
  <c r="I64" i="8"/>
  <c r="I22" i="8"/>
  <c r="I21" i="8"/>
  <c r="J21" i="8" s="1"/>
  <c r="L21" i="8" s="1"/>
  <c r="I20" i="8"/>
  <c r="U43" i="8"/>
  <c r="U42" i="8"/>
  <c r="U41" i="8"/>
  <c r="U40" i="8"/>
  <c r="U39" i="8"/>
  <c r="U38" i="8"/>
  <c r="U37" i="8"/>
  <c r="U36" i="8"/>
  <c r="U35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8" i="8"/>
  <c r="I11" i="8"/>
  <c r="I12" i="8"/>
  <c r="I13" i="8"/>
  <c r="I14" i="8"/>
  <c r="I15" i="8"/>
  <c r="I16" i="8"/>
  <c r="I17" i="8"/>
  <c r="I18" i="8"/>
  <c r="I8" i="8"/>
  <c r="I9" i="8"/>
  <c r="I10" i="8"/>
  <c r="O105" i="2"/>
  <c r="O104" i="2"/>
  <c r="Q104" i="2" s="1"/>
  <c r="J12" i="8" l="1"/>
  <c r="L12" i="8" s="1"/>
  <c r="J8" i="8"/>
  <c r="L8" i="8" s="1"/>
  <c r="K20" i="8"/>
  <c r="J50" i="8"/>
  <c r="L50" i="8" s="1"/>
  <c r="J57" i="8"/>
  <c r="L57" i="8" s="1"/>
  <c r="J49" i="8"/>
  <c r="L49" i="8" s="1"/>
  <c r="J45" i="8"/>
  <c r="L45" i="8" s="1"/>
  <c r="J37" i="8"/>
  <c r="L37" i="8" s="1"/>
  <c r="J33" i="8"/>
  <c r="L33" i="8" s="1"/>
  <c r="J29" i="8"/>
  <c r="L29" i="8" s="1"/>
  <c r="J25" i="8"/>
  <c r="L25" i="8" s="1"/>
  <c r="J22" i="8"/>
  <c r="L22" i="8" s="1"/>
  <c r="J54" i="8"/>
  <c r="L54" i="8" s="1"/>
  <c r="J61" i="8"/>
  <c r="L61" i="8" s="1"/>
  <c r="J53" i="8"/>
  <c r="L53" i="8" s="1"/>
  <c r="J41" i="8"/>
  <c r="L41" i="8" s="1"/>
  <c r="J58" i="8"/>
  <c r="L58" i="8" s="1"/>
  <c r="J62" i="8"/>
  <c r="L62" i="8" s="1"/>
  <c r="J46" i="8"/>
  <c r="L46" i="8" s="1"/>
  <c r="J18" i="8"/>
  <c r="L18" i="8" s="1"/>
  <c r="K14" i="8"/>
  <c r="J9" i="8"/>
  <c r="L9" i="8" s="1"/>
  <c r="J13" i="8"/>
  <c r="L13" i="8" s="1"/>
  <c r="J20" i="8"/>
  <c r="L20" i="8" s="1"/>
  <c r="J60" i="8"/>
  <c r="L60" i="8" s="1"/>
  <c r="J52" i="8"/>
  <c r="L52" i="8" s="1"/>
  <c r="J44" i="8"/>
  <c r="L44" i="8" s="1"/>
  <c r="J36" i="8"/>
  <c r="L36" i="8" s="1"/>
  <c r="J32" i="8"/>
  <c r="L32" i="8" s="1"/>
  <c r="J28" i="8"/>
  <c r="L28" i="8" s="1"/>
  <c r="J24" i="8"/>
  <c r="L24" i="8" s="1"/>
  <c r="J64" i="8"/>
  <c r="L64" i="8" s="1"/>
  <c r="J56" i="8"/>
  <c r="L56" i="8" s="1"/>
  <c r="J48" i="8"/>
  <c r="L48" i="8" s="1"/>
  <c r="J40" i="8"/>
  <c r="L40" i="8" s="1"/>
  <c r="K16" i="8"/>
  <c r="J15" i="8"/>
  <c r="L15" i="8" s="1"/>
  <c r="K12" i="8"/>
  <c r="J14" i="8"/>
  <c r="L14" i="8" s="1"/>
  <c r="K18" i="8"/>
  <c r="J11" i="8"/>
  <c r="L11" i="8" s="1"/>
  <c r="J17" i="8"/>
  <c r="L17" i="8" s="1"/>
  <c r="J42" i="8"/>
  <c r="L42" i="8" s="1"/>
  <c r="J38" i="8"/>
  <c r="L38" i="8" s="1"/>
  <c r="J34" i="8"/>
  <c r="L34" i="8" s="1"/>
  <c r="J30" i="8"/>
  <c r="L30" i="8" s="1"/>
  <c r="J26" i="8"/>
  <c r="L26" i="8" s="1"/>
  <c r="K64" i="8"/>
  <c r="K62" i="8"/>
  <c r="K60" i="8"/>
  <c r="K58" i="8"/>
  <c r="K56" i="8"/>
  <c r="K54" i="8"/>
  <c r="K52" i="8"/>
  <c r="K50" i="8"/>
  <c r="K48" i="8"/>
  <c r="K46" i="8"/>
  <c r="K44" i="8"/>
  <c r="K42" i="8"/>
  <c r="K40" i="8"/>
  <c r="K38" i="8"/>
  <c r="K36" i="8"/>
  <c r="K34" i="8"/>
  <c r="K32" i="8"/>
  <c r="K30" i="8"/>
  <c r="K28" i="8"/>
  <c r="K26" i="8"/>
  <c r="K24" i="8"/>
  <c r="K63" i="8"/>
  <c r="K61" i="8"/>
  <c r="K59" i="8"/>
  <c r="K57" i="8"/>
  <c r="K55" i="8"/>
  <c r="K53" i="8"/>
  <c r="K51" i="8"/>
  <c r="K49" i="8"/>
  <c r="K47" i="8"/>
  <c r="K45" i="8"/>
  <c r="K43" i="8"/>
  <c r="K41" i="8"/>
  <c r="K39" i="8"/>
  <c r="K37" i="8"/>
  <c r="K35" i="8"/>
  <c r="K33" i="8"/>
  <c r="K31" i="8"/>
  <c r="K29" i="8"/>
  <c r="K27" i="8"/>
  <c r="K25" i="8"/>
  <c r="K23" i="8"/>
  <c r="K22" i="8"/>
  <c r="K21" i="8"/>
  <c r="J19" i="8"/>
  <c r="L19" i="8" s="1"/>
  <c r="J16" i="8"/>
  <c r="L16" i="8" s="1"/>
  <c r="K19" i="8"/>
  <c r="K17" i="8"/>
  <c r="K15" i="8"/>
  <c r="K13" i="8"/>
  <c r="K11" i="8"/>
  <c r="K9" i="8"/>
  <c r="K8" i="8"/>
  <c r="J10" i="8"/>
  <c r="L10" i="8" s="1"/>
  <c r="K10" i="8"/>
  <c r="I52" i="2"/>
  <c r="K52" i="2" s="1"/>
  <c r="C28" i="2"/>
  <c r="D28" i="2" s="1"/>
  <c r="F28" i="2" s="1"/>
  <c r="F8" i="2"/>
  <c r="C7" i="2"/>
  <c r="C24" i="2" s="1"/>
  <c r="I49" i="2"/>
  <c r="G58" i="2"/>
  <c r="I58" i="2" s="1"/>
  <c r="G59" i="2"/>
  <c r="F62" i="2"/>
  <c r="F63" i="2" s="1"/>
  <c r="P105" i="2" s="1"/>
  <c r="Q105" i="2" s="1"/>
  <c r="Q106" i="2" s="1"/>
  <c r="G45" i="2"/>
  <c r="C59" i="2"/>
  <c r="C53" i="2"/>
  <c r="C47" i="2"/>
  <c r="C41" i="2"/>
  <c r="C40" i="2"/>
  <c r="C39" i="2"/>
  <c r="H9" i="7"/>
  <c r="H11" i="7" s="1"/>
  <c r="H8" i="7"/>
  <c r="C9" i="7"/>
  <c r="H59" i="2" l="1"/>
  <c r="I59" i="2" s="1"/>
  <c r="I60" i="2" s="1"/>
  <c r="I48" i="2" s="1"/>
  <c r="F3" i="2"/>
  <c r="F10" i="2"/>
  <c r="F2" i="2"/>
  <c r="C55" i="2"/>
  <c r="H45" i="2" s="1"/>
  <c r="H46" i="2" l="1"/>
  <c r="I45" i="2"/>
  <c r="D17" i="5"/>
  <c r="C9" i="5"/>
  <c r="C8" i="5"/>
  <c r="C5" i="5"/>
  <c r="D31" i="4"/>
  <c r="C9" i="3"/>
  <c r="F3" i="3" s="1"/>
  <c r="C29" i="2"/>
  <c r="D29" i="2" s="1"/>
  <c r="F29" i="2" s="1"/>
  <c r="C27" i="2"/>
  <c r="D27" i="2" s="1"/>
  <c r="F27" i="2" s="1"/>
  <c r="D16" i="2"/>
  <c r="D15" i="2"/>
  <c r="D14" i="2"/>
  <c r="F14" i="2"/>
  <c r="F15" i="2" s="1"/>
  <c r="F16" i="2" s="1"/>
  <c r="I46" i="2" l="1"/>
  <c r="H47" i="2"/>
  <c r="I47" i="2" s="1"/>
  <c r="D19" i="4"/>
  <c r="F30" i="2"/>
  <c r="E11" i="5"/>
  <c r="E10" i="5"/>
  <c r="F10" i="5"/>
  <c r="G10" i="5" s="1"/>
  <c r="E9" i="5"/>
  <c r="G9" i="5" s="1"/>
  <c r="F11" i="5"/>
  <c r="F5" i="2"/>
  <c r="BZ156" i="1"/>
  <c r="BZ155" i="1"/>
  <c r="BS137" i="1"/>
  <c r="BT137" i="1" s="1"/>
  <c r="BO131" i="1"/>
  <c r="BO130" i="1"/>
  <c r="BO129" i="1"/>
  <c r="BO128" i="1"/>
  <c r="BO122" i="1"/>
  <c r="BO123" i="1"/>
  <c r="BO124" i="1"/>
  <c r="BO121" i="1"/>
  <c r="BB84" i="1"/>
  <c r="BB83" i="1"/>
  <c r="AW78" i="1"/>
  <c r="AW77" i="1"/>
  <c r="AW76" i="1"/>
  <c r="AW75" i="1"/>
  <c r="AW74" i="1"/>
  <c r="AW73" i="1"/>
  <c r="AW72" i="1"/>
  <c r="AW71" i="1"/>
  <c r="AW48" i="1"/>
  <c r="AW49" i="1"/>
  <c r="AW50" i="1"/>
  <c r="AW54" i="1" l="1"/>
  <c r="C28" i="4"/>
  <c r="D20" i="4"/>
  <c r="C29" i="4" s="1"/>
  <c r="F29" i="4" s="1"/>
  <c r="G11" i="5"/>
  <c r="G13" i="5" s="1"/>
  <c r="I50" i="2"/>
  <c r="K50" i="2" s="1"/>
  <c r="K54" i="2" s="1"/>
  <c r="E14" i="2"/>
  <c r="C18" i="2" s="1"/>
  <c r="BZ157" i="1"/>
  <c r="CD162" i="1" s="1"/>
  <c r="CD163" i="1" s="1"/>
  <c r="CD164" i="1" s="1"/>
  <c r="BO125" i="1"/>
  <c r="BO132" i="1"/>
  <c r="BB85" i="1"/>
  <c r="AW79" i="1"/>
  <c r="G15" i="5" l="1"/>
  <c r="G20" i="5" s="1"/>
  <c r="G21" i="5" s="1"/>
  <c r="E20" i="5"/>
  <c r="E21" i="5" s="1"/>
  <c r="C32" i="4"/>
  <c r="F28" i="4"/>
  <c r="E15" i="2"/>
  <c r="E16" i="2" s="1"/>
  <c r="G16" i="2" s="1"/>
  <c r="F18" i="2"/>
  <c r="G14" i="2"/>
  <c r="BZ158" i="1"/>
  <c r="BO126" i="1"/>
  <c r="CC161" i="1"/>
  <c r="CE161" i="1" s="1"/>
  <c r="CJ172" i="1" s="1"/>
  <c r="AZ93" i="1"/>
  <c r="AZ89" i="1"/>
  <c r="AZ90" i="1" s="1"/>
  <c r="BO133" i="1"/>
  <c r="CC162" i="1"/>
  <c r="E8" i="1"/>
  <c r="E6" i="1"/>
  <c r="C42" i="4" l="1"/>
  <c r="C20" i="2"/>
  <c r="C21" i="2" s="1"/>
  <c r="G15" i="2"/>
  <c r="F21" i="2" s="1"/>
  <c r="CK172" i="1"/>
  <c r="CL172" i="1"/>
  <c r="CM172" i="1" s="1"/>
  <c r="CC163" i="1"/>
  <c r="CC164" i="1" s="1"/>
  <c r="CE162" i="1"/>
  <c r="F20" i="2"/>
  <c r="AL18" i="1"/>
  <c r="AL19" i="1"/>
  <c r="AL20" i="1"/>
  <c r="AL21" i="1"/>
  <c r="AL22" i="1"/>
  <c r="AL23" i="1"/>
  <c r="AL24" i="1"/>
  <c r="AL17" i="1"/>
  <c r="H5" i="1"/>
  <c r="H6" i="1"/>
  <c r="H7" i="1"/>
  <c r="H8" i="1"/>
  <c r="H9" i="1"/>
  <c r="H10" i="1"/>
  <c r="H11" i="1"/>
  <c r="H12" i="1"/>
  <c r="F22" i="2" l="1"/>
  <c r="CJ173" i="1"/>
  <c r="CE163" i="1"/>
  <c r="AL25" i="1"/>
  <c r="AG25" i="1" s="1"/>
  <c r="H13" i="1"/>
  <c r="M25" i="1" l="1"/>
  <c r="M26" i="1" s="1"/>
  <c r="CK173" i="1"/>
  <c r="CK174" i="1" s="1"/>
  <c r="CJ174" i="1"/>
  <c r="CL173" i="1"/>
  <c r="CE164" i="1"/>
  <c r="CE167" i="1"/>
  <c r="CE168" i="1" s="1"/>
  <c r="Q25" i="1"/>
  <c r="U25" i="1"/>
  <c r="Y25" i="1"/>
  <c r="AC25" i="1"/>
  <c r="CM173" i="1" l="1"/>
  <c r="CL174" i="1"/>
  <c r="Q26" i="1"/>
  <c r="U26" i="1" s="1"/>
  <c r="Y26" i="1" s="1"/>
  <c r="AC26" i="1" s="1"/>
  <c r="AG26" i="1" s="1"/>
</calcChain>
</file>

<file path=xl/sharedStrings.xml><?xml version="1.0" encoding="utf-8"?>
<sst xmlns="http://schemas.openxmlformats.org/spreadsheetml/2006/main" count="1605" uniqueCount="392">
  <si>
    <t>No.</t>
  </si>
  <si>
    <t>Descripción</t>
  </si>
  <si>
    <t>Cantidad</t>
  </si>
  <si>
    <t>Unidad de medida</t>
  </si>
  <si>
    <t>Costo unitario (Q.)</t>
  </si>
  <si>
    <t>Costo total (Q.)</t>
  </si>
  <si>
    <t>Visitas de campo</t>
  </si>
  <si>
    <t>Laboratorio de suelos</t>
  </si>
  <si>
    <t>Levantamiento topográfico</t>
  </si>
  <si>
    <t>Cálculo y diseño de edificio</t>
  </si>
  <si>
    <t>Elaboración de planos</t>
  </si>
  <si>
    <t>Elaboración de presupuesto</t>
  </si>
  <si>
    <t>Impresión de informe final</t>
  </si>
  <si>
    <t>Total</t>
  </si>
  <si>
    <t>Avance porcentual</t>
  </si>
  <si>
    <t>Avance porcentual acumulado</t>
  </si>
  <si>
    <t>Elaboración de informe final</t>
  </si>
  <si>
    <t>unidad</t>
  </si>
  <si>
    <t>m²</t>
  </si>
  <si>
    <t>mes 1</t>
  </si>
  <si>
    <t>mes 2</t>
  </si>
  <si>
    <t>mes 3</t>
  </si>
  <si>
    <t>mes 4</t>
  </si>
  <si>
    <t>mes 5</t>
  </si>
  <si>
    <t>mes 6</t>
  </si>
  <si>
    <t>Descripción del suelo</t>
  </si>
  <si>
    <t>peso específico del suelo</t>
  </si>
  <si>
    <t>Ángulo de fricción interna</t>
  </si>
  <si>
    <t>Cohesión</t>
  </si>
  <si>
    <t>Desplante</t>
  </si>
  <si>
    <t>b</t>
  </si>
  <si>
    <t>L</t>
  </si>
  <si>
    <t>Factor de seguridad</t>
  </si>
  <si>
    <t>Arcilla con presencia de arena color café oscuro</t>
  </si>
  <si>
    <t>ton/m³</t>
  </si>
  <si>
    <t>°</t>
  </si>
  <si>
    <t>ton/m²</t>
  </si>
  <si>
    <t>m</t>
  </si>
  <si>
    <t>Elemento</t>
  </si>
  <si>
    <t>Repello y cernido</t>
  </si>
  <si>
    <t>Relleno</t>
  </si>
  <si>
    <t>Sobrecarga</t>
  </si>
  <si>
    <t>Piso granito</t>
  </si>
  <si>
    <t>Muros</t>
  </si>
  <si>
    <t>Losa</t>
  </si>
  <si>
    <t>Vigas</t>
  </si>
  <si>
    <t>Columna</t>
  </si>
  <si>
    <t>Peso (Kg/m²)</t>
  </si>
  <si>
    <t>Área (m²)</t>
  </si>
  <si>
    <t>Longitud (m)</t>
  </si>
  <si>
    <t>Carga axial (kg)</t>
  </si>
  <si>
    <t>PESO DEL PRIMER NIVEL</t>
  </si>
  <si>
    <t>PESO DEL SEGUNDO NIVEL</t>
  </si>
  <si>
    <t>PESO CARGA VIVA</t>
  </si>
  <si>
    <t>Viga</t>
  </si>
  <si>
    <t>área tributaria (m²)</t>
  </si>
  <si>
    <t>Carga muerta (kg/m)</t>
  </si>
  <si>
    <t>Carga viva (kg/m)</t>
  </si>
  <si>
    <t>Integración carga gravitacional nivel 2</t>
  </si>
  <si>
    <t>Integración carga gravitacional nivel 1</t>
  </si>
  <si>
    <t>Muro</t>
  </si>
  <si>
    <t>Peso unitario</t>
  </si>
  <si>
    <t>Unidad</t>
  </si>
  <si>
    <t>Peso (kg)</t>
  </si>
  <si>
    <t>kg/m</t>
  </si>
  <si>
    <t>kg/col</t>
  </si>
  <si>
    <t>kg/m²</t>
  </si>
  <si>
    <t>Peso muerto total nivel 2 (kg)</t>
  </si>
  <si>
    <t>Peso muerto total nivel 2 (ton)</t>
  </si>
  <si>
    <t>Peso muerto total nivel 1 (kg)</t>
  </si>
  <si>
    <t>Peso muerto total nivel 1 (ton)</t>
  </si>
  <si>
    <t>Columna segundo nivel</t>
  </si>
  <si>
    <t>Peso unitario (kg/col)</t>
  </si>
  <si>
    <t>Concreto</t>
  </si>
  <si>
    <t>Acabados</t>
  </si>
  <si>
    <t>carga viva kg/m²</t>
  </si>
  <si>
    <t>factor de participación de dicha carga</t>
  </si>
  <si>
    <t>elemento</t>
  </si>
  <si>
    <t>peso unitario</t>
  </si>
  <si>
    <t>cantidad</t>
  </si>
  <si>
    <t>peso</t>
  </si>
  <si>
    <t>peso vivo total nivel 2 (kg)</t>
  </si>
  <si>
    <t>peso vivo total nivel 2 (ton)</t>
  </si>
  <si>
    <t>losa 1</t>
  </si>
  <si>
    <t>losa 2</t>
  </si>
  <si>
    <t>Nivel</t>
  </si>
  <si>
    <t>carga muerta total (kg)</t>
  </si>
  <si>
    <t>carga viva total (kg)</t>
  </si>
  <si>
    <t>peso total</t>
  </si>
  <si>
    <t>Nivel 2</t>
  </si>
  <si>
    <t>Nivel 1</t>
  </si>
  <si>
    <t>peso sísmico total (kg)</t>
  </si>
  <si>
    <t>peso sísmico total (ton)</t>
  </si>
  <si>
    <t>Peso sísmico total</t>
  </si>
  <si>
    <t>Ag</t>
  </si>
  <si>
    <t>fc</t>
  </si>
  <si>
    <t>fy</t>
  </si>
  <si>
    <t>d</t>
  </si>
  <si>
    <t>h</t>
  </si>
  <si>
    <t>r</t>
  </si>
  <si>
    <t>As1</t>
  </si>
  <si>
    <t>As2</t>
  </si>
  <si>
    <t>As</t>
  </si>
  <si>
    <t>Pb</t>
  </si>
  <si>
    <t>Beta</t>
  </si>
  <si>
    <t>Asmax</t>
  </si>
  <si>
    <t>Negativo I</t>
  </si>
  <si>
    <t>Positivo</t>
  </si>
  <si>
    <t>Negativo D</t>
  </si>
  <si>
    <t>Mu (kg*m)</t>
  </si>
  <si>
    <t>As Mu</t>
  </si>
  <si>
    <t>As mín</t>
  </si>
  <si>
    <t>As max</t>
  </si>
  <si>
    <t>Asmin</t>
  </si>
  <si>
    <t>A utilizar</t>
  </si>
  <si>
    <t>Armado</t>
  </si>
  <si>
    <t xml:space="preserve">3 No.6 </t>
  </si>
  <si>
    <t>Vc</t>
  </si>
  <si>
    <t>Phi</t>
  </si>
  <si>
    <t>As min</t>
  </si>
  <si>
    <t>t</t>
  </si>
  <si>
    <t>Cu</t>
  </si>
  <si>
    <t>CM</t>
  </si>
  <si>
    <t>CV</t>
  </si>
  <si>
    <t>Fcu</t>
  </si>
  <si>
    <t>P</t>
  </si>
  <si>
    <t>Pu</t>
  </si>
  <si>
    <t>Mux</t>
  </si>
  <si>
    <t>Muy</t>
  </si>
  <si>
    <t>P´</t>
  </si>
  <si>
    <t>Mtx</t>
  </si>
  <si>
    <t>Mty</t>
  </si>
  <si>
    <t>A</t>
  </si>
  <si>
    <t>Vs</t>
  </si>
  <si>
    <t>B</t>
  </si>
  <si>
    <t>B/6</t>
  </si>
  <si>
    <t>sx</t>
  </si>
  <si>
    <t>sy</t>
  </si>
  <si>
    <t>Pcol</t>
  </si>
  <si>
    <t>Psue</t>
  </si>
  <si>
    <t>Pcimi</t>
  </si>
  <si>
    <t>P/A</t>
  </si>
  <si>
    <t>M/s</t>
  </si>
  <si>
    <t>qmax</t>
  </si>
  <si>
    <t>qmin</t>
  </si>
  <si>
    <t>cm^4</t>
  </si>
  <si>
    <t>Z</t>
  </si>
  <si>
    <t>Kt</t>
  </si>
  <si>
    <t>x</t>
  </si>
  <si>
    <t>hn</t>
  </si>
  <si>
    <t>Ta</t>
  </si>
  <si>
    <t>Datos para el diseño de zapata</t>
  </si>
  <si>
    <t>Carga muerta</t>
  </si>
  <si>
    <t>A1+A2</t>
  </si>
  <si>
    <t>Peso del concreto</t>
  </si>
  <si>
    <t>Integración de cargas viga</t>
  </si>
  <si>
    <t>Peso por m²</t>
  </si>
  <si>
    <t>Area tributaria</t>
  </si>
  <si>
    <t>Longitud de viga</t>
  </si>
  <si>
    <t>Conjunto de mampostería</t>
  </si>
  <si>
    <t>Volumen de solera</t>
  </si>
  <si>
    <t>Volumen de block</t>
  </si>
  <si>
    <t>Peso por pieza de block</t>
  </si>
  <si>
    <t>Volumen por unidad de block</t>
  </si>
  <si>
    <t>Peso por unidad de volumen</t>
  </si>
  <si>
    <t>Carga viva</t>
  </si>
  <si>
    <t>N1: A1 - A2</t>
  </si>
  <si>
    <t>N1: A2 - A3</t>
  </si>
  <si>
    <t>N1: A3 - AV</t>
  </si>
  <si>
    <t>N1: B1 - B2</t>
  </si>
  <si>
    <t>N1: B2 - B3</t>
  </si>
  <si>
    <t>N1: B3 - BV</t>
  </si>
  <si>
    <t>Luz</t>
  </si>
  <si>
    <t>Área</t>
  </si>
  <si>
    <t>Salones</t>
  </si>
  <si>
    <t>Pasillo</t>
  </si>
  <si>
    <t>Si</t>
  </si>
  <si>
    <t>No</t>
  </si>
  <si>
    <t>Carga última sin mayorar</t>
  </si>
  <si>
    <t>Carga última</t>
  </si>
  <si>
    <t>N1: C1 - C2</t>
  </si>
  <si>
    <t>N1: C2 - C3</t>
  </si>
  <si>
    <t>N1: C3 - CV</t>
  </si>
  <si>
    <t>N1: D1 - D2</t>
  </si>
  <si>
    <t>N1: D2 - D3</t>
  </si>
  <si>
    <t>N1: D3 - DV</t>
  </si>
  <si>
    <t>Medio</t>
  </si>
  <si>
    <t>N1: E1 - E2</t>
  </si>
  <si>
    <t>N1: E2 - E3</t>
  </si>
  <si>
    <t>N1: E3 - EV</t>
  </si>
  <si>
    <t>N1</t>
  </si>
  <si>
    <t>C</t>
  </si>
  <si>
    <t>D</t>
  </si>
  <si>
    <t>E</t>
  </si>
  <si>
    <t>F</t>
  </si>
  <si>
    <t>G</t>
  </si>
  <si>
    <t>H</t>
  </si>
  <si>
    <t>I</t>
  </si>
  <si>
    <t>J</t>
  </si>
  <si>
    <t>V</t>
  </si>
  <si>
    <t>N1: F1 - F2</t>
  </si>
  <si>
    <t>N1: F2 - F3</t>
  </si>
  <si>
    <t>N1: F3 - FV</t>
  </si>
  <si>
    <t>N1: G1 - G2</t>
  </si>
  <si>
    <t>N1: G2 - G3</t>
  </si>
  <si>
    <t>N1: G3 - GV</t>
  </si>
  <si>
    <t>N1: H1 - H2</t>
  </si>
  <si>
    <t>N1: H2 - H3</t>
  </si>
  <si>
    <t>N1: H3 - HV</t>
  </si>
  <si>
    <t>N1: I1 - I2</t>
  </si>
  <si>
    <t>N1: I2 - I3</t>
  </si>
  <si>
    <t>N1: I3 - IV</t>
  </si>
  <si>
    <t>N1: J1 - J2</t>
  </si>
  <si>
    <t>N1: J2 - J3</t>
  </si>
  <si>
    <t>N1: J3 - JV</t>
  </si>
  <si>
    <t>N1: A1 - B1</t>
  </si>
  <si>
    <t>N1: B1 - C1</t>
  </si>
  <si>
    <t>N1: C1 - D1</t>
  </si>
  <si>
    <t>N1: D1 - E1</t>
  </si>
  <si>
    <t>N1: E1 - F1</t>
  </si>
  <si>
    <t>N1: F1 - G1</t>
  </si>
  <si>
    <t>N1: G1 - H1</t>
  </si>
  <si>
    <t>N1: H1 - I1</t>
  </si>
  <si>
    <t>N1: I1 - J1</t>
  </si>
  <si>
    <t>N1: A2 - B2</t>
  </si>
  <si>
    <t>N1: B2 - C2</t>
  </si>
  <si>
    <t>N1: C2 - D2</t>
  </si>
  <si>
    <t>N1: D2 - E2</t>
  </si>
  <si>
    <t>N1: E2 - F2</t>
  </si>
  <si>
    <t>N1: F2 - G2</t>
  </si>
  <si>
    <t>N1: G2 - H2</t>
  </si>
  <si>
    <t>N1: H2 - I2</t>
  </si>
  <si>
    <t>N1: I2 - J2</t>
  </si>
  <si>
    <t>N1: A3 - B3</t>
  </si>
  <si>
    <t>N1: B3 - C3</t>
  </si>
  <si>
    <t>N1: C3 - D3</t>
  </si>
  <si>
    <t>N1: D3 - E3</t>
  </si>
  <si>
    <t>N1: E3 - F3</t>
  </si>
  <si>
    <t>N1: F3 - G3</t>
  </si>
  <si>
    <t>N1: G3 - H3</t>
  </si>
  <si>
    <t>N1: H3 - I3</t>
  </si>
  <si>
    <t>N1: I3 - J3</t>
  </si>
  <si>
    <t>Momento</t>
  </si>
  <si>
    <t>Sumatoria</t>
  </si>
  <si>
    <t>Altura hx (m)</t>
  </si>
  <si>
    <t>Peso wx (kg)</t>
  </si>
  <si>
    <t>(wx)(hx) (kg*m)</t>
  </si>
  <si>
    <t>Fuerza de piso Fx (kg)</t>
  </si>
  <si>
    <t>Cortante de piso Vx (kg)</t>
  </si>
  <si>
    <t>…</t>
  </si>
  <si>
    <t>Reps</t>
  </si>
  <si>
    <t>Nodo</t>
  </si>
  <si>
    <t>Barra</t>
  </si>
  <si>
    <t>A-B</t>
  </si>
  <si>
    <t>B-A</t>
  </si>
  <si>
    <t>B-C</t>
  </si>
  <si>
    <t>C-B</t>
  </si>
  <si>
    <t>C-D</t>
  </si>
  <si>
    <t>D-C</t>
  </si>
  <si>
    <t>Factor de giro</t>
  </si>
  <si>
    <t>Momentos de sujección</t>
  </si>
  <si>
    <t>Factor de piso</t>
  </si>
  <si>
    <t>Momento de sujección (viga)</t>
  </si>
  <si>
    <t>Momento de sujección (columna)</t>
  </si>
  <si>
    <t>Momento de empotramiento</t>
  </si>
  <si>
    <t>Momento en el nodo</t>
  </si>
  <si>
    <t>Momento de piso</t>
  </si>
  <si>
    <t>Momento final</t>
  </si>
  <si>
    <t>Ic</t>
  </si>
  <si>
    <t>Iv</t>
  </si>
  <si>
    <t>Ioc</t>
  </si>
  <si>
    <t>Iov</t>
  </si>
  <si>
    <t>Kc</t>
  </si>
  <si>
    <t>Kv</t>
  </si>
  <si>
    <t>Inercia</t>
  </si>
  <si>
    <t>Inercia relativa</t>
  </si>
  <si>
    <t>Rigidez relativa</t>
  </si>
  <si>
    <t>A-E</t>
  </si>
  <si>
    <t>B-F</t>
  </si>
  <si>
    <t>C-G</t>
  </si>
  <si>
    <t>E-A</t>
  </si>
  <si>
    <t>E-I</t>
  </si>
  <si>
    <t>E-F</t>
  </si>
  <si>
    <t>F-E</t>
  </si>
  <si>
    <t>F-B</t>
  </si>
  <si>
    <t>F-J</t>
  </si>
  <si>
    <t>F-G</t>
  </si>
  <si>
    <t>G-F</t>
  </si>
  <si>
    <t>G-C</t>
  </si>
  <si>
    <t>G-K</t>
  </si>
  <si>
    <t>G-H</t>
  </si>
  <si>
    <t>H-G</t>
  </si>
  <si>
    <t>K</t>
  </si>
  <si>
    <t>I-E</t>
  </si>
  <si>
    <t>J-F</t>
  </si>
  <si>
    <t>K-G</t>
  </si>
  <si>
    <t>Eje</t>
  </si>
  <si>
    <t>Peso</t>
  </si>
  <si>
    <t>Carga viva aulas</t>
  </si>
  <si>
    <t>Carga viva pasillo</t>
  </si>
  <si>
    <t>Cv aula</t>
  </si>
  <si>
    <t>Cv pasillo</t>
  </si>
  <si>
    <t>Peso de ejes en sentido x para el nivel 1</t>
  </si>
  <si>
    <t>Total de peso por eje</t>
  </si>
  <si>
    <t>Peso de ejes en sentido y para el nivel 1</t>
  </si>
  <si>
    <t>Peso (Wi) [kg]</t>
  </si>
  <si>
    <t>Distancia al centroide del eje (Xi) [m]</t>
  </si>
  <si>
    <t>(Wi)(Xi) [kg*m]</t>
  </si>
  <si>
    <t>Carrga viva</t>
  </si>
  <si>
    <t>Suma</t>
  </si>
  <si>
    <t>Columna C1</t>
  </si>
  <si>
    <t>Columna C2</t>
  </si>
  <si>
    <t>Segundo nivel</t>
  </si>
  <si>
    <t>Primer nivel</t>
  </si>
  <si>
    <t>h1</t>
  </si>
  <si>
    <t>h2</t>
  </si>
  <si>
    <t>qa</t>
  </si>
  <si>
    <t>peso del concreto</t>
  </si>
  <si>
    <t>Peso de la tierra</t>
  </si>
  <si>
    <t>peso de la tierra</t>
  </si>
  <si>
    <t>Repetición</t>
  </si>
  <si>
    <t>qe</t>
  </si>
  <si>
    <t>Ancho requerido</t>
  </si>
  <si>
    <t>Ancho propuesto</t>
  </si>
  <si>
    <t>Qu</t>
  </si>
  <si>
    <t>Vu</t>
  </si>
  <si>
    <t>Ancho del muro</t>
  </si>
  <si>
    <t>Mu</t>
  </si>
  <si>
    <t>Vres</t>
  </si>
  <si>
    <t>Frijol negro</t>
  </si>
  <si>
    <t>ex</t>
  </si>
  <si>
    <t>ey</t>
  </si>
  <si>
    <t>col</t>
  </si>
  <si>
    <t>Vact</t>
  </si>
  <si>
    <t>Ap</t>
  </si>
  <si>
    <t>Bo</t>
  </si>
  <si>
    <t>Var</t>
  </si>
  <si>
    <t>S</t>
  </si>
  <si>
    <t>Por columnas</t>
  </si>
  <si>
    <t>Edificio A</t>
  </si>
  <si>
    <t>Bodega</t>
  </si>
  <si>
    <t>Administración</t>
  </si>
  <si>
    <t>Malaria</t>
  </si>
  <si>
    <t>Eris</t>
  </si>
  <si>
    <t>Edificio B</t>
  </si>
  <si>
    <t>No.5 a cada 15</t>
  </si>
  <si>
    <t>Corte en una dirección</t>
  </si>
  <si>
    <t>Corte punzonante</t>
  </si>
  <si>
    <t>Acero a flexión</t>
  </si>
  <si>
    <t>Área requerida</t>
  </si>
  <si>
    <t>Diseño de zapata Z-1</t>
  </si>
  <si>
    <t>A propuesta</t>
  </si>
  <si>
    <t>No.5 a cada 20</t>
  </si>
  <si>
    <t>Diseño de zapata Z-2</t>
  </si>
  <si>
    <t>Diseño de zapata Z-3</t>
  </si>
  <si>
    <t>f'c</t>
  </si>
  <si>
    <t>No.5 a cada 25</t>
  </si>
  <si>
    <t>Piso</t>
  </si>
  <si>
    <t>Losa segundo nivel</t>
  </si>
  <si>
    <t>No.5 a cada 10</t>
  </si>
  <si>
    <t>Diseño de zapata Z-4</t>
  </si>
  <si>
    <t>Losa (t = 0.12)</t>
  </si>
  <si>
    <t>Peso (Kg/m)</t>
  </si>
  <si>
    <t>Losa primer nivel</t>
  </si>
  <si>
    <t>Viga 1</t>
  </si>
  <si>
    <t>Viga 2</t>
  </si>
  <si>
    <t>Luz libre entre apoyos</t>
  </si>
  <si>
    <t>ln (m)</t>
  </si>
  <si>
    <t>4d (m)</t>
  </si>
  <si>
    <t>d (m)</t>
  </si>
  <si>
    <t>r (m)</t>
  </si>
  <si>
    <t>h (m)</t>
  </si>
  <si>
    <t>Chequeo</t>
  </si>
  <si>
    <t>10 pulgadas (m)</t>
  </si>
  <si>
    <t>0.3h (m)</t>
  </si>
  <si>
    <t>Menor de las condiciones</t>
  </si>
  <si>
    <t>condición (m)</t>
  </si>
  <si>
    <t>Ancho de viga</t>
  </si>
  <si>
    <t>Alto de viga</t>
  </si>
  <si>
    <t>bw (m)</t>
  </si>
  <si>
    <t>c2 (m)</t>
  </si>
  <si>
    <t>0.75c1 (m)</t>
  </si>
  <si>
    <t>Ancho de columna</t>
  </si>
  <si>
    <t>a (m)</t>
  </si>
  <si>
    <t>Chequeos de dimensiones en vigas</t>
  </si>
  <si>
    <t>Condición a</t>
  </si>
  <si>
    <t>Condición b</t>
  </si>
  <si>
    <t>Condición c</t>
  </si>
  <si>
    <t>Recubrimiento</t>
  </si>
  <si>
    <t>Peralte efectivo</t>
  </si>
  <si>
    <t>Condición para chequeo</t>
  </si>
  <si>
    <t>Condición para chequeo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</si>
</sst>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8C4E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18" borderId="0" applyNumberFormat="0" applyBorder="0" applyAlignment="0" applyProtection="0"/>
  </cellStyleXfs>
  <cellXfs count="2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2" borderId="2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/>
    <xf numFmtId="44" fontId="2" fillId="0" borderId="13" xfId="0" applyNumberFormat="1" applyFont="1" applyBorder="1"/>
    <xf numFmtId="44" fontId="2" fillId="0" borderId="9" xfId="0" applyNumberFormat="1" applyFont="1" applyBorder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/>
    <xf numFmtId="44" fontId="2" fillId="0" borderId="14" xfId="0" applyNumberFormat="1" applyFont="1" applyBorder="1"/>
    <xf numFmtId="44" fontId="2" fillId="0" borderId="10" xfId="0" applyNumberFormat="1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44" fontId="2" fillId="0" borderId="17" xfId="0" applyNumberFormat="1" applyFont="1" applyBorder="1"/>
    <xf numFmtId="44" fontId="2" fillId="0" borderId="16" xfId="0" applyNumberFormat="1" applyFont="1" applyBorder="1"/>
    <xf numFmtId="0" fontId="2" fillId="2" borderId="18" xfId="0" applyFont="1" applyFill="1" applyBorder="1" applyAlignment="1">
      <alignment horizontal="right"/>
    </xf>
    <xf numFmtId="44" fontId="2" fillId="2" borderId="6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3" fillId="3" borderId="7" xfId="0" applyFont="1" applyFill="1" applyBorder="1"/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0" fillId="0" borderId="24" xfId="0" applyBorder="1"/>
    <xf numFmtId="0" fontId="0" fillId="0" borderId="25" xfId="0" applyBorder="1"/>
    <xf numFmtId="0" fontId="3" fillId="3" borderId="26" xfId="0" applyFont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2" xfId="0" applyBorder="1"/>
    <xf numFmtId="0" fontId="0" fillId="0" borderId="3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0" xfId="0" applyNumberFormat="1"/>
    <xf numFmtId="12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28" xfId="0" applyFont="1" applyBorder="1" applyAlignment="1"/>
    <xf numFmtId="0" fontId="2" fillId="0" borderId="29" xfId="0" applyFont="1" applyBorder="1"/>
    <xf numFmtId="9" fontId="2" fillId="0" borderId="3" xfId="0" applyNumberFormat="1" applyFont="1" applyBorder="1"/>
    <xf numFmtId="0" fontId="2" fillId="0" borderId="30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33" xfId="0" applyFont="1" applyBorder="1"/>
    <xf numFmtId="0" fontId="2" fillId="0" borderId="3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2" fillId="0" borderId="3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8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39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33" xfId="0" applyFont="1" applyBorder="1" applyAlignment="1">
      <alignment horizontal="center" vertic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7" borderId="38" xfId="0" applyFill="1" applyBorder="1"/>
    <xf numFmtId="0" fontId="0" fillId="7" borderId="4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2" xfId="0" applyFill="1" applyBorder="1" applyAlignment="1">
      <alignment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1" borderId="0" xfId="0" applyFill="1"/>
    <xf numFmtId="0" fontId="0" fillId="5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6" borderId="0" xfId="0" applyFill="1"/>
    <xf numFmtId="0" fontId="0" fillId="10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7" xfId="0" applyFont="1" applyBorder="1"/>
    <xf numFmtId="0" fontId="2" fillId="0" borderId="50" xfId="0" applyFont="1" applyBorder="1"/>
    <xf numFmtId="0" fontId="2" fillId="0" borderId="8" xfId="0" applyFont="1" applyBorder="1"/>
    <xf numFmtId="0" fontId="2" fillId="0" borderId="51" xfId="0" applyFont="1" applyBorder="1"/>
    <xf numFmtId="0" fontId="2" fillId="0" borderId="53" xfId="0" applyFont="1" applyBorder="1"/>
    <xf numFmtId="0" fontId="2" fillId="0" borderId="48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5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40" xfId="0" applyFont="1" applyBorder="1"/>
    <xf numFmtId="44" fontId="0" fillId="0" borderId="0" xfId="0" applyNumberFormat="1"/>
    <xf numFmtId="0" fontId="0" fillId="0" borderId="47" xfId="0" applyBorder="1"/>
    <xf numFmtId="0" fontId="0" fillId="0" borderId="61" xfId="0" applyBorder="1"/>
    <xf numFmtId="0" fontId="0" fillId="0" borderId="49" xfId="0" applyBorder="1"/>
    <xf numFmtId="0" fontId="0" fillId="0" borderId="34" xfId="0" applyBorder="1" applyAlignment="1"/>
    <xf numFmtId="0" fontId="0" fillId="0" borderId="0" xfId="0" applyBorder="1" applyAlignment="1"/>
    <xf numFmtId="0" fontId="4" fillId="18" borderId="0" xfId="2" applyBorder="1"/>
    <xf numFmtId="0" fontId="4" fillId="18" borderId="35" xfId="2" applyBorder="1"/>
    <xf numFmtId="0" fontId="4" fillId="18" borderId="37" xfId="2" applyBorder="1"/>
    <xf numFmtId="0" fontId="6" fillId="0" borderId="2" xfId="0" applyFont="1" applyBorder="1"/>
    <xf numFmtId="0" fontId="6" fillId="0" borderId="30" xfId="0" applyFont="1" applyBorder="1"/>
    <xf numFmtId="0" fontId="6" fillId="0" borderId="1" xfId="0" applyFont="1" applyBorder="1"/>
    <xf numFmtId="0" fontId="6" fillId="0" borderId="3" xfId="0" applyFont="1" applyBorder="1"/>
    <xf numFmtId="0" fontId="6" fillId="0" borderId="31" xfId="0" applyFont="1" applyBorder="1"/>
    <xf numFmtId="0" fontId="6" fillId="0" borderId="32" xfId="0" applyFont="1" applyBorder="1"/>
    <xf numFmtId="0" fontId="6" fillId="0" borderId="0" xfId="0" applyFont="1" applyBorder="1"/>
    <xf numFmtId="0" fontId="6" fillId="0" borderId="40" xfId="0" applyFont="1" applyBorder="1"/>
    <xf numFmtId="0" fontId="6" fillId="0" borderId="0" xfId="0" applyFont="1"/>
    <xf numFmtId="0" fontId="6" fillId="0" borderId="39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33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2" borderId="0" xfId="0" applyFill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18" borderId="3" xfId="2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7" fillId="18" borderId="26" xfId="2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18" borderId="33" xfId="2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</cellXfs>
  <cellStyles count="3">
    <cellStyle name="Bueno" xfId="2" builtinId="2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64"/>
  <sheetViews>
    <sheetView zoomScale="10" zoomScaleNormal="10" workbookViewId="0">
      <selection activeCell="H21" sqref="H21"/>
    </sheetView>
  </sheetViews>
  <sheetFormatPr baseColWidth="10" defaultRowHeight="15" x14ac:dyDescent="0.25"/>
  <cols>
    <col min="4" max="4" width="8.140625" customWidth="1"/>
    <col min="9" max="9" width="8.140625" customWidth="1"/>
    <col min="11" max="11" width="10" customWidth="1"/>
  </cols>
  <sheetData>
    <row r="6" spans="3:21" x14ac:dyDescent="0.25">
      <c r="C6" s="148" t="s">
        <v>54</v>
      </c>
      <c r="D6" s="148" t="s">
        <v>172</v>
      </c>
      <c r="E6" s="149" t="s">
        <v>173</v>
      </c>
      <c r="F6" s="149"/>
      <c r="G6" s="112"/>
      <c r="H6" s="147" t="s">
        <v>152</v>
      </c>
      <c r="I6" s="147" t="s">
        <v>165</v>
      </c>
      <c r="J6" s="147" t="s">
        <v>178</v>
      </c>
      <c r="K6" s="147" t="s">
        <v>179</v>
      </c>
      <c r="L6" s="148" t="s">
        <v>242</v>
      </c>
      <c r="M6" s="111"/>
      <c r="N6" s="111"/>
      <c r="O6" s="111"/>
    </row>
    <row r="7" spans="3:21" x14ac:dyDescent="0.25">
      <c r="C7" s="148"/>
      <c r="D7" s="148"/>
      <c r="E7" t="s">
        <v>174</v>
      </c>
      <c r="F7" t="s">
        <v>175</v>
      </c>
      <c r="G7" t="s">
        <v>43</v>
      </c>
      <c r="H7" s="147"/>
      <c r="I7" s="147"/>
      <c r="J7" s="147"/>
      <c r="K7" s="147"/>
      <c r="L7" s="148"/>
      <c r="M7" s="111"/>
      <c r="N7" s="111"/>
      <c r="O7" s="111"/>
    </row>
    <row r="8" spans="3:21" x14ac:dyDescent="0.25">
      <c r="C8" t="s">
        <v>168</v>
      </c>
      <c r="D8">
        <v>1.35</v>
      </c>
      <c r="E8">
        <v>0</v>
      </c>
      <c r="F8">
        <v>0.873</v>
      </c>
      <c r="G8" t="s">
        <v>186</v>
      </c>
      <c r="H8">
        <f t="shared" ref="H8:H39" si="0">IF(G8="Si",ROUND((((240+35+25)*(E8+F8))/D8)+192+567,2),IF(G8="Medio",ROUND((((240+35+25)*(E8+F8))/D8)+192+100,2),ROUND((((240+35+25)*(E8+F8))/D8)+192,2)))</f>
        <v>486</v>
      </c>
      <c r="I8">
        <f t="shared" ref="I8:I39" si="1">ROUND((E8*200+F8*500)/D8,2)</f>
        <v>323.33</v>
      </c>
      <c r="J8">
        <f t="shared" ref="J8:J39" si="2">H8+I8</f>
        <v>809.32999999999993</v>
      </c>
      <c r="K8">
        <f t="shared" ref="K8:K39" si="3">1.4*H8+1.7*I8</f>
        <v>1230.0609999999999</v>
      </c>
      <c r="L8">
        <f t="shared" ref="L8:L39" si="4">J8*D8*D8/12</f>
        <v>122.91699375</v>
      </c>
      <c r="P8" t="s">
        <v>190</v>
      </c>
      <c r="Q8" t="s">
        <v>132</v>
      </c>
      <c r="R8">
        <v>1</v>
      </c>
      <c r="S8" t="s">
        <v>134</v>
      </c>
      <c r="T8">
        <v>1</v>
      </c>
      <c r="U8" t="str">
        <f>CONCATENATE("N1: ",Q8,R8," - ",S8,T8)</f>
        <v>N1: A1 - B1</v>
      </c>
    </row>
    <row r="9" spans="3:21" x14ac:dyDescent="0.25">
      <c r="C9" t="s">
        <v>214</v>
      </c>
      <c r="D9">
        <v>1.35</v>
      </c>
      <c r="E9">
        <v>0</v>
      </c>
      <c r="F9">
        <v>0.873</v>
      </c>
      <c r="G9" t="s">
        <v>186</v>
      </c>
      <c r="H9">
        <f t="shared" si="0"/>
        <v>486</v>
      </c>
      <c r="I9">
        <f t="shared" si="1"/>
        <v>323.33</v>
      </c>
      <c r="J9">
        <f t="shared" si="2"/>
        <v>809.32999999999993</v>
      </c>
      <c r="K9">
        <f t="shared" si="3"/>
        <v>1230.0609999999999</v>
      </c>
      <c r="L9">
        <f t="shared" si="4"/>
        <v>122.91699375</v>
      </c>
      <c r="Q9" t="s">
        <v>134</v>
      </c>
      <c r="R9">
        <v>1</v>
      </c>
      <c r="S9" t="s">
        <v>191</v>
      </c>
      <c r="T9">
        <v>1</v>
      </c>
      <c r="U9" t="str">
        <f t="shared" ref="U9:U43" si="5">CONCATENATE("N1: ",Q9,R9," - ",S9,T9)</f>
        <v>N1: B1 - C1</v>
      </c>
    </row>
    <row r="10" spans="3:21" x14ac:dyDescent="0.25">
      <c r="C10" t="s">
        <v>224</v>
      </c>
      <c r="D10">
        <v>2.15</v>
      </c>
      <c r="E10">
        <v>2.3109999999999999</v>
      </c>
      <c r="F10">
        <v>0</v>
      </c>
      <c r="G10" t="s">
        <v>177</v>
      </c>
      <c r="H10">
        <f t="shared" si="0"/>
        <v>514.47</v>
      </c>
      <c r="I10">
        <f t="shared" si="1"/>
        <v>214.98</v>
      </c>
      <c r="J10">
        <f t="shared" si="2"/>
        <v>729.45</v>
      </c>
      <c r="K10">
        <f t="shared" si="3"/>
        <v>1085.7239999999999</v>
      </c>
      <c r="L10">
        <f t="shared" si="4"/>
        <v>280.99021875</v>
      </c>
      <c r="Q10" t="s">
        <v>191</v>
      </c>
      <c r="R10">
        <v>1</v>
      </c>
      <c r="S10" t="s">
        <v>192</v>
      </c>
      <c r="T10">
        <v>1</v>
      </c>
      <c r="U10" t="str">
        <f t="shared" si="5"/>
        <v>N1: C1 - D1</v>
      </c>
    </row>
    <row r="11" spans="3:21" x14ac:dyDescent="0.25">
      <c r="C11" t="s">
        <v>226</v>
      </c>
      <c r="D11">
        <v>2.15</v>
      </c>
      <c r="E11">
        <v>2.3109999999999999</v>
      </c>
      <c r="F11">
        <v>0</v>
      </c>
      <c r="G11" t="s">
        <v>177</v>
      </c>
      <c r="H11">
        <f t="shared" si="0"/>
        <v>514.47</v>
      </c>
      <c r="I11">
        <f t="shared" si="1"/>
        <v>214.98</v>
      </c>
      <c r="J11">
        <f t="shared" si="2"/>
        <v>729.45</v>
      </c>
      <c r="K11">
        <f t="shared" si="3"/>
        <v>1085.7239999999999</v>
      </c>
      <c r="L11">
        <f t="shared" si="4"/>
        <v>280.99021875</v>
      </c>
      <c r="Q11" t="s">
        <v>192</v>
      </c>
      <c r="R11">
        <v>1</v>
      </c>
      <c r="S11" t="s">
        <v>193</v>
      </c>
      <c r="T11">
        <v>1</v>
      </c>
      <c r="U11" t="str">
        <f t="shared" si="5"/>
        <v>N1: D1 - E1</v>
      </c>
    </row>
    <row r="12" spans="3:21" x14ac:dyDescent="0.25">
      <c r="C12" t="s">
        <v>230</v>
      </c>
      <c r="D12">
        <v>2.15</v>
      </c>
      <c r="E12">
        <v>2.3109999999999999</v>
      </c>
      <c r="F12">
        <v>0</v>
      </c>
      <c r="G12" t="s">
        <v>177</v>
      </c>
      <c r="H12">
        <f t="shared" si="0"/>
        <v>514.47</v>
      </c>
      <c r="I12">
        <f t="shared" si="1"/>
        <v>214.98</v>
      </c>
      <c r="J12">
        <f t="shared" si="2"/>
        <v>729.45</v>
      </c>
      <c r="K12">
        <f t="shared" si="3"/>
        <v>1085.7239999999999</v>
      </c>
      <c r="L12">
        <f t="shared" si="4"/>
        <v>280.99021875</v>
      </c>
      <c r="Q12" t="s">
        <v>193</v>
      </c>
      <c r="R12">
        <v>1</v>
      </c>
      <c r="S12" t="s">
        <v>194</v>
      </c>
      <c r="T12">
        <v>1</v>
      </c>
      <c r="U12" t="str">
        <f t="shared" si="5"/>
        <v>N1: E1 - F1</v>
      </c>
    </row>
    <row r="13" spans="3:21" x14ac:dyDescent="0.25">
      <c r="C13" t="s">
        <v>232</v>
      </c>
      <c r="D13">
        <v>2.15</v>
      </c>
      <c r="E13">
        <v>2.3109999999999999</v>
      </c>
      <c r="F13">
        <v>0</v>
      </c>
      <c r="G13" t="s">
        <v>177</v>
      </c>
      <c r="H13">
        <f t="shared" si="0"/>
        <v>514.47</v>
      </c>
      <c r="I13">
        <f t="shared" si="1"/>
        <v>214.98</v>
      </c>
      <c r="J13">
        <f t="shared" si="2"/>
        <v>729.45</v>
      </c>
      <c r="K13">
        <f t="shared" si="3"/>
        <v>1085.7239999999999</v>
      </c>
      <c r="L13">
        <f t="shared" si="4"/>
        <v>280.99021875</v>
      </c>
      <c r="Q13" t="s">
        <v>194</v>
      </c>
      <c r="R13">
        <v>1</v>
      </c>
      <c r="S13" t="s">
        <v>195</v>
      </c>
      <c r="T13">
        <v>1</v>
      </c>
      <c r="U13" t="str">
        <f t="shared" si="5"/>
        <v>N1: F1 - G1</v>
      </c>
    </row>
    <row r="14" spans="3:21" x14ac:dyDescent="0.25">
      <c r="C14" t="s">
        <v>227</v>
      </c>
      <c r="D14">
        <v>2.2000000000000002</v>
      </c>
      <c r="E14">
        <v>2.42</v>
      </c>
      <c r="F14">
        <v>0</v>
      </c>
      <c r="G14" t="s">
        <v>177</v>
      </c>
      <c r="H14">
        <f t="shared" si="0"/>
        <v>522</v>
      </c>
      <c r="I14">
        <f t="shared" si="1"/>
        <v>220</v>
      </c>
      <c r="J14">
        <f t="shared" si="2"/>
        <v>742</v>
      </c>
      <c r="K14">
        <f t="shared" si="3"/>
        <v>1104.8</v>
      </c>
      <c r="L14">
        <f t="shared" si="4"/>
        <v>299.27333333333337</v>
      </c>
      <c r="Q14" t="s">
        <v>195</v>
      </c>
      <c r="R14">
        <v>1</v>
      </c>
      <c r="S14" t="s">
        <v>196</v>
      </c>
      <c r="T14">
        <v>1</v>
      </c>
      <c r="U14" t="str">
        <f t="shared" si="5"/>
        <v>N1: G1 - H1</v>
      </c>
    </row>
    <row r="15" spans="3:21" x14ac:dyDescent="0.25">
      <c r="C15" t="s">
        <v>228</v>
      </c>
      <c r="D15">
        <v>2.2000000000000002</v>
      </c>
      <c r="E15">
        <v>2.42</v>
      </c>
      <c r="F15">
        <v>0</v>
      </c>
      <c r="G15" t="s">
        <v>177</v>
      </c>
      <c r="H15">
        <f t="shared" si="0"/>
        <v>522</v>
      </c>
      <c r="I15">
        <f t="shared" si="1"/>
        <v>220</v>
      </c>
      <c r="J15">
        <f t="shared" si="2"/>
        <v>742</v>
      </c>
      <c r="K15">
        <f t="shared" si="3"/>
        <v>1104.8</v>
      </c>
      <c r="L15">
        <f t="shared" si="4"/>
        <v>299.27333333333337</v>
      </c>
      <c r="Q15" t="s">
        <v>196</v>
      </c>
      <c r="R15">
        <v>1</v>
      </c>
      <c r="S15" t="s">
        <v>197</v>
      </c>
      <c r="T15">
        <v>1</v>
      </c>
      <c r="U15" t="str">
        <f t="shared" si="5"/>
        <v>N1: H1 - I1</v>
      </c>
    </row>
    <row r="16" spans="3:21" x14ac:dyDescent="0.25">
      <c r="C16" t="s">
        <v>229</v>
      </c>
      <c r="D16">
        <v>2.2000000000000002</v>
      </c>
      <c r="E16">
        <v>2.42</v>
      </c>
      <c r="F16">
        <v>0</v>
      </c>
      <c r="G16" t="s">
        <v>177</v>
      </c>
      <c r="H16">
        <f t="shared" si="0"/>
        <v>522</v>
      </c>
      <c r="I16">
        <f t="shared" si="1"/>
        <v>220</v>
      </c>
      <c r="J16">
        <f t="shared" si="2"/>
        <v>742</v>
      </c>
      <c r="K16">
        <f t="shared" si="3"/>
        <v>1104.8</v>
      </c>
      <c r="L16">
        <f t="shared" si="4"/>
        <v>299.27333333333337</v>
      </c>
      <c r="Q16" t="s">
        <v>197</v>
      </c>
      <c r="R16">
        <v>1</v>
      </c>
      <c r="S16" t="s">
        <v>198</v>
      </c>
      <c r="T16">
        <v>1</v>
      </c>
      <c r="U16" t="str">
        <f t="shared" si="5"/>
        <v>N1: I1 - J1</v>
      </c>
    </row>
    <row r="17" spans="3:21" x14ac:dyDescent="0.25">
      <c r="C17" t="s">
        <v>225</v>
      </c>
      <c r="D17">
        <v>2.25</v>
      </c>
      <c r="E17">
        <v>2.5310000000000001</v>
      </c>
      <c r="F17">
        <v>0</v>
      </c>
      <c r="G17" t="s">
        <v>177</v>
      </c>
      <c r="H17">
        <f t="shared" si="0"/>
        <v>529.47</v>
      </c>
      <c r="I17">
        <f t="shared" si="1"/>
        <v>224.98</v>
      </c>
      <c r="J17">
        <f t="shared" si="2"/>
        <v>754.45</v>
      </c>
      <c r="K17">
        <f t="shared" si="3"/>
        <v>1123.7239999999999</v>
      </c>
      <c r="L17">
        <f t="shared" si="4"/>
        <v>318.28359375000002</v>
      </c>
      <c r="Q17" t="s">
        <v>132</v>
      </c>
      <c r="R17">
        <v>2</v>
      </c>
      <c r="S17" t="s">
        <v>134</v>
      </c>
      <c r="T17">
        <v>2</v>
      </c>
      <c r="U17" t="str">
        <f t="shared" si="5"/>
        <v>N1: A2 - B2</v>
      </c>
    </row>
    <row r="18" spans="3:21" x14ac:dyDescent="0.25">
      <c r="C18" t="s">
        <v>231</v>
      </c>
      <c r="D18">
        <v>2.25</v>
      </c>
      <c r="E18">
        <v>2.5310000000000001</v>
      </c>
      <c r="F18">
        <v>0</v>
      </c>
      <c r="G18" t="s">
        <v>177</v>
      </c>
      <c r="H18">
        <f t="shared" si="0"/>
        <v>529.47</v>
      </c>
      <c r="I18">
        <f t="shared" si="1"/>
        <v>224.98</v>
      </c>
      <c r="J18">
        <f t="shared" si="2"/>
        <v>754.45</v>
      </c>
      <c r="K18">
        <f t="shared" si="3"/>
        <v>1123.7239999999999</v>
      </c>
      <c r="L18">
        <f t="shared" si="4"/>
        <v>318.28359375000002</v>
      </c>
      <c r="Q18" t="s">
        <v>134</v>
      </c>
      <c r="R18">
        <v>2</v>
      </c>
      <c r="S18" t="s">
        <v>191</v>
      </c>
      <c r="T18">
        <v>2</v>
      </c>
      <c r="U18" t="str">
        <f t="shared" si="5"/>
        <v>N1: B2 - C2</v>
      </c>
    </row>
    <row r="19" spans="3:21" x14ac:dyDescent="0.25">
      <c r="C19" t="s">
        <v>169</v>
      </c>
      <c r="D19">
        <v>3.25</v>
      </c>
      <c r="E19">
        <v>4.7290000000000001</v>
      </c>
      <c r="F19">
        <v>0</v>
      </c>
      <c r="G19" t="s">
        <v>177</v>
      </c>
      <c r="H19">
        <f t="shared" si="0"/>
        <v>628.52</v>
      </c>
      <c r="I19">
        <f t="shared" si="1"/>
        <v>291.02</v>
      </c>
      <c r="J19">
        <f t="shared" si="2"/>
        <v>919.54</v>
      </c>
      <c r="K19">
        <f t="shared" si="3"/>
        <v>1374.6619999999998</v>
      </c>
      <c r="L19">
        <f t="shared" si="4"/>
        <v>809.38677083333334</v>
      </c>
      <c r="Q19" t="s">
        <v>191</v>
      </c>
      <c r="R19">
        <v>2</v>
      </c>
      <c r="S19" t="s">
        <v>192</v>
      </c>
      <c r="T19">
        <v>2</v>
      </c>
      <c r="U19" t="str">
        <f t="shared" si="5"/>
        <v>N1: C2 - D2</v>
      </c>
    </row>
    <row r="20" spans="3:21" x14ac:dyDescent="0.25">
      <c r="C20" t="s">
        <v>170</v>
      </c>
      <c r="D20">
        <v>3.25</v>
      </c>
      <c r="E20">
        <v>4.7290000000000001</v>
      </c>
      <c r="F20">
        <v>0</v>
      </c>
      <c r="G20" t="s">
        <v>177</v>
      </c>
      <c r="H20">
        <f t="shared" si="0"/>
        <v>628.52</v>
      </c>
      <c r="I20">
        <f t="shared" si="1"/>
        <v>291.02</v>
      </c>
      <c r="J20">
        <f t="shared" si="2"/>
        <v>919.54</v>
      </c>
      <c r="K20">
        <f t="shared" si="3"/>
        <v>1374.6619999999998</v>
      </c>
      <c r="L20">
        <f t="shared" si="4"/>
        <v>809.38677083333334</v>
      </c>
      <c r="Q20" t="s">
        <v>192</v>
      </c>
      <c r="R20">
        <v>2</v>
      </c>
      <c r="S20" t="s">
        <v>193</v>
      </c>
      <c r="T20">
        <v>2</v>
      </c>
      <c r="U20" t="str">
        <f t="shared" si="5"/>
        <v>N1: D2 - E2</v>
      </c>
    </row>
    <row r="21" spans="3:21" x14ac:dyDescent="0.25">
      <c r="C21" t="s">
        <v>180</v>
      </c>
      <c r="D21">
        <v>3.25</v>
      </c>
      <c r="E21">
        <v>4.7290000000000001</v>
      </c>
      <c r="F21">
        <v>0</v>
      </c>
      <c r="G21" t="s">
        <v>177</v>
      </c>
      <c r="H21">
        <f t="shared" si="0"/>
        <v>628.52</v>
      </c>
      <c r="I21">
        <f t="shared" si="1"/>
        <v>291.02</v>
      </c>
      <c r="J21">
        <f t="shared" si="2"/>
        <v>919.54</v>
      </c>
      <c r="K21">
        <f t="shared" si="3"/>
        <v>1374.6619999999998</v>
      </c>
      <c r="L21">
        <f t="shared" si="4"/>
        <v>809.38677083333334</v>
      </c>
      <c r="Q21" t="s">
        <v>193</v>
      </c>
      <c r="R21">
        <v>2</v>
      </c>
      <c r="S21" t="s">
        <v>194</v>
      </c>
      <c r="T21">
        <v>2</v>
      </c>
      <c r="U21" t="str">
        <f t="shared" si="5"/>
        <v>N1: E2 - F2</v>
      </c>
    </row>
    <row r="22" spans="3:21" x14ac:dyDescent="0.25">
      <c r="C22" t="s">
        <v>181</v>
      </c>
      <c r="D22">
        <v>3.25</v>
      </c>
      <c r="E22">
        <v>4.7290000000000001</v>
      </c>
      <c r="F22">
        <v>0</v>
      </c>
      <c r="G22" t="s">
        <v>177</v>
      </c>
      <c r="H22">
        <f t="shared" si="0"/>
        <v>628.52</v>
      </c>
      <c r="I22">
        <f t="shared" si="1"/>
        <v>291.02</v>
      </c>
      <c r="J22">
        <f t="shared" si="2"/>
        <v>919.54</v>
      </c>
      <c r="K22">
        <f t="shared" si="3"/>
        <v>1374.6619999999998</v>
      </c>
      <c r="L22">
        <f t="shared" si="4"/>
        <v>809.38677083333334</v>
      </c>
      <c r="Q22" t="s">
        <v>194</v>
      </c>
      <c r="R22">
        <v>2</v>
      </c>
      <c r="S22" t="s">
        <v>195</v>
      </c>
      <c r="T22">
        <v>2</v>
      </c>
      <c r="U22" t="str">
        <f t="shared" si="5"/>
        <v>N1: F2 - G2</v>
      </c>
    </row>
    <row r="23" spans="3:21" x14ac:dyDescent="0.25">
      <c r="C23" t="s">
        <v>206</v>
      </c>
      <c r="D23">
        <v>3.25</v>
      </c>
      <c r="E23">
        <v>4.7290000000000001</v>
      </c>
      <c r="F23">
        <v>0</v>
      </c>
      <c r="G23" t="s">
        <v>177</v>
      </c>
      <c r="H23">
        <f t="shared" si="0"/>
        <v>628.52</v>
      </c>
      <c r="I23">
        <f t="shared" si="1"/>
        <v>291.02</v>
      </c>
      <c r="J23">
        <f t="shared" si="2"/>
        <v>919.54</v>
      </c>
      <c r="K23">
        <f t="shared" si="3"/>
        <v>1374.6619999999998</v>
      </c>
      <c r="L23">
        <f t="shared" si="4"/>
        <v>809.38677083333334</v>
      </c>
      <c r="Q23" t="s">
        <v>195</v>
      </c>
      <c r="R23">
        <v>2</v>
      </c>
      <c r="S23" t="s">
        <v>196</v>
      </c>
      <c r="T23">
        <v>2</v>
      </c>
      <c r="U23" t="str">
        <f t="shared" si="5"/>
        <v>N1: G2 - H2</v>
      </c>
    </row>
    <row r="24" spans="3:21" x14ac:dyDescent="0.25">
      <c r="C24" t="s">
        <v>207</v>
      </c>
      <c r="D24">
        <v>3.25</v>
      </c>
      <c r="E24">
        <v>4.7290000000000001</v>
      </c>
      <c r="F24">
        <v>0</v>
      </c>
      <c r="G24" t="s">
        <v>177</v>
      </c>
      <c r="H24">
        <f t="shared" si="0"/>
        <v>628.52</v>
      </c>
      <c r="I24">
        <f t="shared" si="1"/>
        <v>291.02</v>
      </c>
      <c r="J24">
        <f t="shared" si="2"/>
        <v>919.54</v>
      </c>
      <c r="K24">
        <f t="shared" si="3"/>
        <v>1374.6619999999998</v>
      </c>
      <c r="L24">
        <f t="shared" si="4"/>
        <v>809.38677083333334</v>
      </c>
      <c r="Q24" t="s">
        <v>196</v>
      </c>
      <c r="R24">
        <v>2</v>
      </c>
      <c r="S24" t="s">
        <v>197</v>
      </c>
      <c r="T24">
        <v>2</v>
      </c>
      <c r="U24" t="str">
        <f t="shared" si="5"/>
        <v>N1: H2 - I2</v>
      </c>
    </row>
    <row r="25" spans="3:21" x14ac:dyDescent="0.25">
      <c r="C25" t="s">
        <v>209</v>
      </c>
      <c r="D25">
        <v>3.25</v>
      </c>
      <c r="E25">
        <v>4.7290000000000001</v>
      </c>
      <c r="F25">
        <v>0</v>
      </c>
      <c r="G25" t="s">
        <v>177</v>
      </c>
      <c r="H25">
        <f t="shared" si="0"/>
        <v>628.52</v>
      </c>
      <c r="I25">
        <f t="shared" si="1"/>
        <v>291.02</v>
      </c>
      <c r="J25">
        <f t="shared" si="2"/>
        <v>919.54</v>
      </c>
      <c r="K25">
        <f t="shared" si="3"/>
        <v>1374.6619999999998</v>
      </c>
      <c r="L25">
        <f t="shared" si="4"/>
        <v>809.38677083333334</v>
      </c>
      <c r="Q25" t="s">
        <v>197</v>
      </c>
      <c r="R25">
        <v>2</v>
      </c>
      <c r="S25" t="s">
        <v>198</v>
      </c>
      <c r="T25">
        <v>2</v>
      </c>
      <c r="U25" t="str">
        <f t="shared" si="5"/>
        <v>N1: I2 - J2</v>
      </c>
    </row>
    <row r="26" spans="3:21" x14ac:dyDescent="0.25">
      <c r="C26" t="s">
        <v>210</v>
      </c>
      <c r="D26">
        <v>3.25</v>
      </c>
      <c r="E26">
        <v>4.7290000000000001</v>
      </c>
      <c r="F26">
        <v>0</v>
      </c>
      <c r="G26" t="s">
        <v>177</v>
      </c>
      <c r="H26">
        <f t="shared" si="0"/>
        <v>628.52</v>
      </c>
      <c r="I26">
        <f t="shared" si="1"/>
        <v>291.02</v>
      </c>
      <c r="J26">
        <f t="shared" si="2"/>
        <v>919.54</v>
      </c>
      <c r="K26">
        <f t="shared" si="3"/>
        <v>1374.6619999999998</v>
      </c>
      <c r="L26">
        <f t="shared" si="4"/>
        <v>809.38677083333334</v>
      </c>
      <c r="Q26" t="s">
        <v>132</v>
      </c>
      <c r="R26">
        <v>3</v>
      </c>
      <c r="S26" t="s">
        <v>134</v>
      </c>
      <c r="T26">
        <v>3</v>
      </c>
      <c r="U26" t="str">
        <f t="shared" si="5"/>
        <v>N1: A3 - B3</v>
      </c>
    </row>
    <row r="27" spans="3:21" x14ac:dyDescent="0.25">
      <c r="C27" t="s">
        <v>187</v>
      </c>
      <c r="D27">
        <v>3.25</v>
      </c>
      <c r="E27">
        <v>4.7300000000000004</v>
      </c>
      <c r="F27">
        <v>0</v>
      </c>
      <c r="G27" t="s">
        <v>177</v>
      </c>
      <c r="H27">
        <f t="shared" si="0"/>
        <v>628.62</v>
      </c>
      <c r="I27">
        <f t="shared" si="1"/>
        <v>291.08</v>
      </c>
      <c r="J27">
        <f t="shared" si="2"/>
        <v>919.7</v>
      </c>
      <c r="K27">
        <f t="shared" si="3"/>
        <v>1374.904</v>
      </c>
      <c r="L27">
        <f t="shared" si="4"/>
        <v>809.52760416666672</v>
      </c>
      <c r="Q27" t="s">
        <v>134</v>
      </c>
      <c r="R27">
        <v>3</v>
      </c>
      <c r="S27" t="s">
        <v>191</v>
      </c>
      <c r="T27">
        <v>3</v>
      </c>
      <c r="U27" t="str">
        <f t="shared" si="5"/>
        <v>N1: B3 - C3</v>
      </c>
    </row>
    <row r="28" spans="3:21" x14ac:dyDescent="0.25">
      <c r="C28" t="s">
        <v>188</v>
      </c>
      <c r="D28">
        <v>3.25</v>
      </c>
      <c r="E28">
        <v>4.7300000000000004</v>
      </c>
      <c r="F28">
        <v>0</v>
      </c>
      <c r="G28" t="s">
        <v>177</v>
      </c>
      <c r="H28">
        <f t="shared" si="0"/>
        <v>628.62</v>
      </c>
      <c r="I28">
        <f t="shared" si="1"/>
        <v>291.08</v>
      </c>
      <c r="J28">
        <f t="shared" si="2"/>
        <v>919.7</v>
      </c>
      <c r="K28">
        <f t="shared" si="3"/>
        <v>1374.904</v>
      </c>
      <c r="L28">
        <f t="shared" si="4"/>
        <v>809.52760416666672</v>
      </c>
      <c r="Q28" t="s">
        <v>191</v>
      </c>
      <c r="R28">
        <v>3</v>
      </c>
      <c r="S28" t="s">
        <v>192</v>
      </c>
      <c r="T28">
        <v>3</v>
      </c>
      <c r="U28" t="str">
        <f t="shared" si="5"/>
        <v>N1: C3 - D3</v>
      </c>
    </row>
    <row r="29" spans="3:21" x14ac:dyDescent="0.25">
      <c r="C29" t="s">
        <v>200</v>
      </c>
      <c r="D29">
        <v>3.25</v>
      </c>
      <c r="E29">
        <v>4.7300000000000004</v>
      </c>
      <c r="F29">
        <v>0</v>
      </c>
      <c r="G29" t="s">
        <v>177</v>
      </c>
      <c r="H29">
        <f t="shared" si="0"/>
        <v>628.62</v>
      </c>
      <c r="I29">
        <f t="shared" si="1"/>
        <v>291.08</v>
      </c>
      <c r="J29">
        <f t="shared" si="2"/>
        <v>919.7</v>
      </c>
      <c r="K29">
        <f t="shared" si="3"/>
        <v>1374.904</v>
      </c>
      <c r="L29">
        <f t="shared" si="4"/>
        <v>809.52760416666672</v>
      </c>
      <c r="Q29" t="s">
        <v>192</v>
      </c>
      <c r="R29">
        <v>3</v>
      </c>
      <c r="S29" t="s">
        <v>193</v>
      </c>
      <c r="T29">
        <v>3</v>
      </c>
      <c r="U29" t="str">
        <f t="shared" si="5"/>
        <v>N1: D3 - E3</v>
      </c>
    </row>
    <row r="30" spans="3:21" x14ac:dyDescent="0.25">
      <c r="C30" t="s">
        <v>201</v>
      </c>
      <c r="D30">
        <v>3.25</v>
      </c>
      <c r="E30">
        <v>4.7300000000000004</v>
      </c>
      <c r="F30">
        <v>0</v>
      </c>
      <c r="G30" t="s">
        <v>177</v>
      </c>
      <c r="H30">
        <f t="shared" si="0"/>
        <v>628.62</v>
      </c>
      <c r="I30">
        <f t="shared" si="1"/>
        <v>291.08</v>
      </c>
      <c r="J30">
        <f t="shared" si="2"/>
        <v>919.7</v>
      </c>
      <c r="K30">
        <f t="shared" si="3"/>
        <v>1374.904</v>
      </c>
      <c r="L30">
        <f t="shared" si="4"/>
        <v>809.52760416666672</v>
      </c>
      <c r="Q30" t="s">
        <v>193</v>
      </c>
      <c r="R30">
        <v>3</v>
      </c>
      <c r="S30" t="s">
        <v>194</v>
      </c>
      <c r="T30">
        <v>3</v>
      </c>
      <c r="U30" t="str">
        <f t="shared" si="5"/>
        <v>N1: E3 - F3</v>
      </c>
    </row>
    <row r="31" spans="3:21" x14ac:dyDescent="0.25">
      <c r="C31" t="s">
        <v>185</v>
      </c>
      <c r="D31">
        <v>1.35</v>
      </c>
      <c r="E31">
        <v>0</v>
      </c>
      <c r="F31">
        <v>1.7529999999999999</v>
      </c>
      <c r="G31" t="s">
        <v>186</v>
      </c>
      <c r="H31">
        <f t="shared" si="0"/>
        <v>681.56</v>
      </c>
      <c r="I31">
        <f t="shared" si="1"/>
        <v>649.26</v>
      </c>
      <c r="J31">
        <f t="shared" si="2"/>
        <v>1330.82</v>
      </c>
      <c r="K31">
        <f t="shared" si="3"/>
        <v>2057.9259999999999</v>
      </c>
      <c r="L31">
        <f t="shared" si="4"/>
        <v>202.11828750000004</v>
      </c>
      <c r="Q31" t="s">
        <v>194</v>
      </c>
      <c r="R31">
        <v>3</v>
      </c>
      <c r="S31" t="s">
        <v>195</v>
      </c>
      <c r="T31">
        <v>3</v>
      </c>
      <c r="U31" t="str">
        <f t="shared" si="5"/>
        <v>N1: F3 - G3</v>
      </c>
    </row>
    <row r="32" spans="3:21" x14ac:dyDescent="0.25">
      <c r="C32" t="s">
        <v>205</v>
      </c>
      <c r="D32">
        <v>1.35</v>
      </c>
      <c r="E32">
        <v>0</v>
      </c>
      <c r="F32">
        <v>1.7529999999999999</v>
      </c>
      <c r="G32" t="s">
        <v>186</v>
      </c>
      <c r="H32">
        <f t="shared" si="0"/>
        <v>681.56</v>
      </c>
      <c r="I32">
        <f t="shared" si="1"/>
        <v>649.26</v>
      </c>
      <c r="J32">
        <f t="shared" si="2"/>
        <v>1330.82</v>
      </c>
      <c r="K32">
        <f t="shared" si="3"/>
        <v>2057.9259999999999</v>
      </c>
      <c r="L32">
        <f t="shared" si="4"/>
        <v>202.11828750000004</v>
      </c>
      <c r="Q32" t="s">
        <v>195</v>
      </c>
      <c r="R32">
        <v>3</v>
      </c>
      <c r="S32" t="s">
        <v>196</v>
      </c>
      <c r="T32">
        <v>3</v>
      </c>
      <c r="U32" t="str">
        <f t="shared" si="5"/>
        <v>N1: G3 - H3</v>
      </c>
    </row>
    <row r="33" spans="3:21" x14ac:dyDescent="0.25">
      <c r="C33" t="s">
        <v>171</v>
      </c>
      <c r="D33">
        <v>1.35</v>
      </c>
      <c r="E33">
        <v>0</v>
      </c>
      <c r="F33">
        <v>1.7589999999999999</v>
      </c>
      <c r="G33" t="s">
        <v>186</v>
      </c>
      <c r="H33">
        <f t="shared" si="0"/>
        <v>682.89</v>
      </c>
      <c r="I33">
        <f t="shared" si="1"/>
        <v>651.48</v>
      </c>
      <c r="J33">
        <f t="shared" si="2"/>
        <v>1334.37</v>
      </c>
      <c r="K33">
        <f t="shared" si="3"/>
        <v>2063.5619999999999</v>
      </c>
      <c r="L33">
        <f t="shared" si="4"/>
        <v>202.65744375</v>
      </c>
      <c r="Q33" t="s">
        <v>196</v>
      </c>
      <c r="R33">
        <v>3</v>
      </c>
      <c r="S33" t="s">
        <v>197</v>
      </c>
      <c r="T33">
        <v>3</v>
      </c>
      <c r="U33" t="str">
        <f t="shared" si="5"/>
        <v>N1: H3 - I3</v>
      </c>
    </row>
    <row r="34" spans="3:21" x14ac:dyDescent="0.25">
      <c r="C34" t="s">
        <v>182</v>
      </c>
      <c r="D34">
        <v>1.35</v>
      </c>
      <c r="E34">
        <v>0</v>
      </c>
      <c r="F34">
        <v>1.7589999999999999</v>
      </c>
      <c r="G34" t="s">
        <v>186</v>
      </c>
      <c r="H34">
        <f t="shared" si="0"/>
        <v>682.89</v>
      </c>
      <c r="I34">
        <f t="shared" si="1"/>
        <v>651.48</v>
      </c>
      <c r="J34">
        <f t="shared" si="2"/>
        <v>1334.37</v>
      </c>
      <c r="K34">
        <f t="shared" si="3"/>
        <v>2063.5619999999999</v>
      </c>
      <c r="L34">
        <f t="shared" si="4"/>
        <v>202.65744375</v>
      </c>
      <c r="Q34" t="s">
        <v>197</v>
      </c>
      <c r="R34">
        <v>3</v>
      </c>
      <c r="S34" t="s">
        <v>198</v>
      </c>
      <c r="T34">
        <v>3</v>
      </c>
      <c r="U34" t="str">
        <f t="shared" si="5"/>
        <v>N1: I3 - J3</v>
      </c>
    </row>
    <row r="35" spans="3:21" x14ac:dyDescent="0.25">
      <c r="C35" t="s">
        <v>208</v>
      </c>
      <c r="D35">
        <v>1.35</v>
      </c>
      <c r="E35">
        <v>0</v>
      </c>
      <c r="F35">
        <v>1.7589999999999999</v>
      </c>
      <c r="G35" t="s">
        <v>186</v>
      </c>
      <c r="H35">
        <f t="shared" si="0"/>
        <v>682.89</v>
      </c>
      <c r="I35">
        <f t="shared" si="1"/>
        <v>651.48</v>
      </c>
      <c r="J35">
        <f t="shared" si="2"/>
        <v>1334.37</v>
      </c>
      <c r="K35">
        <f t="shared" si="3"/>
        <v>2063.5619999999999</v>
      </c>
      <c r="L35">
        <f t="shared" si="4"/>
        <v>202.65744375</v>
      </c>
      <c r="Q35" t="s">
        <v>132</v>
      </c>
      <c r="R35" t="s">
        <v>199</v>
      </c>
      <c r="S35" t="s">
        <v>134</v>
      </c>
      <c r="T35" t="s">
        <v>199</v>
      </c>
      <c r="U35" t="str">
        <f t="shared" si="5"/>
        <v>N1: AV - BV</v>
      </c>
    </row>
    <row r="36" spans="3:21" x14ac:dyDescent="0.25">
      <c r="C36" t="s">
        <v>211</v>
      </c>
      <c r="D36">
        <v>1.35</v>
      </c>
      <c r="E36">
        <v>0</v>
      </c>
      <c r="F36">
        <v>1.7589999999999999</v>
      </c>
      <c r="G36" t="s">
        <v>186</v>
      </c>
      <c r="H36">
        <f t="shared" si="0"/>
        <v>682.89</v>
      </c>
      <c r="I36">
        <f t="shared" si="1"/>
        <v>651.48</v>
      </c>
      <c r="J36">
        <f t="shared" si="2"/>
        <v>1334.37</v>
      </c>
      <c r="K36">
        <f t="shared" si="3"/>
        <v>2063.5619999999999</v>
      </c>
      <c r="L36">
        <f t="shared" si="4"/>
        <v>202.65744375</v>
      </c>
      <c r="Q36" t="s">
        <v>134</v>
      </c>
      <c r="R36" t="s">
        <v>199</v>
      </c>
      <c r="S36" t="s">
        <v>191</v>
      </c>
      <c r="T36" t="s">
        <v>199</v>
      </c>
      <c r="U36" t="str">
        <f t="shared" si="5"/>
        <v>N1: BV - CV</v>
      </c>
    </row>
    <row r="37" spans="3:21" x14ac:dyDescent="0.25">
      <c r="C37" t="s">
        <v>189</v>
      </c>
      <c r="D37">
        <v>1.35</v>
      </c>
      <c r="E37">
        <v>0</v>
      </c>
      <c r="F37">
        <v>1.76</v>
      </c>
      <c r="G37" t="s">
        <v>186</v>
      </c>
      <c r="H37">
        <f t="shared" si="0"/>
        <v>683.11</v>
      </c>
      <c r="I37">
        <f t="shared" si="1"/>
        <v>651.85</v>
      </c>
      <c r="J37">
        <f t="shared" si="2"/>
        <v>1334.96</v>
      </c>
      <c r="K37">
        <f t="shared" si="3"/>
        <v>2064.4989999999998</v>
      </c>
      <c r="L37">
        <f t="shared" si="4"/>
        <v>202.74705000000003</v>
      </c>
      <c r="Q37" t="s">
        <v>191</v>
      </c>
      <c r="R37" t="s">
        <v>199</v>
      </c>
      <c r="S37" t="s">
        <v>192</v>
      </c>
      <c r="T37" t="s">
        <v>199</v>
      </c>
      <c r="U37" t="str">
        <f t="shared" si="5"/>
        <v>N1: CV - DV</v>
      </c>
    </row>
    <row r="38" spans="3:21" x14ac:dyDescent="0.25">
      <c r="C38" t="s">
        <v>202</v>
      </c>
      <c r="D38">
        <v>1.35</v>
      </c>
      <c r="E38">
        <v>0</v>
      </c>
      <c r="F38">
        <v>1.76</v>
      </c>
      <c r="G38" t="s">
        <v>186</v>
      </c>
      <c r="H38">
        <f t="shared" si="0"/>
        <v>683.11</v>
      </c>
      <c r="I38">
        <f t="shared" si="1"/>
        <v>651.85</v>
      </c>
      <c r="J38">
        <f t="shared" si="2"/>
        <v>1334.96</v>
      </c>
      <c r="K38">
        <f t="shared" si="3"/>
        <v>2064.4989999999998</v>
      </c>
      <c r="L38">
        <f t="shared" si="4"/>
        <v>202.74705000000003</v>
      </c>
      <c r="Q38" t="s">
        <v>192</v>
      </c>
      <c r="R38" t="s">
        <v>199</v>
      </c>
      <c r="S38" t="s">
        <v>193</v>
      </c>
      <c r="T38" t="s">
        <v>199</v>
      </c>
      <c r="U38" t="str">
        <f t="shared" si="5"/>
        <v>N1: DV - EV</v>
      </c>
    </row>
    <row r="39" spans="3:21" x14ac:dyDescent="0.25">
      <c r="C39" t="s">
        <v>215</v>
      </c>
      <c r="D39">
        <v>2.15</v>
      </c>
      <c r="E39">
        <v>1.1559999999999999</v>
      </c>
      <c r="F39">
        <v>0</v>
      </c>
      <c r="G39" t="s">
        <v>176</v>
      </c>
      <c r="H39">
        <f t="shared" si="0"/>
        <v>920.3</v>
      </c>
      <c r="I39">
        <f t="shared" si="1"/>
        <v>107.53</v>
      </c>
      <c r="J39">
        <f t="shared" si="2"/>
        <v>1027.83</v>
      </c>
      <c r="K39">
        <f t="shared" si="3"/>
        <v>1471.2209999999998</v>
      </c>
      <c r="L39">
        <f t="shared" si="4"/>
        <v>395.92868124999995</v>
      </c>
      <c r="Q39" t="s">
        <v>193</v>
      </c>
      <c r="R39" t="s">
        <v>199</v>
      </c>
      <c r="S39" t="s">
        <v>194</v>
      </c>
      <c r="T39" t="s">
        <v>199</v>
      </c>
      <c r="U39" t="str">
        <f t="shared" si="5"/>
        <v>N1: EV - FV</v>
      </c>
    </row>
    <row r="40" spans="3:21" x14ac:dyDescent="0.25">
      <c r="C40" t="s">
        <v>217</v>
      </c>
      <c r="D40">
        <v>2.15</v>
      </c>
      <c r="E40">
        <v>1.1559999999999999</v>
      </c>
      <c r="F40">
        <v>0</v>
      </c>
      <c r="G40" t="s">
        <v>176</v>
      </c>
      <c r="H40">
        <f t="shared" ref="H40:H64" si="6">IF(G40="Si",ROUND((((240+35+25)*(E40+F40))/D40)+192+567,2),IF(G40="Medio",ROUND((((240+35+25)*(E40+F40))/D40)+192+100,2),ROUND((((240+35+25)*(E40+F40))/D40)+192,2)))</f>
        <v>920.3</v>
      </c>
      <c r="I40">
        <f t="shared" ref="I40:I64" si="7">ROUND((E40*200+F40*500)/D40,2)</f>
        <v>107.53</v>
      </c>
      <c r="J40">
        <f t="shared" ref="J40:J64" si="8">H40+I40</f>
        <v>1027.83</v>
      </c>
      <c r="K40">
        <f t="shared" ref="K40:K64" si="9">1.4*H40+1.7*I40</f>
        <v>1471.2209999999998</v>
      </c>
      <c r="L40">
        <f t="shared" ref="L40:L64" si="10">J40*D40*D40/12</f>
        <v>395.92868124999995</v>
      </c>
      <c r="Q40" t="s">
        <v>194</v>
      </c>
      <c r="R40" t="s">
        <v>199</v>
      </c>
      <c r="S40" t="s">
        <v>195</v>
      </c>
      <c r="T40" t="s">
        <v>199</v>
      </c>
      <c r="U40" t="str">
        <f t="shared" si="5"/>
        <v>N1: FV - GV</v>
      </c>
    </row>
    <row r="41" spans="3:21" x14ac:dyDescent="0.25">
      <c r="C41" t="s">
        <v>221</v>
      </c>
      <c r="D41">
        <v>2.15</v>
      </c>
      <c r="E41">
        <v>1.1559999999999999</v>
      </c>
      <c r="F41">
        <v>0</v>
      </c>
      <c r="G41" t="s">
        <v>176</v>
      </c>
      <c r="H41">
        <f t="shared" si="6"/>
        <v>920.3</v>
      </c>
      <c r="I41">
        <f t="shared" si="7"/>
        <v>107.53</v>
      </c>
      <c r="J41">
        <f t="shared" si="8"/>
        <v>1027.83</v>
      </c>
      <c r="K41">
        <f t="shared" si="9"/>
        <v>1471.2209999999998</v>
      </c>
      <c r="L41">
        <f t="shared" si="10"/>
        <v>395.92868124999995</v>
      </c>
      <c r="Q41" t="s">
        <v>195</v>
      </c>
      <c r="R41" t="s">
        <v>199</v>
      </c>
      <c r="S41" t="s">
        <v>196</v>
      </c>
      <c r="T41" t="s">
        <v>199</v>
      </c>
      <c r="U41" t="str">
        <f t="shared" si="5"/>
        <v>N1: GV - HV</v>
      </c>
    </row>
    <row r="42" spans="3:21" x14ac:dyDescent="0.25">
      <c r="C42" t="s">
        <v>223</v>
      </c>
      <c r="D42">
        <v>2.15</v>
      </c>
      <c r="E42">
        <v>1.1559999999999999</v>
      </c>
      <c r="F42">
        <v>0</v>
      </c>
      <c r="G42" t="s">
        <v>176</v>
      </c>
      <c r="H42">
        <f t="shared" si="6"/>
        <v>920.3</v>
      </c>
      <c r="I42">
        <f t="shared" si="7"/>
        <v>107.53</v>
      </c>
      <c r="J42">
        <f t="shared" si="8"/>
        <v>1027.83</v>
      </c>
      <c r="K42">
        <f t="shared" si="9"/>
        <v>1471.2209999999998</v>
      </c>
      <c r="L42">
        <f t="shared" si="10"/>
        <v>395.92868124999995</v>
      </c>
      <c r="Q42" t="s">
        <v>196</v>
      </c>
      <c r="R42" t="s">
        <v>199</v>
      </c>
      <c r="S42" t="s">
        <v>197</v>
      </c>
      <c r="T42" t="s">
        <v>199</v>
      </c>
      <c r="U42" t="str">
        <f t="shared" si="5"/>
        <v>N1: HV - IV</v>
      </c>
    </row>
    <row r="43" spans="3:21" x14ac:dyDescent="0.25">
      <c r="C43" t="s">
        <v>218</v>
      </c>
      <c r="D43">
        <v>2.2000000000000002</v>
      </c>
      <c r="E43">
        <v>1.21</v>
      </c>
      <c r="F43">
        <v>0</v>
      </c>
      <c r="G43" t="s">
        <v>176</v>
      </c>
      <c r="H43">
        <f t="shared" si="6"/>
        <v>924</v>
      </c>
      <c r="I43">
        <f t="shared" si="7"/>
        <v>110</v>
      </c>
      <c r="J43">
        <f t="shared" si="8"/>
        <v>1034</v>
      </c>
      <c r="K43">
        <f t="shared" si="9"/>
        <v>1480.6</v>
      </c>
      <c r="L43">
        <f t="shared" si="10"/>
        <v>417.04666666666668</v>
      </c>
      <c r="Q43" t="s">
        <v>197</v>
      </c>
      <c r="R43" t="s">
        <v>199</v>
      </c>
      <c r="S43" t="s">
        <v>198</v>
      </c>
      <c r="T43" t="s">
        <v>199</v>
      </c>
      <c r="U43" t="str">
        <f t="shared" si="5"/>
        <v>N1: IV - JV</v>
      </c>
    </row>
    <row r="44" spans="3:21" x14ac:dyDescent="0.25">
      <c r="C44" t="s">
        <v>219</v>
      </c>
      <c r="D44">
        <v>2.2000000000000002</v>
      </c>
      <c r="E44">
        <v>1.21</v>
      </c>
      <c r="F44">
        <v>0</v>
      </c>
      <c r="G44" t="s">
        <v>176</v>
      </c>
      <c r="H44">
        <f t="shared" si="6"/>
        <v>924</v>
      </c>
      <c r="I44">
        <f t="shared" si="7"/>
        <v>110</v>
      </c>
      <c r="J44">
        <f t="shared" si="8"/>
        <v>1034</v>
      </c>
      <c r="K44">
        <f t="shared" si="9"/>
        <v>1480.6</v>
      </c>
      <c r="L44">
        <f t="shared" si="10"/>
        <v>417.04666666666668</v>
      </c>
    </row>
    <row r="45" spans="3:21" x14ac:dyDescent="0.25">
      <c r="C45" t="s">
        <v>220</v>
      </c>
      <c r="D45">
        <v>2.2000000000000002</v>
      </c>
      <c r="E45">
        <v>1.21</v>
      </c>
      <c r="F45">
        <v>0</v>
      </c>
      <c r="G45" t="s">
        <v>176</v>
      </c>
      <c r="H45">
        <f t="shared" si="6"/>
        <v>924</v>
      </c>
      <c r="I45">
        <f t="shared" si="7"/>
        <v>110</v>
      </c>
      <c r="J45">
        <f t="shared" si="8"/>
        <v>1034</v>
      </c>
      <c r="K45">
        <f t="shared" si="9"/>
        <v>1480.6</v>
      </c>
      <c r="L45">
        <f t="shared" si="10"/>
        <v>417.04666666666668</v>
      </c>
    </row>
    <row r="46" spans="3:21" x14ac:dyDescent="0.25">
      <c r="C46" t="s">
        <v>216</v>
      </c>
      <c r="D46">
        <v>2.25</v>
      </c>
      <c r="E46">
        <v>1.266</v>
      </c>
      <c r="F46">
        <v>0</v>
      </c>
      <c r="G46" t="s">
        <v>176</v>
      </c>
      <c r="H46">
        <f t="shared" si="6"/>
        <v>927.8</v>
      </c>
      <c r="I46">
        <f t="shared" si="7"/>
        <v>112.53</v>
      </c>
      <c r="J46">
        <f t="shared" si="8"/>
        <v>1040.33</v>
      </c>
      <c r="K46">
        <f t="shared" si="9"/>
        <v>1490.2209999999998</v>
      </c>
      <c r="L46">
        <f t="shared" si="10"/>
        <v>438.88921875</v>
      </c>
    </row>
    <row r="47" spans="3:21" x14ac:dyDescent="0.25">
      <c r="C47" t="s">
        <v>222</v>
      </c>
      <c r="D47">
        <v>2.25</v>
      </c>
      <c r="E47">
        <v>1.266</v>
      </c>
      <c r="F47">
        <v>0</v>
      </c>
      <c r="G47" t="s">
        <v>176</v>
      </c>
      <c r="H47">
        <f t="shared" si="6"/>
        <v>927.8</v>
      </c>
      <c r="I47">
        <f t="shared" si="7"/>
        <v>112.53</v>
      </c>
      <c r="J47">
        <f t="shared" si="8"/>
        <v>1040.33</v>
      </c>
      <c r="K47">
        <f t="shared" si="9"/>
        <v>1490.2209999999998</v>
      </c>
      <c r="L47">
        <f t="shared" si="10"/>
        <v>438.88921875</v>
      </c>
    </row>
    <row r="48" spans="3:21" x14ac:dyDescent="0.25">
      <c r="C48" t="s">
        <v>166</v>
      </c>
      <c r="D48">
        <v>3.25</v>
      </c>
      <c r="E48">
        <v>2.3380000000000001</v>
      </c>
      <c r="F48">
        <v>0</v>
      </c>
      <c r="G48" t="s">
        <v>176</v>
      </c>
      <c r="H48">
        <f t="shared" si="6"/>
        <v>974.82</v>
      </c>
      <c r="I48">
        <f t="shared" si="7"/>
        <v>143.88</v>
      </c>
      <c r="J48">
        <f t="shared" si="8"/>
        <v>1118.7</v>
      </c>
      <c r="K48">
        <f t="shared" si="9"/>
        <v>1609.3440000000001</v>
      </c>
      <c r="L48">
        <f t="shared" si="10"/>
        <v>984.68906250000009</v>
      </c>
    </row>
    <row r="49" spans="3:12" x14ac:dyDescent="0.25">
      <c r="C49" t="s">
        <v>167</v>
      </c>
      <c r="D49">
        <v>3.25</v>
      </c>
      <c r="E49">
        <v>2.3380000000000001</v>
      </c>
      <c r="F49">
        <v>0</v>
      </c>
      <c r="G49" t="s">
        <v>176</v>
      </c>
      <c r="H49">
        <f t="shared" si="6"/>
        <v>974.82</v>
      </c>
      <c r="I49">
        <f t="shared" si="7"/>
        <v>143.88</v>
      </c>
      <c r="J49">
        <f t="shared" si="8"/>
        <v>1118.7</v>
      </c>
      <c r="K49">
        <f t="shared" si="9"/>
        <v>1609.3440000000001</v>
      </c>
      <c r="L49">
        <f t="shared" si="10"/>
        <v>984.68906250000009</v>
      </c>
    </row>
    <row r="50" spans="3:12" x14ac:dyDescent="0.25">
      <c r="C50" t="s">
        <v>212</v>
      </c>
      <c r="D50">
        <v>3.25</v>
      </c>
      <c r="E50">
        <v>2.3380000000000001</v>
      </c>
      <c r="F50">
        <v>0</v>
      </c>
      <c r="G50" t="s">
        <v>176</v>
      </c>
      <c r="H50">
        <f t="shared" si="6"/>
        <v>974.82</v>
      </c>
      <c r="I50">
        <f t="shared" si="7"/>
        <v>143.88</v>
      </c>
      <c r="J50">
        <f t="shared" si="8"/>
        <v>1118.7</v>
      </c>
      <c r="K50">
        <f t="shared" si="9"/>
        <v>1609.3440000000001</v>
      </c>
      <c r="L50">
        <f t="shared" si="10"/>
        <v>984.68906250000009</v>
      </c>
    </row>
    <row r="51" spans="3:12" x14ac:dyDescent="0.25">
      <c r="C51" t="s">
        <v>213</v>
      </c>
      <c r="D51">
        <v>3.25</v>
      </c>
      <c r="E51">
        <v>2.3380000000000001</v>
      </c>
      <c r="F51">
        <v>0</v>
      </c>
      <c r="G51" t="s">
        <v>176</v>
      </c>
      <c r="H51">
        <f t="shared" si="6"/>
        <v>974.82</v>
      </c>
      <c r="I51">
        <f t="shared" si="7"/>
        <v>143.88</v>
      </c>
      <c r="J51">
        <f t="shared" si="8"/>
        <v>1118.7</v>
      </c>
      <c r="K51">
        <f t="shared" si="9"/>
        <v>1609.3440000000001</v>
      </c>
      <c r="L51">
        <f t="shared" si="10"/>
        <v>984.68906250000009</v>
      </c>
    </row>
    <row r="52" spans="3:12" x14ac:dyDescent="0.25">
      <c r="C52" t="s">
        <v>233</v>
      </c>
      <c r="D52">
        <v>2.15</v>
      </c>
      <c r="E52">
        <v>1.1559999999999999</v>
      </c>
      <c r="F52">
        <v>1.1559999999999999</v>
      </c>
      <c r="G52" t="s">
        <v>176</v>
      </c>
      <c r="H52">
        <f t="shared" si="6"/>
        <v>1081.5999999999999</v>
      </c>
      <c r="I52">
        <f t="shared" si="7"/>
        <v>376.37</v>
      </c>
      <c r="J52">
        <f t="shared" si="8"/>
        <v>1457.9699999999998</v>
      </c>
      <c r="K52">
        <f t="shared" si="9"/>
        <v>2154.0689999999995</v>
      </c>
      <c r="L52">
        <f t="shared" si="10"/>
        <v>561.62219374999984</v>
      </c>
    </row>
    <row r="53" spans="3:12" x14ac:dyDescent="0.25">
      <c r="C53" t="s">
        <v>235</v>
      </c>
      <c r="D53">
        <v>2.15</v>
      </c>
      <c r="E53">
        <v>1.1559999999999999</v>
      </c>
      <c r="F53">
        <v>1.1559999999999999</v>
      </c>
      <c r="G53" t="s">
        <v>176</v>
      </c>
      <c r="H53">
        <f t="shared" si="6"/>
        <v>1081.5999999999999</v>
      </c>
      <c r="I53">
        <f t="shared" si="7"/>
        <v>376.37</v>
      </c>
      <c r="J53">
        <f t="shared" si="8"/>
        <v>1457.9699999999998</v>
      </c>
      <c r="K53">
        <f t="shared" si="9"/>
        <v>2154.0689999999995</v>
      </c>
      <c r="L53">
        <f t="shared" si="10"/>
        <v>561.62219374999984</v>
      </c>
    </row>
    <row r="54" spans="3:12" x14ac:dyDescent="0.25">
      <c r="C54" t="s">
        <v>239</v>
      </c>
      <c r="D54">
        <v>2.15</v>
      </c>
      <c r="E54">
        <v>1.1559999999999999</v>
      </c>
      <c r="F54">
        <v>1.1559999999999999</v>
      </c>
      <c r="G54" t="s">
        <v>176</v>
      </c>
      <c r="H54">
        <f t="shared" si="6"/>
        <v>1081.5999999999999</v>
      </c>
      <c r="I54">
        <f t="shared" si="7"/>
        <v>376.37</v>
      </c>
      <c r="J54">
        <f t="shared" si="8"/>
        <v>1457.9699999999998</v>
      </c>
      <c r="K54">
        <f t="shared" si="9"/>
        <v>2154.0689999999995</v>
      </c>
      <c r="L54">
        <f t="shared" si="10"/>
        <v>561.62219374999984</v>
      </c>
    </row>
    <row r="55" spans="3:12" x14ac:dyDescent="0.25">
      <c r="C55" t="s">
        <v>241</v>
      </c>
      <c r="D55">
        <v>2.15</v>
      </c>
      <c r="E55">
        <v>1.1559999999999999</v>
      </c>
      <c r="F55">
        <v>1.1559999999999999</v>
      </c>
      <c r="G55" t="s">
        <v>176</v>
      </c>
      <c r="H55">
        <f t="shared" si="6"/>
        <v>1081.5999999999999</v>
      </c>
      <c r="I55">
        <f t="shared" si="7"/>
        <v>376.37</v>
      </c>
      <c r="J55">
        <f t="shared" si="8"/>
        <v>1457.9699999999998</v>
      </c>
      <c r="K55">
        <f t="shared" si="9"/>
        <v>2154.0689999999995</v>
      </c>
      <c r="L55">
        <f t="shared" si="10"/>
        <v>561.62219374999984</v>
      </c>
    </row>
    <row r="56" spans="3:12" x14ac:dyDescent="0.25">
      <c r="C56" t="s">
        <v>236</v>
      </c>
      <c r="D56">
        <v>2.2000000000000002</v>
      </c>
      <c r="E56">
        <v>1.21</v>
      </c>
      <c r="F56">
        <v>1.21</v>
      </c>
      <c r="G56" t="s">
        <v>176</v>
      </c>
      <c r="H56">
        <f t="shared" si="6"/>
        <v>1089</v>
      </c>
      <c r="I56">
        <f t="shared" si="7"/>
        <v>385</v>
      </c>
      <c r="J56">
        <f t="shared" si="8"/>
        <v>1474</v>
      </c>
      <c r="K56">
        <f t="shared" si="9"/>
        <v>2179.1</v>
      </c>
      <c r="L56">
        <f t="shared" si="10"/>
        <v>594.51333333333343</v>
      </c>
    </row>
    <row r="57" spans="3:12" x14ac:dyDescent="0.25">
      <c r="C57" t="s">
        <v>237</v>
      </c>
      <c r="D57">
        <v>2.2000000000000002</v>
      </c>
      <c r="E57">
        <v>1.21</v>
      </c>
      <c r="F57">
        <v>1.21</v>
      </c>
      <c r="G57" t="s">
        <v>176</v>
      </c>
      <c r="H57">
        <f t="shared" si="6"/>
        <v>1089</v>
      </c>
      <c r="I57">
        <f t="shared" si="7"/>
        <v>385</v>
      </c>
      <c r="J57">
        <f t="shared" si="8"/>
        <v>1474</v>
      </c>
      <c r="K57">
        <f t="shared" si="9"/>
        <v>2179.1</v>
      </c>
      <c r="L57">
        <f t="shared" si="10"/>
        <v>594.51333333333343</v>
      </c>
    </row>
    <row r="58" spans="3:12" x14ac:dyDescent="0.25">
      <c r="C58" t="s">
        <v>238</v>
      </c>
      <c r="D58">
        <v>2.2000000000000002</v>
      </c>
      <c r="E58">
        <v>1.21</v>
      </c>
      <c r="F58">
        <v>1.21</v>
      </c>
      <c r="G58" t="s">
        <v>176</v>
      </c>
      <c r="H58">
        <f t="shared" si="6"/>
        <v>1089</v>
      </c>
      <c r="I58">
        <f t="shared" si="7"/>
        <v>385</v>
      </c>
      <c r="J58">
        <f t="shared" si="8"/>
        <v>1474</v>
      </c>
      <c r="K58">
        <f t="shared" si="9"/>
        <v>2179.1</v>
      </c>
      <c r="L58">
        <f t="shared" si="10"/>
        <v>594.51333333333343</v>
      </c>
    </row>
    <row r="59" spans="3:12" x14ac:dyDescent="0.25">
      <c r="C59" t="s">
        <v>234</v>
      </c>
      <c r="D59">
        <v>2.25</v>
      </c>
      <c r="E59">
        <v>1.266</v>
      </c>
      <c r="F59">
        <v>1.266</v>
      </c>
      <c r="G59" t="s">
        <v>176</v>
      </c>
      <c r="H59">
        <f t="shared" si="6"/>
        <v>1096.5999999999999</v>
      </c>
      <c r="I59">
        <f t="shared" si="7"/>
        <v>393.87</v>
      </c>
      <c r="J59">
        <f t="shared" si="8"/>
        <v>1490.4699999999998</v>
      </c>
      <c r="K59">
        <f t="shared" si="9"/>
        <v>2204.8189999999995</v>
      </c>
      <c r="L59">
        <f t="shared" si="10"/>
        <v>628.79203124999992</v>
      </c>
    </row>
    <row r="60" spans="3:12" x14ac:dyDescent="0.25">
      <c r="C60" t="s">
        <v>240</v>
      </c>
      <c r="D60">
        <v>2.25</v>
      </c>
      <c r="E60">
        <v>1.266</v>
      </c>
      <c r="F60">
        <v>1.266</v>
      </c>
      <c r="G60" t="s">
        <v>176</v>
      </c>
      <c r="H60">
        <f t="shared" si="6"/>
        <v>1096.5999999999999</v>
      </c>
      <c r="I60">
        <f t="shared" si="7"/>
        <v>393.87</v>
      </c>
      <c r="J60">
        <f t="shared" si="8"/>
        <v>1490.4699999999998</v>
      </c>
      <c r="K60">
        <f t="shared" si="9"/>
        <v>2204.8189999999995</v>
      </c>
      <c r="L60">
        <f t="shared" si="10"/>
        <v>628.79203124999992</v>
      </c>
    </row>
    <row r="61" spans="3:12" x14ac:dyDescent="0.25">
      <c r="C61" t="s">
        <v>183</v>
      </c>
      <c r="D61">
        <v>3.25</v>
      </c>
      <c r="E61">
        <v>4.7030000000000003</v>
      </c>
      <c r="F61">
        <v>0</v>
      </c>
      <c r="G61" t="s">
        <v>176</v>
      </c>
      <c r="H61">
        <f t="shared" si="6"/>
        <v>1193.1199999999999</v>
      </c>
      <c r="I61">
        <f t="shared" si="7"/>
        <v>289.42</v>
      </c>
      <c r="J61">
        <f t="shared" si="8"/>
        <v>1482.54</v>
      </c>
      <c r="K61">
        <f t="shared" si="9"/>
        <v>2162.3819999999996</v>
      </c>
      <c r="L61">
        <f t="shared" si="10"/>
        <v>1304.9440625</v>
      </c>
    </row>
    <row r="62" spans="3:12" x14ac:dyDescent="0.25">
      <c r="C62" t="s">
        <v>184</v>
      </c>
      <c r="D62">
        <v>3.25</v>
      </c>
      <c r="E62">
        <v>4.7030000000000003</v>
      </c>
      <c r="F62">
        <v>0</v>
      </c>
      <c r="G62" t="s">
        <v>176</v>
      </c>
      <c r="H62">
        <f t="shared" si="6"/>
        <v>1193.1199999999999</v>
      </c>
      <c r="I62">
        <f t="shared" si="7"/>
        <v>289.42</v>
      </c>
      <c r="J62">
        <f t="shared" si="8"/>
        <v>1482.54</v>
      </c>
      <c r="K62">
        <f t="shared" si="9"/>
        <v>2162.3819999999996</v>
      </c>
      <c r="L62">
        <f t="shared" si="10"/>
        <v>1304.9440625</v>
      </c>
    </row>
    <row r="63" spans="3:12" x14ac:dyDescent="0.25">
      <c r="C63" t="s">
        <v>203</v>
      </c>
      <c r="D63">
        <v>3.25</v>
      </c>
      <c r="E63">
        <v>4.7030000000000003</v>
      </c>
      <c r="F63">
        <v>0</v>
      </c>
      <c r="G63" t="s">
        <v>176</v>
      </c>
      <c r="H63">
        <f t="shared" si="6"/>
        <v>1193.1199999999999</v>
      </c>
      <c r="I63">
        <f t="shared" si="7"/>
        <v>289.42</v>
      </c>
      <c r="J63">
        <f t="shared" si="8"/>
        <v>1482.54</v>
      </c>
      <c r="K63">
        <f t="shared" si="9"/>
        <v>2162.3819999999996</v>
      </c>
      <c r="L63">
        <f t="shared" si="10"/>
        <v>1304.9440625</v>
      </c>
    </row>
    <row r="64" spans="3:12" x14ac:dyDescent="0.25">
      <c r="C64" t="s">
        <v>204</v>
      </c>
      <c r="D64">
        <v>3.25</v>
      </c>
      <c r="E64">
        <v>4.7030000000000003</v>
      </c>
      <c r="F64">
        <v>0</v>
      </c>
      <c r="G64" t="s">
        <v>176</v>
      </c>
      <c r="H64">
        <f t="shared" si="6"/>
        <v>1193.1199999999999</v>
      </c>
      <c r="I64">
        <f t="shared" si="7"/>
        <v>289.42</v>
      </c>
      <c r="J64">
        <f t="shared" si="8"/>
        <v>1482.54</v>
      </c>
      <c r="K64">
        <f t="shared" si="9"/>
        <v>2162.3819999999996</v>
      </c>
      <c r="L64">
        <f t="shared" si="10"/>
        <v>1304.9440625</v>
      </c>
    </row>
  </sheetData>
  <autoFilter ref="C6:L7">
    <filterColumn colId="2" showButton="0"/>
    <sortState ref="C9:L64">
      <sortCondition ref="H6:H7"/>
    </sortState>
  </autoFilter>
  <mergeCells count="8">
    <mergeCell ref="K6:K7"/>
    <mergeCell ref="L6:L7"/>
    <mergeCell ref="C6:C7"/>
    <mergeCell ref="D6:D7"/>
    <mergeCell ref="E6:F6"/>
    <mergeCell ref="H6:H7"/>
    <mergeCell ref="I6:I7"/>
    <mergeCell ref="J6:J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1"/>
  <sheetViews>
    <sheetView zoomScale="70" zoomScaleNormal="70" workbookViewId="0">
      <selection activeCell="C11" sqref="C11"/>
    </sheetView>
  </sheetViews>
  <sheetFormatPr baseColWidth="10" defaultRowHeight="15" x14ac:dyDescent="0.25"/>
  <cols>
    <col min="5" max="5" width="14.140625" bestFit="1" customWidth="1"/>
  </cols>
  <sheetData>
    <row r="6" spans="2:5" x14ac:dyDescent="0.25">
      <c r="B6" t="s">
        <v>329</v>
      </c>
      <c r="C6">
        <v>375</v>
      </c>
      <c r="D6">
        <v>410</v>
      </c>
      <c r="E6">
        <f>D6*C6</f>
        <v>153750</v>
      </c>
    </row>
    <row r="7" spans="2:5" x14ac:dyDescent="0.25">
      <c r="B7" t="s">
        <v>329</v>
      </c>
      <c r="C7">
        <v>1000</v>
      </c>
      <c r="D7">
        <v>410</v>
      </c>
      <c r="E7">
        <f>D7*C7</f>
        <v>410000</v>
      </c>
    </row>
    <row r="8" spans="2:5" x14ac:dyDescent="0.25">
      <c r="C8">
        <v>200</v>
      </c>
      <c r="D8">
        <v>410</v>
      </c>
      <c r="E8">
        <f>D8*C8</f>
        <v>82000</v>
      </c>
    </row>
    <row r="9" spans="2:5" x14ac:dyDescent="0.25">
      <c r="C9">
        <v>375</v>
      </c>
      <c r="D9">
        <v>410</v>
      </c>
      <c r="E9">
        <f>D9*C9</f>
        <v>153750</v>
      </c>
    </row>
    <row r="10" spans="2:5" x14ac:dyDescent="0.25">
      <c r="C10">
        <v>1000</v>
      </c>
      <c r="D10">
        <v>410</v>
      </c>
      <c r="E10">
        <f>D10*C10</f>
        <v>410000</v>
      </c>
    </row>
    <row r="11" spans="2:5" x14ac:dyDescent="0.25">
      <c r="C11">
        <f>SUM(C6:C10)</f>
        <v>2950</v>
      </c>
      <c r="E11" s="125">
        <f>SUM(E6:E10)</f>
        <v>1209500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64"/>
  <sheetViews>
    <sheetView topLeftCell="A4" zoomScale="70" zoomScaleNormal="70" workbookViewId="0">
      <selection activeCell="M16" sqref="M16"/>
    </sheetView>
  </sheetViews>
  <sheetFormatPr baseColWidth="10" defaultRowHeight="15" x14ac:dyDescent="0.25"/>
  <cols>
    <col min="4" max="4" width="8.140625" customWidth="1"/>
    <col min="9" max="9" width="8.140625" customWidth="1"/>
    <col min="11" max="11" width="10" customWidth="1"/>
  </cols>
  <sheetData>
    <row r="6" spans="3:21" x14ac:dyDescent="0.25">
      <c r="C6" s="148" t="s">
        <v>54</v>
      </c>
      <c r="D6" s="148" t="s">
        <v>172</v>
      </c>
      <c r="E6" s="149" t="s">
        <v>173</v>
      </c>
      <c r="F6" s="149"/>
      <c r="G6" s="62"/>
      <c r="H6" s="147" t="s">
        <v>152</v>
      </c>
      <c r="I6" s="147" t="s">
        <v>165</v>
      </c>
      <c r="J6" s="147" t="s">
        <v>178</v>
      </c>
      <c r="K6" s="147" t="s">
        <v>179</v>
      </c>
      <c r="L6" s="148" t="s">
        <v>242</v>
      </c>
      <c r="M6" s="67"/>
      <c r="N6" s="67"/>
      <c r="O6" s="67"/>
    </row>
    <row r="7" spans="3:21" x14ac:dyDescent="0.25">
      <c r="C7" s="148"/>
      <c r="D7" s="148"/>
      <c r="E7" t="s">
        <v>174</v>
      </c>
      <c r="F7" t="s">
        <v>175</v>
      </c>
      <c r="G7" t="s">
        <v>43</v>
      </c>
      <c r="H7" s="147"/>
      <c r="I7" s="147"/>
      <c r="J7" s="147"/>
      <c r="K7" s="147"/>
      <c r="L7" s="148"/>
      <c r="M7" s="67"/>
      <c r="N7" s="67"/>
      <c r="O7" s="67"/>
    </row>
    <row r="8" spans="3:21" x14ac:dyDescent="0.25">
      <c r="C8" t="s">
        <v>166</v>
      </c>
      <c r="D8">
        <v>3.25</v>
      </c>
      <c r="E8">
        <v>2.3380000000000001</v>
      </c>
      <c r="F8">
        <v>0</v>
      </c>
      <c r="G8" t="s">
        <v>176</v>
      </c>
      <c r="H8">
        <f t="shared" ref="H8:H39" si="0">IF(G8="Si",ROUND((((240+35+25)*(E8+F8))/D8)+192+567,2),IF(G8="Medio",ROUND((((240+35+25)*(E8+F8))/D8)+192+100,2),ROUND((((240+35+25)*(E8+F8))/D8)+192,2)))</f>
        <v>974.82</v>
      </c>
      <c r="I8">
        <f t="shared" ref="I8:I39" si="1">ROUND((E8*200+F8*500)/D8,2)</f>
        <v>143.88</v>
      </c>
      <c r="J8">
        <f t="shared" ref="J8:J39" si="2">H8+I8</f>
        <v>1118.7</v>
      </c>
      <c r="K8">
        <f t="shared" ref="K8:K39" si="3">1.4*H8+1.7*I8</f>
        <v>1609.3440000000001</v>
      </c>
      <c r="L8">
        <f t="shared" ref="L8:L39" si="4">J8*D8*D8/12</f>
        <v>984.68906250000009</v>
      </c>
      <c r="P8" t="s">
        <v>190</v>
      </c>
      <c r="Q8" t="s">
        <v>132</v>
      </c>
      <c r="R8">
        <v>1</v>
      </c>
      <c r="S8" t="s">
        <v>134</v>
      </c>
      <c r="T8">
        <v>1</v>
      </c>
      <c r="U8" t="str">
        <f>CONCATENATE("N1: ",Q8,R8," - ",S8,T8)</f>
        <v>N1: A1 - B1</v>
      </c>
    </row>
    <row r="9" spans="3:21" x14ac:dyDescent="0.25">
      <c r="C9" t="s">
        <v>167</v>
      </c>
      <c r="D9">
        <v>3.25</v>
      </c>
      <c r="E9">
        <v>2.3380000000000001</v>
      </c>
      <c r="F9">
        <v>0</v>
      </c>
      <c r="G9" t="s">
        <v>176</v>
      </c>
      <c r="H9">
        <f t="shared" si="0"/>
        <v>974.82</v>
      </c>
      <c r="I9">
        <f t="shared" si="1"/>
        <v>143.88</v>
      </c>
      <c r="J9">
        <f t="shared" si="2"/>
        <v>1118.7</v>
      </c>
      <c r="K9">
        <f t="shared" si="3"/>
        <v>1609.3440000000001</v>
      </c>
      <c r="L9">
        <f t="shared" si="4"/>
        <v>984.68906250000009</v>
      </c>
      <c r="Q9" t="s">
        <v>134</v>
      </c>
      <c r="R9">
        <v>1</v>
      </c>
      <c r="S9" t="s">
        <v>191</v>
      </c>
      <c r="T9">
        <v>1</v>
      </c>
      <c r="U9" t="str">
        <f t="shared" ref="U9:U34" si="5">CONCATENATE("N1: ",Q9,R9," - ",S9,T9)</f>
        <v>N1: B1 - C1</v>
      </c>
    </row>
    <row r="10" spans="3:21" x14ac:dyDescent="0.25">
      <c r="C10" t="s">
        <v>168</v>
      </c>
      <c r="D10">
        <v>1.35</v>
      </c>
      <c r="E10">
        <v>0</v>
      </c>
      <c r="F10">
        <v>0.873</v>
      </c>
      <c r="G10" t="s">
        <v>186</v>
      </c>
      <c r="H10">
        <f t="shared" si="0"/>
        <v>486</v>
      </c>
      <c r="I10">
        <f t="shared" si="1"/>
        <v>323.33</v>
      </c>
      <c r="J10">
        <f t="shared" si="2"/>
        <v>809.32999999999993</v>
      </c>
      <c r="K10">
        <f t="shared" si="3"/>
        <v>1230.0609999999999</v>
      </c>
      <c r="L10">
        <f t="shared" si="4"/>
        <v>122.91699375</v>
      </c>
      <c r="Q10" t="s">
        <v>191</v>
      </c>
      <c r="R10">
        <v>1</v>
      </c>
      <c r="S10" t="s">
        <v>192</v>
      </c>
      <c r="T10">
        <v>1</v>
      </c>
      <c r="U10" t="str">
        <f t="shared" si="5"/>
        <v>N1: C1 - D1</v>
      </c>
    </row>
    <row r="11" spans="3:21" x14ac:dyDescent="0.25">
      <c r="C11" t="s">
        <v>169</v>
      </c>
      <c r="D11">
        <v>3.25</v>
      </c>
      <c r="E11">
        <v>4.7290000000000001</v>
      </c>
      <c r="F11">
        <v>0</v>
      </c>
      <c r="G11" t="s">
        <v>177</v>
      </c>
      <c r="H11">
        <f t="shared" si="0"/>
        <v>628.52</v>
      </c>
      <c r="I11">
        <f t="shared" si="1"/>
        <v>291.02</v>
      </c>
      <c r="J11">
        <f t="shared" si="2"/>
        <v>919.54</v>
      </c>
      <c r="K11">
        <f t="shared" si="3"/>
        <v>1374.6619999999998</v>
      </c>
      <c r="L11">
        <f t="shared" si="4"/>
        <v>809.38677083333334</v>
      </c>
      <c r="Q11" t="s">
        <v>192</v>
      </c>
      <c r="R11">
        <v>1</v>
      </c>
      <c r="S11" t="s">
        <v>193</v>
      </c>
      <c r="T11">
        <v>1</v>
      </c>
      <c r="U11" t="str">
        <f t="shared" si="5"/>
        <v>N1: D1 - E1</v>
      </c>
    </row>
    <row r="12" spans="3:21" x14ac:dyDescent="0.25">
      <c r="C12" t="s">
        <v>170</v>
      </c>
      <c r="D12">
        <v>3.25</v>
      </c>
      <c r="E12">
        <v>4.7290000000000001</v>
      </c>
      <c r="F12">
        <v>0</v>
      </c>
      <c r="G12" t="s">
        <v>177</v>
      </c>
      <c r="H12">
        <f t="shared" si="0"/>
        <v>628.52</v>
      </c>
      <c r="I12">
        <f t="shared" si="1"/>
        <v>291.02</v>
      </c>
      <c r="J12">
        <f t="shared" si="2"/>
        <v>919.54</v>
      </c>
      <c r="K12">
        <f t="shared" si="3"/>
        <v>1374.6619999999998</v>
      </c>
      <c r="L12">
        <f t="shared" si="4"/>
        <v>809.38677083333334</v>
      </c>
      <c r="Q12" t="s">
        <v>193</v>
      </c>
      <c r="R12">
        <v>1</v>
      </c>
      <c r="S12" t="s">
        <v>194</v>
      </c>
      <c r="T12">
        <v>1</v>
      </c>
      <c r="U12" t="str">
        <f t="shared" si="5"/>
        <v>N1: E1 - F1</v>
      </c>
    </row>
    <row r="13" spans="3:21" x14ac:dyDescent="0.25">
      <c r="C13" t="s">
        <v>171</v>
      </c>
      <c r="D13">
        <v>1.35</v>
      </c>
      <c r="E13">
        <v>0</v>
      </c>
      <c r="F13">
        <v>1.7589999999999999</v>
      </c>
      <c r="G13" t="s">
        <v>186</v>
      </c>
      <c r="H13">
        <f t="shared" si="0"/>
        <v>682.89</v>
      </c>
      <c r="I13">
        <f t="shared" si="1"/>
        <v>651.48</v>
      </c>
      <c r="J13">
        <f t="shared" si="2"/>
        <v>1334.37</v>
      </c>
      <c r="K13">
        <f t="shared" si="3"/>
        <v>2063.5619999999999</v>
      </c>
      <c r="L13">
        <f t="shared" si="4"/>
        <v>202.65744375</v>
      </c>
      <c r="Q13" t="s">
        <v>194</v>
      </c>
      <c r="R13">
        <v>1</v>
      </c>
      <c r="S13" t="s">
        <v>195</v>
      </c>
      <c r="T13">
        <v>1</v>
      </c>
      <c r="U13" t="str">
        <f t="shared" si="5"/>
        <v>N1: F1 - G1</v>
      </c>
    </row>
    <row r="14" spans="3:21" x14ac:dyDescent="0.25">
      <c r="C14" t="s">
        <v>180</v>
      </c>
      <c r="D14">
        <v>3.25</v>
      </c>
      <c r="E14">
        <v>4.7290000000000001</v>
      </c>
      <c r="F14">
        <v>0</v>
      </c>
      <c r="G14" t="s">
        <v>177</v>
      </c>
      <c r="H14">
        <f t="shared" si="0"/>
        <v>628.52</v>
      </c>
      <c r="I14">
        <f t="shared" si="1"/>
        <v>291.02</v>
      </c>
      <c r="J14">
        <f t="shared" si="2"/>
        <v>919.54</v>
      </c>
      <c r="K14">
        <f t="shared" si="3"/>
        <v>1374.6619999999998</v>
      </c>
      <c r="L14">
        <f t="shared" si="4"/>
        <v>809.38677083333334</v>
      </c>
      <c r="Q14" t="s">
        <v>195</v>
      </c>
      <c r="R14">
        <v>1</v>
      </c>
      <c r="S14" t="s">
        <v>196</v>
      </c>
      <c r="T14">
        <v>1</v>
      </c>
      <c r="U14" t="str">
        <f t="shared" si="5"/>
        <v>N1: G1 - H1</v>
      </c>
    </row>
    <row r="15" spans="3:21" x14ac:dyDescent="0.25">
      <c r="C15" t="s">
        <v>181</v>
      </c>
      <c r="D15">
        <v>3.25</v>
      </c>
      <c r="E15">
        <v>4.7290000000000001</v>
      </c>
      <c r="F15">
        <v>0</v>
      </c>
      <c r="G15" t="s">
        <v>177</v>
      </c>
      <c r="H15">
        <f t="shared" si="0"/>
        <v>628.52</v>
      </c>
      <c r="I15">
        <f t="shared" si="1"/>
        <v>291.02</v>
      </c>
      <c r="J15">
        <f t="shared" si="2"/>
        <v>919.54</v>
      </c>
      <c r="K15">
        <f t="shared" si="3"/>
        <v>1374.6619999999998</v>
      </c>
      <c r="L15">
        <f t="shared" si="4"/>
        <v>809.38677083333334</v>
      </c>
      <c r="Q15" t="s">
        <v>196</v>
      </c>
      <c r="R15">
        <v>1</v>
      </c>
      <c r="S15" t="s">
        <v>197</v>
      </c>
      <c r="T15">
        <v>1</v>
      </c>
      <c r="U15" t="str">
        <f t="shared" si="5"/>
        <v>N1: H1 - I1</v>
      </c>
    </row>
    <row r="16" spans="3:21" x14ac:dyDescent="0.25">
      <c r="C16" t="s">
        <v>182</v>
      </c>
      <c r="D16">
        <v>1.35</v>
      </c>
      <c r="E16">
        <v>0</v>
      </c>
      <c r="F16">
        <v>1.7589999999999999</v>
      </c>
      <c r="G16" t="s">
        <v>186</v>
      </c>
      <c r="H16">
        <f t="shared" si="0"/>
        <v>682.89</v>
      </c>
      <c r="I16">
        <f t="shared" si="1"/>
        <v>651.48</v>
      </c>
      <c r="J16">
        <f t="shared" si="2"/>
        <v>1334.37</v>
      </c>
      <c r="K16">
        <f t="shared" si="3"/>
        <v>2063.5619999999999</v>
      </c>
      <c r="L16">
        <f t="shared" si="4"/>
        <v>202.65744375</v>
      </c>
      <c r="Q16" t="s">
        <v>197</v>
      </c>
      <c r="R16">
        <v>1</v>
      </c>
      <c r="S16" t="s">
        <v>198</v>
      </c>
      <c r="T16">
        <v>1</v>
      </c>
      <c r="U16" t="str">
        <f t="shared" si="5"/>
        <v>N1: I1 - J1</v>
      </c>
    </row>
    <row r="17" spans="3:21" x14ac:dyDescent="0.25">
      <c r="C17" t="s">
        <v>183</v>
      </c>
      <c r="D17">
        <v>3.25</v>
      </c>
      <c r="E17">
        <v>4.7030000000000003</v>
      </c>
      <c r="F17">
        <v>0</v>
      </c>
      <c r="G17" t="s">
        <v>176</v>
      </c>
      <c r="H17">
        <f t="shared" si="0"/>
        <v>1193.1199999999999</v>
      </c>
      <c r="I17">
        <f t="shared" si="1"/>
        <v>289.42</v>
      </c>
      <c r="J17">
        <f t="shared" si="2"/>
        <v>1482.54</v>
      </c>
      <c r="K17">
        <f t="shared" si="3"/>
        <v>2162.3819999999996</v>
      </c>
      <c r="L17">
        <f t="shared" si="4"/>
        <v>1304.9440625</v>
      </c>
      <c r="Q17" t="s">
        <v>132</v>
      </c>
      <c r="R17">
        <v>2</v>
      </c>
      <c r="S17" t="s">
        <v>134</v>
      </c>
      <c r="T17">
        <v>2</v>
      </c>
      <c r="U17" t="str">
        <f t="shared" si="5"/>
        <v>N1: A2 - B2</v>
      </c>
    </row>
    <row r="18" spans="3:21" x14ac:dyDescent="0.25">
      <c r="C18" t="s">
        <v>184</v>
      </c>
      <c r="D18">
        <v>3.25</v>
      </c>
      <c r="E18">
        <v>4.7030000000000003</v>
      </c>
      <c r="F18">
        <v>0</v>
      </c>
      <c r="G18" t="s">
        <v>176</v>
      </c>
      <c r="H18">
        <f t="shared" si="0"/>
        <v>1193.1199999999999</v>
      </c>
      <c r="I18">
        <f t="shared" si="1"/>
        <v>289.42</v>
      </c>
      <c r="J18">
        <f t="shared" si="2"/>
        <v>1482.54</v>
      </c>
      <c r="K18">
        <f t="shared" si="3"/>
        <v>2162.3819999999996</v>
      </c>
      <c r="L18">
        <f t="shared" si="4"/>
        <v>1304.9440625</v>
      </c>
      <c r="Q18" t="s">
        <v>134</v>
      </c>
      <c r="R18">
        <v>2</v>
      </c>
      <c r="S18" t="s">
        <v>191</v>
      </c>
      <c r="T18">
        <v>2</v>
      </c>
      <c r="U18" t="str">
        <f t="shared" si="5"/>
        <v>N1: B2 - C2</v>
      </c>
    </row>
    <row r="19" spans="3:21" x14ac:dyDescent="0.25">
      <c r="C19" t="s">
        <v>185</v>
      </c>
      <c r="D19">
        <v>1.35</v>
      </c>
      <c r="E19">
        <v>0</v>
      </c>
      <c r="F19">
        <v>1.7529999999999999</v>
      </c>
      <c r="G19" t="s">
        <v>186</v>
      </c>
      <c r="H19">
        <f t="shared" si="0"/>
        <v>681.56</v>
      </c>
      <c r="I19">
        <f t="shared" si="1"/>
        <v>649.26</v>
      </c>
      <c r="J19">
        <f t="shared" si="2"/>
        <v>1330.82</v>
      </c>
      <c r="K19">
        <f t="shared" si="3"/>
        <v>2057.9259999999999</v>
      </c>
      <c r="L19">
        <f t="shared" si="4"/>
        <v>202.11828750000004</v>
      </c>
      <c r="Q19" t="s">
        <v>191</v>
      </c>
      <c r="R19">
        <v>2</v>
      </c>
      <c r="S19" t="s">
        <v>192</v>
      </c>
      <c r="T19">
        <v>2</v>
      </c>
      <c r="U19" t="str">
        <f t="shared" si="5"/>
        <v>N1: C2 - D2</v>
      </c>
    </row>
    <row r="20" spans="3:21" x14ac:dyDescent="0.25">
      <c r="C20" t="s">
        <v>187</v>
      </c>
      <c r="D20">
        <v>3.25</v>
      </c>
      <c r="E20">
        <v>4.7300000000000004</v>
      </c>
      <c r="F20">
        <v>0</v>
      </c>
      <c r="G20" t="s">
        <v>177</v>
      </c>
      <c r="H20">
        <f t="shared" si="0"/>
        <v>628.62</v>
      </c>
      <c r="I20">
        <f t="shared" si="1"/>
        <v>291.08</v>
      </c>
      <c r="J20">
        <f t="shared" si="2"/>
        <v>919.7</v>
      </c>
      <c r="K20">
        <f t="shared" si="3"/>
        <v>1374.904</v>
      </c>
      <c r="L20">
        <f t="shared" si="4"/>
        <v>809.52760416666672</v>
      </c>
      <c r="Q20" t="s">
        <v>192</v>
      </c>
      <c r="R20">
        <v>2</v>
      </c>
      <c r="S20" t="s">
        <v>193</v>
      </c>
      <c r="T20">
        <v>2</v>
      </c>
      <c r="U20" t="str">
        <f t="shared" si="5"/>
        <v>N1: D2 - E2</v>
      </c>
    </row>
    <row r="21" spans="3:21" x14ac:dyDescent="0.25">
      <c r="C21" t="s">
        <v>188</v>
      </c>
      <c r="D21">
        <v>3.25</v>
      </c>
      <c r="E21">
        <v>4.7300000000000004</v>
      </c>
      <c r="F21">
        <v>0</v>
      </c>
      <c r="G21" t="s">
        <v>177</v>
      </c>
      <c r="H21">
        <f t="shared" si="0"/>
        <v>628.62</v>
      </c>
      <c r="I21">
        <f t="shared" si="1"/>
        <v>291.08</v>
      </c>
      <c r="J21">
        <f t="shared" si="2"/>
        <v>919.7</v>
      </c>
      <c r="K21">
        <f t="shared" si="3"/>
        <v>1374.904</v>
      </c>
      <c r="L21">
        <f t="shared" si="4"/>
        <v>809.52760416666672</v>
      </c>
      <c r="Q21" t="s">
        <v>193</v>
      </c>
      <c r="R21">
        <v>2</v>
      </c>
      <c r="S21" t="s">
        <v>194</v>
      </c>
      <c r="T21">
        <v>2</v>
      </c>
      <c r="U21" t="str">
        <f t="shared" si="5"/>
        <v>N1: E2 - F2</v>
      </c>
    </row>
    <row r="22" spans="3:21" x14ac:dyDescent="0.25">
      <c r="C22" t="s">
        <v>189</v>
      </c>
      <c r="D22">
        <v>1.35</v>
      </c>
      <c r="E22">
        <v>0</v>
      </c>
      <c r="F22">
        <v>1.76</v>
      </c>
      <c r="G22" t="s">
        <v>186</v>
      </c>
      <c r="H22">
        <f t="shared" si="0"/>
        <v>683.11</v>
      </c>
      <c r="I22">
        <f t="shared" si="1"/>
        <v>651.85</v>
      </c>
      <c r="J22">
        <f t="shared" si="2"/>
        <v>1334.96</v>
      </c>
      <c r="K22">
        <f t="shared" si="3"/>
        <v>2064.4989999999998</v>
      </c>
      <c r="L22">
        <f t="shared" si="4"/>
        <v>202.74705000000003</v>
      </c>
      <c r="Q22" t="s">
        <v>194</v>
      </c>
      <c r="R22">
        <v>2</v>
      </c>
      <c r="S22" t="s">
        <v>195</v>
      </c>
      <c r="T22">
        <v>2</v>
      </c>
      <c r="U22" t="str">
        <f t="shared" si="5"/>
        <v>N1: F2 - G2</v>
      </c>
    </row>
    <row r="23" spans="3:21" x14ac:dyDescent="0.25">
      <c r="C23" t="s">
        <v>200</v>
      </c>
      <c r="D23">
        <v>3.25</v>
      </c>
      <c r="E23">
        <v>4.7300000000000004</v>
      </c>
      <c r="F23">
        <v>0</v>
      </c>
      <c r="G23" t="s">
        <v>177</v>
      </c>
      <c r="H23">
        <f t="shared" si="0"/>
        <v>628.62</v>
      </c>
      <c r="I23">
        <f t="shared" si="1"/>
        <v>291.08</v>
      </c>
      <c r="J23">
        <f t="shared" si="2"/>
        <v>919.7</v>
      </c>
      <c r="K23">
        <f t="shared" si="3"/>
        <v>1374.904</v>
      </c>
      <c r="L23">
        <f t="shared" si="4"/>
        <v>809.52760416666672</v>
      </c>
      <c r="Q23" t="s">
        <v>195</v>
      </c>
      <c r="R23">
        <v>2</v>
      </c>
      <c r="S23" t="s">
        <v>196</v>
      </c>
      <c r="T23">
        <v>2</v>
      </c>
      <c r="U23" t="str">
        <f t="shared" si="5"/>
        <v>N1: G2 - H2</v>
      </c>
    </row>
    <row r="24" spans="3:21" x14ac:dyDescent="0.25">
      <c r="C24" t="s">
        <v>201</v>
      </c>
      <c r="D24">
        <v>3.25</v>
      </c>
      <c r="E24">
        <v>4.7300000000000004</v>
      </c>
      <c r="F24">
        <v>0</v>
      </c>
      <c r="G24" t="s">
        <v>177</v>
      </c>
      <c r="H24">
        <f t="shared" si="0"/>
        <v>628.62</v>
      </c>
      <c r="I24">
        <f t="shared" si="1"/>
        <v>291.08</v>
      </c>
      <c r="J24">
        <f t="shared" si="2"/>
        <v>919.7</v>
      </c>
      <c r="K24">
        <f t="shared" si="3"/>
        <v>1374.904</v>
      </c>
      <c r="L24">
        <f t="shared" si="4"/>
        <v>809.52760416666672</v>
      </c>
      <c r="Q24" t="s">
        <v>196</v>
      </c>
      <c r="R24">
        <v>2</v>
      </c>
      <c r="S24" t="s">
        <v>197</v>
      </c>
      <c r="T24">
        <v>2</v>
      </c>
      <c r="U24" t="str">
        <f t="shared" si="5"/>
        <v>N1: H2 - I2</v>
      </c>
    </row>
    <row r="25" spans="3:21" x14ac:dyDescent="0.25">
      <c r="C25" t="s">
        <v>202</v>
      </c>
      <c r="D25">
        <v>1.35</v>
      </c>
      <c r="E25">
        <v>0</v>
      </c>
      <c r="F25">
        <v>1.76</v>
      </c>
      <c r="G25" t="s">
        <v>186</v>
      </c>
      <c r="H25">
        <f t="shared" si="0"/>
        <v>683.11</v>
      </c>
      <c r="I25">
        <f t="shared" si="1"/>
        <v>651.85</v>
      </c>
      <c r="J25">
        <f t="shared" si="2"/>
        <v>1334.96</v>
      </c>
      <c r="K25">
        <f t="shared" si="3"/>
        <v>2064.4989999999998</v>
      </c>
      <c r="L25">
        <f t="shared" si="4"/>
        <v>202.74705000000003</v>
      </c>
      <c r="Q25" t="s">
        <v>197</v>
      </c>
      <c r="R25">
        <v>2</v>
      </c>
      <c r="S25" t="s">
        <v>198</v>
      </c>
      <c r="T25">
        <v>2</v>
      </c>
      <c r="U25" t="str">
        <f t="shared" si="5"/>
        <v>N1: I2 - J2</v>
      </c>
    </row>
    <row r="26" spans="3:21" x14ac:dyDescent="0.25">
      <c r="C26" t="s">
        <v>203</v>
      </c>
      <c r="D26">
        <v>3.25</v>
      </c>
      <c r="E26">
        <v>4.7030000000000003</v>
      </c>
      <c r="F26">
        <v>0</v>
      </c>
      <c r="G26" t="s">
        <v>176</v>
      </c>
      <c r="H26">
        <f t="shared" si="0"/>
        <v>1193.1199999999999</v>
      </c>
      <c r="I26">
        <f t="shared" si="1"/>
        <v>289.42</v>
      </c>
      <c r="J26">
        <f t="shared" si="2"/>
        <v>1482.54</v>
      </c>
      <c r="K26">
        <f t="shared" si="3"/>
        <v>2162.3819999999996</v>
      </c>
      <c r="L26">
        <f t="shared" si="4"/>
        <v>1304.9440625</v>
      </c>
      <c r="Q26" t="s">
        <v>132</v>
      </c>
      <c r="R26">
        <v>3</v>
      </c>
      <c r="S26" t="s">
        <v>134</v>
      </c>
      <c r="T26">
        <v>3</v>
      </c>
      <c r="U26" t="str">
        <f t="shared" si="5"/>
        <v>N1: A3 - B3</v>
      </c>
    </row>
    <row r="27" spans="3:21" x14ac:dyDescent="0.25">
      <c r="C27" t="s">
        <v>204</v>
      </c>
      <c r="D27">
        <v>3.25</v>
      </c>
      <c r="E27">
        <v>4.7030000000000003</v>
      </c>
      <c r="F27">
        <v>0</v>
      </c>
      <c r="G27" t="s">
        <v>176</v>
      </c>
      <c r="H27">
        <f t="shared" si="0"/>
        <v>1193.1199999999999</v>
      </c>
      <c r="I27">
        <f t="shared" si="1"/>
        <v>289.42</v>
      </c>
      <c r="J27">
        <f t="shared" si="2"/>
        <v>1482.54</v>
      </c>
      <c r="K27">
        <f t="shared" si="3"/>
        <v>2162.3819999999996</v>
      </c>
      <c r="L27">
        <f t="shared" si="4"/>
        <v>1304.9440625</v>
      </c>
      <c r="Q27" t="s">
        <v>134</v>
      </c>
      <c r="R27">
        <v>3</v>
      </c>
      <c r="S27" t="s">
        <v>191</v>
      </c>
      <c r="T27">
        <v>3</v>
      </c>
      <c r="U27" t="str">
        <f t="shared" si="5"/>
        <v>N1: B3 - C3</v>
      </c>
    </row>
    <row r="28" spans="3:21" x14ac:dyDescent="0.25">
      <c r="C28" t="s">
        <v>205</v>
      </c>
      <c r="D28">
        <v>1.35</v>
      </c>
      <c r="E28">
        <v>0</v>
      </c>
      <c r="F28">
        <v>1.7529999999999999</v>
      </c>
      <c r="G28" t="s">
        <v>186</v>
      </c>
      <c r="H28">
        <f t="shared" si="0"/>
        <v>681.56</v>
      </c>
      <c r="I28">
        <f t="shared" si="1"/>
        <v>649.26</v>
      </c>
      <c r="J28">
        <f t="shared" si="2"/>
        <v>1330.82</v>
      </c>
      <c r="K28">
        <f t="shared" si="3"/>
        <v>2057.9259999999999</v>
      </c>
      <c r="L28">
        <f t="shared" si="4"/>
        <v>202.11828750000004</v>
      </c>
      <c r="Q28" t="s">
        <v>191</v>
      </c>
      <c r="R28">
        <v>3</v>
      </c>
      <c r="S28" t="s">
        <v>192</v>
      </c>
      <c r="T28">
        <v>3</v>
      </c>
      <c r="U28" t="str">
        <f t="shared" si="5"/>
        <v>N1: C3 - D3</v>
      </c>
    </row>
    <row r="29" spans="3:21" x14ac:dyDescent="0.25">
      <c r="C29" t="s">
        <v>206</v>
      </c>
      <c r="D29">
        <v>3.25</v>
      </c>
      <c r="E29">
        <v>4.7290000000000001</v>
      </c>
      <c r="F29">
        <v>0</v>
      </c>
      <c r="G29" t="s">
        <v>177</v>
      </c>
      <c r="H29">
        <f t="shared" si="0"/>
        <v>628.52</v>
      </c>
      <c r="I29">
        <f t="shared" si="1"/>
        <v>291.02</v>
      </c>
      <c r="J29">
        <f t="shared" si="2"/>
        <v>919.54</v>
      </c>
      <c r="K29">
        <f t="shared" si="3"/>
        <v>1374.6619999999998</v>
      </c>
      <c r="L29">
        <f t="shared" si="4"/>
        <v>809.38677083333334</v>
      </c>
      <c r="Q29" t="s">
        <v>192</v>
      </c>
      <c r="R29">
        <v>3</v>
      </c>
      <c r="S29" t="s">
        <v>193</v>
      </c>
      <c r="T29">
        <v>3</v>
      </c>
      <c r="U29" t="str">
        <f t="shared" si="5"/>
        <v>N1: D3 - E3</v>
      </c>
    </row>
    <row r="30" spans="3:21" x14ac:dyDescent="0.25">
      <c r="C30" t="s">
        <v>207</v>
      </c>
      <c r="D30">
        <v>3.25</v>
      </c>
      <c r="E30">
        <v>4.7290000000000001</v>
      </c>
      <c r="F30">
        <v>0</v>
      </c>
      <c r="G30" t="s">
        <v>177</v>
      </c>
      <c r="H30">
        <f t="shared" si="0"/>
        <v>628.52</v>
      </c>
      <c r="I30">
        <f t="shared" si="1"/>
        <v>291.02</v>
      </c>
      <c r="J30">
        <f t="shared" si="2"/>
        <v>919.54</v>
      </c>
      <c r="K30">
        <f t="shared" si="3"/>
        <v>1374.6619999999998</v>
      </c>
      <c r="L30">
        <f t="shared" si="4"/>
        <v>809.38677083333334</v>
      </c>
      <c r="Q30" t="s">
        <v>193</v>
      </c>
      <c r="R30">
        <v>3</v>
      </c>
      <c r="S30" t="s">
        <v>194</v>
      </c>
      <c r="T30">
        <v>3</v>
      </c>
      <c r="U30" t="str">
        <f t="shared" si="5"/>
        <v>N1: E3 - F3</v>
      </c>
    </row>
    <row r="31" spans="3:21" x14ac:dyDescent="0.25">
      <c r="C31" t="s">
        <v>208</v>
      </c>
      <c r="D31">
        <v>1.35</v>
      </c>
      <c r="E31">
        <v>0</v>
      </c>
      <c r="F31">
        <v>1.7589999999999999</v>
      </c>
      <c r="G31" t="s">
        <v>186</v>
      </c>
      <c r="H31">
        <f t="shared" si="0"/>
        <v>682.89</v>
      </c>
      <c r="I31">
        <f t="shared" si="1"/>
        <v>651.48</v>
      </c>
      <c r="J31">
        <f t="shared" si="2"/>
        <v>1334.37</v>
      </c>
      <c r="K31">
        <f t="shared" si="3"/>
        <v>2063.5619999999999</v>
      </c>
      <c r="L31">
        <f t="shared" si="4"/>
        <v>202.65744375</v>
      </c>
      <c r="Q31" t="s">
        <v>194</v>
      </c>
      <c r="R31">
        <v>3</v>
      </c>
      <c r="S31" t="s">
        <v>195</v>
      </c>
      <c r="T31">
        <v>3</v>
      </c>
      <c r="U31" t="str">
        <f t="shared" si="5"/>
        <v>N1: F3 - G3</v>
      </c>
    </row>
    <row r="32" spans="3:21" x14ac:dyDescent="0.25">
      <c r="C32" t="s">
        <v>209</v>
      </c>
      <c r="D32">
        <v>3.25</v>
      </c>
      <c r="E32">
        <v>4.7290000000000001</v>
      </c>
      <c r="F32">
        <v>0</v>
      </c>
      <c r="G32" t="s">
        <v>177</v>
      </c>
      <c r="H32">
        <f t="shared" si="0"/>
        <v>628.52</v>
      </c>
      <c r="I32">
        <f t="shared" si="1"/>
        <v>291.02</v>
      </c>
      <c r="J32">
        <f t="shared" si="2"/>
        <v>919.54</v>
      </c>
      <c r="K32">
        <f t="shared" si="3"/>
        <v>1374.6619999999998</v>
      </c>
      <c r="L32">
        <f t="shared" si="4"/>
        <v>809.38677083333334</v>
      </c>
      <c r="Q32" t="s">
        <v>195</v>
      </c>
      <c r="R32">
        <v>3</v>
      </c>
      <c r="S32" t="s">
        <v>196</v>
      </c>
      <c r="T32">
        <v>3</v>
      </c>
      <c r="U32" t="str">
        <f t="shared" si="5"/>
        <v>N1: G3 - H3</v>
      </c>
    </row>
    <row r="33" spans="3:21" x14ac:dyDescent="0.25">
      <c r="C33" t="s">
        <v>210</v>
      </c>
      <c r="D33">
        <v>3.25</v>
      </c>
      <c r="E33">
        <v>4.7290000000000001</v>
      </c>
      <c r="F33">
        <v>0</v>
      </c>
      <c r="G33" t="s">
        <v>177</v>
      </c>
      <c r="H33">
        <f t="shared" si="0"/>
        <v>628.52</v>
      </c>
      <c r="I33">
        <f t="shared" si="1"/>
        <v>291.02</v>
      </c>
      <c r="J33">
        <f t="shared" si="2"/>
        <v>919.54</v>
      </c>
      <c r="K33">
        <f t="shared" si="3"/>
        <v>1374.6619999999998</v>
      </c>
      <c r="L33">
        <f t="shared" si="4"/>
        <v>809.38677083333334</v>
      </c>
      <c r="Q33" t="s">
        <v>196</v>
      </c>
      <c r="R33">
        <v>3</v>
      </c>
      <c r="S33" t="s">
        <v>197</v>
      </c>
      <c r="T33">
        <v>3</v>
      </c>
      <c r="U33" t="str">
        <f t="shared" si="5"/>
        <v>N1: H3 - I3</v>
      </c>
    </row>
    <row r="34" spans="3:21" x14ac:dyDescent="0.25">
      <c r="C34" t="s">
        <v>211</v>
      </c>
      <c r="D34">
        <v>1.35</v>
      </c>
      <c r="E34">
        <v>0</v>
      </c>
      <c r="F34">
        <v>1.7589999999999999</v>
      </c>
      <c r="G34" t="s">
        <v>186</v>
      </c>
      <c r="H34">
        <f t="shared" si="0"/>
        <v>682.89</v>
      </c>
      <c r="I34">
        <f t="shared" si="1"/>
        <v>651.48</v>
      </c>
      <c r="J34">
        <f t="shared" si="2"/>
        <v>1334.37</v>
      </c>
      <c r="K34">
        <f t="shared" si="3"/>
        <v>2063.5619999999999</v>
      </c>
      <c r="L34">
        <f t="shared" si="4"/>
        <v>202.65744375</v>
      </c>
      <c r="Q34" t="s">
        <v>197</v>
      </c>
      <c r="R34">
        <v>3</v>
      </c>
      <c r="S34" t="s">
        <v>198</v>
      </c>
      <c r="T34">
        <v>3</v>
      </c>
      <c r="U34" t="str">
        <f t="shared" si="5"/>
        <v>N1: I3 - J3</v>
      </c>
    </row>
    <row r="35" spans="3:21" x14ac:dyDescent="0.25">
      <c r="C35" t="s">
        <v>212</v>
      </c>
      <c r="D35">
        <v>3.25</v>
      </c>
      <c r="E35">
        <v>2.3380000000000001</v>
      </c>
      <c r="F35">
        <v>0</v>
      </c>
      <c r="G35" t="s">
        <v>176</v>
      </c>
      <c r="H35">
        <f t="shared" si="0"/>
        <v>974.82</v>
      </c>
      <c r="I35">
        <f t="shared" si="1"/>
        <v>143.88</v>
      </c>
      <c r="J35">
        <f t="shared" si="2"/>
        <v>1118.7</v>
      </c>
      <c r="K35">
        <f t="shared" si="3"/>
        <v>1609.3440000000001</v>
      </c>
      <c r="L35">
        <f t="shared" si="4"/>
        <v>984.68906250000009</v>
      </c>
      <c r="Q35" t="s">
        <v>132</v>
      </c>
      <c r="R35" t="s">
        <v>199</v>
      </c>
      <c r="S35" t="s">
        <v>134</v>
      </c>
      <c r="T35" t="s">
        <v>199</v>
      </c>
      <c r="U35" t="str">
        <f t="shared" ref="U35:U43" si="6">CONCATENATE("N1: ",Q35,R35," - ",S35,T35)</f>
        <v>N1: AV - BV</v>
      </c>
    </row>
    <row r="36" spans="3:21" x14ac:dyDescent="0.25">
      <c r="C36" t="s">
        <v>213</v>
      </c>
      <c r="D36">
        <v>3.25</v>
      </c>
      <c r="E36">
        <v>2.3380000000000001</v>
      </c>
      <c r="F36">
        <v>0</v>
      </c>
      <c r="G36" t="s">
        <v>176</v>
      </c>
      <c r="H36">
        <f t="shared" si="0"/>
        <v>974.82</v>
      </c>
      <c r="I36">
        <f t="shared" si="1"/>
        <v>143.88</v>
      </c>
      <c r="J36">
        <f t="shared" si="2"/>
        <v>1118.7</v>
      </c>
      <c r="K36">
        <f t="shared" si="3"/>
        <v>1609.3440000000001</v>
      </c>
      <c r="L36">
        <f t="shared" si="4"/>
        <v>984.68906250000009</v>
      </c>
      <c r="Q36" t="s">
        <v>134</v>
      </c>
      <c r="R36" t="s">
        <v>199</v>
      </c>
      <c r="S36" t="s">
        <v>191</v>
      </c>
      <c r="T36" t="s">
        <v>199</v>
      </c>
      <c r="U36" t="str">
        <f t="shared" si="6"/>
        <v>N1: BV - CV</v>
      </c>
    </row>
    <row r="37" spans="3:21" x14ac:dyDescent="0.25">
      <c r="C37" t="s">
        <v>214</v>
      </c>
      <c r="D37">
        <v>1.35</v>
      </c>
      <c r="E37">
        <v>0</v>
      </c>
      <c r="F37">
        <v>0.873</v>
      </c>
      <c r="G37" t="s">
        <v>186</v>
      </c>
      <c r="H37">
        <f t="shared" si="0"/>
        <v>486</v>
      </c>
      <c r="I37">
        <f t="shared" si="1"/>
        <v>323.33</v>
      </c>
      <c r="J37">
        <f t="shared" si="2"/>
        <v>809.32999999999993</v>
      </c>
      <c r="K37">
        <f t="shared" si="3"/>
        <v>1230.0609999999999</v>
      </c>
      <c r="L37">
        <f t="shared" si="4"/>
        <v>122.91699375</v>
      </c>
      <c r="Q37" t="s">
        <v>191</v>
      </c>
      <c r="R37" t="s">
        <v>199</v>
      </c>
      <c r="S37" t="s">
        <v>192</v>
      </c>
      <c r="T37" t="s">
        <v>199</v>
      </c>
      <c r="U37" t="str">
        <f t="shared" si="6"/>
        <v>N1: CV - DV</v>
      </c>
    </row>
    <row r="38" spans="3:21" x14ac:dyDescent="0.25">
      <c r="C38" t="s">
        <v>215</v>
      </c>
      <c r="D38">
        <v>2.15</v>
      </c>
      <c r="E38">
        <v>1.1559999999999999</v>
      </c>
      <c r="F38">
        <v>0</v>
      </c>
      <c r="G38" t="s">
        <v>176</v>
      </c>
      <c r="H38">
        <f t="shared" si="0"/>
        <v>920.3</v>
      </c>
      <c r="I38">
        <f t="shared" si="1"/>
        <v>107.53</v>
      </c>
      <c r="J38">
        <f t="shared" si="2"/>
        <v>1027.83</v>
      </c>
      <c r="K38">
        <f t="shared" si="3"/>
        <v>1471.2209999999998</v>
      </c>
      <c r="L38">
        <f t="shared" si="4"/>
        <v>395.92868124999995</v>
      </c>
      <c r="Q38" t="s">
        <v>192</v>
      </c>
      <c r="R38" t="s">
        <v>199</v>
      </c>
      <c r="S38" t="s">
        <v>193</v>
      </c>
      <c r="T38" t="s">
        <v>199</v>
      </c>
      <c r="U38" t="str">
        <f t="shared" si="6"/>
        <v>N1: DV - EV</v>
      </c>
    </row>
    <row r="39" spans="3:21" x14ac:dyDescent="0.25">
      <c r="C39" t="s">
        <v>216</v>
      </c>
      <c r="D39">
        <v>2.25</v>
      </c>
      <c r="E39">
        <v>1.266</v>
      </c>
      <c r="F39">
        <v>0</v>
      </c>
      <c r="G39" t="s">
        <v>176</v>
      </c>
      <c r="H39">
        <f t="shared" si="0"/>
        <v>927.8</v>
      </c>
      <c r="I39">
        <f t="shared" si="1"/>
        <v>112.53</v>
      </c>
      <c r="J39">
        <f t="shared" si="2"/>
        <v>1040.33</v>
      </c>
      <c r="K39">
        <f t="shared" si="3"/>
        <v>1490.2209999999998</v>
      </c>
      <c r="L39">
        <f t="shared" si="4"/>
        <v>438.88921875</v>
      </c>
      <c r="Q39" t="s">
        <v>193</v>
      </c>
      <c r="R39" t="s">
        <v>199</v>
      </c>
      <c r="S39" t="s">
        <v>194</v>
      </c>
      <c r="T39" t="s">
        <v>199</v>
      </c>
      <c r="U39" t="str">
        <f t="shared" si="6"/>
        <v>N1: EV - FV</v>
      </c>
    </row>
    <row r="40" spans="3:21" x14ac:dyDescent="0.25">
      <c r="C40" t="s">
        <v>217</v>
      </c>
      <c r="D40">
        <v>2.15</v>
      </c>
      <c r="E40">
        <v>1.1559999999999999</v>
      </c>
      <c r="F40">
        <v>0</v>
      </c>
      <c r="G40" t="s">
        <v>176</v>
      </c>
      <c r="H40">
        <f t="shared" ref="H40:H64" si="7">IF(G40="Si",ROUND((((240+35+25)*(E40+F40))/D40)+192+567,2),IF(G40="Medio",ROUND((((240+35+25)*(E40+F40))/D40)+192+100,2),ROUND((((240+35+25)*(E40+F40))/D40)+192,2)))</f>
        <v>920.3</v>
      </c>
      <c r="I40">
        <f t="shared" ref="I40:I64" si="8">ROUND((E40*200+F40*500)/D40,2)</f>
        <v>107.53</v>
      </c>
      <c r="J40">
        <f t="shared" ref="J40:J64" si="9">H40+I40</f>
        <v>1027.83</v>
      </c>
      <c r="K40">
        <f t="shared" ref="K40:K64" si="10">1.4*H40+1.7*I40</f>
        <v>1471.2209999999998</v>
      </c>
      <c r="L40">
        <f t="shared" ref="L40:L64" si="11">J40*D40*D40/12</f>
        <v>395.92868124999995</v>
      </c>
      <c r="Q40" t="s">
        <v>194</v>
      </c>
      <c r="R40" t="s">
        <v>199</v>
      </c>
      <c r="S40" t="s">
        <v>195</v>
      </c>
      <c r="T40" t="s">
        <v>199</v>
      </c>
      <c r="U40" t="str">
        <f t="shared" si="6"/>
        <v>N1: FV - GV</v>
      </c>
    </row>
    <row r="41" spans="3:21" x14ac:dyDescent="0.25">
      <c r="C41" t="s">
        <v>218</v>
      </c>
      <c r="D41">
        <v>2.2000000000000002</v>
      </c>
      <c r="E41">
        <v>1.21</v>
      </c>
      <c r="F41">
        <v>0</v>
      </c>
      <c r="G41" t="s">
        <v>176</v>
      </c>
      <c r="H41">
        <f t="shared" si="7"/>
        <v>924</v>
      </c>
      <c r="I41">
        <f t="shared" si="8"/>
        <v>110</v>
      </c>
      <c r="J41">
        <f t="shared" si="9"/>
        <v>1034</v>
      </c>
      <c r="K41">
        <f t="shared" si="10"/>
        <v>1480.6</v>
      </c>
      <c r="L41">
        <f t="shared" si="11"/>
        <v>417.04666666666668</v>
      </c>
      <c r="Q41" t="s">
        <v>195</v>
      </c>
      <c r="R41" t="s">
        <v>199</v>
      </c>
      <c r="S41" t="s">
        <v>196</v>
      </c>
      <c r="T41" t="s">
        <v>199</v>
      </c>
      <c r="U41" t="str">
        <f t="shared" si="6"/>
        <v>N1: GV - HV</v>
      </c>
    </row>
    <row r="42" spans="3:21" x14ac:dyDescent="0.25">
      <c r="C42" t="s">
        <v>219</v>
      </c>
      <c r="D42">
        <v>2.2000000000000002</v>
      </c>
      <c r="E42">
        <v>1.21</v>
      </c>
      <c r="F42">
        <v>0</v>
      </c>
      <c r="G42" t="s">
        <v>176</v>
      </c>
      <c r="H42">
        <f t="shared" si="7"/>
        <v>924</v>
      </c>
      <c r="I42">
        <f t="shared" si="8"/>
        <v>110</v>
      </c>
      <c r="J42">
        <f t="shared" si="9"/>
        <v>1034</v>
      </c>
      <c r="K42">
        <f t="shared" si="10"/>
        <v>1480.6</v>
      </c>
      <c r="L42">
        <f t="shared" si="11"/>
        <v>417.04666666666668</v>
      </c>
      <c r="Q42" t="s">
        <v>196</v>
      </c>
      <c r="R42" t="s">
        <v>199</v>
      </c>
      <c r="S42" t="s">
        <v>197</v>
      </c>
      <c r="T42" t="s">
        <v>199</v>
      </c>
      <c r="U42" t="str">
        <f t="shared" si="6"/>
        <v>N1: HV - IV</v>
      </c>
    </row>
    <row r="43" spans="3:21" x14ac:dyDescent="0.25">
      <c r="C43" t="s">
        <v>220</v>
      </c>
      <c r="D43">
        <v>2.2000000000000002</v>
      </c>
      <c r="E43">
        <v>1.21</v>
      </c>
      <c r="F43">
        <v>0</v>
      </c>
      <c r="G43" t="s">
        <v>176</v>
      </c>
      <c r="H43">
        <f t="shared" si="7"/>
        <v>924</v>
      </c>
      <c r="I43">
        <f t="shared" si="8"/>
        <v>110</v>
      </c>
      <c r="J43">
        <f t="shared" si="9"/>
        <v>1034</v>
      </c>
      <c r="K43">
        <f t="shared" si="10"/>
        <v>1480.6</v>
      </c>
      <c r="L43">
        <f t="shared" si="11"/>
        <v>417.04666666666668</v>
      </c>
      <c r="Q43" t="s">
        <v>197</v>
      </c>
      <c r="R43" t="s">
        <v>199</v>
      </c>
      <c r="S43" t="s">
        <v>198</v>
      </c>
      <c r="T43" t="s">
        <v>199</v>
      </c>
      <c r="U43" t="str">
        <f t="shared" si="6"/>
        <v>N1: IV - JV</v>
      </c>
    </row>
    <row r="44" spans="3:21" x14ac:dyDescent="0.25">
      <c r="C44" t="s">
        <v>221</v>
      </c>
      <c r="D44">
        <v>2.15</v>
      </c>
      <c r="E44">
        <v>1.1559999999999999</v>
      </c>
      <c r="F44">
        <v>0</v>
      </c>
      <c r="G44" t="s">
        <v>176</v>
      </c>
      <c r="H44">
        <f t="shared" si="7"/>
        <v>920.3</v>
      </c>
      <c r="I44">
        <f t="shared" si="8"/>
        <v>107.53</v>
      </c>
      <c r="J44">
        <f t="shared" si="9"/>
        <v>1027.83</v>
      </c>
      <c r="K44">
        <f t="shared" si="10"/>
        <v>1471.2209999999998</v>
      </c>
      <c r="L44">
        <f t="shared" si="11"/>
        <v>395.92868124999995</v>
      </c>
    </row>
    <row r="45" spans="3:21" x14ac:dyDescent="0.25">
      <c r="C45" t="s">
        <v>222</v>
      </c>
      <c r="D45">
        <v>2.25</v>
      </c>
      <c r="E45">
        <v>1.266</v>
      </c>
      <c r="F45">
        <v>0</v>
      </c>
      <c r="G45" t="s">
        <v>176</v>
      </c>
      <c r="H45">
        <f t="shared" si="7"/>
        <v>927.8</v>
      </c>
      <c r="I45">
        <f t="shared" si="8"/>
        <v>112.53</v>
      </c>
      <c r="J45">
        <f t="shared" si="9"/>
        <v>1040.33</v>
      </c>
      <c r="K45">
        <f t="shared" si="10"/>
        <v>1490.2209999999998</v>
      </c>
      <c r="L45">
        <f t="shared" si="11"/>
        <v>438.88921875</v>
      </c>
    </row>
    <row r="46" spans="3:21" x14ac:dyDescent="0.25">
      <c r="C46" t="s">
        <v>223</v>
      </c>
      <c r="D46">
        <v>2.15</v>
      </c>
      <c r="E46">
        <v>1.1559999999999999</v>
      </c>
      <c r="F46">
        <v>0</v>
      </c>
      <c r="G46" t="s">
        <v>176</v>
      </c>
      <c r="H46">
        <f t="shared" si="7"/>
        <v>920.3</v>
      </c>
      <c r="I46">
        <f t="shared" si="8"/>
        <v>107.53</v>
      </c>
      <c r="J46">
        <f t="shared" si="9"/>
        <v>1027.83</v>
      </c>
      <c r="K46">
        <f t="shared" si="10"/>
        <v>1471.2209999999998</v>
      </c>
      <c r="L46">
        <f t="shared" si="11"/>
        <v>395.92868124999995</v>
      </c>
    </row>
    <row r="47" spans="3:21" x14ac:dyDescent="0.25">
      <c r="C47" t="s">
        <v>224</v>
      </c>
      <c r="D47">
        <v>2.15</v>
      </c>
      <c r="E47">
        <v>2.3109999999999999</v>
      </c>
      <c r="F47">
        <v>0</v>
      </c>
      <c r="G47" t="s">
        <v>177</v>
      </c>
      <c r="H47">
        <f t="shared" si="7"/>
        <v>514.47</v>
      </c>
      <c r="I47">
        <f t="shared" si="8"/>
        <v>214.98</v>
      </c>
      <c r="J47">
        <f t="shared" si="9"/>
        <v>729.45</v>
      </c>
      <c r="K47">
        <f t="shared" si="10"/>
        <v>1085.7239999999999</v>
      </c>
      <c r="L47">
        <f t="shared" si="11"/>
        <v>280.99021875</v>
      </c>
    </row>
    <row r="48" spans="3:21" x14ac:dyDescent="0.25">
      <c r="C48" t="s">
        <v>225</v>
      </c>
      <c r="D48">
        <v>2.25</v>
      </c>
      <c r="E48">
        <v>2.5310000000000001</v>
      </c>
      <c r="F48">
        <v>0</v>
      </c>
      <c r="G48" t="s">
        <v>177</v>
      </c>
      <c r="H48">
        <f t="shared" si="7"/>
        <v>529.47</v>
      </c>
      <c r="I48">
        <f t="shared" si="8"/>
        <v>224.98</v>
      </c>
      <c r="J48">
        <f t="shared" si="9"/>
        <v>754.45</v>
      </c>
      <c r="K48">
        <f t="shared" si="10"/>
        <v>1123.7239999999999</v>
      </c>
      <c r="L48">
        <f t="shared" si="11"/>
        <v>318.28359375000002</v>
      </c>
    </row>
    <row r="49" spans="3:12" x14ac:dyDescent="0.25">
      <c r="C49" t="s">
        <v>226</v>
      </c>
      <c r="D49">
        <v>2.15</v>
      </c>
      <c r="E49">
        <v>2.3109999999999999</v>
      </c>
      <c r="F49">
        <v>0</v>
      </c>
      <c r="G49" t="s">
        <v>177</v>
      </c>
      <c r="H49">
        <f t="shared" si="7"/>
        <v>514.47</v>
      </c>
      <c r="I49">
        <f t="shared" si="8"/>
        <v>214.98</v>
      </c>
      <c r="J49">
        <f t="shared" si="9"/>
        <v>729.45</v>
      </c>
      <c r="K49">
        <f t="shared" si="10"/>
        <v>1085.7239999999999</v>
      </c>
      <c r="L49">
        <f t="shared" si="11"/>
        <v>280.99021875</v>
      </c>
    </row>
    <row r="50" spans="3:12" x14ac:dyDescent="0.25">
      <c r="C50" t="s">
        <v>227</v>
      </c>
      <c r="D50">
        <v>2.2000000000000002</v>
      </c>
      <c r="E50">
        <v>2.42</v>
      </c>
      <c r="F50">
        <v>0</v>
      </c>
      <c r="G50" t="s">
        <v>177</v>
      </c>
      <c r="H50">
        <f t="shared" si="7"/>
        <v>522</v>
      </c>
      <c r="I50">
        <f t="shared" si="8"/>
        <v>220</v>
      </c>
      <c r="J50">
        <f t="shared" si="9"/>
        <v>742</v>
      </c>
      <c r="K50">
        <f t="shared" si="10"/>
        <v>1104.8</v>
      </c>
      <c r="L50">
        <f t="shared" si="11"/>
        <v>299.27333333333337</v>
      </c>
    </row>
    <row r="51" spans="3:12" x14ac:dyDescent="0.25">
      <c r="C51" t="s">
        <v>228</v>
      </c>
      <c r="D51">
        <v>2.2000000000000002</v>
      </c>
      <c r="E51">
        <v>2.42</v>
      </c>
      <c r="F51">
        <v>0</v>
      </c>
      <c r="G51" t="s">
        <v>177</v>
      </c>
      <c r="H51">
        <f t="shared" si="7"/>
        <v>522</v>
      </c>
      <c r="I51">
        <f t="shared" si="8"/>
        <v>220</v>
      </c>
      <c r="J51">
        <f t="shared" si="9"/>
        <v>742</v>
      </c>
      <c r="K51">
        <f t="shared" si="10"/>
        <v>1104.8</v>
      </c>
      <c r="L51">
        <f t="shared" si="11"/>
        <v>299.27333333333337</v>
      </c>
    </row>
    <row r="52" spans="3:12" x14ac:dyDescent="0.25">
      <c r="C52" t="s">
        <v>229</v>
      </c>
      <c r="D52">
        <v>2.2000000000000002</v>
      </c>
      <c r="E52">
        <v>2.42</v>
      </c>
      <c r="F52">
        <v>0</v>
      </c>
      <c r="G52" t="s">
        <v>177</v>
      </c>
      <c r="H52">
        <f t="shared" si="7"/>
        <v>522</v>
      </c>
      <c r="I52">
        <f t="shared" si="8"/>
        <v>220</v>
      </c>
      <c r="J52">
        <f t="shared" si="9"/>
        <v>742</v>
      </c>
      <c r="K52">
        <f t="shared" si="10"/>
        <v>1104.8</v>
      </c>
      <c r="L52">
        <f t="shared" si="11"/>
        <v>299.27333333333337</v>
      </c>
    </row>
    <row r="53" spans="3:12" x14ac:dyDescent="0.25">
      <c r="C53" t="s">
        <v>230</v>
      </c>
      <c r="D53">
        <v>2.15</v>
      </c>
      <c r="E53">
        <v>2.3109999999999999</v>
      </c>
      <c r="F53">
        <v>0</v>
      </c>
      <c r="G53" t="s">
        <v>177</v>
      </c>
      <c r="H53">
        <f t="shared" si="7"/>
        <v>514.47</v>
      </c>
      <c r="I53">
        <f t="shared" si="8"/>
        <v>214.98</v>
      </c>
      <c r="J53">
        <f t="shared" si="9"/>
        <v>729.45</v>
      </c>
      <c r="K53">
        <f t="shared" si="10"/>
        <v>1085.7239999999999</v>
      </c>
      <c r="L53">
        <f t="shared" si="11"/>
        <v>280.99021875</v>
      </c>
    </row>
    <row r="54" spans="3:12" x14ac:dyDescent="0.25">
      <c r="C54" t="s">
        <v>231</v>
      </c>
      <c r="D54">
        <v>2.25</v>
      </c>
      <c r="E54">
        <v>2.5310000000000001</v>
      </c>
      <c r="F54">
        <v>0</v>
      </c>
      <c r="G54" t="s">
        <v>177</v>
      </c>
      <c r="H54">
        <f t="shared" si="7"/>
        <v>529.47</v>
      </c>
      <c r="I54">
        <f t="shared" si="8"/>
        <v>224.98</v>
      </c>
      <c r="J54">
        <f t="shared" si="9"/>
        <v>754.45</v>
      </c>
      <c r="K54">
        <f t="shared" si="10"/>
        <v>1123.7239999999999</v>
      </c>
      <c r="L54">
        <f t="shared" si="11"/>
        <v>318.28359375000002</v>
      </c>
    </row>
    <row r="55" spans="3:12" x14ac:dyDescent="0.25">
      <c r="C55" t="s">
        <v>232</v>
      </c>
      <c r="D55">
        <v>2.15</v>
      </c>
      <c r="E55">
        <v>2.3109999999999999</v>
      </c>
      <c r="F55">
        <v>0</v>
      </c>
      <c r="G55" t="s">
        <v>177</v>
      </c>
      <c r="H55">
        <f t="shared" si="7"/>
        <v>514.47</v>
      </c>
      <c r="I55">
        <f t="shared" si="8"/>
        <v>214.98</v>
      </c>
      <c r="J55">
        <f t="shared" si="9"/>
        <v>729.45</v>
      </c>
      <c r="K55">
        <f t="shared" si="10"/>
        <v>1085.7239999999999</v>
      </c>
      <c r="L55">
        <f t="shared" si="11"/>
        <v>280.99021875</v>
      </c>
    </row>
    <row r="56" spans="3:12" x14ac:dyDescent="0.25">
      <c r="C56" t="s">
        <v>233</v>
      </c>
      <c r="D56">
        <v>2.15</v>
      </c>
      <c r="E56">
        <v>1.1559999999999999</v>
      </c>
      <c r="F56">
        <v>1.1559999999999999</v>
      </c>
      <c r="G56" t="s">
        <v>176</v>
      </c>
      <c r="H56">
        <f t="shared" si="7"/>
        <v>1081.5999999999999</v>
      </c>
      <c r="I56">
        <f t="shared" si="8"/>
        <v>376.37</v>
      </c>
      <c r="J56">
        <f t="shared" si="9"/>
        <v>1457.9699999999998</v>
      </c>
      <c r="K56">
        <f t="shared" si="10"/>
        <v>2154.0689999999995</v>
      </c>
      <c r="L56">
        <f t="shared" si="11"/>
        <v>561.62219374999984</v>
      </c>
    </row>
    <row r="57" spans="3:12" x14ac:dyDescent="0.25">
      <c r="C57" t="s">
        <v>234</v>
      </c>
      <c r="D57">
        <v>2.25</v>
      </c>
      <c r="E57">
        <v>1.266</v>
      </c>
      <c r="F57">
        <v>1.266</v>
      </c>
      <c r="G57" t="s">
        <v>176</v>
      </c>
      <c r="H57">
        <f t="shared" si="7"/>
        <v>1096.5999999999999</v>
      </c>
      <c r="I57">
        <f t="shared" si="8"/>
        <v>393.87</v>
      </c>
      <c r="J57">
        <f t="shared" si="9"/>
        <v>1490.4699999999998</v>
      </c>
      <c r="K57">
        <f t="shared" si="10"/>
        <v>2204.8189999999995</v>
      </c>
      <c r="L57">
        <f t="shared" si="11"/>
        <v>628.79203124999992</v>
      </c>
    </row>
    <row r="58" spans="3:12" x14ac:dyDescent="0.25">
      <c r="C58" t="s">
        <v>235</v>
      </c>
      <c r="D58">
        <v>2.15</v>
      </c>
      <c r="E58">
        <v>1.1559999999999999</v>
      </c>
      <c r="F58">
        <v>1.1559999999999999</v>
      </c>
      <c r="G58" t="s">
        <v>176</v>
      </c>
      <c r="H58">
        <f t="shared" si="7"/>
        <v>1081.5999999999999</v>
      </c>
      <c r="I58">
        <f t="shared" si="8"/>
        <v>376.37</v>
      </c>
      <c r="J58">
        <f t="shared" si="9"/>
        <v>1457.9699999999998</v>
      </c>
      <c r="K58">
        <f t="shared" si="10"/>
        <v>2154.0689999999995</v>
      </c>
      <c r="L58">
        <f t="shared" si="11"/>
        <v>561.62219374999984</v>
      </c>
    </row>
    <row r="59" spans="3:12" x14ac:dyDescent="0.25">
      <c r="C59" t="s">
        <v>236</v>
      </c>
      <c r="D59">
        <v>2.2000000000000002</v>
      </c>
      <c r="E59">
        <v>1.21</v>
      </c>
      <c r="F59">
        <v>1.21</v>
      </c>
      <c r="G59" t="s">
        <v>176</v>
      </c>
      <c r="H59">
        <f t="shared" si="7"/>
        <v>1089</v>
      </c>
      <c r="I59">
        <f t="shared" si="8"/>
        <v>385</v>
      </c>
      <c r="J59">
        <f t="shared" si="9"/>
        <v>1474</v>
      </c>
      <c r="K59">
        <f t="shared" si="10"/>
        <v>2179.1</v>
      </c>
      <c r="L59">
        <f t="shared" si="11"/>
        <v>594.51333333333343</v>
      </c>
    </row>
    <row r="60" spans="3:12" x14ac:dyDescent="0.25">
      <c r="C60" t="s">
        <v>237</v>
      </c>
      <c r="D60">
        <v>2.2000000000000002</v>
      </c>
      <c r="E60">
        <v>1.21</v>
      </c>
      <c r="F60">
        <v>1.21</v>
      </c>
      <c r="G60" t="s">
        <v>176</v>
      </c>
      <c r="H60">
        <f t="shared" si="7"/>
        <v>1089</v>
      </c>
      <c r="I60">
        <f t="shared" si="8"/>
        <v>385</v>
      </c>
      <c r="J60">
        <f t="shared" si="9"/>
        <v>1474</v>
      </c>
      <c r="K60">
        <f t="shared" si="10"/>
        <v>2179.1</v>
      </c>
      <c r="L60">
        <f t="shared" si="11"/>
        <v>594.51333333333343</v>
      </c>
    </row>
    <row r="61" spans="3:12" x14ac:dyDescent="0.25">
      <c r="C61" t="s">
        <v>238</v>
      </c>
      <c r="D61">
        <v>2.2000000000000002</v>
      </c>
      <c r="E61">
        <v>1.21</v>
      </c>
      <c r="F61">
        <v>1.21</v>
      </c>
      <c r="G61" t="s">
        <v>176</v>
      </c>
      <c r="H61">
        <f t="shared" si="7"/>
        <v>1089</v>
      </c>
      <c r="I61">
        <f t="shared" si="8"/>
        <v>385</v>
      </c>
      <c r="J61">
        <f t="shared" si="9"/>
        <v>1474</v>
      </c>
      <c r="K61">
        <f t="shared" si="10"/>
        <v>2179.1</v>
      </c>
      <c r="L61">
        <f t="shared" si="11"/>
        <v>594.51333333333343</v>
      </c>
    </row>
    <row r="62" spans="3:12" x14ac:dyDescent="0.25">
      <c r="C62" t="s">
        <v>239</v>
      </c>
      <c r="D62">
        <v>2.15</v>
      </c>
      <c r="E62">
        <v>1.1559999999999999</v>
      </c>
      <c r="F62">
        <v>1.1559999999999999</v>
      </c>
      <c r="G62" t="s">
        <v>176</v>
      </c>
      <c r="H62">
        <f t="shared" si="7"/>
        <v>1081.5999999999999</v>
      </c>
      <c r="I62">
        <f t="shared" si="8"/>
        <v>376.37</v>
      </c>
      <c r="J62">
        <f t="shared" si="9"/>
        <v>1457.9699999999998</v>
      </c>
      <c r="K62">
        <f t="shared" si="10"/>
        <v>2154.0689999999995</v>
      </c>
      <c r="L62">
        <f t="shared" si="11"/>
        <v>561.62219374999984</v>
      </c>
    </row>
    <row r="63" spans="3:12" x14ac:dyDescent="0.25">
      <c r="C63" t="s">
        <v>240</v>
      </c>
      <c r="D63">
        <v>2.25</v>
      </c>
      <c r="E63">
        <v>1.266</v>
      </c>
      <c r="F63">
        <v>1.266</v>
      </c>
      <c r="G63" t="s">
        <v>176</v>
      </c>
      <c r="H63">
        <f t="shared" si="7"/>
        <v>1096.5999999999999</v>
      </c>
      <c r="I63">
        <f t="shared" si="8"/>
        <v>393.87</v>
      </c>
      <c r="J63">
        <f t="shared" si="9"/>
        <v>1490.4699999999998</v>
      </c>
      <c r="K63">
        <f t="shared" si="10"/>
        <v>2204.8189999999995</v>
      </c>
      <c r="L63">
        <f t="shared" si="11"/>
        <v>628.79203124999992</v>
      </c>
    </row>
    <row r="64" spans="3:12" x14ac:dyDescent="0.25">
      <c r="C64" t="s">
        <v>241</v>
      </c>
      <c r="D64">
        <v>2.15</v>
      </c>
      <c r="E64">
        <v>1.1559999999999999</v>
      </c>
      <c r="F64">
        <v>1.1559999999999999</v>
      </c>
      <c r="G64" t="s">
        <v>176</v>
      </c>
      <c r="H64">
        <f t="shared" si="7"/>
        <v>1081.5999999999999</v>
      </c>
      <c r="I64">
        <f t="shared" si="8"/>
        <v>376.37</v>
      </c>
      <c r="J64">
        <f t="shared" si="9"/>
        <v>1457.9699999999998</v>
      </c>
      <c r="K64">
        <f t="shared" si="10"/>
        <v>2154.0689999999995</v>
      </c>
      <c r="L64">
        <f t="shared" si="11"/>
        <v>561.62219374999984</v>
      </c>
    </row>
  </sheetData>
  <autoFilter ref="C6:L7">
    <filterColumn colId="2" showButton="0"/>
  </autoFilter>
  <mergeCells count="8">
    <mergeCell ref="D6:D7"/>
    <mergeCell ref="C6:C7"/>
    <mergeCell ref="J6:J7"/>
    <mergeCell ref="K6:K7"/>
    <mergeCell ref="L6:L7"/>
    <mergeCell ref="E6:F6"/>
    <mergeCell ref="H6:H7"/>
    <mergeCell ref="I6:I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F4" sqref="F4"/>
    </sheetView>
  </sheetViews>
  <sheetFormatPr baseColWidth="10" defaultRowHeight="15" x14ac:dyDescent="0.25"/>
  <sheetData>
    <row r="3" spans="2:6" x14ac:dyDescent="0.25">
      <c r="B3" t="s">
        <v>118</v>
      </c>
      <c r="C3">
        <v>0.9</v>
      </c>
      <c r="F3">
        <f>C3*C4*C5*(C9-((C4*C5)/(1.7*C6*C10)))</f>
        <v>64825.95440546218</v>
      </c>
    </row>
    <row r="4" spans="2:6" x14ac:dyDescent="0.25">
      <c r="B4" t="s">
        <v>119</v>
      </c>
      <c r="C4">
        <v>3.55</v>
      </c>
    </row>
    <row r="5" spans="2:6" x14ac:dyDescent="0.25">
      <c r="B5" t="s">
        <v>96</v>
      </c>
      <c r="C5">
        <v>2810</v>
      </c>
    </row>
    <row r="6" spans="2:6" x14ac:dyDescent="0.25">
      <c r="B6" t="s">
        <v>95</v>
      </c>
      <c r="C6">
        <v>210</v>
      </c>
    </row>
    <row r="7" spans="2:6" x14ac:dyDescent="0.25">
      <c r="B7" t="s">
        <v>120</v>
      </c>
      <c r="C7">
        <v>10</v>
      </c>
    </row>
    <row r="8" spans="2:6" x14ac:dyDescent="0.25">
      <c r="B8" t="s">
        <v>99</v>
      </c>
      <c r="C8">
        <v>2.5</v>
      </c>
    </row>
    <row r="9" spans="2:6" x14ac:dyDescent="0.25">
      <c r="B9" t="s">
        <v>97</v>
      </c>
      <c r="C9">
        <f>C7-C8</f>
        <v>7.5</v>
      </c>
    </row>
    <row r="10" spans="2:6" x14ac:dyDescent="0.25">
      <c r="B10" t="s">
        <v>30</v>
      </c>
      <c r="C10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31" workbookViewId="0">
      <selection activeCell="C45" sqref="C45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350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24.678999999999998</v>
      </c>
      <c r="D5" s="47"/>
      <c r="E5" s="47" t="s">
        <v>355</v>
      </c>
      <c r="F5" s="48">
        <v>280</v>
      </c>
    </row>
    <row r="6" spans="2:10" x14ac:dyDescent="0.25">
      <c r="B6" s="46" t="s">
        <v>121</v>
      </c>
      <c r="C6" s="47">
        <v>57332.34</v>
      </c>
      <c r="D6" s="47"/>
      <c r="E6" s="47" t="s">
        <v>96</v>
      </c>
      <c r="F6" s="48">
        <v>4200</v>
      </c>
      <c r="J6">
        <v>1</v>
      </c>
    </row>
    <row r="7" spans="2:10" x14ac:dyDescent="0.25">
      <c r="B7" s="46" t="s">
        <v>122</v>
      </c>
      <c r="C7" s="47">
        <v>30317.3</v>
      </c>
      <c r="D7" s="47"/>
      <c r="E7" s="47"/>
      <c r="F7" s="48"/>
    </row>
    <row r="8" spans="2:10" x14ac:dyDescent="0.25">
      <c r="B8" s="46" t="s">
        <v>123</v>
      </c>
      <c r="C8" s="47">
        <v>6240</v>
      </c>
      <c r="D8" s="47"/>
      <c r="E8" s="47"/>
      <c r="F8" s="48"/>
    </row>
    <row r="9" spans="2:10" x14ac:dyDescent="0.25">
      <c r="B9" s="46" t="s">
        <v>126</v>
      </c>
      <c r="C9" s="47">
        <f>C6</f>
        <v>57332.34</v>
      </c>
      <c r="D9" s="47"/>
      <c r="E9" s="47" t="s">
        <v>129</v>
      </c>
      <c r="F9" s="48">
        <f>(C9/D13)/1000</f>
        <v>38.221559999999997</v>
      </c>
    </row>
    <row r="10" spans="2:10" x14ac:dyDescent="0.25">
      <c r="B10" s="46" t="s">
        <v>127</v>
      </c>
      <c r="C10" s="47">
        <v>9402.14</v>
      </c>
      <c r="D10" s="47"/>
      <c r="E10" s="47" t="s">
        <v>130</v>
      </c>
      <c r="F10" s="48">
        <f>(C10/D13)/1000</f>
        <v>6.2680933333333329</v>
      </c>
    </row>
    <row r="11" spans="2:10" x14ac:dyDescent="0.25">
      <c r="B11" s="46" t="s">
        <v>128</v>
      </c>
      <c r="C11" s="47">
        <v>6632.81</v>
      </c>
      <c r="D11" s="47"/>
      <c r="E11" s="47" t="s">
        <v>131</v>
      </c>
      <c r="F11" s="48">
        <f>(C11/D13)/1000</f>
        <v>4.421873333333334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1.5682870452686601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2.3231224928076504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1.5241792849949281</v>
      </c>
      <c r="D16" s="131">
        <v>1.9</v>
      </c>
      <c r="E16" s="47" t="s">
        <v>351</v>
      </c>
      <c r="F16" s="132">
        <f>D16*D16</f>
        <v>3.61</v>
      </c>
    </row>
    <row r="17" spans="2:12" x14ac:dyDescent="0.25">
      <c r="B17" s="46" t="s">
        <v>135</v>
      </c>
      <c r="C17" s="47">
        <f>D16/6</f>
        <v>0.31666666666666665</v>
      </c>
      <c r="D17" s="47"/>
      <c r="E17" s="47"/>
      <c r="F17" s="48"/>
    </row>
    <row r="18" spans="2:12" x14ac:dyDescent="0.25">
      <c r="B18" s="46"/>
      <c r="C18" s="47"/>
      <c r="D18" s="47"/>
      <c r="E18" s="47"/>
      <c r="F18" s="48"/>
    </row>
    <row r="19" spans="2:12" x14ac:dyDescent="0.25">
      <c r="B19" s="46" t="s">
        <v>136</v>
      </c>
      <c r="C19" s="47">
        <f>1/6*D16*D16*D16</f>
        <v>1.1431666666666664</v>
      </c>
      <c r="D19" s="47">
        <f>C19</f>
        <v>1.1431666666666664</v>
      </c>
      <c r="E19" s="47" t="s">
        <v>332</v>
      </c>
      <c r="F19" s="48">
        <v>0.4</v>
      </c>
    </row>
    <row r="20" spans="2:12" x14ac:dyDescent="0.25">
      <c r="B20" s="46" t="s">
        <v>137</v>
      </c>
      <c r="C20" s="47"/>
      <c r="D20" s="47">
        <f>D19</f>
        <v>1.1431666666666664</v>
      </c>
      <c r="E20" s="47"/>
      <c r="F20" s="48"/>
    </row>
    <row r="21" spans="2:12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2" x14ac:dyDescent="0.25">
      <c r="B22" s="46" t="s">
        <v>138</v>
      </c>
      <c r="C22" s="47">
        <v>3033.6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2" x14ac:dyDescent="0.25">
      <c r="B23" s="46" t="s">
        <v>139</v>
      </c>
      <c r="C23" s="47">
        <f>1.5*D16*D16*1500</f>
        <v>8122.4999999999991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2" x14ac:dyDescent="0.25">
      <c r="B24" s="46" t="s">
        <v>140</v>
      </c>
      <c r="C24" s="47">
        <f>D16*D16*F22*2400</f>
        <v>3032.3999999999996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2" x14ac:dyDescent="0.25">
      <c r="B25" s="46" t="s">
        <v>125</v>
      </c>
      <c r="C25" s="47">
        <f>((C24+C23+C22)/1000)+F9</f>
        <v>52.410059999999994</v>
      </c>
      <c r="D25" s="47"/>
      <c r="E25" s="47"/>
      <c r="F25" s="48"/>
      <c r="K25">
        <v>266.27</v>
      </c>
      <c r="L25">
        <v>202.88</v>
      </c>
    </row>
    <row r="26" spans="2:12" x14ac:dyDescent="0.25">
      <c r="B26" s="46"/>
      <c r="C26" s="47"/>
      <c r="D26" s="47"/>
      <c r="E26" s="47"/>
      <c r="F26" s="48"/>
    </row>
    <row r="27" spans="2:12" x14ac:dyDescent="0.25">
      <c r="B27" s="46" t="s">
        <v>141</v>
      </c>
      <c r="C27" s="47">
        <f>C25/F16</f>
        <v>14.518022160664819</v>
      </c>
      <c r="D27" s="47"/>
      <c r="E27" s="47"/>
      <c r="F27" s="48"/>
    </row>
    <row r="28" spans="2:12" x14ac:dyDescent="0.25">
      <c r="B28" s="46" t="s">
        <v>142</v>
      </c>
      <c r="C28" s="47">
        <f>F10/D19</f>
        <v>5.4830966613208929</v>
      </c>
      <c r="D28" s="47"/>
      <c r="E28" s="47" t="s">
        <v>330</v>
      </c>
      <c r="F28" s="48">
        <f>C28/C27</f>
        <v>0.37767518196637107</v>
      </c>
    </row>
    <row r="29" spans="2:12" x14ac:dyDescent="0.25">
      <c r="B29" s="46" t="s">
        <v>142</v>
      </c>
      <c r="C29" s="47">
        <f>F11/D20</f>
        <v>3.8680915585362312</v>
      </c>
      <c r="D29" s="47"/>
      <c r="E29" s="47" t="s">
        <v>331</v>
      </c>
      <c r="F29" s="48">
        <f>C29/C27</f>
        <v>0.26643378248977001</v>
      </c>
    </row>
    <row r="30" spans="2:12" x14ac:dyDescent="0.25">
      <c r="B30" s="46"/>
      <c r="C30" s="47"/>
      <c r="D30" s="47"/>
      <c r="E30" s="47"/>
      <c r="F30" s="48"/>
    </row>
    <row r="31" spans="2:12" x14ac:dyDescent="0.25">
      <c r="B31" s="46" t="s">
        <v>143</v>
      </c>
      <c r="C31" s="131">
        <f>C27+C28+C29</f>
        <v>23.869210380521945</v>
      </c>
      <c r="D31" s="47">
        <f>C5</f>
        <v>24.678999999999998</v>
      </c>
      <c r="E31" s="47"/>
      <c r="F31" s="48"/>
    </row>
    <row r="32" spans="2:12" x14ac:dyDescent="0.25">
      <c r="B32" s="46" t="s">
        <v>144</v>
      </c>
      <c r="C32" s="131">
        <f>C27-C28-C29</f>
        <v>5.1668339408076944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18" t="s">
        <v>346</v>
      </c>
      <c r="C34" s="219"/>
      <c r="D34" s="128"/>
      <c r="E34" s="218" t="s">
        <v>347</v>
      </c>
      <c r="F34" s="220"/>
    </row>
    <row r="35" spans="2:14" x14ac:dyDescent="0.25">
      <c r="B35" s="46" t="s">
        <v>333</v>
      </c>
      <c r="C35" s="47">
        <f>C31*D13*D16*(((D16-F19)/2)-(F24/2))</f>
        <v>41.666690370498621</v>
      </c>
      <c r="D35" s="48"/>
      <c r="E35" s="46" t="s">
        <v>334</v>
      </c>
      <c r="F35" s="48">
        <f>F16-(F19+F24)^2</f>
        <v>3.1543749999999999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4" x14ac:dyDescent="0.25">
      <c r="B36" s="46" t="s">
        <v>328</v>
      </c>
      <c r="C36" s="131">
        <f>0.53*0.85*SQRT(F5)*D16*100*F24*100/1000</f>
        <v>39.387653234151301</v>
      </c>
      <c r="D36" s="48"/>
      <c r="E36" s="46"/>
      <c r="F36" s="48"/>
      <c r="M36" t="s">
        <v>338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335</v>
      </c>
      <c r="F37" s="48">
        <f>4*(F24+F19)</f>
        <v>2.7</v>
      </c>
      <c r="M37" t="s">
        <v>344</v>
      </c>
      <c r="N37">
        <f>K35*2</f>
        <v>862.16</v>
      </c>
    </row>
    <row r="38" spans="2:14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333</v>
      </c>
      <c r="F39" s="48">
        <f>C31*D13*F35</f>
        <v>112.93866074108836</v>
      </c>
      <c r="M39" t="s">
        <v>340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6713.2154195217972</v>
      </c>
      <c r="D40" s="47"/>
      <c r="E40" s="46" t="s">
        <v>328</v>
      </c>
      <c r="F40" s="132">
        <f>0.85*1*SQRT(F5)*F37*100*F24*100/1000</f>
        <v>105.60741184926366</v>
      </c>
      <c r="M40" t="s">
        <v>341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((100*100*D16*F24)-SQRT(((100*100*D16*F24)^2)-((C40*100*D16)/(0.003825*F5))))*((0.85*F5)/(F6))</f>
        <v>6.5301308523218866</v>
      </c>
      <c r="D42" s="47"/>
      <c r="E42" s="46"/>
      <c r="F42" s="48"/>
      <c r="M42" t="s">
        <v>343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14*D16*100*F24*100/F6</f>
        <v>17.416666666666664</v>
      </c>
      <c r="D43" s="47"/>
      <c r="E43" s="46"/>
      <c r="F43" s="48"/>
    </row>
    <row r="44" spans="2:14" x14ac:dyDescent="0.25">
      <c r="B44" s="46" t="s">
        <v>336</v>
      </c>
      <c r="C44" s="47">
        <v>6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1.905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2.8502295699234246</v>
      </c>
      <c r="D46" s="47"/>
      <c r="E46" s="46"/>
      <c r="F46" s="48"/>
    </row>
    <row r="47" spans="2:14" ht="15.75" thickBot="1" x14ac:dyDescent="0.3">
      <c r="B47" s="49" t="s">
        <v>337</v>
      </c>
      <c r="C47" s="50">
        <f>C46*D16/C43</f>
        <v>0.31093413490073724</v>
      </c>
      <c r="D47" s="133" t="s">
        <v>345</v>
      </c>
      <c r="E47" s="49"/>
      <c r="F47" s="51"/>
    </row>
    <row r="49" spans="3:9" x14ac:dyDescent="0.25">
      <c r="C49">
        <f>D16/0.15</f>
        <v>12.666666666666666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7.6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34:C34"/>
    <mergeCell ref="E34:F34"/>
    <mergeCell ref="B38:C38"/>
    <mergeCell ref="B2:F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topLeftCell="A13" workbookViewId="0">
      <selection activeCell="C35" sqref="C35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353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 t="s">
        <v>355</v>
      </c>
      <c r="F5" s="48">
        <v>210</v>
      </c>
    </row>
    <row r="6" spans="2:10" x14ac:dyDescent="0.25">
      <c r="B6" s="46" t="s">
        <v>121</v>
      </c>
      <c r="C6" s="47">
        <f>(C7+C8)*D13/J6</f>
        <v>31303.5</v>
      </c>
      <c r="D6" s="47"/>
      <c r="E6" s="47" t="s">
        <v>96</v>
      </c>
      <c r="F6" s="48">
        <v>4200</v>
      </c>
      <c r="J6">
        <v>1</v>
      </c>
    </row>
    <row r="7" spans="2:10" x14ac:dyDescent="0.25">
      <c r="B7" s="46" t="s">
        <v>122</v>
      </c>
      <c r="C7" s="47">
        <f>12620+2749</f>
        <v>15369</v>
      </c>
      <c r="D7" s="47"/>
      <c r="E7" s="47"/>
      <c r="F7" s="48"/>
    </row>
    <row r="8" spans="2:10" x14ac:dyDescent="0.25">
      <c r="B8" s="46" t="s">
        <v>123</v>
      </c>
      <c r="C8" s="47">
        <v>5500</v>
      </c>
      <c r="D8" s="47"/>
      <c r="E8" s="47"/>
      <c r="F8" s="48"/>
    </row>
    <row r="9" spans="2:10" x14ac:dyDescent="0.25">
      <c r="B9" s="46" t="s">
        <v>126</v>
      </c>
      <c r="C9" s="47">
        <f>C6</f>
        <v>31303.5</v>
      </c>
      <c r="D9" s="47"/>
      <c r="E9" s="47" t="s">
        <v>129</v>
      </c>
      <c r="F9" s="48">
        <f>(C9/D13)/1000</f>
        <v>20.869</v>
      </c>
    </row>
    <row r="10" spans="2:10" x14ac:dyDescent="0.25">
      <c r="B10" s="46" t="s">
        <v>127</v>
      </c>
      <c r="C10" s="47">
        <v>5904</v>
      </c>
      <c r="D10" s="47"/>
      <c r="E10" s="47" t="s">
        <v>130</v>
      </c>
      <c r="F10" s="48">
        <f>(C10/D13)/1000</f>
        <v>3.9359999999999999</v>
      </c>
    </row>
    <row r="11" spans="2:10" x14ac:dyDescent="0.25">
      <c r="B11" s="46" t="s">
        <v>128</v>
      </c>
      <c r="C11" s="47">
        <v>7471</v>
      </c>
      <c r="D11" s="47"/>
      <c r="E11" s="47" t="s">
        <v>131</v>
      </c>
      <c r="F11" s="48">
        <f>(C11/D13)/1000</f>
        <v>4.980666666666667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1.95646875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1.3987382707283018</v>
      </c>
      <c r="D16" s="131">
        <v>1.95</v>
      </c>
      <c r="E16" s="47" t="s">
        <v>351</v>
      </c>
      <c r="F16" s="132">
        <f>D16*D16</f>
        <v>3.8024999999999998</v>
      </c>
    </row>
    <row r="17" spans="2:12" x14ac:dyDescent="0.25">
      <c r="B17" s="46" t="s">
        <v>135</v>
      </c>
      <c r="C17" s="47">
        <f>D16/6</f>
        <v>0.32500000000000001</v>
      </c>
      <c r="D17" s="47"/>
      <c r="E17" s="47"/>
      <c r="F17" s="48"/>
    </row>
    <row r="18" spans="2:12" x14ac:dyDescent="0.25">
      <c r="B18" s="46"/>
      <c r="C18" s="47"/>
      <c r="D18" s="47"/>
      <c r="E18" s="47"/>
      <c r="F18" s="48"/>
    </row>
    <row r="19" spans="2:12" x14ac:dyDescent="0.25">
      <c r="B19" s="46" t="s">
        <v>136</v>
      </c>
      <c r="C19" s="47">
        <f>1/6*D16*D16*D16</f>
        <v>1.2358124999999998</v>
      </c>
      <c r="D19" s="47">
        <f>C19</f>
        <v>1.2358124999999998</v>
      </c>
      <c r="E19" s="47" t="s">
        <v>332</v>
      </c>
      <c r="F19" s="48">
        <v>0.4</v>
      </c>
    </row>
    <row r="20" spans="2:12" x14ac:dyDescent="0.25">
      <c r="B20" s="46" t="s">
        <v>137</v>
      </c>
      <c r="C20" s="47"/>
      <c r="D20" s="47">
        <f>D19</f>
        <v>1.2358124999999998</v>
      </c>
      <c r="E20" s="47"/>
      <c r="F20" s="48"/>
    </row>
    <row r="21" spans="2:12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2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2" x14ac:dyDescent="0.25">
      <c r="B23" s="46" t="s">
        <v>139</v>
      </c>
      <c r="C23" s="47">
        <f>1.6*D16*D16*1600</f>
        <v>9734.4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2" x14ac:dyDescent="0.25">
      <c r="B24" s="46" t="s">
        <v>140</v>
      </c>
      <c r="C24" s="47">
        <f>D16*D16*F22*2400</f>
        <v>3194.0999999999995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2" x14ac:dyDescent="0.25">
      <c r="B25" s="46" t="s">
        <v>125</v>
      </c>
      <c r="C25" s="47">
        <f>((C24+C23+C22)/1000)+F9</f>
        <v>33.797499999999999</v>
      </c>
      <c r="D25" s="47"/>
      <c r="E25" s="47"/>
      <c r="F25" s="48"/>
      <c r="K25">
        <v>266.27</v>
      </c>
      <c r="L25">
        <v>202.88</v>
      </c>
    </row>
    <row r="26" spans="2:12" x14ac:dyDescent="0.25">
      <c r="B26" s="46"/>
      <c r="C26" s="47"/>
      <c r="D26" s="47"/>
      <c r="E26" s="47"/>
      <c r="F26" s="48"/>
    </row>
    <row r="27" spans="2:12" x14ac:dyDescent="0.25">
      <c r="B27" s="46" t="s">
        <v>141</v>
      </c>
      <c r="C27" s="47">
        <f>C25/F16</f>
        <v>8.8882314266929647</v>
      </c>
      <c r="D27" s="47"/>
      <c r="E27" s="47"/>
      <c r="F27" s="48"/>
    </row>
    <row r="28" spans="2:12" x14ac:dyDescent="0.25">
      <c r="B28" s="46" t="s">
        <v>142</v>
      </c>
      <c r="C28" s="47">
        <f>F10/D19</f>
        <v>3.184949173114854</v>
      </c>
      <c r="D28" s="47"/>
      <c r="E28" s="47" t="s">
        <v>330</v>
      </c>
      <c r="F28" s="48">
        <f>C28/C27</f>
        <v>0.35833328591668712</v>
      </c>
    </row>
    <row r="29" spans="2:12" x14ac:dyDescent="0.25">
      <c r="B29" s="46" t="s">
        <v>142</v>
      </c>
      <c r="C29" s="47">
        <f>F11/D20</f>
        <v>4.03027697702254</v>
      </c>
      <c r="D29" s="47"/>
      <c r="E29" s="47" t="s">
        <v>331</v>
      </c>
      <c r="F29" s="48">
        <f>C29/C27</f>
        <v>0.45343969835426318</v>
      </c>
    </row>
    <row r="30" spans="2:12" x14ac:dyDescent="0.25">
      <c r="B30" s="46"/>
      <c r="C30" s="47"/>
      <c r="D30" s="47"/>
      <c r="E30" s="47"/>
      <c r="F30" s="48"/>
    </row>
    <row r="31" spans="2:12" x14ac:dyDescent="0.25">
      <c r="B31" s="46" t="s">
        <v>143</v>
      </c>
      <c r="C31" s="131">
        <f>C27+C28+C29</f>
        <v>16.103457576830358</v>
      </c>
      <c r="D31" s="47">
        <f>C5</f>
        <v>16</v>
      </c>
      <c r="E31" s="47"/>
      <c r="F31" s="48"/>
    </row>
    <row r="32" spans="2:12" x14ac:dyDescent="0.25">
      <c r="B32" s="46" t="s">
        <v>144</v>
      </c>
      <c r="C32" s="131">
        <f>C27-C28-C29</f>
        <v>1.6730052765555712</v>
      </c>
      <c r="D32" s="47">
        <v>0</v>
      </c>
      <c r="E32" s="47"/>
      <c r="F32" s="48"/>
    </row>
    <row r="33" spans="2:17" ht="15.75" thickBot="1" x14ac:dyDescent="0.3">
      <c r="B33" s="46"/>
      <c r="C33" s="47"/>
      <c r="D33" s="47"/>
      <c r="E33" s="47"/>
      <c r="F33" s="48"/>
    </row>
    <row r="34" spans="2:17" x14ac:dyDescent="0.25">
      <c r="B34" s="218" t="s">
        <v>346</v>
      </c>
      <c r="C34" s="219"/>
      <c r="D34" s="128"/>
      <c r="E34" s="218" t="s">
        <v>347</v>
      </c>
      <c r="F34" s="220"/>
    </row>
    <row r="35" spans="2:17" x14ac:dyDescent="0.25">
      <c r="B35" s="46" t="s">
        <v>333</v>
      </c>
      <c r="C35" s="47">
        <f>C31*D13*D16*(((D16-F19)/2)-F24)</f>
        <v>23.551306706114396</v>
      </c>
      <c r="D35" s="48"/>
      <c r="E35" s="46" t="s">
        <v>334</v>
      </c>
      <c r="F35" s="48">
        <f>F16-(F19+F24)^2</f>
        <v>3.3468749999999998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7" x14ac:dyDescent="0.25">
      <c r="B36" s="46" t="s">
        <v>328</v>
      </c>
      <c r="C36" s="131">
        <f>0.53*0.85*SQRT(F5)*D16*100*F24*100/1000</f>
        <v>35.008358514549101</v>
      </c>
      <c r="D36" s="48"/>
      <c r="E36" s="46"/>
      <c r="F36" s="48"/>
      <c r="M36" t="s">
        <v>338</v>
      </c>
      <c r="N36">
        <f>1.6*3*24</f>
        <v>115.20000000000002</v>
      </c>
    </row>
    <row r="37" spans="2:17" ht="15.75" thickBot="1" x14ac:dyDescent="0.3">
      <c r="B37" s="49"/>
      <c r="C37" s="50"/>
      <c r="D37" s="51"/>
      <c r="E37" s="46" t="s">
        <v>335</v>
      </c>
      <c r="F37" s="48">
        <f>4*(F24+F19)</f>
        <v>2.7</v>
      </c>
      <c r="M37" t="s">
        <v>344</v>
      </c>
      <c r="N37">
        <f>K35*2</f>
        <v>862.16</v>
      </c>
    </row>
    <row r="38" spans="2:17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7" x14ac:dyDescent="0.25">
      <c r="B39" s="46"/>
      <c r="C39" s="47"/>
      <c r="D39" s="47"/>
      <c r="E39" s="46" t="s">
        <v>333</v>
      </c>
      <c r="F39" s="48">
        <f>C31*D13*F35</f>
        <v>80.844389366181147</v>
      </c>
      <c r="M39" t="s">
        <v>340</v>
      </c>
      <c r="N39">
        <f>2*((3.2*(15.75+15.75+7+7))-(2.4*2)-(0.8*2)-(3*1.5*0.8))</f>
        <v>271.2</v>
      </c>
    </row>
    <row r="40" spans="2:17" x14ac:dyDescent="0.25">
      <c r="B40" s="46" t="s">
        <v>327</v>
      </c>
      <c r="C40" s="47">
        <f>1000*(C31*((D16-F19)/2)^2)/2</f>
        <v>4836.0696035418659</v>
      </c>
      <c r="D40" s="47"/>
      <c r="E40" s="46" t="s">
        <v>328</v>
      </c>
      <c r="F40" s="132">
        <f>0.85*1*SQRT(F5)*F37*100*F24*100/1000</f>
        <v>91.458701489388091</v>
      </c>
      <c r="M40" t="s">
        <v>341</v>
      </c>
      <c r="N40">
        <f>2*((60.375*2.5)-(5*0.9*2.3)-(1.2*2.4)-(5*1.5*1.2)-(2*1.2))</f>
        <v>252.61500000000001</v>
      </c>
    </row>
    <row r="41" spans="2:17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7" x14ac:dyDescent="0.25">
      <c r="B42" s="46" t="s">
        <v>102</v>
      </c>
      <c r="C42" s="47">
        <f>((100*100*D16*F24)-SQRT(((100*100*D16*F24)^2)-((C40*100*D16)/(0.003825*F5))))*((0.85*F5)/(F6))</f>
        <v>4.7007826623602433</v>
      </c>
      <c r="D42" s="47"/>
      <c r="E42" s="46"/>
      <c r="F42" s="48"/>
      <c r="M42" t="s">
        <v>343</v>
      </c>
      <c r="N42">
        <f>2*(3*(35.26+3.15))</f>
        <v>230.45999999999998</v>
      </c>
      <c r="P42">
        <f>N42+N41+N40+N39</f>
        <v>919.70499999999993</v>
      </c>
    </row>
    <row r="43" spans="2:17" x14ac:dyDescent="0.25">
      <c r="B43" s="46" t="s">
        <v>113</v>
      </c>
      <c r="C43" s="47">
        <f>14*D16*100*F24*100/F6</f>
        <v>17.874999999999996</v>
      </c>
      <c r="D43" s="47"/>
      <c r="E43" s="46"/>
      <c r="F43" s="48"/>
    </row>
    <row r="44" spans="2:17" x14ac:dyDescent="0.25">
      <c r="B44" s="46" t="s">
        <v>336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  <c r="P44">
        <f>P42/4.5</f>
        <v>204.37888888888887</v>
      </c>
      <c r="Q44">
        <f>P42/12</f>
        <v>76.642083333333332</v>
      </c>
    </row>
    <row r="45" spans="2:17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7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7" ht="15.75" thickBot="1" x14ac:dyDescent="0.3">
      <c r="B47" s="49" t="s">
        <v>337</v>
      </c>
      <c r="C47" s="50">
        <f>C46*D16/C43</f>
        <v>0.21592648256995645</v>
      </c>
      <c r="D47" s="133" t="s">
        <v>352</v>
      </c>
      <c r="E47" s="49"/>
      <c r="F47" s="51"/>
    </row>
    <row r="49" spans="3:9" x14ac:dyDescent="0.25">
      <c r="C49">
        <f>D16/0.2</f>
        <v>9.75</v>
      </c>
      <c r="D49">
        <v>10</v>
      </c>
      <c r="E49">
        <f>2*D49</f>
        <v>20</v>
      </c>
      <c r="F49">
        <f>E49/3</f>
        <v>6.666666666666667</v>
      </c>
      <c r="G49">
        <v>105</v>
      </c>
      <c r="H49">
        <f>G49*F49</f>
        <v>700</v>
      </c>
    </row>
    <row r="50" spans="3:9" x14ac:dyDescent="0.25">
      <c r="C50">
        <f>D16/0.3</f>
        <v>6.5</v>
      </c>
      <c r="D50">
        <v>7</v>
      </c>
      <c r="E50">
        <f>2*D50</f>
        <v>14</v>
      </c>
      <c r="F50">
        <f>E50/3</f>
        <v>4.666666666666667</v>
      </c>
      <c r="G50">
        <v>145</v>
      </c>
      <c r="H50">
        <f>G50*F50</f>
        <v>676.66666666666674</v>
      </c>
    </row>
    <row r="52" spans="3:9" x14ac:dyDescent="0.25">
      <c r="H52">
        <f>H49-H50</f>
        <v>23.333333333333258</v>
      </c>
      <c r="I52">
        <f>H52*32</f>
        <v>746.66666666666424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opLeftCell="B4" workbookViewId="0">
      <selection activeCell="C7" sqref="C7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354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/>
      <c r="F5" s="48"/>
    </row>
    <row r="6" spans="2:10" x14ac:dyDescent="0.25">
      <c r="B6" s="46" t="s">
        <v>121</v>
      </c>
      <c r="C6" s="47">
        <f>(C7+C8)*D13/J6</f>
        <v>21262.170000000002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9147.53+1671.25</f>
        <v>10818.78</v>
      </c>
      <c r="D7" s="47"/>
      <c r="E7" s="47"/>
      <c r="F7" s="48"/>
    </row>
    <row r="8" spans="2:10" x14ac:dyDescent="0.25">
      <c r="B8" s="46" t="s">
        <v>123</v>
      </c>
      <c r="C8" s="47">
        <v>3356</v>
      </c>
      <c r="D8" s="47"/>
      <c r="E8" s="47"/>
      <c r="F8" s="48"/>
    </row>
    <row r="9" spans="2:10" x14ac:dyDescent="0.25">
      <c r="B9" s="46" t="s">
        <v>126</v>
      </c>
      <c r="C9" s="47">
        <f>C6</f>
        <v>21262.170000000002</v>
      </c>
      <c r="D9" s="47"/>
      <c r="E9" s="47" t="s">
        <v>129</v>
      </c>
      <c r="F9" s="48">
        <f>(C9/D13)/1000</f>
        <v>14.17478</v>
      </c>
    </row>
    <row r="10" spans="2:10" x14ac:dyDescent="0.25">
      <c r="B10" s="46" t="s">
        <v>127</v>
      </c>
      <c r="C10" s="47">
        <v>5475.83</v>
      </c>
      <c r="D10" s="47"/>
      <c r="E10" s="47" t="s">
        <v>130</v>
      </c>
      <c r="F10" s="48">
        <f>(C10/D13)/1000</f>
        <v>3.6505533333333333</v>
      </c>
    </row>
    <row r="11" spans="2:10" x14ac:dyDescent="0.25">
      <c r="B11" s="46" t="s">
        <v>128</v>
      </c>
      <c r="C11" s="47">
        <v>6522</v>
      </c>
      <c r="D11" s="47"/>
      <c r="E11" s="47" t="s">
        <v>131</v>
      </c>
      <c r="F11" s="48">
        <f>(C11/D13)/1000</f>
        <v>4.3479999999999999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1.3288856250000001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1.1527730153850757</v>
      </c>
      <c r="D16" s="131">
        <v>1.95</v>
      </c>
      <c r="E16" s="47" t="s">
        <v>351</v>
      </c>
      <c r="F16" s="132">
        <f>D16*D16</f>
        <v>3.8024999999999998</v>
      </c>
    </row>
    <row r="17" spans="2:15" x14ac:dyDescent="0.25">
      <c r="B17" s="46" t="s">
        <v>135</v>
      </c>
      <c r="C17" s="47">
        <f>D16/6</f>
        <v>0.32500000000000001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1.2358124999999998</v>
      </c>
      <c r="D19" s="47">
        <f>C19</f>
        <v>1.2358124999999998</v>
      </c>
      <c r="E19" s="47" t="s">
        <v>332</v>
      </c>
      <c r="F19" s="48">
        <v>0.4</v>
      </c>
    </row>
    <row r="20" spans="2:15" x14ac:dyDescent="0.25">
      <c r="B20" s="46" t="s">
        <v>137</v>
      </c>
      <c r="C20" s="47"/>
      <c r="D20" s="47">
        <f>D19</f>
        <v>1.2358124999999998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1.6*D16*D16*1600</f>
        <v>9734.4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3194.0999999999995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27.103279999999998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7.1277527942143326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2.9539702287631289</v>
      </c>
      <c r="D28" s="47"/>
      <c r="E28" s="47" t="s">
        <v>330</v>
      </c>
      <c r="F28" s="48">
        <f>C28/C27</f>
        <v>0.41443219399540565</v>
      </c>
      <c r="O28">
        <v>15000</v>
      </c>
    </row>
    <row r="29" spans="2:15" x14ac:dyDescent="0.25">
      <c r="B29" s="46" t="s">
        <v>142</v>
      </c>
      <c r="C29" s="47">
        <f>F11/D20</f>
        <v>3.5183330804632584</v>
      </c>
      <c r="D29" s="47"/>
      <c r="E29" s="47" t="s">
        <v>331</v>
      </c>
      <c r="F29" s="48">
        <f>C29/C27</f>
        <v>0.49361042421660922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13.600056103440721</v>
      </c>
      <c r="D31" s="47">
        <f>C5</f>
        <v>16</v>
      </c>
      <c r="E31" s="47"/>
      <c r="F31" s="48"/>
    </row>
    <row r="32" spans="2:15" x14ac:dyDescent="0.25">
      <c r="B32" s="46" t="s">
        <v>144</v>
      </c>
      <c r="C32" s="131">
        <f>C27-C28-C29</f>
        <v>0.65544948498794486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18" t="s">
        <v>346</v>
      </c>
      <c r="C34" s="219"/>
      <c r="D34" s="128"/>
      <c r="E34" s="218" t="s">
        <v>347</v>
      </c>
      <c r="F34" s="220"/>
    </row>
    <row r="35" spans="2:14" x14ac:dyDescent="0.25">
      <c r="B35" s="46" t="s">
        <v>333</v>
      </c>
      <c r="C35" s="47">
        <f>C31*D13*D16*(((D16-F19)/2)-F24)</f>
        <v>19.89008205128205</v>
      </c>
      <c r="D35" s="48"/>
      <c r="E35" s="46" t="s">
        <v>334</v>
      </c>
      <c r="F35" s="48">
        <f>F16-(F19+F24)^2</f>
        <v>3.3468749999999998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4" x14ac:dyDescent="0.25">
      <c r="B36" s="46" t="s">
        <v>328</v>
      </c>
      <c r="C36" s="131">
        <f>0.53*0.85*SQRT(210)*D16*100*F24*100/1000</f>
        <v>35.008358514549101</v>
      </c>
      <c r="D36" s="48"/>
      <c r="E36" s="46"/>
      <c r="F36" s="48"/>
      <c r="M36" t="s">
        <v>338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335</v>
      </c>
      <c r="F37" s="48">
        <f>4*(F24+F19)</f>
        <v>2.7</v>
      </c>
      <c r="M37" t="s">
        <v>344</v>
      </c>
      <c r="N37">
        <f>K35*2</f>
        <v>862.16</v>
      </c>
    </row>
    <row r="38" spans="2:14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333</v>
      </c>
      <c r="F39" s="48">
        <f>C31*D13*F35</f>
        <v>68.276531656804735</v>
      </c>
      <c r="M39" t="s">
        <v>340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4084.2668485645409</v>
      </c>
      <c r="D40" s="47"/>
      <c r="E40" s="46" t="s">
        <v>328</v>
      </c>
      <c r="F40" s="132">
        <f>0.85*1*SQRT(210)*F37*100*F24*100/1000</f>
        <v>91.458701489388091</v>
      </c>
      <c r="M40" t="s">
        <v>341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3.9635336844582709</v>
      </c>
      <c r="D42" s="47"/>
      <c r="E42" s="46"/>
      <c r="F42" s="48"/>
      <c r="M42" t="s">
        <v>343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17.874999999999996</v>
      </c>
      <c r="D43" s="47"/>
      <c r="E43" s="46"/>
      <c r="F43" s="48"/>
    </row>
    <row r="44" spans="2:14" x14ac:dyDescent="0.25">
      <c r="B44" s="46" t="s">
        <v>336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337</v>
      </c>
      <c r="C47" s="50">
        <f>C46*D16/C43</f>
        <v>0.21592648256995645</v>
      </c>
      <c r="D47" s="133" t="s">
        <v>356</v>
      </c>
      <c r="E47" s="49"/>
      <c r="F47" s="51"/>
    </row>
    <row r="49" spans="3:9" x14ac:dyDescent="0.25">
      <c r="C49">
        <f>D16/0.15</f>
        <v>13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7.8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opLeftCell="B4" workbookViewId="0">
      <selection activeCell="C7" sqref="C7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354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/>
      <c r="F5" s="48"/>
    </row>
    <row r="6" spans="2:10" x14ac:dyDescent="0.25">
      <c r="B6" s="46" t="s">
        <v>121</v>
      </c>
      <c r="C6" s="47">
        <f>(C7+C8)*D13/J6</f>
        <v>13083.66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5169+1066</f>
        <v>6235</v>
      </c>
      <c r="D7" s="47"/>
      <c r="E7" s="47"/>
      <c r="F7" s="48"/>
    </row>
    <row r="8" spans="2:10" x14ac:dyDescent="0.25">
      <c r="B8" s="46" t="s">
        <v>123</v>
      </c>
      <c r="C8" s="47">
        <v>2487.44</v>
      </c>
      <c r="D8" s="47"/>
      <c r="E8" s="47"/>
      <c r="F8" s="48"/>
    </row>
    <row r="9" spans="2:10" x14ac:dyDescent="0.25">
      <c r="B9" s="46" t="s">
        <v>126</v>
      </c>
      <c r="C9" s="47">
        <f>C6</f>
        <v>13083.66</v>
      </c>
      <c r="D9" s="47"/>
      <c r="E9" s="47" t="s">
        <v>129</v>
      </c>
      <c r="F9" s="48">
        <f>(C9/D13)/1000</f>
        <v>8.7224400000000006</v>
      </c>
    </row>
    <row r="10" spans="2:10" x14ac:dyDescent="0.25">
      <c r="B10" s="46" t="s">
        <v>127</v>
      </c>
      <c r="C10" s="47">
        <v>2997.87</v>
      </c>
      <c r="D10" s="47"/>
      <c r="E10" s="47" t="s">
        <v>130</v>
      </c>
      <c r="F10" s="48">
        <f>(C10/D13)/1000</f>
        <v>1.99858</v>
      </c>
    </row>
    <row r="11" spans="2:10" x14ac:dyDescent="0.25">
      <c r="B11" s="46" t="s">
        <v>128</v>
      </c>
      <c r="C11" s="47">
        <v>3726.75</v>
      </c>
      <c r="D11" s="47"/>
      <c r="E11" s="47" t="s">
        <v>131</v>
      </c>
      <c r="F11" s="48">
        <f>(C11/D13)/1000</f>
        <v>2.4845000000000002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0.81772875000000012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0.90428355619241474</v>
      </c>
      <c r="D16" s="131">
        <v>1.95</v>
      </c>
      <c r="E16" s="47" t="s">
        <v>351</v>
      </c>
      <c r="F16" s="132">
        <f>D16*D16</f>
        <v>3.8024999999999998</v>
      </c>
    </row>
    <row r="17" spans="2:15" x14ac:dyDescent="0.25">
      <c r="B17" s="46" t="s">
        <v>135</v>
      </c>
      <c r="C17" s="47">
        <f>D16/6</f>
        <v>0.32500000000000001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1.2358124999999998</v>
      </c>
      <c r="D19" s="47">
        <f>C19</f>
        <v>1.2358124999999998</v>
      </c>
      <c r="E19" s="47" t="s">
        <v>332</v>
      </c>
      <c r="F19" s="48">
        <v>0.4</v>
      </c>
    </row>
    <row r="20" spans="2:15" x14ac:dyDescent="0.25">
      <c r="B20" s="46" t="s">
        <v>137</v>
      </c>
      <c r="C20" s="47"/>
      <c r="D20" s="47">
        <f>D19</f>
        <v>1.2358124999999998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1.6*D16*D16*1600</f>
        <v>9734.4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3194.0999999999995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21.650939999999999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5.6938698224852073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1.6172194406513936</v>
      </c>
      <c r="D28" s="47"/>
      <c r="E28" s="47" t="s">
        <v>330</v>
      </c>
      <c r="F28" s="48">
        <f>C28/C27</f>
        <v>0.28402817259097868</v>
      </c>
      <c r="O28">
        <v>15000</v>
      </c>
    </row>
    <row r="29" spans="2:15" x14ac:dyDescent="0.25">
      <c r="B29" s="46" t="s">
        <v>142</v>
      </c>
      <c r="C29" s="47">
        <f>F11/D20</f>
        <v>2.0104182471046381</v>
      </c>
      <c r="D29" s="47"/>
      <c r="E29" s="47" t="s">
        <v>331</v>
      </c>
      <c r="F29" s="48">
        <f>C29/C27</f>
        <v>0.35308468752928907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9.3215075102412399</v>
      </c>
      <c r="D31" s="47">
        <f>C5</f>
        <v>16</v>
      </c>
      <c r="E31" s="47"/>
      <c r="F31" s="48"/>
    </row>
    <row r="32" spans="2:15" x14ac:dyDescent="0.25">
      <c r="B32" s="46" t="s">
        <v>144</v>
      </c>
      <c r="C32" s="131">
        <f>C27-C28-C29</f>
        <v>2.0662321347291752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18" t="s">
        <v>346</v>
      </c>
      <c r="C34" s="219"/>
      <c r="D34" s="128"/>
      <c r="E34" s="218" t="s">
        <v>347</v>
      </c>
      <c r="F34" s="220"/>
    </row>
    <row r="35" spans="2:14" x14ac:dyDescent="0.25">
      <c r="B35" s="46" t="s">
        <v>333</v>
      </c>
      <c r="C35" s="47">
        <f>C31*D13*D16*(((D16-F19)/2)-F24)</f>
        <v>13.632704733727811</v>
      </c>
      <c r="D35" s="48"/>
      <c r="E35" s="46" t="s">
        <v>334</v>
      </c>
      <c r="F35" s="48">
        <f>F16-(F19+F24)^2</f>
        <v>3.3468749999999998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4" x14ac:dyDescent="0.25">
      <c r="B36" s="46" t="s">
        <v>328</v>
      </c>
      <c r="C36" s="131">
        <f>0.53*0.85*SQRT(210)*D16*100*F24*100/1000</f>
        <v>35.008358514549101</v>
      </c>
      <c r="D36" s="48"/>
      <c r="E36" s="46"/>
      <c r="F36" s="48"/>
      <c r="M36" t="s">
        <v>338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335</v>
      </c>
      <c r="F37" s="48">
        <f>4*(F24+F19)</f>
        <v>2.7</v>
      </c>
      <c r="M37" t="s">
        <v>344</v>
      </c>
      <c r="N37">
        <f>K35*2</f>
        <v>862.16</v>
      </c>
    </row>
    <row r="38" spans="2:14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333</v>
      </c>
      <c r="F39" s="48">
        <f>C31*D13*F35</f>
        <v>46.796880672507974</v>
      </c>
      <c r="M39" t="s">
        <v>340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2799.3652241693217</v>
      </c>
      <c r="D40" s="47"/>
      <c r="E40" s="46" t="s">
        <v>328</v>
      </c>
      <c r="F40" s="132">
        <f>0.85*1*SQRT(210)*F37*100*F24*100/1000</f>
        <v>91.458701489388091</v>
      </c>
      <c r="M40" t="s">
        <v>341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2.7090933673094515</v>
      </c>
      <c r="D42" s="47"/>
      <c r="E42" s="46"/>
      <c r="F42" s="48"/>
      <c r="M42" t="s">
        <v>343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17.874999999999996</v>
      </c>
      <c r="D43" s="47"/>
      <c r="E43" s="46"/>
      <c r="F43" s="48"/>
    </row>
    <row r="44" spans="2:14" x14ac:dyDescent="0.25">
      <c r="B44" s="46" t="s">
        <v>336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337</v>
      </c>
      <c r="C47" s="50">
        <f>C46*D16/C43</f>
        <v>0.21592648256995645</v>
      </c>
      <c r="D47" s="133" t="s">
        <v>356</v>
      </c>
      <c r="E47" s="49"/>
      <c r="F47" s="51"/>
    </row>
    <row r="49" spans="3:9" x14ac:dyDescent="0.25">
      <c r="C49">
        <f>D16/0.15</f>
        <v>13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7.8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5"/>
  <sheetViews>
    <sheetView workbookViewId="0">
      <selection activeCell="C6" sqref="C6"/>
    </sheetView>
  </sheetViews>
  <sheetFormatPr baseColWidth="10" defaultRowHeight="15" x14ac:dyDescent="0.25"/>
  <sheetData>
    <row r="3" spans="2:5" x14ac:dyDescent="0.25">
      <c r="B3" s="65" t="s">
        <v>151</v>
      </c>
      <c r="C3" s="65"/>
      <c r="D3" s="65"/>
      <c r="E3" s="65"/>
    </row>
    <row r="4" spans="2:5" x14ac:dyDescent="0.25">
      <c r="B4" t="s">
        <v>133</v>
      </c>
      <c r="C4">
        <v>16</v>
      </c>
    </row>
    <row r="5" spans="2:5" x14ac:dyDescent="0.25">
      <c r="B5" t="s">
        <v>121</v>
      </c>
      <c r="C5">
        <f>(C6+C7)*D12</f>
        <v>34420.5</v>
      </c>
    </row>
    <row r="6" spans="2:5" x14ac:dyDescent="0.25">
      <c r="B6" t="s">
        <v>122</v>
      </c>
      <c r="C6">
        <f>13178+2665</f>
        <v>15843</v>
      </c>
    </row>
    <row r="7" spans="2:5" x14ac:dyDescent="0.25">
      <c r="B7" t="s">
        <v>123</v>
      </c>
      <c r="C7">
        <v>7104</v>
      </c>
    </row>
    <row r="8" spans="2:5" x14ac:dyDescent="0.25">
      <c r="B8" t="s">
        <v>126</v>
      </c>
      <c r="C8">
        <f>C5</f>
        <v>34420.5</v>
      </c>
    </row>
    <row r="9" spans="2:5" x14ac:dyDescent="0.25">
      <c r="B9" t="s">
        <v>127</v>
      </c>
      <c r="C9">
        <v>5827.9</v>
      </c>
    </row>
    <row r="10" spans="2:5" x14ac:dyDescent="0.25">
      <c r="B10" t="s">
        <v>128</v>
      </c>
      <c r="C10">
        <v>5724.98</v>
      </c>
    </row>
    <row r="12" spans="2:5" x14ac:dyDescent="0.25">
      <c r="B12" t="s">
        <v>124</v>
      </c>
      <c r="C12">
        <f>C5/(C6+C7)</f>
        <v>1.5</v>
      </c>
      <c r="D12">
        <v>1.5</v>
      </c>
    </row>
    <row r="14" spans="2:5" x14ac:dyDescent="0.25">
      <c r="B14" t="s">
        <v>129</v>
      </c>
      <c r="C14">
        <f>(C8/D12)/1000</f>
        <v>22.946999999999999</v>
      </c>
    </row>
    <row r="15" spans="2:5" x14ac:dyDescent="0.25">
      <c r="B15" t="s">
        <v>130</v>
      </c>
      <c r="C15">
        <f>(C9/D12)/1000</f>
        <v>3.8852666666666664</v>
      </c>
    </row>
    <row r="16" spans="2:5" x14ac:dyDescent="0.25">
      <c r="B16" t="s">
        <v>131</v>
      </c>
      <c r="C16">
        <f>(C10/D12)/1000</f>
        <v>3.816653333333333</v>
      </c>
    </row>
    <row r="18" spans="2:6" x14ac:dyDescent="0.25">
      <c r="B18" t="s">
        <v>132</v>
      </c>
      <c r="C18">
        <f>C14*D12/C4</f>
        <v>2.1512812499999998</v>
      </c>
    </row>
    <row r="19" spans="2:6" x14ac:dyDescent="0.25">
      <c r="B19" t="s">
        <v>134</v>
      </c>
      <c r="C19">
        <f>SQRT(C18)</f>
        <v>1.4667246674137582</v>
      </c>
      <c r="D19">
        <v>2</v>
      </c>
      <c r="F19">
        <f>D19*D19</f>
        <v>4</v>
      </c>
    </row>
    <row r="20" spans="2:6" x14ac:dyDescent="0.25">
      <c r="B20" t="s">
        <v>135</v>
      </c>
      <c r="C20">
        <f>D19/6</f>
        <v>0.33333333333333331</v>
      </c>
    </row>
    <row r="22" spans="2:6" x14ac:dyDescent="0.25">
      <c r="B22" t="s">
        <v>136</v>
      </c>
      <c r="C22">
        <f>1/6*D19*D19*D19</f>
        <v>1.3333333333333333</v>
      </c>
      <c r="D22">
        <f>C22</f>
        <v>1.3333333333333333</v>
      </c>
      <c r="E22" t="s">
        <v>332</v>
      </c>
      <c r="F22">
        <v>0.4</v>
      </c>
    </row>
    <row r="23" spans="2:6" x14ac:dyDescent="0.25">
      <c r="B23" t="s">
        <v>137</v>
      </c>
      <c r="D23">
        <f>D22</f>
        <v>1.3333333333333333</v>
      </c>
    </row>
    <row r="24" spans="2:6" x14ac:dyDescent="0.25">
      <c r="E24" t="s">
        <v>120</v>
      </c>
      <c r="F24">
        <v>0.35</v>
      </c>
    </row>
    <row r="25" spans="2:6" x14ac:dyDescent="0.25">
      <c r="B25" t="s">
        <v>138</v>
      </c>
      <c r="C25">
        <f>F22*F22*7.8*2400</f>
        <v>2995.2000000000007</v>
      </c>
      <c r="E25" t="s">
        <v>99</v>
      </c>
      <c r="F25">
        <v>7.4999999999999997E-2</v>
      </c>
    </row>
    <row r="26" spans="2:6" x14ac:dyDescent="0.25">
      <c r="B26" t="s">
        <v>139</v>
      </c>
      <c r="C26">
        <f>1.6*D19*D19*1700</f>
        <v>10880</v>
      </c>
      <c r="E26" t="s">
        <v>97</v>
      </c>
      <c r="F26">
        <f>F24-F25</f>
        <v>0.27499999999999997</v>
      </c>
    </row>
    <row r="27" spans="2:6" x14ac:dyDescent="0.25">
      <c r="B27" t="s">
        <v>140</v>
      </c>
      <c r="C27">
        <f>D19*D19*F24*2400</f>
        <v>3360</v>
      </c>
    </row>
    <row r="28" spans="2:6" x14ac:dyDescent="0.25">
      <c r="B28" t="s">
        <v>125</v>
      </c>
      <c r="C28">
        <f>((C27+C26+C25)/1000)+C14</f>
        <v>40.182199999999995</v>
      </c>
    </row>
    <row r="30" spans="2:6" x14ac:dyDescent="0.25">
      <c r="B30" t="s">
        <v>141</v>
      </c>
      <c r="C30">
        <f>C28/F19</f>
        <v>10.045549999999999</v>
      </c>
    </row>
    <row r="31" spans="2:6" x14ac:dyDescent="0.25">
      <c r="B31" t="s">
        <v>142</v>
      </c>
      <c r="C31">
        <f>C15/D22</f>
        <v>2.9139499999999998</v>
      </c>
      <c r="E31" t="s">
        <v>330</v>
      </c>
      <c r="F31">
        <f>C31/C30</f>
        <v>0.29007371423167472</v>
      </c>
    </row>
    <row r="32" spans="2:6" x14ac:dyDescent="0.25">
      <c r="B32" t="s">
        <v>142</v>
      </c>
      <c r="C32">
        <f>C16/D23</f>
        <v>2.8624899999999998</v>
      </c>
      <c r="E32" t="s">
        <v>331</v>
      </c>
      <c r="F32">
        <f>C32/C30</f>
        <v>0.2849510479764672</v>
      </c>
    </row>
    <row r="34" spans="2:4" x14ac:dyDescent="0.25">
      <c r="B34" t="s">
        <v>143</v>
      </c>
      <c r="C34">
        <f>C30+C31+C32</f>
        <v>15.821989999999998</v>
      </c>
      <c r="D34">
        <f>C4</f>
        <v>16</v>
      </c>
    </row>
    <row r="35" spans="2:4" x14ac:dyDescent="0.25">
      <c r="B35" t="s">
        <v>144</v>
      </c>
      <c r="C35">
        <f>C30-C31-C32</f>
        <v>4.2691099999999995</v>
      </c>
      <c r="D35">
        <v>0</v>
      </c>
    </row>
    <row r="38" spans="2:4" x14ac:dyDescent="0.25">
      <c r="B38" t="s">
        <v>333</v>
      </c>
      <c r="C38">
        <f>C34*D12*D19*(((D19-F22)/2)-F26)</f>
        <v>24.919634250000001</v>
      </c>
    </row>
    <row r="39" spans="2:4" x14ac:dyDescent="0.25">
      <c r="B39" t="s">
        <v>328</v>
      </c>
      <c r="C39">
        <f>0.53*0.85*SQRT(210)*D19*100*F26*100/1000</f>
        <v>35.906008732870873</v>
      </c>
    </row>
    <row r="41" spans="2:4" x14ac:dyDescent="0.25">
      <c r="B41" t="s">
        <v>334</v>
      </c>
      <c r="C41">
        <f>F19-(F22+F26)^2</f>
        <v>3.5443750000000001</v>
      </c>
    </row>
    <row r="43" spans="2:4" x14ac:dyDescent="0.25">
      <c r="B43" t="s">
        <v>335</v>
      </c>
      <c r="C43">
        <f>4*(F26+F22)</f>
        <v>2.7</v>
      </c>
    </row>
    <row r="45" spans="2:4" x14ac:dyDescent="0.25">
      <c r="B45" t="s">
        <v>333</v>
      </c>
      <c r="C45">
        <f>C34*D12*C41</f>
        <v>84.118598709374993</v>
      </c>
    </row>
    <row r="46" spans="2:4" x14ac:dyDescent="0.25">
      <c r="B46" t="s">
        <v>328</v>
      </c>
      <c r="C46">
        <f>0.85*1*SQRT(210)*C43*100*F26*100/1000</f>
        <v>91.458701489388091</v>
      </c>
    </row>
    <row r="48" spans="2:4" x14ac:dyDescent="0.25">
      <c r="B48" t="s">
        <v>327</v>
      </c>
      <c r="C48">
        <f>1000*(C34*((D19-F22)/2)^2)/2</f>
        <v>5063.0367999999999</v>
      </c>
    </row>
    <row r="50" spans="2:3" x14ac:dyDescent="0.25">
      <c r="B50" t="s">
        <v>102</v>
      </c>
      <c r="C50">
        <f>((100*100*D19*F26)-SQRT(((100*100*D19*F26)^2)-((C48*100*D19)/(0.003825*210))))*((0.85*210)/(4200))</f>
        <v>4.9224768133761545</v>
      </c>
    </row>
    <row r="51" spans="2:3" x14ac:dyDescent="0.25">
      <c r="B51" t="s">
        <v>113</v>
      </c>
      <c r="C51">
        <f>14*D19*100*F26*100/4200</f>
        <v>18.333333333333329</v>
      </c>
    </row>
    <row r="52" spans="2:3" x14ac:dyDescent="0.25">
      <c r="B52" t="s">
        <v>336</v>
      </c>
      <c r="C52">
        <v>5</v>
      </c>
    </row>
    <row r="53" spans="2:3" x14ac:dyDescent="0.25">
      <c r="B53" t="s">
        <v>192</v>
      </c>
      <c r="C53">
        <f>C52/8*2.54</f>
        <v>1.5874999999999999</v>
      </c>
    </row>
    <row r="54" spans="2:3" x14ac:dyDescent="0.25">
      <c r="B54" t="s">
        <v>132</v>
      </c>
      <c r="C54">
        <f>C53*C53*PI()/4</f>
        <v>1.9793260902246004</v>
      </c>
    </row>
    <row r="55" spans="2:3" x14ac:dyDescent="0.25">
      <c r="B55" t="s">
        <v>337</v>
      </c>
      <c r="C55">
        <f>C54*D19/C51</f>
        <v>0.21592648256995647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topLeftCell="A7" workbookViewId="0">
      <selection activeCell="G22" sqref="G22"/>
    </sheetView>
  </sheetViews>
  <sheetFormatPr baseColWidth="10" defaultRowHeight="15" x14ac:dyDescent="0.25"/>
  <cols>
    <col min="7" max="7" width="12" bestFit="1" customWidth="1"/>
  </cols>
  <sheetData>
    <row r="3" spans="2:8" x14ac:dyDescent="0.25">
      <c r="B3">
        <v>0.9</v>
      </c>
    </row>
    <row r="4" spans="2:8" x14ac:dyDescent="0.25">
      <c r="B4">
        <v>3.19</v>
      </c>
    </row>
    <row r="5" spans="2:8" x14ac:dyDescent="0.25">
      <c r="C5">
        <f>B4*B3</f>
        <v>2.871</v>
      </c>
    </row>
    <row r="8" spans="2:8" x14ac:dyDescent="0.25">
      <c r="B8" t="s">
        <v>30</v>
      </c>
      <c r="C8">
        <f>2*2.54</f>
        <v>5.08</v>
      </c>
    </row>
    <row r="9" spans="2:8" x14ac:dyDescent="0.25">
      <c r="B9" t="s">
        <v>98</v>
      </c>
      <c r="C9">
        <f>3*2.54</f>
        <v>7.62</v>
      </c>
      <c r="E9">
        <f>C10*C9*C9*C9/12</f>
        <v>5.5306341000000003</v>
      </c>
      <c r="F9">
        <v>0</v>
      </c>
      <c r="G9">
        <f>F9+E9</f>
        <v>5.5306341000000003</v>
      </c>
      <c r="H9" t="s">
        <v>145</v>
      </c>
    </row>
    <row r="10" spans="2:8" x14ac:dyDescent="0.25">
      <c r="B10" t="s">
        <v>120</v>
      </c>
      <c r="C10">
        <v>0.15</v>
      </c>
      <c r="E10">
        <f>C10*C11*C11*C11/12</f>
        <v>2.1599999999999998E-2</v>
      </c>
      <c r="F10">
        <f>(C10*C11)*POWER(C9-(C11/2),2)</f>
        <v>8.8704720000000012</v>
      </c>
      <c r="G10">
        <f>2*(F10+E10)</f>
        <v>17.784144000000001</v>
      </c>
      <c r="H10" t="s">
        <v>145</v>
      </c>
    </row>
    <row r="11" spans="2:8" x14ac:dyDescent="0.25">
      <c r="B11" t="s">
        <v>97</v>
      </c>
      <c r="C11">
        <v>1.2</v>
      </c>
      <c r="E11">
        <f>C8*C10*C10*C10/12</f>
        <v>1.4287500000000001E-3</v>
      </c>
      <c r="F11">
        <f>(C8*C10)*POWER(C9-(C10/2),2)</f>
        <v>43.37839305</v>
      </c>
      <c r="G11">
        <f>2*(F11+E11)</f>
        <v>86.759643600000004</v>
      </c>
      <c r="H11" t="s">
        <v>145</v>
      </c>
    </row>
    <row r="13" spans="2:8" x14ac:dyDescent="0.25">
      <c r="G13">
        <f>SUM(G9:G11)</f>
        <v>110.0744217</v>
      </c>
      <c r="H13" t="s">
        <v>145</v>
      </c>
    </row>
    <row r="15" spans="2:8" x14ac:dyDescent="0.25">
      <c r="G15">
        <f>G13*2</f>
        <v>220.1488434</v>
      </c>
    </row>
    <row r="17" spans="2:7" x14ac:dyDescent="0.25">
      <c r="B17">
        <v>1265.5252</v>
      </c>
      <c r="D17">
        <f>C9/2</f>
        <v>3.81</v>
      </c>
    </row>
    <row r="20" spans="2:7" x14ac:dyDescent="0.25">
      <c r="E20">
        <f>B17*G13/D17</f>
        <v>36562.192791804948</v>
      </c>
      <c r="G20">
        <f>B17*G15/D17</f>
        <v>73124.385583609896</v>
      </c>
    </row>
    <row r="21" spans="2:7" x14ac:dyDescent="0.25">
      <c r="E21">
        <f>E20/100</f>
        <v>365.62192791804949</v>
      </c>
      <c r="G21">
        <f>G20/100</f>
        <v>731.24385583609899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workbookViewId="0">
      <selection activeCell="C7" sqref="C7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350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 t="s">
        <v>355</v>
      </c>
      <c r="F5" s="48">
        <v>210</v>
      </c>
    </row>
    <row r="6" spans="2:10" x14ac:dyDescent="0.25">
      <c r="B6" s="46" t="s">
        <v>121</v>
      </c>
      <c r="C6" s="47">
        <f>(C7+C8)*D13/J6</f>
        <v>45406.350000000006</v>
      </c>
      <c r="D6" s="47"/>
      <c r="E6" s="47" t="s">
        <v>96</v>
      </c>
      <c r="F6" s="48">
        <v>4200</v>
      </c>
      <c r="J6">
        <v>1</v>
      </c>
    </row>
    <row r="7" spans="2:10" x14ac:dyDescent="0.25">
      <c r="B7" s="46" t="s">
        <v>122</v>
      </c>
      <c r="C7" s="47">
        <f>17161.9+4377</f>
        <v>21538.9</v>
      </c>
      <c r="D7" s="47"/>
      <c r="E7" s="47"/>
      <c r="F7" s="48"/>
    </row>
    <row r="8" spans="2:10" x14ac:dyDescent="0.25">
      <c r="B8" s="46" t="s">
        <v>123</v>
      </c>
      <c r="C8" s="47">
        <v>8732</v>
      </c>
      <c r="D8" s="47"/>
      <c r="E8" s="47"/>
      <c r="F8" s="48"/>
    </row>
    <row r="9" spans="2:10" x14ac:dyDescent="0.25">
      <c r="B9" s="46" t="s">
        <v>126</v>
      </c>
      <c r="C9" s="47">
        <f>C6</f>
        <v>45406.350000000006</v>
      </c>
      <c r="D9" s="47"/>
      <c r="E9" s="47" t="s">
        <v>129</v>
      </c>
      <c r="F9" s="48">
        <f>(C9/D13)/1000</f>
        <v>30.270900000000005</v>
      </c>
    </row>
    <row r="10" spans="2:10" x14ac:dyDescent="0.25">
      <c r="B10" s="46" t="s">
        <v>127</v>
      </c>
      <c r="C10" s="47">
        <v>5433.12</v>
      </c>
      <c r="D10" s="47"/>
      <c r="E10" s="47" t="s">
        <v>130</v>
      </c>
      <c r="F10" s="48">
        <f>(C10/D13)/1000</f>
        <v>3.62208</v>
      </c>
    </row>
    <row r="11" spans="2:10" x14ac:dyDescent="0.25">
      <c r="B11" s="46" t="s">
        <v>128</v>
      </c>
      <c r="C11" s="47">
        <v>6699.35</v>
      </c>
      <c r="D11" s="47"/>
      <c r="E11" s="47" t="s">
        <v>131</v>
      </c>
      <c r="F11" s="48">
        <f>(C11/D13)/1000</f>
        <v>4.4662333333333333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1.5000000000000002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2.8378968750000002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1.6846058515272944</v>
      </c>
      <c r="D16" s="131">
        <v>2.1</v>
      </c>
      <c r="E16" s="47" t="s">
        <v>351</v>
      </c>
      <c r="F16" s="132">
        <f>D16*D16</f>
        <v>4.41</v>
      </c>
    </row>
    <row r="17" spans="2:12" x14ac:dyDescent="0.25">
      <c r="B17" s="46" t="s">
        <v>135</v>
      </c>
      <c r="C17" s="47">
        <f>D16/6</f>
        <v>0.35000000000000003</v>
      </c>
      <c r="D17" s="47"/>
      <c r="E17" s="47"/>
      <c r="F17" s="48"/>
    </row>
    <row r="18" spans="2:12" x14ac:dyDescent="0.25">
      <c r="B18" s="46"/>
      <c r="C18" s="47"/>
      <c r="D18" s="47"/>
      <c r="E18" s="47"/>
      <c r="F18" s="48"/>
    </row>
    <row r="19" spans="2:12" x14ac:dyDescent="0.25">
      <c r="B19" s="46" t="s">
        <v>136</v>
      </c>
      <c r="C19" s="47">
        <f>1/6*D16*D16*D16</f>
        <v>1.5435000000000001</v>
      </c>
      <c r="D19" s="47">
        <f>C19</f>
        <v>1.5435000000000001</v>
      </c>
      <c r="E19" s="47" t="s">
        <v>332</v>
      </c>
      <c r="F19" s="48">
        <v>0.4</v>
      </c>
    </row>
    <row r="20" spans="2:12" x14ac:dyDescent="0.25">
      <c r="B20" s="46" t="s">
        <v>137</v>
      </c>
      <c r="C20" s="47"/>
      <c r="D20" s="47">
        <f>D19</f>
        <v>1.5435000000000001</v>
      </c>
      <c r="E20" s="47"/>
      <c r="F20" s="48"/>
    </row>
    <row r="21" spans="2:12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2" x14ac:dyDescent="0.25">
      <c r="B22" s="46" t="s">
        <v>138</v>
      </c>
      <c r="C22" s="47">
        <v>0</v>
      </c>
      <c r="D22" s="47"/>
      <c r="E22" s="47" t="s">
        <v>120</v>
      </c>
      <c r="F22" s="48">
        <v>0.4</v>
      </c>
      <c r="K22">
        <v>28.96</v>
      </c>
      <c r="L22">
        <v>48.19</v>
      </c>
    </row>
    <row r="23" spans="2:12" x14ac:dyDescent="0.25">
      <c r="B23" s="46" t="s">
        <v>139</v>
      </c>
      <c r="C23" s="47">
        <f>1.6*D16*D16*1600</f>
        <v>11289.600000000002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2" x14ac:dyDescent="0.25">
      <c r="B24" s="46" t="s">
        <v>140</v>
      </c>
      <c r="C24" s="47">
        <f>D16*D16*F22*2400</f>
        <v>4233.6000000000004</v>
      </c>
      <c r="D24" s="47"/>
      <c r="E24" s="47" t="s">
        <v>97</v>
      </c>
      <c r="F24" s="48">
        <f>F22-F23</f>
        <v>0.32500000000000001</v>
      </c>
      <c r="K24">
        <v>33.36</v>
      </c>
      <c r="L24">
        <v>31.64</v>
      </c>
    </row>
    <row r="25" spans="2:12" x14ac:dyDescent="0.25">
      <c r="B25" s="46" t="s">
        <v>125</v>
      </c>
      <c r="C25" s="47">
        <f>((C24+C23+C22)/1000)+F9</f>
        <v>45.794100000000007</v>
      </c>
      <c r="D25" s="47"/>
      <c r="E25" s="47"/>
      <c r="F25" s="48"/>
      <c r="K25">
        <v>266.27</v>
      </c>
      <c r="L25">
        <v>202.88</v>
      </c>
    </row>
    <row r="26" spans="2:12" x14ac:dyDescent="0.25">
      <c r="B26" s="46"/>
      <c r="C26" s="47"/>
      <c r="D26" s="47"/>
      <c r="E26" s="47"/>
      <c r="F26" s="48"/>
    </row>
    <row r="27" spans="2:12" x14ac:dyDescent="0.25">
      <c r="B27" s="46" t="s">
        <v>141</v>
      </c>
      <c r="C27" s="47">
        <f>C25/F16</f>
        <v>10.384149659863947</v>
      </c>
      <c r="D27" s="47"/>
      <c r="E27" s="47"/>
      <c r="F27" s="48"/>
    </row>
    <row r="28" spans="2:12" x14ac:dyDescent="0.25">
      <c r="B28" s="46" t="s">
        <v>142</v>
      </c>
      <c r="C28" s="47">
        <f>F10/D19</f>
        <v>2.3466666666666667</v>
      </c>
      <c r="D28" s="47"/>
      <c r="E28" s="47" t="s">
        <v>330</v>
      </c>
      <c r="F28" s="48">
        <f>C28/C27</f>
        <v>0.22598544353966993</v>
      </c>
    </row>
    <row r="29" spans="2:12" x14ac:dyDescent="0.25">
      <c r="B29" s="46" t="s">
        <v>142</v>
      </c>
      <c r="C29" s="47">
        <f>F11/D20</f>
        <v>2.893575207860922</v>
      </c>
      <c r="D29" s="47"/>
      <c r="E29" s="47" t="s">
        <v>331</v>
      </c>
      <c r="F29" s="48">
        <f>C29/C27</f>
        <v>0.2786530724845922</v>
      </c>
    </row>
    <row r="30" spans="2:12" x14ac:dyDescent="0.25">
      <c r="B30" s="46"/>
      <c r="C30" s="47"/>
      <c r="D30" s="47"/>
      <c r="E30" s="47"/>
      <c r="F30" s="48"/>
    </row>
    <row r="31" spans="2:12" x14ac:dyDescent="0.25">
      <c r="B31" s="46" t="s">
        <v>143</v>
      </c>
      <c r="C31" s="131">
        <f>C27+C28+C29</f>
        <v>15.624391534391536</v>
      </c>
      <c r="D31" s="47">
        <f>C5</f>
        <v>16</v>
      </c>
      <c r="E31" s="47"/>
      <c r="F31" s="48"/>
    </row>
    <row r="32" spans="2:12" x14ac:dyDescent="0.25">
      <c r="B32" s="46" t="s">
        <v>144</v>
      </c>
      <c r="C32" s="131">
        <f>C27-C28-C29</f>
        <v>5.1439077853363582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18" t="s">
        <v>346</v>
      </c>
      <c r="C34" s="219"/>
      <c r="D34" s="128"/>
      <c r="E34" s="218" t="s">
        <v>347</v>
      </c>
      <c r="F34" s="220"/>
    </row>
    <row r="35" spans="2:14" x14ac:dyDescent="0.25">
      <c r="B35" s="46" t="s">
        <v>333</v>
      </c>
      <c r="C35" s="47">
        <f>C31*D13*D16*(((D16-F19)/2)-F24)</f>
        <v>25.838837500000011</v>
      </c>
      <c r="D35" s="48"/>
      <c r="E35" s="46" t="s">
        <v>334</v>
      </c>
      <c r="F35" s="48">
        <f>F16-(F19+F24)^2</f>
        <v>3.8843749999999999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4" x14ac:dyDescent="0.25">
      <c r="B36" s="46" t="s">
        <v>328</v>
      </c>
      <c r="C36" s="131">
        <f>0.53*0.85*SQRT(F5)*D16*100*F24*100/1000</f>
        <v>44.556092654880679</v>
      </c>
      <c r="D36" s="48"/>
      <c r="E36" s="46"/>
      <c r="F36" s="48"/>
      <c r="M36" t="s">
        <v>338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335</v>
      </c>
      <c r="F37" s="48">
        <f>4*(F24+F19)</f>
        <v>2.9000000000000004</v>
      </c>
      <c r="M37" t="s">
        <v>344</v>
      </c>
      <c r="N37">
        <f>K35*2</f>
        <v>862.16</v>
      </c>
    </row>
    <row r="38" spans="2:14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333</v>
      </c>
      <c r="F39" s="48">
        <f>C31*D13*F35</f>
        <v>91.036493799603193</v>
      </c>
      <c r="M39" t="s">
        <v>340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5644.3114417989436</v>
      </c>
      <c r="D40" s="47"/>
      <c r="E40" s="46" t="s">
        <v>328</v>
      </c>
      <c r="F40" s="132">
        <f>0.85*1*SQRT(F5)*F37*100*F24*100/1000</f>
        <v>116.09404195791018</v>
      </c>
      <c r="M40" t="s">
        <v>341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((100*100*D16*F24)-SQRT(((100*100*D16*F24)^2)-((C40*100*D16)/(0.003825*F5))))*((0.85*F5)/(F6))</f>
        <v>4.6314494566342796</v>
      </c>
      <c r="D42" s="47"/>
      <c r="E42" s="46"/>
      <c r="F42" s="48"/>
      <c r="M42" t="s">
        <v>343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14*D16*100*F24*100/F6</f>
        <v>22.75</v>
      </c>
      <c r="D43" s="47"/>
      <c r="E43" s="46"/>
      <c r="F43" s="48"/>
    </row>
    <row r="44" spans="2:14" x14ac:dyDescent="0.25">
      <c r="B44" s="46" t="s">
        <v>336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337</v>
      </c>
      <c r="C47" s="50">
        <f>C46*D16/C43</f>
        <v>0.18270702371304004</v>
      </c>
      <c r="D47" s="133" t="s">
        <v>345</v>
      </c>
      <c r="E47" s="49"/>
      <c r="F47" s="51"/>
    </row>
    <row r="49" spans="3:9" x14ac:dyDescent="0.25">
      <c r="C49">
        <f>D16/0.15</f>
        <v>14.000000000000002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8.4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1:BE92"/>
  <sheetViews>
    <sheetView topLeftCell="D9" zoomScale="40" zoomScaleNormal="40" workbookViewId="0">
      <selection activeCell="D9" sqref="D9"/>
    </sheetView>
  </sheetViews>
  <sheetFormatPr baseColWidth="10" defaultRowHeight="15" x14ac:dyDescent="0.25"/>
  <cols>
    <col min="3" max="3" width="24.42578125" customWidth="1"/>
    <col min="8" max="8" width="12.7109375" bestFit="1" customWidth="1"/>
    <col min="11" max="11" width="12.7109375" bestFit="1" customWidth="1"/>
    <col min="12" max="12" width="11.5703125" customWidth="1"/>
    <col min="15" max="15" width="12.7109375" bestFit="1" customWidth="1"/>
    <col min="18" max="18" width="12.7109375" bestFit="1" customWidth="1"/>
    <col min="22" max="22" width="12.7109375" bestFit="1" customWidth="1"/>
    <col min="24" max="27" width="11.5703125" customWidth="1"/>
  </cols>
  <sheetData>
    <row r="1" spans="2:30" ht="15.75" thickBot="1" x14ac:dyDescent="0.3">
      <c r="AD1">
        <v>1553.1628125</v>
      </c>
    </row>
    <row r="2" spans="2:30" ht="15.75" thickBot="1" x14ac:dyDescent="0.3">
      <c r="B2" s="157" t="s">
        <v>250</v>
      </c>
      <c r="C2" s="90" t="s">
        <v>251</v>
      </c>
      <c r="D2" s="154" t="s">
        <v>132</v>
      </c>
      <c r="E2" s="155"/>
      <c r="F2" s="154" t="s">
        <v>134</v>
      </c>
      <c r="G2" s="155"/>
      <c r="H2" s="155"/>
      <c r="I2" s="154" t="s">
        <v>191</v>
      </c>
      <c r="J2" s="155"/>
      <c r="K2" s="155"/>
      <c r="L2" s="91" t="s">
        <v>192</v>
      </c>
      <c r="M2" s="154" t="s">
        <v>193</v>
      </c>
      <c r="N2" s="155"/>
      <c r="O2" s="155"/>
      <c r="P2" s="154" t="s">
        <v>194</v>
      </c>
      <c r="Q2" s="155"/>
      <c r="R2" s="155"/>
      <c r="S2" s="156"/>
      <c r="T2" s="154" t="s">
        <v>195</v>
      </c>
      <c r="U2" s="155"/>
      <c r="V2" s="155"/>
      <c r="W2" s="156"/>
      <c r="X2" s="91" t="s">
        <v>196</v>
      </c>
      <c r="Y2" s="91" t="s">
        <v>197</v>
      </c>
      <c r="Z2" s="91" t="s">
        <v>198</v>
      </c>
      <c r="AA2" s="91" t="s">
        <v>292</v>
      </c>
      <c r="AD2">
        <v>1553.1628125</v>
      </c>
    </row>
    <row r="3" spans="2:30" ht="15.75" thickBot="1" x14ac:dyDescent="0.3">
      <c r="B3" s="158"/>
      <c r="C3" s="92" t="s">
        <v>252</v>
      </c>
      <c r="D3" s="93" t="s">
        <v>253</v>
      </c>
      <c r="E3" s="93" t="s">
        <v>277</v>
      </c>
      <c r="F3" s="93" t="s">
        <v>254</v>
      </c>
      <c r="G3" s="93" t="s">
        <v>278</v>
      </c>
      <c r="H3" s="93" t="s">
        <v>255</v>
      </c>
      <c r="I3" s="93" t="s">
        <v>256</v>
      </c>
      <c r="J3" s="93" t="s">
        <v>279</v>
      </c>
      <c r="K3" s="93" t="s">
        <v>257</v>
      </c>
      <c r="L3" s="94" t="s">
        <v>258</v>
      </c>
      <c r="M3" s="93" t="s">
        <v>280</v>
      </c>
      <c r="N3" s="93" t="s">
        <v>281</v>
      </c>
      <c r="O3" s="93" t="s">
        <v>282</v>
      </c>
      <c r="P3" s="93" t="s">
        <v>283</v>
      </c>
      <c r="Q3" s="93" t="s">
        <v>284</v>
      </c>
      <c r="R3" s="93" t="s">
        <v>285</v>
      </c>
      <c r="S3" s="93" t="s">
        <v>286</v>
      </c>
      <c r="T3" s="93" t="s">
        <v>287</v>
      </c>
      <c r="U3" s="93" t="s">
        <v>288</v>
      </c>
      <c r="V3" s="93" t="s">
        <v>289</v>
      </c>
      <c r="W3" s="93" t="s">
        <v>290</v>
      </c>
      <c r="X3" s="94" t="s">
        <v>291</v>
      </c>
      <c r="Y3" s="94" t="s">
        <v>293</v>
      </c>
      <c r="Z3" s="94" t="s">
        <v>294</v>
      </c>
      <c r="AA3" s="95" t="s">
        <v>295</v>
      </c>
      <c r="AD3">
        <v>111.14971875000002</v>
      </c>
    </row>
    <row r="4" spans="2:30" ht="15.75" thickBot="1" x14ac:dyDescent="0.3">
      <c r="B4" s="158"/>
      <c r="C4" s="92" t="s">
        <v>274</v>
      </c>
      <c r="D4" s="93">
        <f>20*40*40*40/12</f>
        <v>106666.66666666667</v>
      </c>
      <c r="E4" s="93">
        <f>30*30*30*30/12</f>
        <v>67500</v>
      </c>
      <c r="F4" s="93">
        <f>20*40*40*40/12</f>
        <v>106666.66666666667</v>
      </c>
      <c r="G4" s="93">
        <f>30*30*30*30/12</f>
        <v>67500</v>
      </c>
      <c r="H4" s="93">
        <f>20*40*40*40/12</f>
        <v>106666.66666666667</v>
      </c>
      <c r="I4" s="93">
        <f>20*40*40*40/12</f>
        <v>106666.66666666667</v>
      </c>
      <c r="J4" s="93">
        <f>30*30*30*30/12</f>
        <v>67500</v>
      </c>
      <c r="K4" s="93">
        <f>20*40*40*40/12</f>
        <v>106666.66666666667</v>
      </c>
      <c r="L4" s="93">
        <f>20*40*40*40/12</f>
        <v>106666.66666666667</v>
      </c>
      <c r="M4" s="93">
        <f>20*40*40*40/12</f>
        <v>106666.66666666667</v>
      </c>
      <c r="N4" s="93">
        <f>30*30*30*30/12</f>
        <v>67500</v>
      </c>
      <c r="O4" s="93">
        <f>20*40*40*40/12</f>
        <v>106666.66666666667</v>
      </c>
      <c r="P4" s="93">
        <f>20*40*40*40/12</f>
        <v>106666.66666666667</v>
      </c>
      <c r="Q4" s="93">
        <f>30*30*30*30/12</f>
        <v>67500</v>
      </c>
      <c r="R4" s="93">
        <f>30*30*30*30/12</f>
        <v>67500</v>
      </c>
      <c r="S4" s="93">
        <f>20*40*40*40/12</f>
        <v>106666.66666666667</v>
      </c>
      <c r="T4" s="93">
        <f>20*40*40*40/12</f>
        <v>106666.66666666667</v>
      </c>
      <c r="U4" s="93">
        <f>30*30*30*30/12</f>
        <v>67500</v>
      </c>
      <c r="V4" s="93">
        <f>30*30*30*30/12</f>
        <v>67500</v>
      </c>
      <c r="W4" s="93">
        <f>20*40*40*40/12</f>
        <v>106666.66666666667</v>
      </c>
      <c r="X4" s="93">
        <f>20*40*40*40/12</f>
        <v>106666.66666666667</v>
      </c>
      <c r="Y4" s="93">
        <f>30*30*30*30/12</f>
        <v>67500</v>
      </c>
      <c r="Z4" s="93">
        <f>30*30*30*30/12</f>
        <v>67500</v>
      </c>
      <c r="AA4" s="93">
        <f>20*40*40*40/12</f>
        <v>106666.66666666667</v>
      </c>
    </row>
    <row r="5" spans="2:30" ht="15.75" thickBot="1" x14ac:dyDescent="0.3">
      <c r="B5" s="158"/>
      <c r="C5" s="96" t="s">
        <v>275</v>
      </c>
      <c r="D5" s="97">
        <f>D4/67500</f>
        <v>1.580246913580247</v>
      </c>
      <c r="E5" s="97">
        <f t="shared" ref="E5:AA5" si="0">E4/67500</f>
        <v>1</v>
      </c>
      <c r="F5" s="97">
        <f t="shared" si="0"/>
        <v>1.580246913580247</v>
      </c>
      <c r="G5" s="97">
        <f t="shared" si="0"/>
        <v>1</v>
      </c>
      <c r="H5" s="97">
        <f t="shared" si="0"/>
        <v>1.580246913580247</v>
      </c>
      <c r="I5" s="97">
        <f t="shared" si="0"/>
        <v>1.580246913580247</v>
      </c>
      <c r="J5" s="97">
        <f t="shared" si="0"/>
        <v>1</v>
      </c>
      <c r="K5" s="97">
        <f t="shared" si="0"/>
        <v>1.580246913580247</v>
      </c>
      <c r="L5" s="97">
        <f t="shared" si="0"/>
        <v>1.580246913580247</v>
      </c>
      <c r="M5" s="97">
        <f t="shared" si="0"/>
        <v>1.580246913580247</v>
      </c>
      <c r="N5" s="97">
        <f t="shared" si="0"/>
        <v>1</v>
      </c>
      <c r="O5" s="97">
        <f t="shared" si="0"/>
        <v>1.580246913580247</v>
      </c>
      <c r="P5" s="97">
        <f t="shared" si="0"/>
        <v>1.580246913580247</v>
      </c>
      <c r="Q5" s="97">
        <f t="shared" si="0"/>
        <v>1</v>
      </c>
      <c r="R5" s="97">
        <f t="shared" si="0"/>
        <v>1</v>
      </c>
      <c r="S5" s="97">
        <f t="shared" si="0"/>
        <v>1.580246913580247</v>
      </c>
      <c r="T5" s="97">
        <f t="shared" si="0"/>
        <v>1.580246913580247</v>
      </c>
      <c r="U5" s="97">
        <f t="shared" si="0"/>
        <v>1</v>
      </c>
      <c r="V5" s="97">
        <f t="shared" si="0"/>
        <v>1</v>
      </c>
      <c r="W5" s="97">
        <f t="shared" si="0"/>
        <v>1.580246913580247</v>
      </c>
      <c r="X5" s="97">
        <f t="shared" si="0"/>
        <v>1.580246913580247</v>
      </c>
      <c r="Y5" s="97">
        <f t="shared" si="0"/>
        <v>1</v>
      </c>
      <c r="Z5" s="97">
        <f t="shared" si="0"/>
        <v>1</v>
      </c>
      <c r="AA5" s="97">
        <f t="shared" si="0"/>
        <v>1.580246913580247</v>
      </c>
    </row>
    <row r="6" spans="2:30" ht="15.75" thickBot="1" x14ac:dyDescent="0.3">
      <c r="B6" s="158"/>
      <c r="C6" s="96" t="s">
        <v>49</v>
      </c>
      <c r="D6" s="97">
        <v>3.25</v>
      </c>
      <c r="E6" s="97">
        <v>3.62</v>
      </c>
      <c r="F6" s="97">
        <v>3.25</v>
      </c>
      <c r="G6" s="97">
        <v>3.62</v>
      </c>
      <c r="H6" s="97">
        <v>3.25</v>
      </c>
      <c r="I6" s="97">
        <v>3.25</v>
      </c>
      <c r="J6" s="97">
        <v>3.62</v>
      </c>
      <c r="K6" s="97">
        <v>1.35</v>
      </c>
      <c r="L6" s="97">
        <v>1.35</v>
      </c>
      <c r="M6" s="97">
        <v>3.62</v>
      </c>
      <c r="N6" s="97">
        <v>5.12</v>
      </c>
      <c r="O6" s="97">
        <v>3.25</v>
      </c>
      <c r="P6" s="97">
        <v>3.25</v>
      </c>
      <c r="Q6" s="97">
        <v>3.62</v>
      </c>
      <c r="R6" s="97">
        <v>5.12</v>
      </c>
      <c r="S6" s="97">
        <v>3.25</v>
      </c>
      <c r="T6" s="97">
        <v>3.25</v>
      </c>
      <c r="U6" s="97">
        <v>3.62</v>
      </c>
      <c r="V6" s="97">
        <v>5.12</v>
      </c>
      <c r="W6" s="97">
        <v>3.25</v>
      </c>
      <c r="X6" s="97">
        <v>1.35</v>
      </c>
      <c r="Y6" s="97">
        <v>5.12</v>
      </c>
      <c r="Z6" s="97">
        <v>5.12</v>
      </c>
      <c r="AA6" s="97">
        <v>5.12</v>
      </c>
    </row>
    <row r="7" spans="2:30" ht="15.75" thickBot="1" x14ac:dyDescent="0.3">
      <c r="B7" s="158"/>
      <c r="C7" s="96" t="s">
        <v>276</v>
      </c>
      <c r="D7" s="97">
        <f>D5/D6</f>
        <v>0.48622981956315292</v>
      </c>
      <c r="E7" s="97">
        <f t="shared" ref="E7:AA7" si="1">E5/E6</f>
        <v>0.27624309392265195</v>
      </c>
      <c r="F7" s="97">
        <f t="shared" si="1"/>
        <v>0.48622981956315292</v>
      </c>
      <c r="G7" s="97">
        <f t="shared" si="1"/>
        <v>0.27624309392265195</v>
      </c>
      <c r="H7" s="97">
        <f t="shared" si="1"/>
        <v>0.48622981956315292</v>
      </c>
      <c r="I7" s="97">
        <f t="shared" si="1"/>
        <v>0.48622981956315292</v>
      </c>
      <c r="J7" s="97">
        <f t="shared" si="1"/>
        <v>0.27624309392265195</v>
      </c>
      <c r="K7" s="97">
        <f t="shared" si="1"/>
        <v>1.1705532693187015</v>
      </c>
      <c r="L7" s="97">
        <f>L5/L6</f>
        <v>1.1705532693187015</v>
      </c>
      <c r="M7" s="97">
        <f t="shared" si="1"/>
        <v>0.43653229656912901</v>
      </c>
      <c r="N7" s="97">
        <f t="shared" si="1"/>
        <v>0.1953125</v>
      </c>
      <c r="O7" s="97">
        <f t="shared" si="1"/>
        <v>0.48622981956315292</v>
      </c>
      <c r="P7" s="97">
        <f t="shared" si="1"/>
        <v>0.48622981956315292</v>
      </c>
      <c r="Q7" s="97">
        <f t="shared" si="1"/>
        <v>0.27624309392265195</v>
      </c>
      <c r="R7" s="97">
        <f t="shared" si="1"/>
        <v>0.1953125</v>
      </c>
      <c r="S7" s="97">
        <f t="shared" si="1"/>
        <v>0.48622981956315292</v>
      </c>
      <c r="T7" s="97">
        <f t="shared" si="1"/>
        <v>0.48622981956315292</v>
      </c>
      <c r="U7" s="97">
        <f t="shared" si="1"/>
        <v>0.27624309392265195</v>
      </c>
      <c r="V7" s="97">
        <f t="shared" si="1"/>
        <v>0.1953125</v>
      </c>
      <c r="W7" s="97">
        <f t="shared" si="1"/>
        <v>0.48622981956315292</v>
      </c>
      <c r="X7" s="97">
        <f t="shared" si="1"/>
        <v>1.1705532693187015</v>
      </c>
      <c r="Y7" s="97">
        <f t="shared" si="1"/>
        <v>0.1953125</v>
      </c>
      <c r="Z7" s="97">
        <f t="shared" si="1"/>
        <v>0.1953125</v>
      </c>
      <c r="AA7" s="97">
        <f t="shared" si="1"/>
        <v>0.30864197530864201</v>
      </c>
    </row>
    <row r="8" spans="2:30" ht="15.75" thickBot="1" x14ac:dyDescent="0.3">
      <c r="B8" s="158"/>
      <c r="C8" s="96" t="s">
        <v>259</v>
      </c>
      <c r="D8" s="97">
        <f>-0.5*(D7/SUM(D7:E7))</f>
        <v>-0.31885055256602579</v>
      </c>
      <c r="E8" s="97">
        <f>-0.5*(E7/SUM(D7:E7))</f>
        <v>-0.18114944743397424</v>
      </c>
      <c r="F8" s="97">
        <f>-0.5*(F7/SUM(F7:H7))</f>
        <v>-0.19469398388194661</v>
      </c>
      <c r="G8" s="97">
        <f>-0.5*(G7/SUM(F7:H7))</f>
        <v>-0.1106120322361068</v>
      </c>
      <c r="H8" s="97">
        <f>-0.5*(H7/SUM(F7:H7))</f>
        <v>-0.19469398388194661</v>
      </c>
      <c r="I8" s="97">
        <f>-0.5*(I7/SUM(I7:K7))</f>
        <v>-0.12576907231999118</v>
      </c>
      <c r="J8" s="97">
        <f>-0.5*(J7/SUM(I7:K7))</f>
        <v>-7.1453531354104108E-2</v>
      </c>
      <c r="K8" s="97">
        <f>-0.5*(K7/SUM(I7:K7))</f>
        <v>-0.30277739632590472</v>
      </c>
      <c r="L8" s="97">
        <v>0</v>
      </c>
      <c r="M8" s="97">
        <f>-0.5*(M7/SUM(M7:O7))</f>
        <v>-0.1952160840924958</v>
      </c>
      <c r="N8" s="97">
        <f>-0.5*(N7/SUM(M7:O7))</f>
        <v>-8.7343231472170435E-2</v>
      </c>
      <c r="O8" s="97">
        <f>-0.5*(O7/SUM(M7:O7))</f>
        <v>-0.21744068443533379</v>
      </c>
      <c r="P8" s="97">
        <f>-0.5*(P7/SUM(P7:S7))</f>
        <v>-0.16836034982003123</v>
      </c>
      <c r="Q8" s="97">
        <f>-0.5*(Q7/SUM(P7:S7))</f>
        <v>-9.5651031789803234E-2</v>
      </c>
      <c r="R8" s="97">
        <f>-0.5*(R7/SUM(P7:S7))</f>
        <v>-6.7628268570134306E-2</v>
      </c>
      <c r="S8" s="97">
        <f>-0.5*(S7/SUM(P7:S7))</f>
        <v>-0.16836034982003123</v>
      </c>
      <c r="T8" s="97">
        <f>-0.5*(T7/SUM(T7:W7))</f>
        <v>-0.16836034982003123</v>
      </c>
      <c r="U8" s="97">
        <f>-0.5*(U7/SUM(T7:W7))</f>
        <v>-9.5651031789803234E-2</v>
      </c>
      <c r="V8" s="97">
        <f>-0.5*(V7/SUM(T7:W7))</f>
        <v>-6.7628268570134306E-2</v>
      </c>
      <c r="W8" s="97">
        <f>-0.5*(W7/SUM(T7:W7))</f>
        <v>-0.16836034982003123</v>
      </c>
      <c r="X8" s="97">
        <v>0</v>
      </c>
      <c r="Y8" s="97">
        <v>0</v>
      </c>
      <c r="Z8" s="97">
        <v>0</v>
      </c>
      <c r="AA8" s="97">
        <v>0</v>
      </c>
    </row>
    <row r="9" spans="2:30" ht="15.75" thickBot="1" x14ac:dyDescent="0.3">
      <c r="B9" s="158"/>
      <c r="C9" s="98" t="s">
        <v>260</v>
      </c>
      <c r="D9" s="99">
        <f>AD1</f>
        <v>1553.1628125</v>
      </c>
      <c r="E9" s="99">
        <v>0</v>
      </c>
      <c r="F9" s="99">
        <f>-AD1</f>
        <v>-1553.1628125</v>
      </c>
      <c r="G9" s="99">
        <v>0</v>
      </c>
      <c r="H9" s="99">
        <f>D9</f>
        <v>1553.1628125</v>
      </c>
      <c r="I9" s="99">
        <f>F9</f>
        <v>-1553.1628125</v>
      </c>
      <c r="J9" s="99">
        <v>0</v>
      </c>
      <c r="K9" s="99">
        <f>AD3</f>
        <v>111.14971875000002</v>
      </c>
      <c r="L9" s="99">
        <v>0</v>
      </c>
      <c r="M9" s="99">
        <v>0</v>
      </c>
      <c r="N9" s="99">
        <v>0</v>
      </c>
      <c r="O9" s="99">
        <f>D9</f>
        <v>1553.1628125</v>
      </c>
      <c r="P9" s="99">
        <f>I9</f>
        <v>-1553.1628125</v>
      </c>
      <c r="Q9" s="99">
        <v>0</v>
      </c>
      <c r="R9" s="99">
        <v>0</v>
      </c>
      <c r="S9" s="99">
        <f>O9</f>
        <v>1553.1628125</v>
      </c>
      <c r="T9" s="99">
        <f>P9</f>
        <v>-1553.1628125</v>
      </c>
      <c r="U9" s="99">
        <v>0</v>
      </c>
      <c r="V9" s="99">
        <v>0</v>
      </c>
      <c r="W9" s="99">
        <f>K9</f>
        <v>111.14971875000002</v>
      </c>
      <c r="X9" s="99">
        <v>0</v>
      </c>
      <c r="Y9" s="99">
        <v>0</v>
      </c>
      <c r="Z9" s="99">
        <v>0</v>
      </c>
      <c r="AA9" s="99">
        <v>0</v>
      </c>
    </row>
    <row r="53" spans="31:57" x14ac:dyDescent="0.25">
      <c r="AE53" t="s">
        <v>262</v>
      </c>
      <c r="AF53" s="100"/>
    </row>
    <row r="54" spans="31:57" ht="15.75" thickBot="1" x14ac:dyDescent="0.3">
      <c r="AE54" t="s">
        <v>263</v>
      </c>
      <c r="AF54" s="101"/>
      <c r="BD54" t="s">
        <v>268</v>
      </c>
      <c r="BE54">
        <f>30*30*30*30/12</f>
        <v>67500</v>
      </c>
    </row>
    <row r="55" spans="31:57" ht="15.75" thickBot="1" x14ac:dyDescent="0.3">
      <c r="AE55" t="s">
        <v>264</v>
      </c>
      <c r="AF55" s="102"/>
      <c r="AM55" s="65"/>
      <c r="AN55" s="150">
        <v>6</v>
      </c>
      <c r="AO55" s="151"/>
      <c r="AP55" s="151"/>
      <c r="AQ55" s="151"/>
      <c r="AR55" s="152"/>
      <c r="AS55" s="65"/>
      <c r="AT55" s="65"/>
      <c r="AV55" s="150">
        <v>6</v>
      </c>
      <c r="AW55" s="151"/>
      <c r="AX55" s="151"/>
      <c r="AY55" s="151"/>
      <c r="AZ55" s="152"/>
      <c r="BD55" t="s">
        <v>269</v>
      </c>
      <c r="BE55">
        <f>20*40*40*40/12</f>
        <v>106666.66666666667</v>
      </c>
    </row>
    <row r="56" spans="31:57" x14ac:dyDescent="0.25">
      <c r="AE56" t="s">
        <v>265</v>
      </c>
      <c r="AF56" s="103"/>
    </row>
    <row r="57" spans="31:57" x14ac:dyDescent="0.25">
      <c r="AE57" t="s">
        <v>266</v>
      </c>
      <c r="AF57" s="104"/>
      <c r="BD57" t="s">
        <v>270</v>
      </c>
      <c r="BE57">
        <f>BE54/BE54</f>
        <v>1</v>
      </c>
    </row>
    <row r="58" spans="31:57" x14ac:dyDescent="0.25">
      <c r="AE58" t="s">
        <v>259</v>
      </c>
      <c r="AF58" s="105"/>
      <c r="AN58" s="65">
        <f>-AO58*AN55*AN55/12</f>
        <v>-1500</v>
      </c>
      <c r="AO58" s="153">
        <v>500</v>
      </c>
      <c r="AP58" s="153"/>
      <c r="AQ58" s="153"/>
      <c r="AR58">
        <f>AO58*AN55*AN55/12</f>
        <v>1500</v>
      </c>
      <c r="AV58" s="65">
        <f>-AW58*AV55*AV55/12</f>
        <v>-1500</v>
      </c>
      <c r="AW58" s="153">
        <v>500</v>
      </c>
      <c r="AX58" s="153"/>
      <c r="AY58" s="153"/>
      <c r="AZ58">
        <f>AW58*AV55*AV55/12</f>
        <v>1500</v>
      </c>
      <c r="BD58" t="s">
        <v>271</v>
      </c>
      <c r="BE58">
        <f>BE55/BE54</f>
        <v>1.580246913580247</v>
      </c>
    </row>
    <row r="59" spans="31:57" x14ac:dyDescent="0.25">
      <c r="AE59" t="s">
        <v>261</v>
      </c>
      <c r="AF59" s="106"/>
      <c r="AI59" s="148">
        <v>3</v>
      </c>
      <c r="AL59">
        <f>AN58</f>
        <v>-1500</v>
      </c>
      <c r="AM59" s="105">
        <f>-0.5*(BE61/(BE61+BE60))</f>
        <v>-0.22068965517241376</v>
      </c>
      <c r="AN59" s="108"/>
      <c r="AO59" s="108"/>
      <c r="AP59" s="108"/>
      <c r="AQ59" s="108"/>
      <c r="AR59" s="108"/>
      <c r="AS59" s="105">
        <f>-0.5*(BE58/(BE58+BE57+BE58))</f>
        <v>-0.18991097922848668</v>
      </c>
      <c r="AT59">
        <f>AR58+AV58</f>
        <v>0</v>
      </c>
      <c r="AU59" s="105">
        <f>-0.5*(BE58/(BE58+BE57+BE58))</f>
        <v>-0.18991097922848668</v>
      </c>
      <c r="AV59" s="108"/>
      <c r="AW59" s="108"/>
      <c r="AX59" s="108"/>
      <c r="AY59" s="108"/>
      <c r="AZ59" s="108"/>
      <c r="BA59" s="105">
        <f>-0.5*(BE58/(BE58+BE57))</f>
        <v>-0.30622009569377995</v>
      </c>
      <c r="BB59">
        <f>AZ58</f>
        <v>1500</v>
      </c>
    </row>
    <row r="60" spans="31:57" x14ac:dyDescent="0.25">
      <c r="AE60" t="s">
        <v>267</v>
      </c>
      <c r="AF60" s="107"/>
      <c r="AI60" s="148"/>
      <c r="AL60" s="105">
        <f>-0.5*(BE60/(BE61+BE60))</f>
        <v>-0.27931034482758621</v>
      </c>
      <c r="AM60" s="100">
        <v>0</v>
      </c>
      <c r="AS60" s="100">
        <v>0</v>
      </c>
      <c r="AT60" s="105">
        <f>-0.5*(BE57/(BE58+BE57+BE58))</f>
        <v>-0.12017804154302671</v>
      </c>
      <c r="AU60" s="100">
        <v>0</v>
      </c>
      <c r="BA60" s="100">
        <v>0</v>
      </c>
      <c r="BB60" s="105">
        <f>-0.5*(BE57/(BE58+BE57))</f>
        <v>-0.19377990430622011</v>
      </c>
      <c r="BD60" t="s">
        <v>272</v>
      </c>
      <c r="BE60">
        <f>BE54/3</f>
        <v>22500</v>
      </c>
    </row>
    <row r="61" spans="31:57" x14ac:dyDescent="0.25">
      <c r="AI61" s="148"/>
      <c r="AL61" s="101">
        <v>0</v>
      </c>
      <c r="AM61" s="100">
        <f t="shared" ref="AM61:AM66" si="2">($E$13+AS60+AL73+AM70)*$F$13</f>
        <v>0</v>
      </c>
      <c r="AS61" s="100">
        <f t="shared" ref="AS61:AS66" si="3">(AM61+$AA$13+AT73+BA60+AU70)*$Z$13</f>
        <v>0</v>
      </c>
      <c r="AT61" s="101">
        <v>0</v>
      </c>
      <c r="AU61" s="100">
        <f t="shared" ref="AU61:AU66" si="4">(AM61+$AA$13+AT73+BA60+AU70)*$AB$13</f>
        <v>0</v>
      </c>
      <c r="BA61" s="100">
        <f t="shared" ref="BA61:BA66" si="5">(AU61+$AI$61+BB73+BC70)*$AH$61</f>
        <v>0</v>
      </c>
      <c r="BB61" s="101">
        <v>0</v>
      </c>
      <c r="BD61" t="s">
        <v>273</v>
      </c>
      <c r="BE61">
        <f>BE55/6</f>
        <v>17777.777777777777</v>
      </c>
    </row>
    <row r="62" spans="31:57" x14ac:dyDescent="0.25">
      <c r="AI62" s="148"/>
      <c r="AL62" s="101">
        <f t="shared" ref="AL62:AL67" si="6">($E$13+AS60+AL73+AM70)*$E$14</f>
        <v>0</v>
      </c>
      <c r="AM62" s="100">
        <f t="shared" si="2"/>
        <v>0</v>
      </c>
      <c r="AS62" s="100">
        <f t="shared" si="3"/>
        <v>0</v>
      </c>
      <c r="AT62" s="101">
        <f t="shared" ref="AT62:AT67" si="7">($AA$13+BA60+AM61+AT73+AU70)*$AA$14</f>
        <v>0</v>
      </c>
      <c r="AU62" s="100">
        <f t="shared" si="4"/>
        <v>0</v>
      </c>
      <c r="BA62" s="100">
        <f t="shared" si="5"/>
        <v>0</v>
      </c>
      <c r="BB62" s="101">
        <f t="shared" ref="BB62:BB67" si="8">($AI$61+AU61+BB73+BC70)*$AI$62</f>
        <v>0</v>
      </c>
    </row>
    <row r="63" spans="31:57" x14ac:dyDescent="0.25">
      <c r="AI63" s="148"/>
      <c r="AL63" s="101">
        <f t="shared" si="6"/>
        <v>0</v>
      </c>
      <c r="AM63" s="100">
        <f t="shared" si="2"/>
        <v>0</v>
      </c>
      <c r="AS63" s="100">
        <f t="shared" si="3"/>
        <v>0</v>
      </c>
      <c r="AT63" s="101">
        <f t="shared" si="7"/>
        <v>0</v>
      </c>
      <c r="AU63" s="100">
        <f t="shared" si="4"/>
        <v>0</v>
      </c>
      <c r="BA63" s="100">
        <f t="shared" si="5"/>
        <v>0</v>
      </c>
      <c r="BB63" s="101">
        <f t="shared" si="8"/>
        <v>0</v>
      </c>
    </row>
    <row r="64" spans="31:57" x14ac:dyDescent="0.25">
      <c r="AI64" s="148"/>
      <c r="AL64" s="101">
        <f t="shared" si="6"/>
        <v>0</v>
      </c>
      <c r="AM64" s="100">
        <f t="shared" si="2"/>
        <v>0</v>
      </c>
      <c r="AS64" s="100">
        <f t="shared" si="3"/>
        <v>0</v>
      </c>
      <c r="AT64" s="101">
        <f t="shared" si="7"/>
        <v>0</v>
      </c>
      <c r="AU64" s="100">
        <f t="shared" si="4"/>
        <v>0</v>
      </c>
      <c r="BA64" s="100">
        <f t="shared" si="5"/>
        <v>0</v>
      </c>
      <c r="BB64" s="101">
        <f t="shared" si="8"/>
        <v>0</v>
      </c>
    </row>
    <row r="65" spans="35:55" x14ac:dyDescent="0.25">
      <c r="AI65" s="148"/>
      <c r="AL65" s="101">
        <f t="shared" si="6"/>
        <v>0</v>
      </c>
      <c r="AM65" s="100">
        <f t="shared" si="2"/>
        <v>0</v>
      </c>
      <c r="AQ65">
        <v>11.8</v>
      </c>
      <c r="AS65" s="100">
        <f t="shared" si="3"/>
        <v>0</v>
      </c>
      <c r="AT65" s="101">
        <f t="shared" si="7"/>
        <v>0</v>
      </c>
      <c r="AU65" s="100">
        <f t="shared" si="4"/>
        <v>0</v>
      </c>
      <c r="BA65" s="100">
        <f t="shared" si="5"/>
        <v>0</v>
      </c>
      <c r="BB65" s="101">
        <f t="shared" si="8"/>
        <v>0</v>
      </c>
    </row>
    <row r="66" spans="35:55" x14ac:dyDescent="0.25">
      <c r="AI66" s="148"/>
      <c r="AL66" s="101">
        <f t="shared" si="6"/>
        <v>0</v>
      </c>
      <c r="AM66" s="100">
        <f t="shared" si="2"/>
        <v>0</v>
      </c>
      <c r="AS66" s="100">
        <f t="shared" si="3"/>
        <v>0</v>
      </c>
      <c r="AT66" s="101">
        <f t="shared" si="7"/>
        <v>0</v>
      </c>
      <c r="AU66" s="100">
        <f t="shared" si="4"/>
        <v>0</v>
      </c>
      <c r="BA66" s="100">
        <f t="shared" si="5"/>
        <v>0</v>
      </c>
      <c r="BB66" s="101">
        <f t="shared" si="8"/>
        <v>0</v>
      </c>
    </row>
    <row r="67" spans="35:55" x14ac:dyDescent="0.25">
      <c r="AI67" s="148"/>
      <c r="AL67" s="101">
        <f t="shared" si="6"/>
        <v>0</v>
      </c>
      <c r="AM67" s="109">
        <f>AN58+(2*AM66)+AS66+AM76</f>
        <v>-1500</v>
      </c>
      <c r="AO67">
        <v>1.04</v>
      </c>
      <c r="AQ67">
        <v>-0.2</v>
      </c>
      <c r="AS67" s="109">
        <f>AR58+(2*AS66)+AM66+AU76</f>
        <v>1500</v>
      </c>
      <c r="AT67" s="101">
        <f t="shared" si="7"/>
        <v>0</v>
      </c>
      <c r="AU67" s="109">
        <f>AV58+(2*AU66)+BA66+AU76</f>
        <v>-1500</v>
      </c>
      <c r="BA67" s="109">
        <f>AZ58+(2*BA66)+AU66+BC76</f>
        <v>1500</v>
      </c>
      <c r="BB67" s="101">
        <f t="shared" si="8"/>
        <v>0</v>
      </c>
    </row>
    <row r="68" spans="35:55" x14ac:dyDescent="0.25">
      <c r="AI68" s="148"/>
      <c r="AL68" s="109">
        <f>AN63+(2*AL67)+AL79+AM76</f>
        <v>0</v>
      </c>
      <c r="AM68" s="110"/>
      <c r="AS68" s="110"/>
      <c r="AT68" s="109">
        <f>AT59+(2*AT67)+AT79+AU76</f>
        <v>0</v>
      </c>
      <c r="AU68" s="110"/>
      <c r="BA68" s="110"/>
      <c r="BB68" s="109">
        <f>AZ69+(2*BB67)+BB79+BC76</f>
        <v>0</v>
      </c>
    </row>
    <row r="69" spans="35:55" x14ac:dyDescent="0.25">
      <c r="AI69" s="148"/>
      <c r="AL69" s="108"/>
      <c r="AM69" s="110"/>
      <c r="AP69">
        <v>0.4</v>
      </c>
      <c r="AS69" s="110"/>
      <c r="AT69" s="108"/>
      <c r="AU69" s="110"/>
      <c r="BA69" s="110"/>
      <c r="BB69" s="108"/>
    </row>
    <row r="70" spans="35:55" x14ac:dyDescent="0.25">
      <c r="AI70" s="148"/>
      <c r="AK70" s="105">
        <v>-0.5</v>
      </c>
      <c r="AL70" s="108"/>
      <c r="AM70" s="100">
        <v>0</v>
      </c>
      <c r="AS70" s="105">
        <v>-0.5</v>
      </c>
      <c r="AT70" s="108"/>
      <c r="AU70" s="100">
        <v>0</v>
      </c>
      <c r="BA70" s="105">
        <v>-0.5</v>
      </c>
      <c r="BB70" s="108"/>
      <c r="BC70" s="100">
        <v>0</v>
      </c>
    </row>
    <row r="71" spans="35:55" x14ac:dyDescent="0.25">
      <c r="AI71" s="148"/>
      <c r="AL71" s="108"/>
      <c r="AM71" s="100">
        <f>$D$24*(AL62+AL74+AT62+AT74+BB62+BB74)</f>
        <v>0</v>
      </c>
      <c r="AO71">
        <f>AL62+AT62+BB62</f>
        <v>0</v>
      </c>
      <c r="AQ71">
        <f>AQ67+AP69+AO67</f>
        <v>1.24</v>
      </c>
      <c r="AS71" s="110"/>
      <c r="AT71" s="108"/>
      <c r="AU71" s="100">
        <f t="shared" ref="AU71:AU76" si="9">$Z$24*(AT62+AT74)</f>
        <v>0</v>
      </c>
      <c r="BA71" s="110"/>
      <c r="BB71" s="108"/>
      <c r="BC71" s="100">
        <f t="shared" ref="BC71:BC76" si="10">$AH$72*(BB62+BB74)</f>
        <v>0</v>
      </c>
    </row>
    <row r="72" spans="35:55" x14ac:dyDescent="0.25">
      <c r="AI72" s="148"/>
      <c r="AL72" s="108"/>
      <c r="AM72" s="100">
        <f>$D$24*(AL63+AL75)</f>
        <v>0</v>
      </c>
      <c r="AO72">
        <f>20/3</f>
        <v>6.666666666666667</v>
      </c>
      <c r="AS72" s="110"/>
      <c r="AT72" s="108"/>
      <c r="AU72" s="100">
        <f t="shared" si="9"/>
        <v>0</v>
      </c>
      <c r="BA72" s="110"/>
      <c r="BB72" s="108"/>
      <c r="BC72" s="100">
        <f t="shared" si="10"/>
        <v>0</v>
      </c>
    </row>
    <row r="73" spans="35:55" x14ac:dyDescent="0.25">
      <c r="AI73" s="148"/>
      <c r="AL73" s="101">
        <v>0</v>
      </c>
      <c r="AM73" s="100">
        <f>$D$24*(AL64+AL76)</f>
        <v>0</v>
      </c>
      <c r="AS73" s="110"/>
      <c r="AT73" s="101">
        <v>0</v>
      </c>
      <c r="AU73" s="100">
        <f t="shared" si="9"/>
        <v>0</v>
      </c>
      <c r="BA73" s="110"/>
      <c r="BB73" s="101">
        <v>0</v>
      </c>
      <c r="BC73" s="100">
        <f t="shared" si="10"/>
        <v>0</v>
      </c>
    </row>
    <row r="74" spans="35:55" x14ac:dyDescent="0.25">
      <c r="AL74" s="101">
        <f t="shared" ref="AL74:AL79" si="11">($E$36+AL62+AM70)*$E$35</f>
        <v>0</v>
      </c>
      <c r="AM74" s="100">
        <f>$D$24*(AL65+AL77)</f>
        <v>0</v>
      </c>
      <c r="AS74" s="110"/>
      <c r="AT74" s="101">
        <f t="shared" ref="AT74:AT79" si="12">($AA$36+AT62+AU70)*$AA$35</f>
        <v>0</v>
      </c>
      <c r="AU74" s="100">
        <f t="shared" si="9"/>
        <v>0</v>
      </c>
      <c r="BA74" s="110"/>
      <c r="BB74" s="101">
        <f t="shared" ref="BB74:BB79" si="13">($AI$84+BB62+BC70)*$AI$83</f>
        <v>0</v>
      </c>
      <c r="BC74" s="100">
        <f t="shared" si="10"/>
        <v>0</v>
      </c>
    </row>
    <row r="75" spans="35:55" x14ac:dyDescent="0.25">
      <c r="AL75" s="101">
        <f t="shared" si="11"/>
        <v>0</v>
      </c>
      <c r="AM75" s="100">
        <f>$D$24*(AL66+AL78)</f>
        <v>0</v>
      </c>
      <c r="AS75" s="110"/>
      <c r="AT75" s="101">
        <f t="shared" si="12"/>
        <v>0</v>
      </c>
      <c r="AU75" s="100">
        <f t="shared" si="9"/>
        <v>0</v>
      </c>
      <c r="BA75" s="110"/>
      <c r="BB75" s="101">
        <f t="shared" si="13"/>
        <v>0</v>
      </c>
      <c r="BC75" s="100">
        <f t="shared" si="10"/>
        <v>0</v>
      </c>
    </row>
    <row r="76" spans="35:55" x14ac:dyDescent="0.25">
      <c r="AL76" s="101">
        <f t="shared" si="11"/>
        <v>0</v>
      </c>
      <c r="AM76" s="100">
        <f>$D$24*(AL67+AL79)</f>
        <v>0</v>
      </c>
      <c r="AQ76">
        <v>11.8</v>
      </c>
      <c r="AS76" s="110"/>
      <c r="AT76" s="101">
        <f t="shared" si="12"/>
        <v>0</v>
      </c>
      <c r="AU76" s="100">
        <f t="shared" si="9"/>
        <v>0</v>
      </c>
      <c r="BA76" s="110"/>
      <c r="BB76" s="101">
        <f t="shared" si="13"/>
        <v>0</v>
      </c>
      <c r="BC76" s="100">
        <f t="shared" si="10"/>
        <v>0</v>
      </c>
    </row>
    <row r="77" spans="35:55" x14ac:dyDescent="0.25">
      <c r="AL77" s="101">
        <f t="shared" si="11"/>
        <v>0</v>
      </c>
      <c r="AM77" s="110"/>
      <c r="AQ77">
        <v>-0.2</v>
      </c>
      <c r="AS77" s="110"/>
      <c r="AT77" s="101">
        <f t="shared" si="12"/>
        <v>0</v>
      </c>
      <c r="AU77" s="110"/>
      <c r="BA77" s="110"/>
      <c r="BB77" s="101">
        <f t="shared" si="13"/>
        <v>0</v>
      </c>
    </row>
    <row r="78" spans="35:55" x14ac:dyDescent="0.25">
      <c r="AL78" s="101">
        <f t="shared" si="11"/>
        <v>0</v>
      </c>
      <c r="AM78" s="110"/>
      <c r="AQ78">
        <v>1.24</v>
      </c>
      <c r="AS78" s="110"/>
      <c r="AT78" s="101">
        <f t="shared" si="12"/>
        <v>0</v>
      </c>
      <c r="AU78" s="110"/>
      <c r="BA78" s="110"/>
      <c r="BB78" s="101">
        <f t="shared" si="13"/>
        <v>0</v>
      </c>
    </row>
    <row r="79" spans="35:55" x14ac:dyDescent="0.25">
      <c r="AL79" s="101">
        <f t="shared" si="11"/>
        <v>0</v>
      </c>
      <c r="AM79" s="110"/>
      <c r="AS79" s="110"/>
      <c r="AT79" s="101">
        <f t="shared" si="12"/>
        <v>0</v>
      </c>
      <c r="AU79" s="110"/>
      <c r="BA79" s="110"/>
      <c r="BB79" s="101">
        <f t="shared" si="13"/>
        <v>0</v>
      </c>
    </row>
    <row r="80" spans="35:55" x14ac:dyDescent="0.25">
      <c r="AL80" s="109">
        <f>AL82+(2*AL79)+AL67</f>
        <v>0</v>
      </c>
      <c r="AM80" s="110"/>
      <c r="AQ80">
        <f>AQ76+AQ77+AQ78</f>
        <v>12.840000000000002</v>
      </c>
      <c r="AS80" s="110"/>
      <c r="AT80" s="109">
        <f>AT82+(2*AT79)+AT67+AU76</f>
        <v>0</v>
      </c>
      <c r="AU80" s="110"/>
      <c r="BA80" s="110"/>
      <c r="BB80" s="109">
        <f>BB82+(2*BB79)+BB67</f>
        <v>0</v>
      </c>
    </row>
    <row r="81" spans="38:56" x14ac:dyDescent="0.25">
      <c r="AL81" s="105">
        <v>0</v>
      </c>
      <c r="AT81" s="105">
        <v>0</v>
      </c>
      <c r="BB81" s="105">
        <v>0</v>
      </c>
    </row>
    <row r="82" spans="38:56" x14ac:dyDescent="0.25">
      <c r="AL82">
        <v>0</v>
      </c>
      <c r="AT82">
        <v>0</v>
      </c>
      <c r="BB82">
        <v>0</v>
      </c>
    </row>
    <row r="88" spans="38:56" x14ac:dyDescent="0.25">
      <c r="AW88">
        <f>1+SQRT(5)</f>
        <v>3.2360679774997898</v>
      </c>
    </row>
    <row r="89" spans="38:56" x14ac:dyDescent="0.25">
      <c r="AW89">
        <f>AW88/2</f>
        <v>1.6180339887498949</v>
      </c>
    </row>
    <row r="90" spans="38:56" x14ac:dyDescent="0.25">
      <c r="AP90">
        <v>675</v>
      </c>
      <c r="AQ90">
        <v>525</v>
      </c>
      <c r="AR90">
        <f>AP90-AQ90</f>
        <v>150</v>
      </c>
    </row>
    <row r="91" spans="38:56" x14ac:dyDescent="0.25">
      <c r="AR91">
        <f>AR90*400</f>
        <v>60000</v>
      </c>
      <c r="AW91">
        <v>12</v>
      </c>
      <c r="AX91">
        <f>$AD$43*AW91</f>
        <v>0</v>
      </c>
      <c r="AY91">
        <f>AW91</f>
        <v>12</v>
      </c>
      <c r="AZ91" t="e">
        <f>AY91/$AD$43</f>
        <v>#DIV/0!</v>
      </c>
      <c r="BA91" t="e">
        <f>MOD(AZ91,1)</f>
        <v>#DIV/0!</v>
      </c>
      <c r="BB91" t="e">
        <f>IF(BA91=0,"SI","")</f>
        <v>#DIV/0!</v>
      </c>
      <c r="BC91">
        <f>MOD(AX91,1)</f>
        <v>0</v>
      </c>
      <c r="BD91" t="str">
        <f>IF(BC91=0,"SI","")</f>
        <v>SI</v>
      </c>
    </row>
    <row r="92" spans="38:56" x14ac:dyDescent="0.25">
      <c r="AW92">
        <v>13</v>
      </c>
      <c r="AX92">
        <f>$AD$43*AW92</f>
        <v>0</v>
      </c>
      <c r="AY92">
        <f>AW92</f>
        <v>13</v>
      </c>
      <c r="AZ92" t="e">
        <f>AY92/$AD$43</f>
        <v>#DIV/0!</v>
      </c>
      <c r="BA92" t="e">
        <f>MOD(AZ92,1)</f>
        <v>#DIV/0!</v>
      </c>
      <c r="BB92" t="e">
        <f>IF(BA92=0,"SI","")</f>
        <v>#DIV/0!</v>
      </c>
      <c r="BC92">
        <f>MOD(AX92,1)</f>
        <v>0</v>
      </c>
      <c r="BD92" t="str">
        <f>IF(BC92=0,"SI","")</f>
        <v>SI</v>
      </c>
    </row>
  </sheetData>
  <mergeCells count="12">
    <mergeCell ref="I2:K2"/>
    <mergeCell ref="M2:O2"/>
    <mergeCell ref="P2:S2"/>
    <mergeCell ref="T2:W2"/>
    <mergeCell ref="B2:B9"/>
    <mergeCell ref="D2:E2"/>
    <mergeCell ref="F2:H2"/>
    <mergeCell ref="AN55:AR55"/>
    <mergeCell ref="AV55:AZ55"/>
    <mergeCell ref="AO58:AQ58"/>
    <mergeCell ref="AW58:AY58"/>
    <mergeCell ref="AI59:AI7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B2" sqref="B2:F2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354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/>
      <c r="F5" s="48"/>
    </row>
    <row r="6" spans="2:10" x14ac:dyDescent="0.25">
      <c r="B6" s="46" t="s">
        <v>121</v>
      </c>
      <c r="C6" s="47">
        <f>(C7+C8)*D13/J6</f>
        <v>16361.625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7338.75+1185</f>
        <v>8523.75</v>
      </c>
      <c r="D7" s="47"/>
      <c r="E7" s="47"/>
      <c r="F7" s="48"/>
    </row>
    <row r="8" spans="2:10" x14ac:dyDescent="0.25">
      <c r="B8" s="46" t="s">
        <v>123</v>
      </c>
      <c r="C8" s="47">
        <v>2384</v>
      </c>
      <c r="D8" s="47"/>
      <c r="E8" s="47"/>
      <c r="F8" s="48"/>
    </row>
    <row r="9" spans="2:10" x14ac:dyDescent="0.25">
      <c r="B9" s="46" t="s">
        <v>126</v>
      </c>
      <c r="C9" s="47">
        <f>C6</f>
        <v>16361.625</v>
      </c>
      <c r="D9" s="47"/>
      <c r="E9" s="47" t="s">
        <v>129</v>
      </c>
      <c r="F9" s="48">
        <f>(C9/D13)/1000</f>
        <v>10.90775</v>
      </c>
    </row>
    <row r="10" spans="2:10" x14ac:dyDescent="0.25">
      <c r="B10" s="46" t="s">
        <v>127</v>
      </c>
      <c r="C10" s="47">
        <v>4877.47</v>
      </c>
      <c r="D10" s="47"/>
      <c r="E10" s="47" t="s">
        <v>130</v>
      </c>
      <c r="F10" s="48">
        <f>(C10/D13)/1000</f>
        <v>3.2516466666666668</v>
      </c>
    </row>
    <row r="11" spans="2:10" x14ac:dyDescent="0.25">
      <c r="B11" s="46" t="s">
        <v>128</v>
      </c>
      <c r="C11" s="47">
        <v>6522</v>
      </c>
      <c r="D11" s="47"/>
      <c r="E11" s="47" t="s">
        <v>131</v>
      </c>
      <c r="F11" s="48">
        <f>(C11/D13)/1000</f>
        <v>4.3479999999999999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1.0226015625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1.0112376389850211</v>
      </c>
      <c r="D16" s="131">
        <v>1.95</v>
      </c>
      <c r="E16" s="47" t="s">
        <v>351</v>
      </c>
      <c r="F16" s="132">
        <f>D16*D16</f>
        <v>3.8024999999999998</v>
      </c>
    </row>
    <row r="17" spans="2:15" x14ac:dyDescent="0.25">
      <c r="B17" s="46" t="s">
        <v>135</v>
      </c>
      <c r="C17" s="47">
        <f>D16/6</f>
        <v>0.32500000000000001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1.2358124999999998</v>
      </c>
      <c r="D19" s="47">
        <f>C19</f>
        <v>1.2358124999999998</v>
      </c>
      <c r="E19" s="47" t="s">
        <v>332</v>
      </c>
      <c r="F19" s="48">
        <v>0.4</v>
      </c>
    </row>
    <row r="20" spans="2:15" x14ac:dyDescent="0.25">
      <c r="B20" s="46" t="s">
        <v>137</v>
      </c>
      <c r="C20" s="47"/>
      <c r="D20" s="47">
        <f>D19</f>
        <v>1.2358124999999998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1.6*D16*D16*1600</f>
        <v>9734.4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3194.0999999999995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23.83625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6.2685733070348455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2.6311812404120101</v>
      </c>
      <c r="D28" s="47"/>
      <c r="E28" s="47" t="s">
        <v>330</v>
      </c>
      <c r="F28" s="48">
        <f>C28/C27</f>
        <v>0.41974164000908987</v>
      </c>
      <c r="O28">
        <v>15000</v>
      </c>
    </row>
    <row r="29" spans="2:15" x14ac:dyDescent="0.25">
      <c r="B29" s="46" t="s">
        <v>142</v>
      </c>
      <c r="C29" s="47">
        <f>F11/D20</f>
        <v>3.5183330804632584</v>
      </c>
      <c r="D29" s="47"/>
      <c r="E29" s="47" t="s">
        <v>331</v>
      </c>
      <c r="F29" s="48">
        <f>C29/C27</f>
        <v>0.56126536424402074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12.418087627910115</v>
      </c>
      <c r="D31" s="47">
        <f>C5</f>
        <v>16</v>
      </c>
      <c r="E31" s="47"/>
      <c r="F31" s="48"/>
    </row>
    <row r="32" spans="2:15" x14ac:dyDescent="0.25">
      <c r="B32" s="46" t="s">
        <v>144</v>
      </c>
      <c r="C32" s="131">
        <f>C27-C28-C29</f>
        <v>0.119058986159577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18" t="s">
        <v>346</v>
      </c>
      <c r="C34" s="219"/>
      <c r="D34" s="128"/>
      <c r="E34" s="218" t="s">
        <v>347</v>
      </c>
      <c r="F34" s="220"/>
    </row>
    <row r="35" spans="2:14" x14ac:dyDescent="0.25">
      <c r="B35" s="46" t="s">
        <v>333</v>
      </c>
      <c r="C35" s="47">
        <f>C31*D13*D16*(((D16-F19)/2)-F24)</f>
        <v>18.161453155818542</v>
      </c>
      <c r="D35" s="48"/>
      <c r="E35" s="46" t="s">
        <v>334</v>
      </c>
      <c r="F35" s="48">
        <f>F16-(F19+F24)^2</f>
        <v>3.3468749999999998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4" x14ac:dyDescent="0.25">
      <c r="B36" s="46" t="s">
        <v>328</v>
      </c>
      <c r="C36" s="131">
        <f>0.53*0.85*SQRT(210)*D16*100*F24*100/1000</f>
        <v>35.008358514549101</v>
      </c>
      <c r="D36" s="48"/>
      <c r="E36" s="46"/>
      <c r="F36" s="48"/>
      <c r="M36" t="s">
        <v>338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335</v>
      </c>
      <c r="F37" s="48">
        <f>4*(F24+F19)</f>
        <v>2.7</v>
      </c>
      <c r="M37" t="s">
        <v>344</v>
      </c>
      <c r="N37">
        <f>K35*2</f>
        <v>862.16</v>
      </c>
    </row>
    <row r="38" spans="2:14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333</v>
      </c>
      <c r="F39" s="48">
        <f>C31*D13*F35</f>
        <v>62.342680544492502</v>
      </c>
      <c r="M39" t="s">
        <v>340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3729.3069407567555</v>
      </c>
      <c r="D40" s="47"/>
      <c r="E40" s="46" t="s">
        <v>328</v>
      </c>
      <c r="F40" s="132">
        <f>0.85*1*SQRT(210)*F37*100*F24*100/1000</f>
        <v>91.458701489388091</v>
      </c>
      <c r="M40" t="s">
        <v>341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3.6162874666427731</v>
      </c>
      <c r="D42" s="47"/>
      <c r="E42" s="46"/>
      <c r="F42" s="48"/>
      <c r="M42" t="s">
        <v>343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17.874999999999996</v>
      </c>
      <c r="D43" s="47"/>
      <c r="E43" s="46"/>
      <c r="F43" s="48"/>
    </row>
    <row r="44" spans="2:14" x14ac:dyDescent="0.25">
      <c r="B44" s="46" t="s">
        <v>336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337</v>
      </c>
      <c r="C47" s="50">
        <f>C46*D16/C43</f>
        <v>0.21592648256995645</v>
      </c>
      <c r="D47" s="133" t="s">
        <v>356</v>
      </c>
      <c r="E47" s="49"/>
      <c r="F47" s="51"/>
    </row>
    <row r="49" spans="3:9" x14ac:dyDescent="0.25">
      <c r="C49">
        <f>D16/0.15</f>
        <v>13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7.8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G42" sqref="G42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350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22</v>
      </c>
      <c r="D5" s="47"/>
      <c r="E5" s="47"/>
      <c r="F5" s="48"/>
    </row>
    <row r="6" spans="2:10" x14ac:dyDescent="0.25">
      <c r="B6" s="46" t="s">
        <v>121</v>
      </c>
      <c r="C6" s="47">
        <f>(C7+C8)*D13/J6</f>
        <v>54155.25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24709+4099</f>
        <v>28808</v>
      </c>
      <c r="D7" s="47"/>
      <c r="E7" s="47"/>
      <c r="F7" s="48"/>
    </row>
    <row r="8" spans="2:10" x14ac:dyDescent="0.25">
      <c r="B8" s="46" t="s">
        <v>123</v>
      </c>
      <c r="C8" s="47">
        <v>7295.5</v>
      </c>
      <c r="D8" s="47"/>
      <c r="E8" s="47"/>
      <c r="F8" s="48"/>
    </row>
    <row r="9" spans="2:10" x14ac:dyDescent="0.25">
      <c r="B9" s="46" t="s">
        <v>126</v>
      </c>
      <c r="C9" s="47">
        <f>C6</f>
        <v>54155.25</v>
      </c>
      <c r="D9" s="47"/>
      <c r="E9" s="47" t="s">
        <v>129</v>
      </c>
      <c r="F9" s="48">
        <f>(C9/D13)/1000</f>
        <v>36.103499999999997</v>
      </c>
    </row>
    <row r="10" spans="2:10" x14ac:dyDescent="0.25">
      <c r="B10" s="46" t="s">
        <v>127</v>
      </c>
      <c r="C10" s="47">
        <v>6735.3</v>
      </c>
      <c r="D10" s="47"/>
      <c r="E10" s="47" t="s">
        <v>130</v>
      </c>
      <c r="F10" s="48">
        <f>(C10/D13)/1000</f>
        <v>4.4901999999999997</v>
      </c>
    </row>
    <row r="11" spans="2:10" x14ac:dyDescent="0.25">
      <c r="B11" s="46" t="s">
        <v>128</v>
      </c>
      <c r="C11" s="47">
        <v>7289.4</v>
      </c>
      <c r="D11" s="47"/>
      <c r="E11" s="47" t="s">
        <v>131</v>
      </c>
      <c r="F11" s="48">
        <f>(C11/D13)/1000</f>
        <v>4.8595999999999995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2.4616022727272724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1.5689494168797389</v>
      </c>
      <c r="D16" s="131">
        <v>1.9</v>
      </c>
      <c r="E16" s="47" t="s">
        <v>351</v>
      </c>
      <c r="F16" s="132">
        <f>D16*D16</f>
        <v>3.61</v>
      </c>
    </row>
    <row r="17" spans="2:15" x14ac:dyDescent="0.25">
      <c r="B17" s="46" t="s">
        <v>135</v>
      </c>
      <c r="C17" s="47">
        <f>D16/6</f>
        <v>0.31666666666666665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1.1431666666666664</v>
      </c>
      <c r="D19" s="47">
        <f>C19</f>
        <v>1.1431666666666664</v>
      </c>
      <c r="E19" s="47" t="s">
        <v>332</v>
      </c>
      <c r="F19" s="48">
        <v>0.4</v>
      </c>
    </row>
    <row r="20" spans="2:15" x14ac:dyDescent="0.25">
      <c r="B20" s="46" t="s">
        <v>137</v>
      </c>
      <c r="C20" s="47"/>
      <c r="D20" s="47">
        <f>D19</f>
        <v>1.1431666666666664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1.6*D16*D16*1800</f>
        <v>10396.799999999999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3032.3999999999996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49.532699999999991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13.72096952908587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3.927861204257181</v>
      </c>
      <c r="D28" s="47"/>
      <c r="E28" s="47" t="s">
        <v>330</v>
      </c>
      <c r="F28" s="48">
        <f>C28/C27</f>
        <v>0.28626703061550096</v>
      </c>
      <c r="O28">
        <v>15000</v>
      </c>
    </row>
    <row r="29" spans="2:15" x14ac:dyDescent="0.25">
      <c r="B29" s="46" t="s">
        <v>142</v>
      </c>
      <c r="C29" s="47">
        <f>F11/D20</f>
        <v>4.2509986878553727</v>
      </c>
      <c r="D29" s="47"/>
      <c r="E29" s="47" t="s">
        <v>331</v>
      </c>
      <c r="F29" s="48">
        <f>C29/C27</f>
        <v>0.30981766112402309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21.899829421198422</v>
      </c>
      <c r="D31" s="47">
        <f>C5</f>
        <v>22</v>
      </c>
      <c r="E31" s="47"/>
      <c r="F31" s="48"/>
    </row>
    <row r="32" spans="2:15" x14ac:dyDescent="0.25">
      <c r="B32" s="46" t="s">
        <v>144</v>
      </c>
      <c r="C32" s="131">
        <f>C27-C28-C29</f>
        <v>5.5421096369733176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18" t="s">
        <v>346</v>
      </c>
      <c r="C34" s="219"/>
      <c r="D34" s="128"/>
      <c r="E34" s="218" t="s">
        <v>347</v>
      </c>
      <c r="F34" s="220"/>
    </row>
    <row r="35" spans="2:14" x14ac:dyDescent="0.25">
      <c r="B35" s="46" t="s">
        <v>333</v>
      </c>
      <c r="C35" s="47">
        <f>C31*D13*D16*(((D16-F19)/2)-F24)</f>
        <v>29.646894078947366</v>
      </c>
      <c r="D35" s="48"/>
      <c r="E35" s="46" t="s">
        <v>334</v>
      </c>
      <c r="F35" s="48">
        <f>F16-(F19+F24)^2</f>
        <v>3.1543749999999999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4" x14ac:dyDescent="0.25">
      <c r="B36" s="46" t="s">
        <v>328</v>
      </c>
      <c r="C36" s="131">
        <f>0.53*0.85*SQRT(281)*D16*100*F24*100/1000</f>
        <v>39.457925641911991</v>
      </c>
      <c r="D36" s="48"/>
      <c r="E36" s="46"/>
      <c r="F36" s="48"/>
      <c r="M36" t="s">
        <v>338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335</v>
      </c>
      <c r="F37" s="48">
        <f>4*(F24+F19)</f>
        <v>2.7</v>
      </c>
      <c r="M37" t="s">
        <v>344</v>
      </c>
      <c r="N37">
        <f>K35*2</f>
        <v>862.16</v>
      </c>
    </row>
    <row r="38" spans="2:14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333</v>
      </c>
      <c r="F39" s="48">
        <f>C31*D13*F35</f>
        <v>103.62041164573917</v>
      </c>
      <c r="M39" t="s">
        <v>340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6159.3270247120563</v>
      </c>
      <c r="D40" s="47"/>
      <c r="E40" s="46" t="s">
        <v>328</v>
      </c>
      <c r="F40" s="132">
        <f>0.85*1*SQRT(281)*F37*100*F24*100/1000</f>
        <v>105.79582843412351</v>
      </c>
      <c r="M40" t="s">
        <v>341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6.0065128526873153</v>
      </c>
      <c r="D42" s="47"/>
      <c r="E42" s="46"/>
      <c r="F42" s="48"/>
      <c r="M42" t="s">
        <v>343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17.416666666666664</v>
      </c>
      <c r="D43" s="47"/>
      <c r="E43" s="46"/>
      <c r="F43" s="48"/>
    </row>
    <row r="44" spans="2:14" x14ac:dyDescent="0.25">
      <c r="B44" s="46" t="s">
        <v>336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337</v>
      </c>
      <c r="C47" s="50">
        <f>C46*D16/C43</f>
        <v>0.21592648256995642</v>
      </c>
      <c r="D47" s="133" t="s">
        <v>352</v>
      </c>
      <c r="E47" s="49"/>
      <c r="F47" s="51"/>
    </row>
    <row r="49" spans="3:9" x14ac:dyDescent="0.25">
      <c r="C49">
        <f>D16/0.15</f>
        <v>12.666666666666666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7.6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B3" sqref="B3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353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22</v>
      </c>
      <c r="D5" s="47"/>
      <c r="E5" s="47"/>
      <c r="F5" s="48"/>
    </row>
    <row r="6" spans="2:10" x14ac:dyDescent="0.25">
      <c r="B6" s="46" t="s">
        <v>121</v>
      </c>
      <c r="C6" s="47">
        <f>(C7+C8)*D13/J6</f>
        <v>65175.149999999994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30253.6+4099</f>
        <v>34352.6</v>
      </c>
      <c r="D7" s="47"/>
      <c r="E7" s="47"/>
      <c r="F7" s="48"/>
    </row>
    <row r="8" spans="2:10" x14ac:dyDescent="0.25">
      <c r="B8" s="46" t="s">
        <v>123</v>
      </c>
      <c r="C8" s="47">
        <v>9097.5</v>
      </c>
      <c r="D8" s="47"/>
      <c r="E8" s="47"/>
      <c r="F8" s="48"/>
    </row>
    <row r="9" spans="2:10" x14ac:dyDescent="0.25">
      <c r="B9" s="46" t="s">
        <v>126</v>
      </c>
      <c r="C9" s="47">
        <f>C6</f>
        <v>65175.149999999994</v>
      </c>
      <c r="D9" s="47"/>
      <c r="E9" s="47" t="s">
        <v>129</v>
      </c>
      <c r="F9" s="48">
        <f>(C9/D13)/1000</f>
        <v>43.450099999999999</v>
      </c>
    </row>
    <row r="10" spans="2:10" x14ac:dyDescent="0.25">
      <c r="B10" s="46" t="s">
        <v>127</v>
      </c>
      <c r="C10" s="47">
        <v>13129.8</v>
      </c>
      <c r="D10" s="47"/>
      <c r="E10" s="47" t="s">
        <v>130</v>
      </c>
      <c r="F10" s="48">
        <f>(C10/D13)/1000</f>
        <v>8.7531999999999996</v>
      </c>
    </row>
    <row r="11" spans="2:10" x14ac:dyDescent="0.25">
      <c r="B11" s="46" t="s">
        <v>128</v>
      </c>
      <c r="C11" s="47">
        <v>14025.3</v>
      </c>
      <c r="D11" s="47"/>
      <c r="E11" s="47" t="s">
        <v>131</v>
      </c>
      <c r="F11" s="48">
        <f>(C11/D13)/1000</f>
        <v>9.3501999999999992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2.9625068181818182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1.7211934284623034</v>
      </c>
      <c r="D16" s="131">
        <v>2.25</v>
      </c>
      <c r="E16" s="47" t="s">
        <v>351</v>
      </c>
      <c r="F16" s="132">
        <f>D16*D16</f>
        <v>5.0625</v>
      </c>
    </row>
    <row r="17" spans="2:15" x14ac:dyDescent="0.25">
      <c r="B17" s="46" t="s">
        <v>135</v>
      </c>
      <c r="C17" s="47">
        <f>D16/6</f>
        <v>0.375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1.8984375</v>
      </c>
      <c r="D19" s="47">
        <f>C19</f>
        <v>1.8984375</v>
      </c>
      <c r="E19" s="47" t="s">
        <v>332</v>
      </c>
      <c r="F19" s="48">
        <v>0.4</v>
      </c>
    </row>
    <row r="20" spans="2:15" x14ac:dyDescent="0.25">
      <c r="B20" s="46" t="s">
        <v>137</v>
      </c>
      <c r="C20" s="47"/>
      <c r="D20" s="47">
        <f>D19</f>
        <v>1.8984375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0.45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1.6*D16*D16*1800</f>
        <v>14580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5467.5</v>
      </c>
      <c r="D24" s="47"/>
      <c r="E24" s="47" t="s">
        <v>97</v>
      </c>
      <c r="F24" s="48">
        <f>F22-F23</f>
        <v>0.375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63.497599999999998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12.542735802469135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4.6107390946502056</v>
      </c>
      <c r="D28" s="47"/>
      <c r="E28" s="47" t="s">
        <v>330</v>
      </c>
      <c r="F28" s="48">
        <f>C28/C27</f>
        <v>0.36760234507550943</v>
      </c>
      <c r="O28">
        <v>15000</v>
      </c>
    </row>
    <row r="29" spans="2:15" x14ac:dyDescent="0.25">
      <c r="B29" s="46" t="s">
        <v>142</v>
      </c>
      <c r="C29" s="47">
        <f>F11/D20</f>
        <v>4.9252082304526743</v>
      </c>
      <c r="D29" s="47"/>
      <c r="E29" s="47" t="s">
        <v>331</v>
      </c>
      <c r="F29" s="48">
        <f>C29/C27</f>
        <v>0.39267415881335144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22.078683127572017</v>
      </c>
      <c r="D31" s="47">
        <f>C5</f>
        <v>22</v>
      </c>
      <c r="E31" s="47"/>
      <c r="F31" s="48"/>
    </row>
    <row r="32" spans="2:15" x14ac:dyDescent="0.25">
      <c r="B32" s="46" t="s">
        <v>144</v>
      </c>
      <c r="C32" s="131">
        <f>C27-C28-C29</f>
        <v>3.0067884773662552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18" t="s">
        <v>346</v>
      </c>
      <c r="C34" s="219"/>
      <c r="D34" s="128"/>
      <c r="E34" s="218" t="s">
        <v>347</v>
      </c>
      <c r="F34" s="220"/>
    </row>
    <row r="35" spans="2:14" x14ac:dyDescent="0.25">
      <c r="B35" s="46" t="s">
        <v>333</v>
      </c>
      <c r="C35" s="47">
        <f>C31*D13*D16*(((D16-F19)/2)-F24)</f>
        <v>40.983555555555554</v>
      </c>
      <c r="D35" s="48"/>
      <c r="E35" s="46" t="s">
        <v>334</v>
      </c>
      <c r="F35" s="48">
        <f>F16-(F19+F24)^2</f>
        <v>4.461875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4" x14ac:dyDescent="0.25">
      <c r="B36" s="46" t="s">
        <v>328</v>
      </c>
      <c r="C36" s="131">
        <f>0.53*0.85*SQRT(281)*D16*100*F24*100/1000</f>
        <v>63.717942125097117</v>
      </c>
      <c r="D36" s="48"/>
      <c r="E36" s="46"/>
      <c r="F36" s="48"/>
      <c r="M36" t="s">
        <v>338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335</v>
      </c>
      <c r="F37" s="48">
        <f>4*(F24+F19)</f>
        <v>3.1</v>
      </c>
      <c r="M37" t="s">
        <v>344</v>
      </c>
      <c r="N37">
        <f>K35*2</f>
        <v>862.16</v>
      </c>
    </row>
    <row r="38" spans="2:14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333</v>
      </c>
      <c r="F39" s="48">
        <f>C31*D13*F35</f>
        <v>147.76848641975309</v>
      </c>
      <c r="M39" t="s">
        <v>340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9445.5366255144036</v>
      </c>
      <c r="D40" s="47"/>
      <c r="E40" s="46" t="s">
        <v>328</v>
      </c>
      <c r="F40" s="132">
        <f>0.85*1*SQRT(281)*F37*100*F24*100/1000</f>
        <v>165.63993340696106</v>
      </c>
      <c r="M40" t="s">
        <v>341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6.7266077516642104</v>
      </c>
      <c r="D42" s="47"/>
      <c r="E42" s="46"/>
      <c r="F42" s="48"/>
      <c r="M42" t="s">
        <v>343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28.125</v>
      </c>
      <c r="D43" s="47"/>
      <c r="E43" s="46"/>
      <c r="F43" s="48"/>
    </row>
    <row r="44" spans="2:14" x14ac:dyDescent="0.25">
      <c r="B44" s="46" t="s">
        <v>336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337</v>
      </c>
      <c r="C47" s="50">
        <f>C46*D16/C43</f>
        <v>0.15834608721796803</v>
      </c>
      <c r="D47" s="133" t="s">
        <v>345</v>
      </c>
      <c r="E47" s="49"/>
      <c r="F47" s="51"/>
    </row>
    <row r="49" spans="3:9" x14ac:dyDescent="0.25">
      <c r="C49">
        <f>D16/0.15</f>
        <v>15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9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F23" sqref="F23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354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22</v>
      </c>
      <c r="D5" s="47"/>
      <c r="E5" s="47"/>
      <c r="F5" s="48"/>
    </row>
    <row r="6" spans="2:10" x14ac:dyDescent="0.25">
      <c r="B6" s="46" t="s">
        <v>121</v>
      </c>
      <c r="C6" s="47">
        <f>(C7+C8)*D13/J6</f>
        <v>29130.449999999997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14908.6+1275</f>
        <v>16183.6</v>
      </c>
      <c r="D7" s="47"/>
      <c r="E7" s="47"/>
      <c r="F7" s="48"/>
    </row>
    <row r="8" spans="2:10" x14ac:dyDescent="0.25">
      <c r="B8" s="46" t="s">
        <v>123</v>
      </c>
      <c r="C8" s="47">
        <v>3236.7</v>
      </c>
      <c r="D8" s="47"/>
      <c r="E8" s="47"/>
      <c r="F8" s="48"/>
    </row>
    <row r="9" spans="2:10" x14ac:dyDescent="0.25">
      <c r="B9" s="46" t="s">
        <v>126</v>
      </c>
      <c r="C9" s="47">
        <f>C6</f>
        <v>29130.449999999997</v>
      </c>
      <c r="D9" s="47"/>
      <c r="E9" s="47" t="s">
        <v>129</v>
      </c>
      <c r="F9" s="48">
        <f>(C9/D13)/1000</f>
        <v>19.420300000000001</v>
      </c>
    </row>
    <row r="10" spans="2:10" x14ac:dyDescent="0.25">
      <c r="B10" s="46" t="s">
        <v>127</v>
      </c>
      <c r="C10" s="47">
        <v>13129.8</v>
      </c>
      <c r="D10" s="47"/>
      <c r="E10" s="47" t="s">
        <v>130</v>
      </c>
      <c r="F10" s="48">
        <f>(C10/D13)/1000</f>
        <v>8.7531999999999996</v>
      </c>
    </row>
    <row r="11" spans="2:10" x14ac:dyDescent="0.25">
      <c r="B11" s="46" t="s">
        <v>128</v>
      </c>
      <c r="C11" s="47">
        <v>14025.3</v>
      </c>
      <c r="D11" s="47"/>
      <c r="E11" s="47" t="s">
        <v>131</v>
      </c>
      <c r="F11" s="48">
        <f>(C11/D13)/1000</f>
        <v>9.3501999999999992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1.3241113636363637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1.1507003796107671</v>
      </c>
      <c r="D16" s="131">
        <v>2.5</v>
      </c>
      <c r="E16" s="47" t="s">
        <v>351</v>
      </c>
      <c r="F16" s="132">
        <f>D16*D16</f>
        <v>6.25</v>
      </c>
    </row>
    <row r="17" spans="2:15" x14ac:dyDescent="0.25">
      <c r="B17" s="46" t="s">
        <v>135</v>
      </c>
      <c r="C17" s="47">
        <f>D16/6</f>
        <v>0.41666666666666669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2.6041666666666661</v>
      </c>
      <c r="D19" s="47">
        <f>C19</f>
        <v>2.6041666666666661</v>
      </c>
      <c r="E19" s="47" t="s">
        <v>332</v>
      </c>
      <c r="F19" s="48">
        <v>0.4</v>
      </c>
    </row>
    <row r="20" spans="2:15" x14ac:dyDescent="0.25">
      <c r="B20" s="46" t="s">
        <v>137</v>
      </c>
      <c r="C20" s="47"/>
      <c r="D20" s="47">
        <f>D19</f>
        <v>2.6041666666666661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0.45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1.6*D16*D16*1800</f>
        <v>18000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6750</v>
      </c>
      <c r="D24" s="47"/>
      <c r="E24" s="47" t="s">
        <v>97</v>
      </c>
      <c r="F24" s="48">
        <f>F22-F23</f>
        <v>0.375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44.170299999999997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7.0672479999999993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3.3612288000000006</v>
      </c>
      <c r="D28" s="47"/>
      <c r="E28" s="47" t="s">
        <v>330</v>
      </c>
      <c r="F28" s="48">
        <f>C28/C27</f>
        <v>0.47560645954408293</v>
      </c>
      <c r="O28">
        <v>15000</v>
      </c>
    </row>
    <row r="29" spans="2:15" x14ac:dyDescent="0.25">
      <c r="B29" s="46" t="s">
        <v>142</v>
      </c>
      <c r="C29" s="47">
        <f>F11/D20</f>
        <v>3.5904768000000007</v>
      </c>
      <c r="D29" s="47"/>
      <c r="E29" s="47" t="s">
        <v>331</v>
      </c>
      <c r="F29" s="48">
        <f>C29/C27</f>
        <v>0.50804454576944247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14.018953600000001</v>
      </c>
      <c r="D31" s="47">
        <f>C5</f>
        <v>22</v>
      </c>
      <c r="E31" s="47"/>
      <c r="F31" s="48"/>
    </row>
    <row r="32" spans="2:15" x14ac:dyDescent="0.25">
      <c r="B32" s="46" t="s">
        <v>144</v>
      </c>
      <c r="C32" s="131">
        <f>C27-C28-C29</f>
        <v>0.11554239999999805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18" t="s">
        <v>346</v>
      </c>
      <c r="C34" s="219"/>
      <c r="D34" s="128"/>
      <c r="E34" s="218" t="s">
        <v>347</v>
      </c>
      <c r="F34" s="220"/>
    </row>
    <row r="35" spans="2:14" x14ac:dyDescent="0.25">
      <c r="B35" s="46" t="s">
        <v>333</v>
      </c>
      <c r="C35" s="47">
        <f>C31*D13*D16*(((D16-F19)/2)-F24)</f>
        <v>35.485476300000009</v>
      </c>
      <c r="D35" s="48"/>
      <c r="E35" s="46" t="s">
        <v>334</v>
      </c>
      <c r="F35" s="48">
        <f>F16-(F19+F24)^2</f>
        <v>5.649375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4" x14ac:dyDescent="0.25">
      <c r="B36" s="46" t="s">
        <v>328</v>
      </c>
      <c r="C36" s="131">
        <f>0.53*0.85*SQRT(281)*D16*100*F24*100/1000</f>
        <v>70.79771347233013</v>
      </c>
      <c r="D36" s="48"/>
      <c r="E36" s="46"/>
      <c r="F36" s="48"/>
      <c r="M36" t="s">
        <v>338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335</v>
      </c>
      <c r="F37" s="48">
        <f>4*(F24+F19)</f>
        <v>3.1</v>
      </c>
      <c r="M37" t="s">
        <v>344</v>
      </c>
      <c r="N37">
        <f>K35*2</f>
        <v>862.16</v>
      </c>
    </row>
    <row r="38" spans="2:14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333</v>
      </c>
      <c r="F39" s="48">
        <f>C31*D13*F35</f>
        <v>118.79748899100001</v>
      </c>
      <c r="M39" t="s">
        <v>340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7727.9481720000013</v>
      </c>
      <c r="D40" s="47"/>
      <c r="E40" s="46" t="s">
        <v>328</v>
      </c>
      <c r="F40" s="132">
        <f>0.85*1*SQRT(281)*F37*100*F24*100/1000</f>
        <v>165.63993340696106</v>
      </c>
      <c r="M40" t="s">
        <v>341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5.4896331042543718</v>
      </c>
      <c r="D42" s="47"/>
      <c r="E42" s="46"/>
      <c r="F42" s="48"/>
      <c r="M42" t="s">
        <v>343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31.25</v>
      </c>
      <c r="D43" s="47"/>
      <c r="E43" s="46"/>
      <c r="F43" s="48"/>
    </row>
    <row r="44" spans="2:14" x14ac:dyDescent="0.25">
      <c r="B44" s="46" t="s">
        <v>336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337</v>
      </c>
      <c r="C47" s="50">
        <f>C46*D16/C43</f>
        <v>0.15834608721796803</v>
      </c>
      <c r="D47" s="133" t="s">
        <v>345</v>
      </c>
      <c r="E47" s="49"/>
      <c r="F47" s="51"/>
    </row>
    <row r="49" spans="3:9" x14ac:dyDescent="0.25">
      <c r="C49">
        <f>D16/0.15</f>
        <v>16.666666666666668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10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B3" sqref="B3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21" t="s">
        <v>360</v>
      </c>
      <c r="C2" s="222"/>
      <c r="D2" s="222"/>
      <c r="E2" s="222"/>
      <c r="F2" s="223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22</v>
      </c>
      <c r="D5" s="47"/>
      <c r="E5" s="47"/>
      <c r="F5" s="48"/>
    </row>
    <row r="6" spans="2:10" x14ac:dyDescent="0.25">
      <c r="B6" s="46" t="s">
        <v>121</v>
      </c>
      <c r="C6" s="47">
        <f>(C7+C8)*D13/J6</f>
        <v>202049.69999999998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70283.1+14865.4</f>
        <v>85148.5</v>
      </c>
      <c r="D7" s="47"/>
      <c r="E7" s="47"/>
      <c r="F7" s="48"/>
    </row>
    <row r="8" spans="2:10" x14ac:dyDescent="0.25">
      <c r="B8" s="46" t="s">
        <v>123</v>
      </c>
      <c r="C8" s="47">
        <v>49551.3</v>
      </c>
      <c r="D8" s="47"/>
      <c r="E8" s="47"/>
      <c r="F8" s="48"/>
    </row>
    <row r="9" spans="2:10" x14ac:dyDescent="0.25">
      <c r="B9" s="46" t="s">
        <v>126</v>
      </c>
      <c r="C9" s="47">
        <f>C6</f>
        <v>202049.69999999998</v>
      </c>
      <c r="D9" s="47"/>
      <c r="E9" s="47" t="s">
        <v>129</v>
      </c>
      <c r="F9" s="48">
        <f>(C9/D13)/1000</f>
        <v>134.69979999999998</v>
      </c>
    </row>
    <row r="10" spans="2:10" x14ac:dyDescent="0.25">
      <c r="B10" s="46" t="s">
        <v>127</v>
      </c>
      <c r="C10" s="47">
        <v>28514.400000000001</v>
      </c>
      <c r="D10" s="47"/>
      <c r="E10" s="47" t="s">
        <v>130</v>
      </c>
      <c r="F10" s="48">
        <f>(C10/D13)/1000</f>
        <v>19.009600000000002</v>
      </c>
    </row>
    <row r="11" spans="2:10" x14ac:dyDescent="0.25">
      <c r="B11" s="46" t="s">
        <v>128</v>
      </c>
      <c r="C11" s="47">
        <v>25157.1</v>
      </c>
      <c r="D11" s="47"/>
      <c r="E11" s="47" t="s">
        <v>131</v>
      </c>
      <c r="F11" s="48">
        <f>(C11/D13)/1000</f>
        <v>16.771399999999996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349</v>
      </c>
      <c r="C15" s="47">
        <f>F9*D13/C5</f>
        <v>9.1840772727272721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3.0305242570762032</v>
      </c>
      <c r="D16" s="131">
        <v>3.4</v>
      </c>
      <c r="E16" s="47" t="s">
        <v>351</v>
      </c>
      <c r="F16" s="132">
        <f>D16*D16</f>
        <v>11.559999999999999</v>
      </c>
    </row>
    <row r="17" spans="2:15" x14ac:dyDescent="0.25">
      <c r="B17" s="46" t="s">
        <v>135</v>
      </c>
      <c r="C17" s="47">
        <f>D16/6</f>
        <v>0.56666666666666665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6.5506666666666664</v>
      </c>
      <c r="D19" s="47">
        <f>C19</f>
        <v>6.5506666666666664</v>
      </c>
      <c r="E19" s="47" t="s">
        <v>332</v>
      </c>
      <c r="F19" s="48">
        <v>0.5</v>
      </c>
    </row>
    <row r="20" spans="2:15" x14ac:dyDescent="0.25">
      <c r="B20" s="46" t="s">
        <v>137</v>
      </c>
      <c r="C20" s="47"/>
      <c r="D20" s="47">
        <f>D19</f>
        <v>6.5506666666666664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0.65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1.6*D16*D16*1800</f>
        <v>33292.800000000003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18033.599999999999</v>
      </c>
      <c r="D24" s="47"/>
      <c r="E24" s="47" t="s">
        <v>97</v>
      </c>
      <c r="F24" s="48">
        <f>F22-F23</f>
        <v>0.57500000000000007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186.02619999999999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16.092231833910034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2.9019336454304909</v>
      </c>
      <c r="D28" s="47"/>
      <c r="E28" s="47" t="s">
        <v>330</v>
      </c>
      <c r="F28" s="48">
        <f>C28/C27</f>
        <v>0.18033133473229296</v>
      </c>
      <c r="O28">
        <v>15000</v>
      </c>
    </row>
    <row r="29" spans="2:15" x14ac:dyDescent="0.25">
      <c r="B29" s="46" t="s">
        <v>142</v>
      </c>
      <c r="C29" s="47">
        <f>F11/D20</f>
        <v>2.5602584978628125</v>
      </c>
      <c r="D29" s="47"/>
      <c r="E29" s="47" t="s">
        <v>331</v>
      </c>
      <c r="F29" s="48">
        <f>C29/C27</f>
        <v>0.15909903140145912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21.554423977203335</v>
      </c>
      <c r="D31" s="47">
        <f>C5</f>
        <v>22</v>
      </c>
      <c r="E31" s="47"/>
      <c r="F31" s="48"/>
    </row>
    <row r="32" spans="2:15" x14ac:dyDescent="0.25">
      <c r="B32" s="46" t="s">
        <v>144</v>
      </c>
      <c r="C32" s="131">
        <f>C27-C28-C29</f>
        <v>10.63003969061673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18" t="s">
        <v>346</v>
      </c>
      <c r="C34" s="219"/>
      <c r="D34" s="128"/>
      <c r="E34" s="218" t="s">
        <v>347</v>
      </c>
      <c r="F34" s="220"/>
    </row>
    <row r="35" spans="2:14" x14ac:dyDescent="0.25">
      <c r="B35" s="46" t="s">
        <v>333</v>
      </c>
      <c r="C35" s="47">
        <f>C31*D13*D16*(((D16-F19)/2)-F24)</f>
        <v>96.186616998269884</v>
      </c>
      <c r="D35" s="48"/>
      <c r="E35" s="46" t="s">
        <v>334</v>
      </c>
      <c r="F35" s="48">
        <f>F16-(F19+F24)^2</f>
        <v>10.404374999999998</v>
      </c>
      <c r="K35">
        <f>SUM(K21:K25)</f>
        <v>431.08</v>
      </c>
      <c r="L35">
        <f>SUM(L21:L29)</f>
        <v>363.37</v>
      </c>
      <c r="M35" t="s">
        <v>339</v>
      </c>
      <c r="N35">
        <f>L35*2</f>
        <v>726.74</v>
      </c>
    </row>
    <row r="36" spans="2:14" x14ac:dyDescent="0.25">
      <c r="B36" s="46" t="s">
        <v>328</v>
      </c>
      <c r="C36" s="131">
        <f>0.53*0.85*SQRT(281)*D16*100*F24*100/1000</f>
        <v>147.63683182763245</v>
      </c>
      <c r="D36" s="48"/>
      <c r="E36" s="46"/>
      <c r="F36" s="48"/>
      <c r="M36" t="s">
        <v>338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335</v>
      </c>
      <c r="F37" s="48">
        <f>4*(F24+F19)</f>
        <v>4.3000000000000007</v>
      </c>
      <c r="M37" t="s">
        <v>344</v>
      </c>
      <c r="N37">
        <f>K35*2</f>
        <v>862.16</v>
      </c>
    </row>
    <row r="38" spans="2:14" x14ac:dyDescent="0.25">
      <c r="B38" s="218" t="s">
        <v>348</v>
      </c>
      <c r="C38" s="219"/>
      <c r="D38" s="127"/>
      <c r="E38" s="46"/>
      <c r="F38" s="48"/>
      <c r="M38" t="s">
        <v>338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333</v>
      </c>
      <c r="F39" s="48">
        <f>C31*D13*F35</f>
        <v>336.39046495172238</v>
      </c>
      <c r="M39" t="s">
        <v>340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22659.088206035005</v>
      </c>
      <c r="D40" s="47"/>
      <c r="E40" s="46" t="s">
        <v>328</v>
      </c>
      <c r="F40" s="132">
        <f>0.85*1*SQRT(281)*F37*100*F24*100/1000</f>
        <v>352.29654653652597</v>
      </c>
      <c r="M40" t="s">
        <v>341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342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10.491398419246753</v>
      </c>
      <c r="D42" s="47"/>
      <c r="E42" s="46"/>
      <c r="F42" s="48"/>
      <c r="M42" t="s">
        <v>343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65.166666666666686</v>
      </c>
      <c r="D43" s="47"/>
      <c r="E43" s="46"/>
      <c r="F43" s="48"/>
    </row>
    <row r="44" spans="2:14" x14ac:dyDescent="0.25">
      <c r="B44" s="46" t="s">
        <v>336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337</v>
      </c>
      <c r="C47" s="50">
        <f>C46*D16/C43</f>
        <v>0.10326918731606607</v>
      </c>
      <c r="D47" s="133" t="s">
        <v>359</v>
      </c>
      <c r="E47" s="49"/>
      <c r="F47" s="51"/>
    </row>
    <row r="49" spans="3:9" x14ac:dyDescent="0.25">
      <c r="C49">
        <f>D16/0.15</f>
        <v>22.666666666666668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13.6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E259"/>
  <sheetViews>
    <sheetView topLeftCell="AU59" zoomScale="85" zoomScaleNormal="85" workbookViewId="0">
      <selection activeCell="BC74" sqref="BC74"/>
    </sheetView>
  </sheetViews>
  <sheetFormatPr baseColWidth="10" defaultRowHeight="15" x14ac:dyDescent="0.25"/>
  <cols>
    <col min="3" max="3" width="4.7109375" bestFit="1" customWidth="1"/>
    <col min="4" max="4" width="29.7109375" bestFit="1" customWidth="1"/>
    <col min="5" max="5" width="10.42578125" bestFit="1" customWidth="1"/>
    <col min="6" max="6" width="11.5703125" customWidth="1"/>
    <col min="7" max="7" width="19.5703125" bestFit="1" customWidth="1"/>
    <col min="8" max="8" width="16.42578125" bestFit="1" customWidth="1"/>
    <col min="11" max="11" width="4.140625" bestFit="1" customWidth="1"/>
    <col min="12" max="12" width="30" customWidth="1"/>
    <col min="13" max="36" width="2.7109375" customWidth="1"/>
    <col min="40" max="40" width="24.42578125" customWidth="1"/>
    <col min="41" max="41" width="24.7109375" customWidth="1"/>
    <col min="44" max="44" width="17.140625" bestFit="1" customWidth="1"/>
    <col min="45" max="45" width="13.5703125" bestFit="1" customWidth="1"/>
    <col min="46" max="46" width="13.5703125" customWidth="1"/>
    <col min="47" max="47" width="9.85546875" bestFit="1" customWidth="1"/>
    <col min="48" max="48" width="12.7109375" bestFit="1" customWidth="1"/>
    <col min="49" max="49" width="15.5703125" bestFit="1" customWidth="1"/>
    <col min="51" max="51" width="18" customWidth="1"/>
    <col min="52" max="52" width="12" customWidth="1"/>
    <col min="54" max="54" width="15.140625" bestFit="1" customWidth="1"/>
    <col min="74" max="74" width="14.42578125" customWidth="1"/>
    <col min="75" max="75" width="15.5703125" customWidth="1"/>
    <col min="76" max="76" width="9.140625" customWidth="1"/>
    <col min="80" max="80" width="24.28515625" bestFit="1" customWidth="1"/>
    <col min="81" max="81" width="23.7109375" bestFit="1" customWidth="1"/>
    <col min="82" max="82" width="20.42578125" bestFit="1" customWidth="1"/>
    <col min="83" max="83" width="12" bestFit="1" customWidth="1"/>
    <col min="87" max="87" width="13.42578125" bestFit="1" customWidth="1"/>
    <col min="88" max="88" width="13.85546875" bestFit="1" customWidth="1"/>
    <col min="89" max="89" width="16.28515625" bestFit="1" customWidth="1"/>
    <col min="90" max="90" width="23.28515625" bestFit="1" customWidth="1"/>
    <col min="91" max="91" width="25.140625" bestFit="1" customWidth="1"/>
    <col min="133" max="133" width="12.42578125" bestFit="1" customWidth="1"/>
  </cols>
  <sheetData>
    <row r="3" spans="3:36" ht="15.75" thickBot="1" x14ac:dyDescent="0.3"/>
    <row r="4" spans="3:36" ht="30.75" thickBot="1" x14ac:dyDescent="0.3">
      <c r="C4" s="8" t="s">
        <v>0</v>
      </c>
      <c r="D4" s="8" t="s">
        <v>1</v>
      </c>
      <c r="E4" s="8" t="s">
        <v>2</v>
      </c>
      <c r="F4" s="23" t="s">
        <v>3</v>
      </c>
      <c r="G4" s="24" t="s">
        <v>4</v>
      </c>
      <c r="H4" s="8" t="s">
        <v>5</v>
      </c>
    </row>
    <row r="5" spans="3:36" ht="15.75" x14ac:dyDescent="0.25">
      <c r="C5" s="9">
        <v>1</v>
      </c>
      <c r="D5" s="10" t="s">
        <v>6</v>
      </c>
      <c r="E5" s="9">
        <v>3</v>
      </c>
      <c r="F5" s="9" t="s">
        <v>17</v>
      </c>
      <c r="G5" s="11">
        <v>500</v>
      </c>
      <c r="H5" s="12">
        <f t="shared" ref="H5:H12" si="0">G5*E5</f>
        <v>1500</v>
      </c>
    </row>
    <row r="6" spans="3:36" ht="15.75" x14ac:dyDescent="0.25">
      <c r="C6" s="13">
        <v>2</v>
      </c>
      <c r="D6" s="14" t="s">
        <v>8</v>
      </c>
      <c r="E6" s="13">
        <f>8*20</f>
        <v>160</v>
      </c>
      <c r="F6" s="13" t="s">
        <v>18</v>
      </c>
      <c r="G6" s="15">
        <v>15</v>
      </c>
      <c r="H6" s="16">
        <f t="shared" si="0"/>
        <v>2400</v>
      </c>
    </row>
    <row r="7" spans="3:36" ht="15.75" x14ac:dyDescent="0.25">
      <c r="C7" s="13">
        <v>3</v>
      </c>
      <c r="D7" s="14" t="s">
        <v>7</v>
      </c>
      <c r="E7" s="13">
        <v>1</v>
      </c>
      <c r="F7" s="13" t="s">
        <v>17</v>
      </c>
      <c r="G7" s="15">
        <v>4000</v>
      </c>
      <c r="H7" s="16">
        <f t="shared" si="0"/>
        <v>4000</v>
      </c>
    </row>
    <row r="8" spans="3:36" ht="15.75" x14ac:dyDescent="0.25">
      <c r="C8" s="13">
        <v>4</v>
      </c>
      <c r="D8" s="14" t="s">
        <v>9</v>
      </c>
      <c r="E8" s="13">
        <f>8*20*2</f>
        <v>320</v>
      </c>
      <c r="F8" s="13" t="s">
        <v>18</v>
      </c>
      <c r="G8" s="15">
        <v>25</v>
      </c>
      <c r="H8" s="16">
        <f t="shared" si="0"/>
        <v>8000</v>
      </c>
    </row>
    <row r="9" spans="3:36" ht="15.75" x14ac:dyDescent="0.25">
      <c r="C9" s="13">
        <v>5</v>
      </c>
      <c r="D9" s="14" t="s">
        <v>10</v>
      </c>
      <c r="E9" s="13">
        <v>15</v>
      </c>
      <c r="F9" s="13" t="s">
        <v>17</v>
      </c>
      <c r="G9" s="15">
        <v>600</v>
      </c>
      <c r="H9" s="16">
        <f t="shared" si="0"/>
        <v>9000</v>
      </c>
    </row>
    <row r="10" spans="3:36" ht="15.75" x14ac:dyDescent="0.25">
      <c r="C10" s="13">
        <v>6</v>
      </c>
      <c r="D10" s="14" t="s">
        <v>11</v>
      </c>
      <c r="E10" s="7">
        <v>1</v>
      </c>
      <c r="F10" s="13" t="s">
        <v>17</v>
      </c>
      <c r="G10" s="15">
        <v>4000</v>
      </c>
      <c r="H10" s="16">
        <f t="shared" si="0"/>
        <v>4000</v>
      </c>
    </row>
    <row r="11" spans="3:36" ht="15.75" x14ac:dyDescent="0.25">
      <c r="C11" s="13">
        <v>7</v>
      </c>
      <c r="D11" s="14" t="s">
        <v>16</v>
      </c>
      <c r="E11" s="13">
        <v>1</v>
      </c>
      <c r="F11" s="13" t="s">
        <v>17</v>
      </c>
      <c r="G11" s="15">
        <v>3000</v>
      </c>
      <c r="H11" s="16">
        <f t="shared" si="0"/>
        <v>3000</v>
      </c>
    </row>
    <row r="12" spans="3:36" ht="16.5" thickBot="1" x14ac:dyDescent="0.3">
      <c r="C12" s="17">
        <v>8</v>
      </c>
      <c r="D12" s="18" t="s">
        <v>12</v>
      </c>
      <c r="E12" s="17">
        <v>1</v>
      </c>
      <c r="F12" s="17" t="s">
        <v>17</v>
      </c>
      <c r="G12" s="19">
        <v>1000</v>
      </c>
      <c r="H12" s="20">
        <f t="shared" si="0"/>
        <v>1000</v>
      </c>
    </row>
    <row r="13" spans="3:36" ht="16.5" thickBot="1" x14ac:dyDescent="0.3">
      <c r="C13" s="182"/>
      <c r="D13" s="206"/>
      <c r="E13" s="206"/>
      <c r="F13" s="183"/>
      <c r="G13" s="21" t="s">
        <v>13</v>
      </c>
      <c r="H13" s="22">
        <f>SUM(H5:H12)</f>
        <v>32900</v>
      </c>
    </row>
    <row r="15" spans="3:36" ht="15.75" thickBot="1" x14ac:dyDescent="0.3"/>
    <row r="16" spans="3:36" ht="15.6" customHeight="1" thickBot="1" x14ac:dyDescent="0.3">
      <c r="K16" s="6" t="s">
        <v>0</v>
      </c>
      <c r="L16" s="6" t="s">
        <v>1</v>
      </c>
      <c r="M16" s="207" t="s">
        <v>19</v>
      </c>
      <c r="N16" s="208"/>
      <c r="O16" s="208"/>
      <c r="P16" s="209"/>
      <c r="Q16" s="210" t="s">
        <v>20</v>
      </c>
      <c r="R16" s="208"/>
      <c r="S16" s="208"/>
      <c r="T16" s="209"/>
      <c r="U16" s="210" t="s">
        <v>21</v>
      </c>
      <c r="V16" s="208"/>
      <c r="W16" s="208"/>
      <c r="X16" s="209"/>
      <c r="Y16" s="210" t="s">
        <v>22</v>
      </c>
      <c r="Z16" s="208"/>
      <c r="AA16" s="208"/>
      <c r="AB16" s="209"/>
      <c r="AC16" s="210" t="s">
        <v>23</v>
      </c>
      <c r="AD16" s="208"/>
      <c r="AE16" s="208"/>
      <c r="AF16" s="209"/>
      <c r="AG16" s="210" t="s">
        <v>24</v>
      </c>
      <c r="AH16" s="208"/>
      <c r="AI16" s="208"/>
      <c r="AJ16" s="209"/>
    </row>
    <row r="17" spans="11:43" ht="15.6" customHeight="1" x14ac:dyDescent="0.25">
      <c r="K17" s="9">
        <v>1</v>
      </c>
      <c r="L17" s="29" t="s">
        <v>6</v>
      </c>
      <c r="M17" s="28">
        <v>1</v>
      </c>
      <c r="N17" s="1"/>
      <c r="O17" s="28">
        <v>1</v>
      </c>
      <c r="P17" s="25">
        <v>1</v>
      </c>
      <c r="Q17" s="1"/>
      <c r="R17" s="3"/>
      <c r="S17" s="3"/>
      <c r="T17" s="3"/>
      <c r="U17" s="1"/>
      <c r="V17" s="1"/>
      <c r="W17" s="3"/>
      <c r="X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L17">
        <f t="shared" ref="AL17:AL24" si="1">COUNTIF(M17:AJ17,"1")</f>
        <v>3</v>
      </c>
    </row>
    <row r="18" spans="11:43" ht="15.6" customHeight="1" x14ac:dyDescent="0.25">
      <c r="K18" s="13">
        <v>2</v>
      </c>
      <c r="L18" s="30" t="s">
        <v>8</v>
      </c>
      <c r="M18" s="5"/>
      <c r="N18" s="1"/>
      <c r="O18" s="25">
        <v>1</v>
      </c>
      <c r="P18" s="1"/>
      <c r="Q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2"/>
      <c r="AL18">
        <f t="shared" si="1"/>
        <v>1</v>
      </c>
    </row>
    <row r="19" spans="11:43" ht="15.6" customHeight="1" x14ac:dyDescent="0.25">
      <c r="K19" s="13">
        <v>3</v>
      </c>
      <c r="L19" s="30" t="s">
        <v>7</v>
      </c>
      <c r="M19" s="5"/>
      <c r="N19" s="1"/>
      <c r="O19" s="1"/>
      <c r="P19" s="25">
        <v>1</v>
      </c>
      <c r="Q19" s="25">
        <v>1</v>
      </c>
      <c r="R19" s="25">
        <v>1</v>
      </c>
      <c r="S19" s="25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2"/>
      <c r="AL19">
        <f t="shared" si="1"/>
        <v>4</v>
      </c>
    </row>
    <row r="20" spans="11:43" ht="15.6" customHeight="1" x14ac:dyDescent="0.25">
      <c r="K20" s="13">
        <v>4</v>
      </c>
      <c r="L20" s="30" t="s">
        <v>9</v>
      </c>
      <c r="M20" s="5"/>
      <c r="N20" s="1"/>
      <c r="O20" s="1"/>
      <c r="P20" s="1"/>
      <c r="Q20" s="1"/>
      <c r="R20" s="1"/>
      <c r="S20" s="1"/>
      <c r="T20" s="25">
        <v>1</v>
      </c>
      <c r="U20" s="25">
        <v>1</v>
      </c>
      <c r="V20" s="25">
        <v>1</v>
      </c>
      <c r="W20" s="25">
        <v>1</v>
      </c>
      <c r="X20" s="25">
        <v>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2"/>
      <c r="AL20">
        <f t="shared" si="1"/>
        <v>5</v>
      </c>
    </row>
    <row r="21" spans="11:43" ht="15.6" customHeight="1" x14ac:dyDescent="0.25">
      <c r="K21" s="13">
        <v>5</v>
      </c>
      <c r="L21" s="30" t="s">
        <v>10</v>
      </c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5">
        <v>1</v>
      </c>
      <c r="Z21" s="25">
        <v>1</v>
      </c>
      <c r="AA21" s="25">
        <v>1</v>
      </c>
      <c r="AB21" s="25">
        <v>1</v>
      </c>
      <c r="AC21" s="1"/>
      <c r="AD21" s="1"/>
      <c r="AE21" s="1"/>
      <c r="AF21" s="1"/>
      <c r="AG21" s="1"/>
      <c r="AH21" s="1"/>
      <c r="AI21" s="1"/>
      <c r="AJ21" s="2"/>
      <c r="AL21">
        <f t="shared" si="1"/>
        <v>4</v>
      </c>
    </row>
    <row r="22" spans="11:43" ht="15.6" customHeight="1" x14ac:dyDescent="0.25">
      <c r="K22" s="13">
        <v>6</v>
      </c>
      <c r="L22" s="30" t="s">
        <v>11</v>
      </c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5">
        <v>1</v>
      </c>
      <c r="AD22" s="25">
        <v>1</v>
      </c>
      <c r="AE22" s="25">
        <v>1</v>
      </c>
      <c r="AF22" s="25">
        <v>1</v>
      </c>
      <c r="AG22" s="1"/>
      <c r="AH22" s="1"/>
      <c r="AI22" s="1"/>
      <c r="AJ22" s="2"/>
      <c r="AL22">
        <f t="shared" si="1"/>
        <v>4</v>
      </c>
    </row>
    <row r="23" spans="11:43" ht="15.6" customHeight="1" x14ac:dyDescent="0.25">
      <c r="K23" s="27">
        <v>7</v>
      </c>
      <c r="L23" s="30" t="s">
        <v>16</v>
      </c>
      <c r="M23" s="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25">
        <v>1</v>
      </c>
      <c r="AH23" s="25">
        <v>1</v>
      </c>
      <c r="AI23" s="25">
        <v>1</v>
      </c>
      <c r="AJ23" s="26">
        <v>1</v>
      </c>
      <c r="AL23">
        <f t="shared" si="1"/>
        <v>4</v>
      </c>
    </row>
    <row r="24" spans="11:43" ht="15.6" customHeight="1" thickBot="1" x14ac:dyDescent="0.3">
      <c r="K24" s="31">
        <v>8</v>
      </c>
      <c r="L24" s="32" t="s">
        <v>12</v>
      </c>
      <c r="M24" s="33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5">
        <v>1</v>
      </c>
      <c r="AL24">
        <f t="shared" si="1"/>
        <v>1</v>
      </c>
    </row>
    <row r="25" spans="11:43" ht="15.6" customHeight="1" thickBot="1" x14ac:dyDescent="0.3">
      <c r="K25" s="214" t="s">
        <v>14</v>
      </c>
      <c r="L25" s="215"/>
      <c r="M25" s="191">
        <f>AL17/AL25+AL18/AL25+(AL19*1/4)/AL25</f>
        <v>0.19230769230769232</v>
      </c>
      <c r="N25" s="192"/>
      <c r="O25" s="192"/>
      <c r="P25" s="193"/>
      <c r="Q25" s="191">
        <f>(AL19*3/4)/AL25+(AL20*1/5)/AL25</f>
        <v>0.15384615384615385</v>
      </c>
      <c r="R25" s="192"/>
      <c r="S25" s="192"/>
      <c r="T25" s="193"/>
      <c r="U25" s="191">
        <f>(AL20*4/5)/AL25</f>
        <v>0.15384615384615385</v>
      </c>
      <c r="V25" s="192"/>
      <c r="W25" s="192"/>
      <c r="X25" s="193"/>
      <c r="Y25" s="191">
        <f>AL21/AL25</f>
        <v>0.15384615384615385</v>
      </c>
      <c r="Z25" s="192"/>
      <c r="AA25" s="192"/>
      <c r="AB25" s="193"/>
      <c r="AC25" s="191">
        <f>AL22/AL25</f>
        <v>0.15384615384615385</v>
      </c>
      <c r="AD25" s="192"/>
      <c r="AE25" s="192"/>
      <c r="AF25" s="193"/>
      <c r="AG25" s="191">
        <f>AL23/AL25+AL24/AL25</f>
        <v>0.19230769230769232</v>
      </c>
      <c r="AH25" s="192"/>
      <c r="AI25" s="192"/>
      <c r="AJ25" s="193"/>
      <c r="AL25">
        <f>SUM(AL17:AL24)</f>
        <v>26</v>
      </c>
    </row>
    <row r="26" spans="11:43" ht="15.6" customHeight="1" thickBot="1" x14ac:dyDescent="0.3">
      <c r="K26" s="216" t="s">
        <v>15</v>
      </c>
      <c r="L26" s="217"/>
      <c r="M26" s="211">
        <f>M25</f>
        <v>0.19230769230769232</v>
      </c>
      <c r="N26" s="212"/>
      <c r="O26" s="212"/>
      <c r="P26" s="213"/>
      <c r="Q26" s="211">
        <f>Q25+M26</f>
        <v>0.34615384615384615</v>
      </c>
      <c r="R26" s="212"/>
      <c r="S26" s="212"/>
      <c r="T26" s="213"/>
      <c r="U26" s="211">
        <f>U25+Q26</f>
        <v>0.5</v>
      </c>
      <c r="V26" s="212"/>
      <c r="W26" s="212"/>
      <c r="X26" s="213"/>
      <c r="Y26" s="211">
        <f>Y25+U26</f>
        <v>0.65384615384615385</v>
      </c>
      <c r="Z26" s="212"/>
      <c r="AA26" s="212"/>
      <c r="AB26" s="213"/>
      <c r="AC26" s="211">
        <f>AC25+Y26</f>
        <v>0.80769230769230771</v>
      </c>
      <c r="AD26" s="212"/>
      <c r="AE26" s="212"/>
      <c r="AF26" s="213"/>
      <c r="AG26" s="211">
        <f>AG25+AC26</f>
        <v>1</v>
      </c>
      <c r="AH26" s="212"/>
      <c r="AI26" s="212"/>
      <c r="AJ26" s="213"/>
    </row>
    <row r="27" spans="11:43" x14ac:dyDescent="0.25">
      <c r="K27" s="149"/>
      <c r="L27" s="149"/>
    </row>
    <row r="31" spans="11:43" ht="15.75" x14ac:dyDescent="0.25">
      <c r="AQ31" s="36"/>
    </row>
    <row r="32" spans="11:43" ht="16.5" thickBot="1" x14ac:dyDescent="0.3">
      <c r="AQ32" s="36"/>
    </row>
    <row r="33" spans="40:49" ht="45" x14ac:dyDescent="0.25">
      <c r="AN33" s="38" t="s">
        <v>25</v>
      </c>
      <c r="AO33" s="39" t="s">
        <v>33</v>
      </c>
      <c r="AP33" s="40"/>
      <c r="AQ33" s="36"/>
    </row>
    <row r="34" spans="40:49" ht="30" x14ac:dyDescent="0.25">
      <c r="AN34" s="41" t="s">
        <v>26</v>
      </c>
      <c r="AO34" s="37">
        <v>1.5</v>
      </c>
      <c r="AP34" s="42" t="s">
        <v>34</v>
      </c>
      <c r="AQ34" s="36"/>
    </row>
    <row r="35" spans="40:49" ht="30" x14ac:dyDescent="0.25">
      <c r="AN35" s="41" t="s">
        <v>27</v>
      </c>
      <c r="AO35" s="37">
        <v>18.28</v>
      </c>
      <c r="AP35" s="42" t="s">
        <v>35</v>
      </c>
      <c r="AQ35" s="36"/>
    </row>
    <row r="36" spans="40:49" ht="15.75" x14ac:dyDescent="0.25">
      <c r="AN36" s="41" t="s">
        <v>28</v>
      </c>
      <c r="AO36" s="37">
        <v>4</v>
      </c>
      <c r="AP36" s="42" t="s">
        <v>36</v>
      </c>
      <c r="AQ36" s="36"/>
    </row>
    <row r="37" spans="40:49" ht="15.75" x14ac:dyDescent="0.25">
      <c r="AN37" s="41" t="s">
        <v>29</v>
      </c>
      <c r="AO37" s="37">
        <v>1.5</v>
      </c>
      <c r="AP37" s="42" t="s">
        <v>37</v>
      </c>
      <c r="AQ37" s="36"/>
    </row>
    <row r="38" spans="40:49" ht="15.75" x14ac:dyDescent="0.25">
      <c r="AN38" s="41" t="s">
        <v>30</v>
      </c>
      <c r="AO38" s="37">
        <v>1</v>
      </c>
      <c r="AP38" s="42" t="s">
        <v>37</v>
      </c>
      <c r="AQ38" s="36"/>
    </row>
    <row r="39" spans="40:49" x14ac:dyDescent="0.25">
      <c r="AN39" s="41" t="s">
        <v>31</v>
      </c>
      <c r="AO39" s="37">
        <v>1</v>
      </c>
      <c r="AP39" s="42" t="s">
        <v>37</v>
      </c>
    </row>
    <row r="40" spans="40:49" ht="15.75" thickBot="1" x14ac:dyDescent="0.3">
      <c r="AN40" s="43" t="s">
        <v>32</v>
      </c>
      <c r="AO40" s="44">
        <v>4</v>
      </c>
      <c r="AP40" s="45"/>
    </row>
    <row r="44" spans="40:49" ht="15.75" thickBot="1" x14ac:dyDescent="0.3"/>
    <row r="45" spans="40:49" ht="15.75" thickBot="1" x14ac:dyDescent="0.3">
      <c r="AR45" s="194" t="s">
        <v>51</v>
      </c>
      <c r="AS45" s="195"/>
      <c r="AT45" s="195"/>
      <c r="AU45" s="195"/>
      <c r="AV45" s="195"/>
      <c r="AW45" s="196"/>
    </row>
    <row r="46" spans="40:49" ht="15.75" thickBot="1" x14ac:dyDescent="0.3">
      <c r="AR46" s="134" t="s">
        <v>38</v>
      </c>
      <c r="AS46" s="134" t="s">
        <v>47</v>
      </c>
      <c r="AT46" s="134" t="s">
        <v>362</v>
      </c>
      <c r="AU46" s="134" t="s">
        <v>48</v>
      </c>
      <c r="AV46" s="134" t="s">
        <v>49</v>
      </c>
      <c r="AW46" s="134" t="s">
        <v>50</v>
      </c>
    </row>
    <row r="47" spans="40:49" x14ac:dyDescent="0.25">
      <c r="AR47" s="135" t="s">
        <v>39</v>
      </c>
      <c r="AS47" s="136">
        <v>50</v>
      </c>
      <c r="AT47" s="136"/>
      <c r="AU47" s="136">
        <f>6.55*3.3</f>
        <v>21.614999999999998</v>
      </c>
      <c r="AV47" s="136"/>
      <c r="AW47" s="137">
        <f>AS47*AU47</f>
        <v>1080.75</v>
      </c>
    </row>
    <row r="48" spans="40:49" x14ac:dyDescent="0.25">
      <c r="AR48" s="135" t="s">
        <v>41</v>
      </c>
      <c r="AS48" s="136">
        <v>100</v>
      </c>
      <c r="AT48" s="136"/>
      <c r="AU48" s="136">
        <f>6.55*3.3</f>
        <v>21.614999999999998</v>
      </c>
      <c r="AV48" s="136"/>
      <c r="AW48" s="137">
        <f>AS48*AU48</f>
        <v>2161.5</v>
      </c>
    </row>
    <row r="49" spans="44:49" x14ac:dyDescent="0.25">
      <c r="AR49" s="135" t="s">
        <v>357</v>
      </c>
      <c r="AS49" s="136">
        <v>150</v>
      </c>
      <c r="AT49" s="136"/>
      <c r="AU49" s="136">
        <f>6.55*3.3</f>
        <v>21.614999999999998</v>
      </c>
      <c r="AV49" s="136"/>
      <c r="AW49" s="137">
        <f>AS49*AU49</f>
        <v>3242.2499999999995</v>
      </c>
    </row>
    <row r="50" spans="44:49" x14ac:dyDescent="0.25">
      <c r="AR50" s="135" t="s">
        <v>361</v>
      </c>
      <c r="AS50" s="136">
        <f>0.12*2400</f>
        <v>288</v>
      </c>
      <c r="AT50" s="136"/>
      <c r="AU50" s="136">
        <f>6.55*3.3</f>
        <v>21.614999999999998</v>
      </c>
      <c r="AV50" s="136"/>
      <c r="AW50" s="137">
        <f>AS50*AU50</f>
        <v>6225.12</v>
      </c>
    </row>
    <row r="51" spans="44:49" x14ac:dyDescent="0.25">
      <c r="AR51" s="135" t="s">
        <v>43</v>
      </c>
      <c r="AS51" s="136"/>
      <c r="AT51" s="136">
        <f>0.15*3.2*2000</f>
        <v>960</v>
      </c>
      <c r="AU51" s="136"/>
      <c r="AV51" s="136">
        <v>9.85</v>
      </c>
      <c r="AW51" s="137">
        <f>AV51*AT51</f>
        <v>9456</v>
      </c>
    </row>
    <row r="52" spans="44:49" x14ac:dyDescent="0.25">
      <c r="AR52" s="135" t="s">
        <v>45</v>
      </c>
      <c r="AS52" s="136"/>
      <c r="AT52" s="136">
        <f>0.3*0.6*2400</f>
        <v>432</v>
      </c>
      <c r="AU52" s="136"/>
      <c r="AV52" s="136">
        <v>9.85</v>
      </c>
      <c r="AW52" s="137">
        <f>AV52*AT52</f>
        <v>4255.2</v>
      </c>
    </row>
    <row r="53" spans="44:49" ht="15.75" thickBot="1" x14ac:dyDescent="0.3">
      <c r="AR53" s="138" t="s">
        <v>46</v>
      </c>
      <c r="AS53" s="139"/>
      <c r="AT53" s="139">
        <f>0.4*0.4*2400</f>
        <v>384.00000000000006</v>
      </c>
      <c r="AU53" s="139"/>
      <c r="AV53" s="139">
        <v>3.65</v>
      </c>
      <c r="AW53" s="137">
        <f>AV53*AT53</f>
        <v>1401.6000000000001</v>
      </c>
    </row>
    <row r="54" spans="44:49" ht="15.75" thickBot="1" x14ac:dyDescent="0.3">
      <c r="AR54" s="140"/>
      <c r="AS54" s="140"/>
      <c r="AT54" s="140"/>
      <c r="AU54" s="140"/>
      <c r="AV54" s="141" t="s">
        <v>13</v>
      </c>
      <c r="AW54" s="141">
        <f>SUM(AW47:AW53)</f>
        <v>27822.42</v>
      </c>
    </row>
    <row r="55" spans="44:49" ht="15.75" thickBot="1" x14ac:dyDescent="0.3">
      <c r="AR55" s="142"/>
      <c r="AS55" s="142"/>
      <c r="AT55" s="142"/>
      <c r="AU55" s="142"/>
      <c r="AV55" s="142"/>
      <c r="AW55" s="142"/>
    </row>
    <row r="56" spans="44:49" ht="15.75" thickBot="1" x14ac:dyDescent="0.3">
      <c r="AR56" s="194" t="s">
        <v>52</v>
      </c>
      <c r="AS56" s="195"/>
      <c r="AT56" s="195"/>
      <c r="AU56" s="195"/>
      <c r="AV56" s="195"/>
      <c r="AW56" s="196"/>
    </row>
    <row r="57" spans="44:49" ht="15.75" thickBot="1" x14ac:dyDescent="0.3">
      <c r="AR57" s="134" t="s">
        <v>38</v>
      </c>
      <c r="AS57" s="134" t="s">
        <v>47</v>
      </c>
      <c r="AT57" s="134" t="s">
        <v>362</v>
      </c>
      <c r="AU57" s="134" t="s">
        <v>48</v>
      </c>
      <c r="AV57" s="134" t="s">
        <v>49</v>
      </c>
      <c r="AW57" s="134" t="s">
        <v>50</v>
      </c>
    </row>
    <row r="58" spans="44:49" x14ac:dyDescent="0.25">
      <c r="AR58" s="135" t="s">
        <v>39</v>
      </c>
      <c r="AS58" s="136">
        <v>50</v>
      </c>
      <c r="AT58" s="136"/>
      <c r="AU58" s="136">
        <f>6.55*3.3</f>
        <v>21.614999999999998</v>
      </c>
      <c r="AV58" s="136"/>
      <c r="AW58" s="137">
        <f>AS58*AU58</f>
        <v>1080.75</v>
      </c>
    </row>
    <row r="59" spans="44:49" x14ac:dyDescent="0.25">
      <c r="AR59" s="135" t="s">
        <v>41</v>
      </c>
      <c r="AS59" s="136">
        <v>500</v>
      </c>
      <c r="AT59" s="136"/>
      <c r="AU59" s="136">
        <f>6.55*3.3</f>
        <v>21.614999999999998</v>
      </c>
      <c r="AV59" s="136"/>
      <c r="AW59" s="137">
        <f>AS59*AU59</f>
        <v>10807.5</v>
      </c>
    </row>
    <row r="60" spans="44:49" x14ac:dyDescent="0.25">
      <c r="AR60" s="135" t="s">
        <v>357</v>
      </c>
      <c r="AS60" s="136">
        <v>150</v>
      </c>
      <c r="AT60" s="136"/>
      <c r="AU60" s="136">
        <f>6.55*3.3</f>
        <v>21.614999999999998</v>
      </c>
      <c r="AV60" s="136"/>
      <c r="AW60" s="137">
        <f>AS60*AU60</f>
        <v>3242.2499999999995</v>
      </c>
    </row>
    <row r="61" spans="44:49" x14ac:dyDescent="0.25">
      <c r="AR61" s="135" t="s">
        <v>44</v>
      </c>
      <c r="AS61" s="136">
        <f>0.12*2400</f>
        <v>288</v>
      </c>
      <c r="AT61" s="136"/>
      <c r="AU61" s="136">
        <f>6.55*3.3</f>
        <v>21.614999999999998</v>
      </c>
      <c r="AV61" s="136"/>
      <c r="AW61" s="137">
        <f>AS61*AU61</f>
        <v>6225.12</v>
      </c>
    </row>
    <row r="62" spans="44:49" x14ac:dyDescent="0.25">
      <c r="AR62" s="135" t="s">
        <v>43</v>
      </c>
      <c r="AS62" s="136"/>
      <c r="AT62" s="136">
        <f>0.15*3.2*2000</f>
        <v>960</v>
      </c>
      <c r="AU62" s="136"/>
      <c r="AV62" s="136">
        <v>9.85</v>
      </c>
      <c r="AW62" s="137">
        <f>AV62*AT62</f>
        <v>9456</v>
      </c>
    </row>
    <row r="63" spans="44:49" x14ac:dyDescent="0.25">
      <c r="AR63" s="135" t="s">
        <v>45</v>
      </c>
      <c r="AS63" s="136"/>
      <c r="AT63" s="136">
        <f>0.3*0.6*2400</f>
        <v>432</v>
      </c>
      <c r="AU63" s="136"/>
      <c r="AV63" s="136">
        <v>9.85</v>
      </c>
      <c r="AW63" s="137">
        <f>AV63*AT63</f>
        <v>4255.2</v>
      </c>
    </row>
    <row r="64" spans="44:49" ht="15.75" thickBot="1" x14ac:dyDescent="0.3">
      <c r="AR64" s="138" t="s">
        <v>46</v>
      </c>
      <c r="AS64" s="139"/>
      <c r="AT64" s="139">
        <f>0.4*0.4*2400</f>
        <v>384.00000000000006</v>
      </c>
      <c r="AU64" s="139"/>
      <c r="AV64" s="139">
        <v>3.65</v>
      </c>
      <c r="AW64" s="137">
        <f>AV64*AT64</f>
        <v>1401.6000000000001</v>
      </c>
    </row>
    <row r="65" spans="44:49" ht="15.75" thickBot="1" x14ac:dyDescent="0.3">
      <c r="AR65" s="140"/>
      <c r="AS65" s="140"/>
      <c r="AT65" s="140"/>
      <c r="AU65" s="140"/>
      <c r="AV65" s="141" t="s">
        <v>13</v>
      </c>
      <c r="AW65" s="141">
        <f>SUM(AW58:AW64)</f>
        <v>36468.42</v>
      </c>
    </row>
    <row r="66" spans="44:49" x14ac:dyDescent="0.25">
      <c r="AR66" s="142"/>
      <c r="AS66" s="142"/>
      <c r="AT66" s="142"/>
      <c r="AU66" s="142"/>
      <c r="AV66" s="142"/>
      <c r="AW66" s="142"/>
    </row>
    <row r="67" spans="44:49" x14ac:dyDescent="0.25">
      <c r="AR67" s="142"/>
      <c r="AS67" s="142"/>
      <c r="AT67" s="142"/>
      <c r="AU67" s="142"/>
      <c r="AV67" s="142"/>
      <c r="AW67" s="142"/>
    </row>
    <row r="68" spans="44:49" ht="15.75" thickBot="1" x14ac:dyDescent="0.3">
      <c r="AR68" s="142"/>
      <c r="AS68" s="142"/>
      <c r="AT68" s="142"/>
      <c r="AU68" s="142"/>
      <c r="AV68" s="142"/>
      <c r="AW68" s="142"/>
    </row>
    <row r="69" spans="44:49" ht="15.75" thickBot="1" x14ac:dyDescent="0.3">
      <c r="AR69" s="194" t="s">
        <v>52</v>
      </c>
      <c r="AS69" s="195"/>
      <c r="AT69" s="195"/>
      <c r="AU69" s="195"/>
      <c r="AV69" s="195"/>
      <c r="AW69" s="196"/>
    </row>
    <row r="70" spans="44:49" ht="15.75" thickBot="1" x14ac:dyDescent="0.3">
      <c r="AR70" s="134" t="s">
        <v>38</v>
      </c>
      <c r="AS70" s="134" t="s">
        <v>47</v>
      </c>
      <c r="AT70" s="134"/>
      <c r="AU70" s="134" t="s">
        <v>48</v>
      </c>
      <c r="AV70" s="134" t="s">
        <v>49</v>
      </c>
      <c r="AW70" s="134" t="s">
        <v>50</v>
      </c>
    </row>
    <row r="71" spans="44:49" x14ac:dyDescent="0.25">
      <c r="AR71" s="143" t="s">
        <v>39</v>
      </c>
      <c r="AS71" s="144">
        <v>25</v>
      </c>
      <c r="AT71" s="144"/>
      <c r="AU71" s="144">
        <v>78.209999999999994</v>
      </c>
      <c r="AV71" s="144"/>
      <c r="AW71" s="145">
        <f>AS71*AU71</f>
        <v>1955.2499999999998</v>
      </c>
    </row>
    <row r="72" spans="44:49" x14ac:dyDescent="0.25">
      <c r="AR72" s="135" t="s">
        <v>40</v>
      </c>
      <c r="AS72" s="136">
        <v>25</v>
      </c>
      <c r="AT72" s="136"/>
      <c r="AU72" s="136">
        <v>16.8</v>
      </c>
      <c r="AV72" s="136"/>
      <c r="AW72" s="137">
        <f t="shared" ref="AW72:AW78" si="2">AS72*AU72</f>
        <v>420</v>
      </c>
    </row>
    <row r="73" spans="44:49" x14ac:dyDescent="0.25">
      <c r="AR73" s="135" t="s">
        <v>41</v>
      </c>
      <c r="AS73" s="136">
        <v>35</v>
      </c>
      <c r="AT73" s="136"/>
      <c r="AU73" s="136">
        <v>16.8</v>
      </c>
      <c r="AV73" s="136"/>
      <c r="AW73" s="137">
        <f t="shared" si="2"/>
        <v>588</v>
      </c>
    </row>
    <row r="74" spans="44:49" x14ac:dyDescent="0.25">
      <c r="AR74" s="135" t="s">
        <v>42</v>
      </c>
      <c r="AS74" s="136">
        <v>120</v>
      </c>
      <c r="AT74" s="136"/>
      <c r="AU74" s="136">
        <v>13.8</v>
      </c>
      <c r="AV74" s="136"/>
      <c r="AW74" s="137">
        <f t="shared" si="2"/>
        <v>1656</v>
      </c>
    </row>
    <row r="75" spans="44:49" x14ac:dyDescent="0.25">
      <c r="AR75" s="135" t="s">
        <v>43</v>
      </c>
      <c r="AS75" s="136">
        <v>250</v>
      </c>
      <c r="AT75" s="136"/>
      <c r="AU75" s="136">
        <v>16.8</v>
      </c>
      <c r="AV75" s="136"/>
      <c r="AW75" s="137">
        <f t="shared" si="2"/>
        <v>4200</v>
      </c>
    </row>
    <row r="76" spans="44:49" x14ac:dyDescent="0.25">
      <c r="AR76" s="135" t="s">
        <v>44</v>
      </c>
      <c r="AS76" s="136">
        <v>288</v>
      </c>
      <c r="AT76" s="136"/>
      <c r="AU76" s="136">
        <v>23.04</v>
      </c>
      <c r="AV76" s="136"/>
      <c r="AW76" s="137">
        <f t="shared" si="2"/>
        <v>6635.5199999999995</v>
      </c>
    </row>
    <row r="77" spans="44:49" x14ac:dyDescent="0.25">
      <c r="AR77" s="135" t="s">
        <v>45</v>
      </c>
      <c r="AS77" s="136">
        <v>300</v>
      </c>
      <c r="AT77" s="136"/>
      <c r="AU77" s="136">
        <v>8.1999999999999993</v>
      </c>
      <c r="AV77" s="136"/>
      <c r="AW77" s="137">
        <f t="shared" si="2"/>
        <v>2460</v>
      </c>
    </row>
    <row r="78" spans="44:49" ht="15.75" thickBot="1" x14ac:dyDescent="0.3">
      <c r="AR78" s="138" t="s">
        <v>46</v>
      </c>
      <c r="AS78" s="139">
        <v>384</v>
      </c>
      <c r="AT78" s="139"/>
      <c r="AU78" s="139">
        <v>4.7</v>
      </c>
      <c r="AV78" s="139"/>
      <c r="AW78" s="146">
        <f t="shared" si="2"/>
        <v>1804.8000000000002</v>
      </c>
    </row>
    <row r="79" spans="44:49" ht="15.75" thickBot="1" x14ac:dyDescent="0.3">
      <c r="AR79" s="140"/>
      <c r="AS79" s="140"/>
      <c r="AT79" s="140"/>
      <c r="AU79" s="140"/>
      <c r="AV79" s="141" t="s">
        <v>13</v>
      </c>
      <c r="AW79" s="141">
        <f>SUM(AW71:AW78)</f>
        <v>19719.57</v>
      </c>
    </row>
    <row r="80" spans="44:49" ht="15.75" thickBot="1" x14ac:dyDescent="0.3"/>
    <row r="81" spans="51:61" ht="15.75" thickBot="1" x14ac:dyDescent="0.3">
      <c r="AY81" s="150" t="s">
        <v>53</v>
      </c>
      <c r="AZ81" s="151"/>
      <c r="BA81" s="151"/>
      <c r="BB81" s="152"/>
    </row>
    <row r="82" spans="51:61" ht="15.75" thickBot="1" x14ac:dyDescent="0.3">
      <c r="AY82" s="52" t="s">
        <v>38</v>
      </c>
      <c r="AZ82" s="52" t="s">
        <v>47</v>
      </c>
      <c r="BA82" s="52" t="s">
        <v>48</v>
      </c>
      <c r="BB82" s="52" t="s">
        <v>50</v>
      </c>
    </row>
    <row r="83" spans="51:61" x14ac:dyDescent="0.25">
      <c r="AY83" s="53" t="s">
        <v>363</v>
      </c>
      <c r="AZ83" s="3">
        <v>200</v>
      </c>
      <c r="BA83" s="3">
        <f>AU58</f>
        <v>21.614999999999998</v>
      </c>
      <c r="BB83" s="4">
        <f>AZ83*BA83</f>
        <v>4323</v>
      </c>
    </row>
    <row r="84" spans="51:61" ht="15.75" thickBot="1" x14ac:dyDescent="0.3">
      <c r="AY84" s="55" t="s">
        <v>358</v>
      </c>
      <c r="AZ84" s="56">
        <v>200</v>
      </c>
      <c r="BA84" s="56">
        <f>BA83</f>
        <v>21.614999999999998</v>
      </c>
      <c r="BB84" s="57">
        <f>AZ84*BA84</f>
        <v>4323</v>
      </c>
    </row>
    <row r="85" spans="51:61" ht="15.75" thickBot="1" x14ac:dyDescent="0.3">
      <c r="BB85" s="58">
        <f>SUM(BB83:BB84)</f>
        <v>8646</v>
      </c>
    </row>
    <row r="86" spans="51:61" ht="15.75" thickBot="1" x14ac:dyDescent="0.3"/>
    <row r="87" spans="51:61" ht="15.75" thickBot="1" x14ac:dyDescent="0.3">
      <c r="BE87" s="150" t="s">
        <v>58</v>
      </c>
      <c r="BF87" s="151"/>
      <c r="BG87" s="151"/>
      <c r="BH87" s="151"/>
      <c r="BI87" s="152"/>
    </row>
    <row r="88" spans="51:61" ht="15.75" thickBot="1" x14ac:dyDescent="0.3">
      <c r="BE88" s="52" t="s">
        <v>54</v>
      </c>
      <c r="BF88" s="52" t="s">
        <v>55</v>
      </c>
      <c r="BG88" s="52" t="s">
        <v>49</v>
      </c>
      <c r="BH88" s="52" t="s">
        <v>56</v>
      </c>
      <c r="BI88" s="52" t="s">
        <v>57</v>
      </c>
    </row>
    <row r="89" spans="51:61" x14ac:dyDescent="0.25">
      <c r="AY89" t="s">
        <v>94</v>
      </c>
      <c r="AZ89">
        <f>(BB85+AW79+AW54+BB83+AW79)/((0.8)*((0.85*0.98*210)+(0.02*4200)))</f>
        <v>387.31780790174952</v>
      </c>
      <c r="BE89" s="46"/>
      <c r="BF89" s="47"/>
      <c r="BG89" s="47"/>
      <c r="BH89" s="47"/>
      <c r="BI89" s="48"/>
    </row>
    <row r="90" spans="51:61" x14ac:dyDescent="0.25">
      <c r="AZ90">
        <f>SQRT(AZ89)</f>
        <v>19.680391457025177</v>
      </c>
      <c r="BE90" s="46"/>
      <c r="BF90" s="47"/>
      <c r="BG90" s="47"/>
      <c r="BH90" s="47"/>
      <c r="BI90" s="48"/>
    </row>
    <row r="91" spans="51:61" x14ac:dyDescent="0.25">
      <c r="BE91" s="46"/>
      <c r="BF91" s="47"/>
      <c r="BG91" s="47"/>
      <c r="BH91" s="47"/>
      <c r="BI91" s="48"/>
    </row>
    <row r="92" spans="51:61" x14ac:dyDescent="0.25">
      <c r="BE92" s="46"/>
      <c r="BF92" s="47"/>
      <c r="BG92" s="47"/>
      <c r="BH92" s="47"/>
      <c r="BI92" s="48"/>
    </row>
    <row r="93" spans="51:61" ht="15.75" thickBot="1" x14ac:dyDescent="0.3">
      <c r="AZ93">
        <f>(BB85+AW79+AW54)/((0.8)*((0.85*0.99*210)+(0.01*4200)))</f>
        <v>321.12560866881557</v>
      </c>
      <c r="BE93" s="49"/>
      <c r="BF93" s="50"/>
      <c r="BG93" s="50"/>
      <c r="BH93" s="50"/>
      <c r="BI93" s="51"/>
    </row>
    <row r="108" spans="57:61" ht="15.75" thickBot="1" x14ac:dyDescent="0.3"/>
    <row r="109" spans="57:61" ht="15.75" thickBot="1" x14ac:dyDescent="0.3">
      <c r="BE109" s="150" t="s">
        <v>59</v>
      </c>
      <c r="BF109" s="151"/>
      <c r="BG109" s="151"/>
      <c r="BH109" s="151"/>
      <c r="BI109" s="152"/>
    </row>
    <row r="110" spans="57:61" ht="15.75" thickBot="1" x14ac:dyDescent="0.3">
      <c r="BE110" s="52" t="s">
        <v>54</v>
      </c>
      <c r="BF110" s="52" t="s">
        <v>55</v>
      </c>
      <c r="BG110" s="52" t="s">
        <v>49</v>
      </c>
      <c r="BH110" s="52" t="s">
        <v>56</v>
      </c>
      <c r="BI110" s="52" t="s">
        <v>57</v>
      </c>
    </row>
    <row r="111" spans="57:61" x14ac:dyDescent="0.25">
      <c r="BE111" s="46"/>
      <c r="BF111" s="47"/>
      <c r="BG111" s="47"/>
      <c r="BH111" s="47"/>
      <c r="BI111" s="48"/>
    </row>
    <row r="112" spans="57:61" x14ac:dyDescent="0.25">
      <c r="BE112" s="46"/>
      <c r="BF112" s="47"/>
      <c r="BG112" s="47"/>
      <c r="BH112" s="47"/>
      <c r="BI112" s="48"/>
    </row>
    <row r="113" spans="57:67" x14ac:dyDescent="0.25">
      <c r="BE113" s="46"/>
      <c r="BF113" s="47"/>
      <c r="BG113" s="47"/>
      <c r="BH113" s="47"/>
      <c r="BI113" s="48"/>
    </row>
    <row r="114" spans="57:67" x14ac:dyDescent="0.25">
      <c r="BE114" s="46"/>
      <c r="BF114" s="47"/>
      <c r="BG114" s="47"/>
      <c r="BH114" s="47"/>
      <c r="BI114" s="48"/>
    </row>
    <row r="115" spans="57:67" ht="15.75" thickBot="1" x14ac:dyDescent="0.3">
      <c r="BE115" s="49"/>
      <c r="BF115" s="50"/>
      <c r="BG115" s="50"/>
      <c r="BH115" s="50"/>
      <c r="BI115" s="51"/>
    </row>
    <row r="119" spans="57:67" ht="15.75" thickBot="1" x14ac:dyDescent="0.3"/>
    <row r="120" spans="57:67" x14ac:dyDescent="0.25">
      <c r="BK120" s="59" t="s">
        <v>38</v>
      </c>
      <c r="BL120" s="60" t="s">
        <v>61</v>
      </c>
      <c r="BM120" s="60" t="s">
        <v>62</v>
      </c>
      <c r="BN120" s="60" t="s">
        <v>2</v>
      </c>
      <c r="BO120" s="61" t="s">
        <v>63</v>
      </c>
    </row>
    <row r="121" spans="57:67" x14ac:dyDescent="0.25">
      <c r="BK121" s="54" t="s">
        <v>54</v>
      </c>
      <c r="BL121" s="1">
        <v>192</v>
      </c>
      <c r="BM121" s="1" t="s">
        <v>64</v>
      </c>
      <c r="BN121" s="1">
        <v>156.5</v>
      </c>
      <c r="BO121" s="2">
        <f>BN121*BL121</f>
        <v>30048</v>
      </c>
    </row>
    <row r="122" spans="57:67" x14ac:dyDescent="0.25">
      <c r="BK122" s="54" t="s">
        <v>46</v>
      </c>
      <c r="BL122" s="1">
        <v>781.92</v>
      </c>
      <c r="BM122" s="1" t="s">
        <v>65</v>
      </c>
      <c r="BN122" s="1">
        <v>24</v>
      </c>
      <c r="BO122" s="2">
        <f>BN122*BL122</f>
        <v>18766.079999999998</v>
      </c>
    </row>
    <row r="123" spans="57:67" x14ac:dyDescent="0.25">
      <c r="BK123" s="54" t="s">
        <v>44</v>
      </c>
      <c r="BL123" s="1">
        <f>0.1*2400+35+25</f>
        <v>300</v>
      </c>
      <c r="BM123" s="1" t="s">
        <v>66</v>
      </c>
      <c r="BN123" s="1">
        <f>20*8</f>
        <v>160</v>
      </c>
      <c r="BO123" s="2">
        <f>BN123*BL123</f>
        <v>48000</v>
      </c>
    </row>
    <row r="124" spans="57:67" x14ac:dyDescent="0.25">
      <c r="BK124" s="54" t="s">
        <v>60</v>
      </c>
      <c r="BL124" s="1">
        <v>849</v>
      </c>
      <c r="BM124" s="1" t="s">
        <v>64</v>
      </c>
      <c r="BN124" s="1">
        <v>66</v>
      </c>
      <c r="BO124" s="2">
        <f>BN124*BL124</f>
        <v>56034</v>
      </c>
    </row>
    <row r="125" spans="57:67" x14ac:dyDescent="0.25">
      <c r="BK125" s="198" t="s">
        <v>67</v>
      </c>
      <c r="BL125" s="199"/>
      <c r="BM125" s="199"/>
      <c r="BN125" s="199"/>
      <c r="BO125" s="2">
        <f>SUM(BO121:BO124)</f>
        <v>152848.08000000002</v>
      </c>
    </row>
    <row r="126" spans="57:67" ht="15.75" thickBot="1" x14ac:dyDescent="0.3">
      <c r="BK126" s="200" t="s">
        <v>68</v>
      </c>
      <c r="BL126" s="201"/>
      <c r="BM126" s="201"/>
      <c r="BN126" s="201"/>
      <c r="BO126" s="57">
        <f>BO125/1000</f>
        <v>152.84808000000001</v>
      </c>
    </row>
    <row r="127" spans="57:67" x14ac:dyDescent="0.25">
      <c r="BK127" s="59" t="s">
        <v>38</v>
      </c>
      <c r="BL127" s="60" t="s">
        <v>61</v>
      </c>
      <c r="BM127" s="60" t="s">
        <v>62</v>
      </c>
      <c r="BN127" s="60" t="s">
        <v>2</v>
      </c>
      <c r="BO127" s="61" t="s">
        <v>63</v>
      </c>
    </row>
    <row r="128" spans="57:67" x14ac:dyDescent="0.25">
      <c r="BK128" s="54" t="s">
        <v>54</v>
      </c>
      <c r="BL128" s="1">
        <v>192</v>
      </c>
      <c r="BM128" s="1" t="s">
        <v>64</v>
      </c>
      <c r="BN128" s="1">
        <v>156.5</v>
      </c>
      <c r="BO128" s="2">
        <f>BN128*BL128</f>
        <v>30048</v>
      </c>
    </row>
    <row r="129" spans="63:72" x14ac:dyDescent="0.25">
      <c r="BK129" s="54" t="s">
        <v>46</v>
      </c>
      <c r="BL129" s="1">
        <v>1172.8800000000001</v>
      </c>
      <c r="BM129" s="1" t="s">
        <v>65</v>
      </c>
      <c r="BN129" s="1">
        <v>24</v>
      </c>
      <c r="BO129" s="2">
        <f>BN129*BL129</f>
        <v>28149.120000000003</v>
      </c>
    </row>
    <row r="130" spans="63:72" x14ac:dyDescent="0.25">
      <c r="BK130" s="54" t="s">
        <v>44</v>
      </c>
      <c r="BL130" s="1">
        <v>493</v>
      </c>
      <c r="BM130" s="1" t="s">
        <v>66</v>
      </c>
      <c r="BN130" s="1">
        <v>160</v>
      </c>
      <c r="BO130" s="2">
        <f>BN130*BL130</f>
        <v>78880</v>
      </c>
    </row>
    <row r="131" spans="63:72" x14ac:dyDescent="0.25">
      <c r="BK131" s="54" t="s">
        <v>60</v>
      </c>
      <c r="BL131" s="1">
        <v>849</v>
      </c>
      <c r="BM131" s="1" t="s">
        <v>64</v>
      </c>
      <c r="BN131" s="1">
        <v>0</v>
      </c>
      <c r="BO131" s="2">
        <f>BN131*BL131</f>
        <v>0</v>
      </c>
    </row>
    <row r="132" spans="63:72" x14ac:dyDescent="0.25">
      <c r="BK132" s="198" t="s">
        <v>69</v>
      </c>
      <c r="BL132" s="199"/>
      <c r="BM132" s="199"/>
      <c r="BN132" s="199"/>
      <c r="BO132" s="2">
        <f>SUM(BO128:BO131)</f>
        <v>137077.12</v>
      </c>
    </row>
    <row r="133" spans="63:72" ht="15.75" thickBot="1" x14ac:dyDescent="0.3">
      <c r="BK133" s="200" t="s">
        <v>70</v>
      </c>
      <c r="BL133" s="201"/>
      <c r="BM133" s="201"/>
      <c r="BN133" s="201"/>
      <c r="BO133" s="57">
        <f>BO132/1000</f>
        <v>137.07712000000001</v>
      </c>
    </row>
    <row r="136" spans="63:72" x14ac:dyDescent="0.25">
      <c r="BM136">
        <f>0.3*0.3*2400*3.62</f>
        <v>781.92000000000007</v>
      </c>
      <c r="BQ136" t="s">
        <v>71</v>
      </c>
      <c r="BR136" t="s">
        <v>72</v>
      </c>
    </row>
    <row r="137" spans="63:72" x14ac:dyDescent="0.25">
      <c r="BM137">
        <f>0.3*0.3*2400*5.43</f>
        <v>1172.8799999999999</v>
      </c>
      <c r="BQ137" t="s">
        <v>73</v>
      </c>
      <c r="BR137">
        <v>2400</v>
      </c>
      <c r="BS137">
        <f>0.4*0.4*0.32*2*400</f>
        <v>40.960000000000008</v>
      </c>
      <c r="BT137">
        <f>BS137*BR137</f>
        <v>98304.000000000015</v>
      </c>
    </row>
    <row r="138" spans="63:72" x14ac:dyDescent="0.25">
      <c r="BQ138" t="s">
        <v>74</v>
      </c>
      <c r="BR138">
        <v>25</v>
      </c>
    </row>
    <row r="144" spans="63:72" ht="15.75" thickBot="1" x14ac:dyDescent="0.3"/>
    <row r="145" spans="74:83" ht="15.75" x14ac:dyDescent="0.25">
      <c r="BV145" s="202" t="s">
        <v>75</v>
      </c>
      <c r="BW145" s="203"/>
      <c r="BX145" s="184"/>
      <c r="BY145" s="68">
        <v>200</v>
      </c>
      <c r="BZ145" s="69">
        <v>500</v>
      </c>
    </row>
    <row r="146" spans="74:83" ht="15.75" x14ac:dyDescent="0.25">
      <c r="BV146" s="204" t="s">
        <v>76</v>
      </c>
      <c r="BW146" s="205"/>
      <c r="BX146" s="186"/>
      <c r="BY146" s="70">
        <v>0.25</v>
      </c>
      <c r="BZ146" s="70">
        <v>0.25</v>
      </c>
    </row>
    <row r="147" spans="74:83" ht="15.75" x14ac:dyDescent="0.25">
      <c r="BV147" s="75" t="s">
        <v>77</v>
      </c>
      <c r="BW147" s="76" t="s">
        <v>78</v>
      </c>
      <c r="BX147" s="76" t="s">
        <v>17</v>
      </c>
      <c r="BY147" s="76" t="s">
        <v>79</v>
      </c>
      <c r="BZ147" s="77" t="s">
        <v>80</v>
      </c>
    </row>
    <row r="148" spans="74:83" ht="15.75" x14ac:dyDescent="0.25">
      <c r="BV148" s="71" t="s">
        <v>83</v>
      </c>
      <c r="BW148" s="72">
        <v>50</v>
      </c>
      <c r="BX148" s="72" t="s">
        <v>66</v>
      </c>
      <c r="BY148" s="72">
        <f>20*6.8</f>
        <v>136</v>
      </c>
      <c r="BZ148" s="73">
        <f>BY148*BW148</f>
        <v>6800</v>
      </c>
    </row>
    <row r="149" spans="74:83" ht="15.75" x14ac:dyDescent="0.25">
      <c r="BV149" s="71" t="s">
        <v>84</v>
      </c>
      <c r="BW149" s="72">
        <v>125</v>
      </c>
      <c r="BX149" s="72" t="s">
        <v>66</v>
      </c>
      <c r="BY149" s="72">
        <f>20*1.2</f>
        <v>24</v>
      </c>
      <c r="BZ149" s="73">
        <f>BY149*BW149</f>
        <v>3000</v>
      </c>
    </row>
    <row r="150" spans="74:83" ht="15.75" x14ac:dyDescent="0.25">
      <c r="BV150" s="161" t="s">
        <v>81</v>
      </c>
      <c r="BW150" s="197"/>
      <c r="BX150" s="197"/>
      <c r="BY150" s="197"/>
      <c r="BZ150" s="73">
        <f>SUM(BZ148:BZ149)</f>
        <v>9800</v>
      </c>
    </row>
    <row r="151" spans="74:83" ht="16.5" thickBot="1" x14ac:dyDescent="0.3">
      <c r="BV151" s="159" t="s">
        <v>82</v>
      </c>
      <c r="BW151" s="190"/>
      <c r="BX151" s="190"/>
      <c r="BY151" s="190"/>
      <c r="BZ151" s="74">
        <f>BZ150/1000</f>
        <v>9.8000000000000007</v>
      </c>
    </row>
    <row r="152" spans="74:83" ht="15.75" x14ac:dyDescent="0.25">
      <c r="BV152" s="202" t="s">
        <v>75</v>
      </c>
      <c r="BW152" s="203"/>
      <c r="BX152" s="184"/>
      <c r="BY152" s="68">
        <v>200</v>
      </c>
      <c r="BZ152" s="69">
        <v>500</v>
      </c>
    </row>
    <row r="153" spans="74:83" ht="15.75" x14ac:dyDescent="0.25">
      <c r="BV153" s="204" t="s">
        <v>76</v>
      </c>
      <c r="BW153" s="205"/>
      <c r="BX153" s="186"/>
      <c r="BY153" s="70">
        <v>0.25</v>
      </c>
      <c r="BZ153" s="70">
        <v>0.25</v>
      </c>
    </row>
    <row r="154" spans="74:83" ht="15.75" x14ac:dyDescent="0.25">
      <c r="BV154" s="75" t="s">
        <v>77</v>
      </c>
      <c r="BW154" s="76" t="s">
        <v>78</v>
      </c>
      <c r="BX154" s="76" t="s">
        <v>17</v>
      </c>
      <c r="BY154" s="76" t="s">
        <v>79</v>
      </c>
      <c r="BZ154" s="77" t="s">
        <v>80</v>
      </c>
    </row>
    <row r="155" spans="74:83" ht="15.75" x14ac:dyDescent="0.25">
      <c r="BV155" s="71" t="s">
        <v>83</v>
      </c>
      <c r="BW155" s="72">
        <v>50</v>
      </c>
      <c r="BX155" s="72" t="s">
        <v>66</v>
      </c>
      <c r="BY155" s="72">
        <f>20*6.8</f>
        <v>136</v>
      </c>
      <c r="BZ155" s="73">
        <f>BY155*BW155</f>
        <v>6800</v>
      </c>
    </row>
    <row r="156" spans="74:83" ht="15.75" x14ac:dyDescent="0.25">
      <c r="BV156" s="71" t="s">
        <v>84</v>
      </c>
      <c r="BW156" s="72">
        <v>125</v>
      </c>
      <c r="BX156" s="72" t="s">
        <v>66</v>
      </c>
      <c r="BY156" s="72">
        <f>20*1.2</f>
        <v>24</v>
      </c>
      <c r="BZ156" s="73">
        <f>BY156*BW156</f>
        <v>3000</v>
      </c>
    </row>
    <row r="157" spans="74:83" ht="15.75" x14ac:dyDescent="0.25">
      <c r="BV157" s="161" t="s">
        <v>81</v>
      </c>
      <c r="BW157" s="197"/>
      <c r="BX157" s="197"/>
      <c r="BY157" s="197"/>
      <c r="BZ157" s="73">
        <f>SUM(BZ155:BZ156)</f>
        <v>9800</v>
      </c>
    </row>
    <row r="158" spans="74:83" ht="16.5" thickBot="1" x14ac:dyDescent="0.3">
      <c r="BV158" s="159" t="s">
        <v>82</v>
      </c>
      <c r="BW158" s="190"/>
      <c r="BX158" s="190"/>
      <c r="BY158" s="190"/>
      <c r="BZ158" s="74">
        <f>BZ157/1000</f>
        <v>9.8000000000000007</v>
      </c>
    </row>
    <row r="159" spans="74:83" ht="16.5" thickBot="1" x14ac:dyDescent="0.3">
      <c r="CB159" s="167" t="s">
        <v>93</v>
      </c>
      <c r="CC159" s="168"/>
      <c r="CD159" s="168"/>
      <c r="CE159" s="169"/>
    </row>
    <row r="160" spans="74:83" ht="15.75" x14ac:dyDescent="0.25">
      <c r="CB160" s="80" t="s">
        <v>85</v>
      </c>
      <c r="CC160" s="81" t="s">
        <v>86</v>
      </c>
      <c r="CD160" s="81" t="s">
        <v>87</v>
      </c>
      <c r="CE160" s="82" t="s">
        <v>88</v>
      </c>
    </row>
    <row r="161" spans="80:91" ht="15.75" x14ac:dyDescent="0.25">
      <c r="CB161" s="71" t="s">
        <v>89</v>
      </c>
      <c r="CC161" s="72">
        <f>BO125</f>
        <v>152848.08000000002</v>
      </c>
      <c r="CD161" s="72">
        <f>BZ150</f>
        <v>9800</v>
      </c>
      <c r="CE161" s="73">
        <f>CD161+CC161</f>
        <v>162648.08000000002</v>
      </c>
    </row>
    <row r="162" spans="80:91" ht="15.75" x14ac:dyDescent="0.25">
      <c r="CB162" s="71" t="s">
        <v>90</v>
      </c>
      <c r="CC162" s="72">
        <f>BO132</f>
        <v>137077.12</v>
      </c>
      <c r="CD162" s="72">
        <f>BZ157</f>
        <v>9800</v>
      </c>
      <c r="CE162" s="73">
        <f>CD162+CC162</f>
        <v>146877.12</v>
      </c>
    </row>
    <row r="163" spans="80:91" ht="15.75" x14ac:dyDescent="0.25">
      <c r="CB163" s="71" t="s">
        <v>91</v>
      </c>
      <c r="CC163" s="72">
        <f>SUM(CC161:CC162)</f>
        <v>289925.2</v>
      </c>
      <c r="CD163" s="72">
        <f>SUM(CD161:CD162)</f>
        <v>19600</v>
      </c>
      <c r="CE163" s="73">
        <f>SUM(CE161:CE162)</f>
        <v>309525.2</v>
      </c>
    </row>
    <row r="164" spans="80:91" ht="16.5" thickBot="1" x14ac:dyDescent="0.3">
      <c r="CB164" s="78" t="s">
        <v>92</v>
      </c>
      <c r="CC164" s="79">
        <f>CC163/1000</f>
        <v>289.92520000000002</v>
      </c>
      <c r="CD164" s="79">
        <f>CD163/1000</f>
        <v>19.600000000000001</v>
      </c>
      <c r="CE164" s="74">
        <f>CE163/1000</f>
        <v>309.52519999999998</v>
      </c>
    </row>
    <row r="167" spans="80:91" x14ac:dyDescent="0.25">
      <c r="CE167">
        <f>CE163*0.1625</f>
        <v>50297.845000000001</v>
      </c>
    </row>
    <row r="168" spans="80:91" x14ac:dyDescent="0.25">
      <c r="CE168">
        <f>CE167/1000</f>
        <v>50.297845000000002</v>
      </c>
    </row>
    <row r="170" spans="80:91" ht="15.75" thickBot="1" x14ac:dyDescent="0.3"/>
    <row r="171" spans="80:91" ht="16.5" thickBot="1" x14ac:dyDescent="0.3">
      <c r="CH171" s="83" t="s">
        <v>85</v>
      </c>
      <c r="CI171" s="84" t="s">
        <v>244</v>
      </c>
      <c r="CJ171" s="84" t="s">
        <v>245</v>
      </c>
      <c r="CK171" s="84" t="s">
        <v>246</v>
      </c>
      <c r="CL171" s="84" t="s">
        <v>247</v>
      </c>
      <c r="CM171" s="85" t="s">
        <v>248</v>
      </c>
    </row>
    <row r="172" spans="80:91" ht="15.75" x14ac:dyDescent="0.25">
      <c r="CH172" s="86" t="s">
        <v>89</v>
      </c>
      <c r="CI172" s="87">
        <v>9.0500000000000007</v>
      </c>
      <c r="CJ172" s="87">
        <f>CE161</f>
        <v>162648.08000000002</v>
      </c>
      <c r="CK172" s="87">
        <f>CI172*CJ172</f>
        <v>1471965.1240000003</v>
      </c>
      <c r="CL172" s="87">
        <f>CJ172*0.1625</f>
        <v>26430.313000000002</v>
      </c>
      <c r="CM172" s="88">
        <f>CL172</f>
        <v>26430.313000000002</v>
      </c>
    </row>
    <row r="173" spans="80:91" ht="15.75" x14ac:dyDescent="0.25">
      <c r="CH173" s="71" t="s">
        <v>90</v>
      </c>
      <c r="CI173" s="72">
        <v>5.43</v>
      </c>
      <c r="CJ173" s="72">
        <f>CE162</f>
        <v>146877.12</v>
      </c>
      <c r="CK173" s="72">
        <f>CI173*CJ173</f>
        <v>797542.76159999997</v>
      </c>
      <c r="CL173" s="72">
        <f>CJ173*0.1625</f>
        <v>23867.531999999999</v>
      </c>
      <c r="CM173" s="73">
        <f>CM172+CL173</f>
        <v>50297.845000000001</v>
      </c>
    </row>
    <row r="174" spans="80:91" ht="16.5" thickBot="1" x14ac:dyDescent="0.3">
      <c r="CH174" s="159" t="s">
        <v>243</v>
      </c>
      <c r="CI174" s="190"/>
      <c r="CJ174" s="79">
        <f>CJ172+CJ173</f>
        <v>309525.2</v>
      </c>
      <c r="CK174" s="79">
        <f>CK172+CK173</f>
        <v>2269507.8856000002</v>
      </c>
      <c r="CL174" s="79">
        <f>CL172+CL173</f>
        <v>50297.845000000001</v>
      </c>
      <c r="CM174" s="89" t="s">
        <v>249</v>
      </c>
    </row>
    <row r="176" spans="80:91" ht="15.75" thickBot="1" x14ac:dyDescent="0.3"/>
    <row r="177" spans="94:116" ht="16.5" thickBot="1" x14ac:dyDescent="0.3">
      <c r="CP177" s="167" t="s">
        <v>302</v>
      </c>
      <c r="CQ177" s="168"/>
      <c r="CR177" s="168"/>
      <c r="CS177" s="168"/>
      <c r="CT177" s="168"/>
      <c r="CU177" s="168"/>
      <c r="CV177" s="168"/>
      <c r="CW177" s="168"/>
      <c r="CX177" s="168"/>
      <c r="CY177" s="168"/>
      <c r="CZ177" s="168"/>
      <c r="DA177" s="169"/>
    </row>
    <row r="178" spans="94:116" ht="16.5" thickBot="1" x14ac:dyDescent="0.3">
      <c r="CP178" s="170" t="s">
        <v>296</v>
      </c>
      <c r="CQ178" s="167" t="s">
        <v>45</v>
      </c>
      <c r="CR178" s="169"/>
      <c r="CS178" s="178" t="s">
        <v>44</v>
      </c>
      <c r="CT178" s="179"/>
      <c r="CU178" s="167" t="s">
        <v>43</v>
      </c>
      <c r="CV178" s="169"/>
      <c r="CW178" s="182" t="s">
        <v>298</v>
      </c>
      <c r="CX178" s="183"/>
      <c r="CY178" s="182" t="s">
        <v>299</v>
      </c>
      <c r="CZ178" s="183"/>
      <c r="DA178" s="173" t="s">
        <v>303</v>
      </c>
    </row>
    <row r="179" spans="94:116" ht="15.75" x14ac:dyDescent="0.25">
      <c r="CP179" s="171"/>
      <c r="CQ179" s="86" t="s">
        <v>297</v>
      </c>
      <c r="CR179" s="88" t="s">
        <v>62</v>
      </c>
      <c r="CS179" s="113" t="s">
        <v>297</v>
      </c>
      <c r="CT179" s="114" t="s">
        <v>62</v>
      </c>
      <c r="CU179" s="86" t="s">
        <v>297</v>
      </c>
      <c r="CV179" s="88" t="s">
        <v>62</v>
      </c>
      <c r="CW179" s="113" t="s">
        <v>297</v>
      </c>
      <c r="CX179" s="114" t="s">
        <v>62</v>
      </c>
      <c r="CY179" s="86" t="s">
        <v>297</v>
      </c>
      <c r="CZ179" s="88" t="s">
        <v>62</v>
      </c>
      <c r="DA179" s="174"/>
    </row>
    <row r="180" spans="94:116" ht="15.75" x14ac:dyDescent="0.25">
      <c r="CP180" s="171"/>
      <c r="CQ180" s="71">
        <f>0.2*0.4*2400</f>
        <v>192.00000000000003</v>
      </c>
      <c r="CR180" s="73" t="s">
        <v>64</v>
      </c>
      <c r="CS180" s="115">
        <f>0.1*2400+35+25</f>
        <v>300</v>
      </c>
      <c r="CT180" s="116" t="s">
        <v>66</v>
      </c>
      <c r="CU180" s="71">
        <v>0</v>
      </c>
      <c r="CV180" s="73" t="s">
        <v>64</v>
      </c>
      <c r="CW180" s="115">
        <v>200</v>
      </c>
      <c r="CX180" s="116" t="s">
        <v>66</v>
      </c>
      <c r="CY180" s="71">
        <v>500</v>
      </c>
      <c r="CZ180" s="73" t="s">
        <v>66</v>
      </c>
      <c r="DA180" s="174"/>
    </row>
    <row r="181" spans="94:116" ht="16.5" thickBot="1" x14ac:dyDescent="0.3">
      <c r="CP181" s="172"/>
      <c r="CQ181" s="176" t="s">
        <v>2</v>
      </c>
      <c r="CR181" s="177"/>
      <c r="CS181" s="180" t="s">
        <v>2</v>
      </c>
      <c r="CT181" s="181"/>
      <c r="CU181" s="176" t="s">
        <v>2</v>
      </c>
      <c r="CV181" s="177"/>
      <c r="CW181" s="180" t="s">
        <v>2</v>
      </c>
      <c r="CX181" s="181"/>
      <c r="CY181" s="176" t="s">
        <v>2</v>
      </c>
      <c r="CZ181" s="177"/>
      <c r="DA181" s="175"/>
    </row>
    <row r="182" spans="94:116" ht="15.75" x14ac:dyDescent="0.25">
      <c r="CP182" s="121">
        <v>1</v>
      </c>
      <c r="CQ182" s="165">
        <v>20</v>
      </c>
      <c r="CR182" s="166"/>
      <c r="CS182" s="184"/>
      <c r="CT182" s="185"/>
      <c r="CU182" s="165">
        <v>20</v>
      </c>
      <c r="CV182" s="166"/>
      <c r="CW182" s="184"/>
      <c r="CX182" s="185"/>
      <c r="CY182" s="165"/>
      <c r="CZ182" s="166"/>
      <c r="DA182" s="118">
        <f t="shared" ref="DA182:DA187" si="3">CQ182*$CQ$180+CS182*$CS$180+CU182*$CU$180+CW182*$CW$180+CY182*$CY$180</f>
        <v>3840.0000000000005</v>
      </c>
    </row>
    <row r="183" spans="94:116" ht="15.75" x14ac:dyDescent="0.25">
      <c r="CP183" s="122">
        <v>2</v>
      </c>
      <c r="CQ183" s="161">
        <v>20</v>
      </c>
      <c r="CR183" s="162"/>
      <c r="CS183" s="186"/>
      <c r="CT183" s="187"/>
      <c r="CU183" s="161"/>
      <c r="CV183" s="162"/>
      <c r="CW183" s="186"/>
      <c r="CX183" s="187"/>
      <c r="CY183" s="161"/>
      <c r="CZ183" s="162"/>
      <c r="DA183" s="119">
        <f t="shared" si="3"/>
        <v>3840.0000000000005</v>
      </c>
    </row>
    <row r="184" spans="94:116" ht="15.75" x14ac:dyDescent="0.25">
      <c r="CP184" s="122">
        <v>3</v>
      </c>
      <c r="CQ184" s="161">
        <v>20</v>
      </c>
      <c r="CR184" s="162"/>
      <c r="CS184" s="186"/>
      <c r="CT184" s="187"/>
      <c r="CU184" s="161">
        <v>20</v>
      </c>
      <c r="CV184" s="162"/>
      <c r="CW184" s="186"/>
      <c r="CX184" s="187"/>
      <c r="CY184" s="161"/>
      <c r="CZ184" s="162"/>
      <c r="DA184" s="119">
        <f t="shared" si="3"/>
        <v>3840.0000000000005</v>
      </c>
    </row>
    <row r="185" spans="94:116" ht="15.75" x14ac:dyDescent="0.25">
      <c r="CP185" s="14" t="s">
        <v>44</v>
      </c>
      <c r="CQ185" s="161"/>
      <c r="CR185" s="162"/>
      <c r="CS185" s="186">
        <f>20*8</f>
        <v>160</v>
      </c>
      <c r="CT185" s="187"/>
      <c r="CU185" s="161"/>
      <c r="CV185" s="162"/>
      <c r="CW185" s="186"/>
      <c r="CX185" s="187"/>
      <c r="CY185" s="161"/>
      <c r="CZ185" s="162"/>
      <c r="DA185" s="119">
        <f t="shared" si="3"/>
        <v>48000</v>
      </c>
    </row>
    <row r="186" spans="94:116" ht="15.75" x14ac:dyDescent="0.25">
      <c r="CP186" s="14" t="s">
        <v>300</v>
      </c>
      <c r="CQ186" s="161"/>
      <c r="CR186" s="162"/>
      <c r="CS186" s="186"/>
      <c r="CT186" s="187"/>
      <c r="CU186" s="161"/>
      <c r="CV186" s="162"/>
      <c r="CW186" s="186">
        <f>20*6.8</f>
        <v>136</v>
      </c>
      <c r="CX186" s="187"/>
      <c r="CY186" s="161"/>
      <c r="CZ186" s="162"/>
      <c r="DA186" s="119">
        <f t="shared" si="3"/>
        <v>27200</v>
      </c>
    </row>
    <row r="187" spans="94:116" ht="16.5" thickBot="1" x14ac:dyDescent="0.3">
      <c r="CP187" s="18" t="s">
        <v>301</v>
      </c>
      <c r="CQ187" s="159"/>
      <c r="CR187" s="160"/>
      <c r="CS187" s="188"/>
      <c r="CT187" s="189"/>
      <c r="CU187" s="159"/>
      <c r="CV187" s="160"/>
      <c r="CW187" s="188"/>
      <c r="CX187" s="189"/>
      <c r="CY187" s="159">
        <f>20*1.2</f>
        <v>24</v>
      </c>
      <c r="CZ187" s="160"/>
      <c r="DA187" s="120">
        <f t="shared" si="3"/>
        <v>12000</v>
      </c>
    </row>
    <row r="189" spans="94:116" ht="15.75" thickBot="1" x14ac:dyDescent="0.3"/>
    <row r="190" spans="94:116" ht="16.5" thickBot="1" x14ac:dyDescent="0.3">
      <c r="DC190" s="167" t="s">
        <v>304</v>
      </c>
      <c r="DD190" s="168"/>
      <c r="DE190" s="168"/>
      <c r="DF190" s="168"/>
      <c r="DG190" s="168"/>
      <c r="DH190" s="168"/>
      <c r="DI190" s="168"/>
      <c r="DJ190" s="168"/>
      <c r="DK190" s="168"/>
      <c r="DL190" s="169"/>
    </row>
    <row r="191" spans="94:116" ht="16.5" thickBot="1" x14ac:dyDescent="0.3">
      <c r="DC191" s="170" t="s">
        <v>296</v>
      </c>
      <c r="DD191" s="167" t="s">
        <v>45</v>
      </c>
      <c r="DE191" s="169"/>
      <c r="DF191" s="167" t="s">
        <v>310</v>
      </c>
      <c r="DG191" s="169"/>
      <c r="DH191" s="178" t="s">
        <v>311</v>
      </c>
      <c r="DI191" s="179"/>
      <c r="DJ191" s="167" t="s">
        <v>43</v>
      </c>
      <c r="DK191" s="169"/>
      <c r="DL191" s="173" t="s">
        <v>303</v>
      </c>
    </row>
    <row r="192" spans="94:116" ht="15.75" x14ac:dyDescent="0.25">
      <c r="DC192" s="171"/>
      <c r="DD192" s="86" t="s">
        <v>297</v>
      </c>
      <c r="DE192" s="88" t="s">
        <v>62</v>
      </c>
      <c r="DF192" s="86" t="s">
        <v>297</v>
      </c>
      <c r="DG192" s="88" t="s">
        <v>62</v>
      </c>
      <c r="DH192" s="113" t="s">
        <v>297</v>
      </c>
      <c r="DI192" s="114" t="s">
        <v>62</v>
      </c>
      <c r="DJ192" s="86" t="s">
        <v>297</v>
      </c>
      <c r="DK192" s="88" t="s">
        <v>62</v>
      </c>
      <c r="DL192" s="174"/>
    </row>
    <row r="193" spans="107:122" ht="15.75" x14ac:dyDescent="0.25">
      <c r="DC193" s="171"/>
      <c r="DD193" s="71">
        <f>0.2*0.4*2400</f>
        <v>192.00000000000003</v>
      </c>
      <c r="DE193" s="73" t="s">
        <v>64</v>
      </c>
      <c r="DF193" s="71">
        <f>0.3*0.3*2400*3.62</f>
        <v>781.92000000000007</v>
      </c>
      <c r="DG193" s="73" t="s">
        <v>66</v>
      </c>
      <c r="DH193" s="115">
        <f>0.2*0.15*2400*3.62</f>
        <v>260.64</v>
      </c>
      <c r="DI193" s="116" t="s">
        <v>66</v>
      </c>
      <c r="DJ193" s="71">
        <v>0</v>
      </c>
      <c r="DK193" s="73" t="s">
        <v>64</v>
      </c>
      <c r="DL193" s="174"/>
    </row>
    <row r="194" spans="107:122" ht="16.5" thickBot="1" x14ac:dyDescent="0.3">
      <c r="DC194" s="172"/>
      <c r="DD194" s="176" t="s">
        <v>2</v>
      </c>
      <c r="DE194" s="177"/>
      <c r="DF194" s="176" t="s">
        <v>2</v>
      </c>
      <c r="DG194" s="177"/>
      <c r="DH194" s="180" t="s">
        <v>2</v>
      </c>
      <c r="DI194" s="181"/>
      <c r="DJ194" s="176" t="s">
        <v>2</v>
      </c>
      <c r="DK194" s="177"/>
      <c r="DL194" s="175"/>
    </row>
    <row r="195" spans="107:122" ht="15.75" x14ac:dyDescent="0.25">
      <c r="DC195" s="121" t="s">
        <v>132</v>
      </c>
      <c r="DD195" s="165">
        <v>8</v>
      </c>
      <c r="DE195" s="166"/>
      <c r="DF195" s="165">
        <v>3</v>
      </c>
      <c r="DG195" s="166"/>
      <c r="DH195" s="165"/>
      <c r="DI195" s="166"/>
      <c r="DJ195" s="165">
        <v>6.8</v>
      </c>
      <c r="DK195" s="166"/>
      <c r="DL195" s="117">
        <f>DD195*$CQ$180+DF195*$CS$180+DJ195*$CU$180</f>
        <v>2436</v>
      </c>
    </row>
    <row r="196" spans="107:122" ht="15.75" x14ac:dyDescent="0.25">
      <c r="DC196" s="122" t="s">
        <v>134</v>
      </c>
      <c r="DD196" s="161">
        <v>8</v>
      </c>
      <c r="DE196" s="162"/>
      <c r="DF196" s="161"/>
      <c r="DG196" s="162"/>
      <c r="DH196" s="161">
        <v>2</v>
      </c>
      <c r="DI196" s="162"/>
      <c r="DJ196" s="161"/>
      <c r="DK196" s="162"/>
      <c r="DL196" s="10">
        <f t="shared" ref="DL196:DL204" si="4">DD196*$CQ$180+DF196*$CS$180+DJ196*$CU$180</f>
        <v>1536.0000000000002</v>
      </c>
    </row>
    <row r="197" spans="107:122" ht="15.75" x14ac:dyDescent="0.25">
      <c r="DC197" s="122" t="s">
        <v>191</v>
      </c>
      <c r="DD197" s="161">
        <v>8</v>
      </c>
      <c r="DE197" s="162"/>
      <c r="DF197" s="161"/>
      <c r="DG197" s="162"/>
      <c r="DH197" s="161">
        <v>2</v>
      </c>
      <c r="DI197" s="162"/>
      <c r="DJ197" s="161"/>
      <c r="DK197" s="162"/>
      <c r="DL197" s="10">
        <f t="shared" si="4"/>
        <v>1536.0000000000002</v>
      </c>
    </row>
    <row r="198" spans="107:122" ht="15.75" x14ac:dyDescent="0.25">
      <c r="DC198" s="14" t="s">
        <v>192</v>
      </c>
      <c r="DD198" s="161">
        <v>8</v>
      </c>
      <c r="DE198" s="162"/>
      <c r="DF198" s="161">
        <v>3</v>
      </c>
      <c r="DG198" s="162"/>
      <c r="DH198" s="161"/>
      <c r="DI198" s="162"/>
      <c r="DJ198" s="163">
        <v>6.8</v>
      </c>
      <c r="DK198" s="164"/>
      <c r="DL198" s="10">
        <f t="shared" si="4"/>
        <v>2436</v>
      </c>
    </row>
    <row r="199" spans="107:122" ht="15.75" x14ac:dyDescent="0.25">
      <c r="DC199" s="14" t="s">
        <v>193</v>
      </c>
      <c r="DD199" s="161">
        <v>8</v>
      </c>
      <c r="DE199" s="162"/>
      <c r="DF199" s="161"/>
      <c r="DG199" s="162"/>
      <c r="DH199" s="161">
        <v>2</v>
      </c>
      <c r="DI199" s="162"/>
      <c r="DJ199" s="161"/>
      <c r="DK199" s="162"/>
      <c r="DL199" s="10">
        <f t="shared" si="4"/>
        <v>1536.0000000000002</v>
      </c>
    </row>
    <row r="200" spans="107:122" ht="15.75" x14ac:dyDescent="0.25">
      <c r="DC200" s="14" t="s">
        <v>194</v>
      </c>
      <c r="DD200" s="161">
        <v>8</v>
      </c>
      <c r="DE200" s="162"/>
      <c r="DF200" s="161"/>
      <c r="DG200" s="162"/>
      <c r="DH200" s="161">
        <v>2</v>
      </c>
      <c r="DI200" s="162"/>
      <c r="DJ200" s="161"/>
      <c r="DK200" s="162"/>
      <c r="DL200" s="10">
        <f t="shared" si="4"/>
        <v>1536.0000000000002</v>
      </c>
    </row>
    <row r="201" spans="107:122" ht="15.75" x14ac:dyDescent="0.25">
      <c r="DC201" s="123" t="s">
        <v>195</v>
      </c>
      <c r="DD201" s="163">
        <v>8</v>
      </c>
      <c r="DE201" s="164"/>
      <c r="DF201" s="163">
        <v>3</v>
      </c>
      <c r="DG201" s="164"/>
      <c r="DH201" s="163"/>
      <c r="DI201" s="164"/>
      <c r="DJ201" s="163">
        <v>6.8</v>
      </c>
      <c r="DK201" s="164"/>
      <c r="DL201" s="10">
        <f t="shared" si="4"/>
        <v>2436</v>
      </c>
    </row>
    <row r="202" spans="107:122" ht="15.75" x14ac:dyDescent="0.25">
      <c r="DC202" s="14" t="s">
        <v>196</v>
      </c>
      <c r="DD202" s="161">
        <v>8</v>
      </c>
      <c r="DE202" s="162"/>
      <c r="DF202" s="161"/>
      <c r="DG202" s="162"/>
      <c r="DH202" s="161">
        <v>2</v>
      </c>
      <c r="DI202" s="162"/>
      <c r="DJ202" s="161"/>
      <c r="DK202" s="162"/>
      <c r="DL202" s="10">
        <f t="shared" si="4"/>
        <v>1536.0000000000002</v>
      </c>
    </row>
    <row r="203" spans="107:122" ht="15.75" x14ac:dyDescent="0.25">
      <c r="DC203" s="14" t="s">
        <v>197</v>
      </c>
      <c r="DD203" s="161">
        <v>8</v>
      </c>
      <c r="DE203" s="162"/>
      <c r="DF203" s="161"/>
      <c r="DG203" s="162"/>
      <c r="DH203" s="161">
        <v>2</v>
      </c>
      <c r="DI203" s="162"/>
      <c r="DJ203" s="161"/>
      <c r="DK203" s="162"/>
      <c r="DL203" s="10">
        <f t="shared" si="4"/>
        <v>1536.0000000000002</v>
      </c>
    </row>
    <row r="204" spans="107:122" ht="16.5" thickBot="1" x14ac:dyDescent="0.3">
      <c r="DC204" s="18" t="s">
        <v>198</v>
      </c>
      <c r="DD204" s="159">
        <v>8</v>
      </c>
      <c r="DE204" s="160"/>
      <c r="DF204" s="159">
        <v>3</v>
      </c>
      <c r="DG204" s="160"/>
      <c r="DH204" s="159"/>
      <c r="DI204" s="160"/>
      <c r="DJ204" s="159"/>
      <c r="DK204" s="160"/>
      <c r="DL204" s="124">
        <f t="shared" si="4"/>
        <v>2436</v>
      </c>
    </row>
    <row r="208" spans="107:122" x14ac:dyDescent="0.25">
      <c r="DO208" t="s">
        <v>296</v>
      </c>
      <c r="DP208" t="s">
        <v>305</v>
      </c>
      <c r="DQ208" t="s">
        <v>306</v>
      </c>
      <c r="DR208" t="s">
        <v>307</v>
      </c>
    </row>
    <row r="209" spans="119:122" x14ac:dyDescent="0.25">
      <c r="DO209">
        <v>1</v>
      </c>
      <c r="DP209">
        <f>DA182</f>
        <v>3840.0000000000005</v>
      </c>
      <c r="DQ209">
        <v>10</v>
      </c>
      <c r="DR209">
        <f>DQ209*DP209</f>
        <v>38400.000000000007</v>
      </c>
    </row>
    <row r="210" spans="119:122" x14ac:dyDescent="0.25">
      <c r="DO210">
        <v>2</v>
      </c>
      <c r="DP210">
        <f>DA183</f>
        <v>3840.0000000000005</v>
      </c>
      <c r="DQ210">
        <v>10</v>
      </c>
      <c r="DR210">
        <f t="shared" ref="DR210:DR224" si="5">DQ210*DP210</f>
        <v>38400.000000000007</v>
      </c>
    </row>
    <row r="211" spans="119:122" x14ac:dyDescent="0.25">
      <c r="DO211">
        <v>3</v>
      </c>
      <c r="DP211">
        <f>DA184</f>
        <v>3840.0000000000005</v>
      </c>
      <c r="DQ211">
        <v>10</v>
      </c>
      <c r="DR211">
        <f t="shared" si="5"/>
        <v>38400.000000000007</v>
      </c>
    </row>
    <row r="212" spans="119:122" x14ac:dyDescent="0.25">
      <c r="DO212" t="s">
        <v>132</v>
      </c>
      <c r="DP212">
        <f>DL195</f>
        <v>2436</v>
      </c>
      <c r="DQ212">
        <f>0.15</f>
        <v>0.15</v>
      </c>
      <c r="DR212">
        <f t="shared" si="5"/>
        <v>365.4</v>
      </c>
    </row>
    <row r="213" spans="119:122" x14ac:dyDescent="0.25">
      <c r="DO213" t="s">
        <v>134</v>
      </c>
      <c r="DP213">
        <f t="shared" ref="DP213:DP221" si="6">DL196</f>
        <v>1536.0000000000002</v>
      </c>
      <c r="DQ213">
        <f>0.15+2.15</f>
        <v>2.2999999999999998</v>
      </c>
      <c r="DR213">
        <f t="shared" si="5"/>
        <v>3532.8</v>
      </c>
    </row>
    <row r="214" spans="119:122" x14ac:dyDescent="0.25">
      <c r="DO214" t="s">
        <v>191</v>
      </c>
      <c r="DP214">
        <f t="shared" si="6"/>
        <v>1536.0000000000002</v>
      </c>
      <c r="DQ214">
        <f>0.15+2.15+2.25</f>
        <v>4.55</v>
      </c>
      <c r="DR214">
        <f t="shared" si="5"/>
        <v>6988.8000000000011</v>
      </c>
    </row>
    <row r="215" spans="119:122" x14ac:dyDescent="0.25">
      <c r="DO215" t="s">
        <v>192</v>
      </c>
      <c r="DP215">
        <f t="shared" si="6"/>
        <v>2436</v>
      </c>
      <c r="DQ215">
        <f>0.15+2.15+2.25+2.15</f>
        <v>6.6999999999999993</v>
      </c>
      <c r="DR215">
        <f t="shared" si="5"/>
        <v>16321.199999999999</v>
      </c>
    </row>
    <row r="216" spans="119:122" x14ac:dyDescent="0.25">
      <c r="DO216" t="s">
        <v>193</v>
      </c>
      <c r="DP216">
        <f t="shared" si="6"/>
        <v>1536.0000000000002</v>
      </c>
      <c r="DQ216">
        <f>0.15+2.15+2.25+2.15+2.2</f>
        <v>8.8999999999999986</v>
      </c>
      <c r="DR216">
        <f t="shared" si="5"/>
        <v>13670.4</v>
      </c>
    </row>
    <row r="217" spans="119:122" x14ac:dyDescent="0.25">
      <c r="DO217" t="s">
        <v>194</v>
      </c>
      <c r="DP217">
        <f t="shared" si="6"/>
        <v>1536.0000000000002</v>
      </c>
      <c r="DQ217">
        <f>0.15+2.15+2.25+2.15+2.2+2.2</f>
        <v>11.099999999999998</v>
      </c>
      <c r="DR217">
        <f t="shared" si="5"/>
        <v>17049.599999999999</v>
      </c>
    </row>
    <row r="218" spans="119:122" x14ac:dyDescent="0.25">
      <c r="DO218" t="s">
        <v>195</v>
      </c>
      <c r="DP218">
        <f t="shared" si="6"/>
        <v>2436</v>
      </c>
      <c r="DQ218">
        <f>0.15+2.15+2.25+2.15+2.2+2.2+2.2</f>
        <v>13.299999999999997</v>
      </c>
      <c r="DR218">
        <f t="shared" si="5"/>
        <v>32398.799999999992</v>
      </c>
    </row>
    <row r="219" spans="119:122" x14ac:dyDescent="0.25">
      <c r="DO219" t="s">
        <v>196</v>
      </c>
      <c r="DP219">
        <f t="shared" si="6"/>
        <v>1536.0000000000002</v>
      </c>
      <c r="DQ219">
        <f>0.15+2.15+2.25+2.15+2.2+2.2+2.2+2.15</f>
        <v>15.449999999999998</v>
      </c>
      <c r="DR219">
        <f t="shared" si="5"/>
        <v>23731.200000000001</v>
      </c>
    </row>
    <row r="220" spans="119:122" x14ac:dyDescent="0.25">
      <c r="DO220" t="s">
        <v>197</v>
      </c>
      <c r="DP220">
        <f t="shared" si="6"/>
        <v>1536.0000000000002</v>
      </c>
      <c r="DQ220">
        <f>0.15+2.15+2.25+2.15+2.2+2.2+2.2+2.15+2.25</f>
        <v>17.699999999999996</v>
      </c>
      <c r="DR220">
        <f t="shared" si="5"/>
        <v>27187.199999999997</v>
      </c>
    </row>
    <row r="221" spans="119:122" x14ac:dyDescent="0.25">
      <c r="DO221" t="s">
        <v>198</v>
      </c>
      <c r="DP221">
        <f t="shared" si="6"/>
        <v>2436</v>
      </c>
      <c r="DQ221">
        <f>0.15+2.15+2.25+2.15+2.2+2.2+2.2+2.15+2.25+2.15</f>
        <v>19.849999999999994</v>
      </c>
      <c r="DR221">
        <f t="shared" si="5"/>
        <v>48354.599999999984</v>
      </c>
    </row>
    <row r="222" spans="119:122" x14ac:dyDescent="0.25">
      <c r="DO222" t="s">
        <v>44</v>
      </c>
      <c r="DP222">
        <f>DA185</f>
        <v>48000</v>
      </c>
      <c r="DQ222">
        <v>10</v>
      </c>
      <c r="DR222">
        <f t="shared" si="5"/>
        <v>480000</v>
      </c>
    </row>
    <row r="223" spans="119:122" x14ac:dyDescent="0.25">
      <c r="DO223" t="s">
        <v>308</v>
      </c>
      <c r="DP223">
        <f>DA186</f>
        <v>27200</v>
      </c>
      <c r="DQ223">
        <v>10</v>
      </c>
      <c r="DR223">
        <f t="shared" si="5"/>
        <v>272000</v>
      </c>
    </row>
    <row r="224" spans="119:122" x14ac:dyDescent="0.25">
      <c r="DO224" t="s">
        <v>308</v>
      </c>
      <c r="DP224">
        <f>DA187</f>
        <v>12000</v>
      </c>
      <c r="DQ224">
        <v>10</v>
      </c>
      <c r="DR224">
        <f t="shared" si="5"/>
        <v>120000</v>
      </c>
    </row>
    <row r="225" spans="119:127" x14ac:dyDescent="0.25">
      <c r="DO225" t="s">
        <v>309</v>
      </c>
      <c r="DP225">
        <f>SUM(DP209:DP224)</f>
        <v>117680</v>
      </c>
      <c r="DQ225">
        <f>SUM(DQ209:DQ224)</f>
        <v>159.99999999999997</v>
      </c>
      <c r="DR225">
        <f>SUM(DR209:DR224)</f>
        <v>1176800</v>
      </c>
    </row>
    <row r="228" spans="119:127" x14ac:dyDescent="0.25">
      <c r="DR228">
        <f>DR225/DP225</f>
        <v>10</v>
      </c>
    </row>
    <row r="231" spans="119:127" x14ac:dyDescent="0.25">
      <c r="DT231" t="s">
        <v>296</v>
      </c>
      <c r="DU231" t="s">
        <v>305</v>
      </c>
      <c r="DV231" t="s">
        <v>306</v>
      </c>
      <c r="DW231" t="s">
        <v>307</v>
      </c>
    </row>
    <row r="232" spans="119:127" x14ac:dyDescent="0.25">
      <c r="DT232">
        <v>1</v>
      </c>
      <c r="DU232">
        <f>DP209</f>
        <v>3840.0000000000005</v>
      </c>
      <c r="DV232">
        <f>8-0.15</f>
        <v>7.85</v>
      </c>
      <c r="DW232">
        <f t="shared" ref="DW232:DW247" si="7">DV232*DU232</f>
        <v>30144.000000000004</v>
      </c>
    </row>
    <row r="233" spans="119:127" x14ac:dyDescent="0.25">
      <c r="DT233">
        <v>2</v>
      </c>
      <c r="DU233">
        <f t="shared" ref="DU233:DU247" si="8">DP210</f>
        <v>3840.0000000000005</v>
      </c>
      <c r="DV233">
        <f>8-0.15-3.25</f>
        <v>4.5999999999999996</v>
      </c>
      <c r="DW233">
        <f t="shared" si="7"/>
        <v>17664</v>
      </c>
    </row>
    <row r="234" spans="119:127" x14ac:dyDescent="0.25">
      <c r="DT234">
        <v>3</v>
      </c>
      <c r="DU234">
        <f t="shared" si="8"/>
        <v>3840.0000000000005</v>
      </c>
      <c r="DV234">
        <f>8-0.15-3.25-3.25</f>
        <v>1.3499999999999996</v>
      </c>
      <c r="DW234">
        <f t="shared" si="7"/>
        <v>5183.9999999999991</v>
      </c>
    </row>
    <row r="235" spans="119:127" x14ac:dyDescent="0.25">
      <c r="DT235" t="s">
        <v>132</v>
      </c>
      <c r="DU235">
        <f t="shared" si="8"/>
        <v>2436</v>
      </c>
      <c r="DV235">
        <v>4</v>
      </c>
      <c r="DW235">
        <f t="shared" si="7"/>
        <v>9744</v>
      </c>
    </row>
    <row r="236" spans="119:127" x14ac:dyDescent="0.25">
      <c r="DT236" t="s">
        <v>134</v>
      </c>
      <c r="DU236">
        <f t="shared" si="8"/>
        <v>1536.0000000000002</v>
      </c>
      <c r="DV236">
        <v>4</v>
      </c>
      <c r="DW236">
        <f t="shared" si="7"/>
        <v>6144.0000000000009</v>
      </c>
    </row>
    <row r="237" spans="119:127" x14ac:dyDescent="0.25">
      <c r="DT237" t="s">
        <v>191</v>
      </c>
      <c r="DU237">
        <f t="shared" si="8"/>
        <v>1536.0000000000002</v>
      </c>
      <c r="DV237">
        <v>4</v>
      </c>
      <c r="DW237">
        <f t="shared" si="7"/>
        <v>6144.0000000000009</v>
      </c>
    </row>
    <row r="238" spans="119:127" x14ac:dyDescent="0.25">
      <c r="DT238" t="s">
        <v>192</v>
      </c>
      <c r="DU238">
        <f t="shared" si="8"/>
        <v>2436</v>
      </c>
      <c r="DV238">
        <v>4</v>
      </c>
      <c r="DW238">
        <f t="shared" si="7"/>
        <v>9744</v>
      </c>
    </row>
    <row r="239" spans="119:127" x14ac:dyDescent="0.25">
      <c r="DT239" t="s">
        <v>193</v>
      </c>
      <c r="DU239">
        <f t="shared" si="8"/>
        <v>1536.0000000000002</v>
      </c>
      <c r="DV239">
        <v>4</v>
      </c>
      <c r="DW239">
        <f t="shared" si="7"/>
        <v>6144.0000000000009</v>
      </c>
    </row>
    <row r="240" spans="119:127" x14ac:dyDescent="0.25">
      <c r="DT240" t="s">
        <v>194</v>
      </c>
      <c r="DU240">
        <f t="shared" si="8"/>
        <v>1536.0000000000002</v>
      </c>
      <c r="DV240">
        <v>4</v>
      </c>
      <c r="DW240">
        <f t="shared" si="7"/>
        <v>6144.0000000000009</v>
      </c>
    </row>
    <row r="241" spans="124:135" x14ac:dyDescent="0.25">
      <c r="DT241" t="s">
        <v>195</v>
      </c>
      <c r="DU241">
        <f t="shared" si="8"/>
        <v>2436</v>
      </c>
      <c r="DV241">
        <v>4</v>
      </c>
      <c r="DW241">
        <f t="shared" si="7"/>
        <v>9744</v>
      </c>
    </row>
    <row r="242" spans="124:135" x14ac:dyDescent="0.25">
      <c r="DT242" t="s">
        <v>196</v>
      </c>
      <c r="DU242">
        <f t="shared" si="8"/>
        <v>1536.0000000000002</v>
      </c>
      <c r="DV242">
        <v>4</v>
      </c>
      <c r="DW242">
        <f t="shared" si="7"/>
        <v>6144.0000000000009</v>
      </c>
    </row>
    <row r="243" spans="124:135" x14ac:dyDescent="0.25">
      <c r="DT243" t="s">
        <v>197</v>
      </c>
      <c r="DU243">
        <f t="shared" si="8"/>
        <v>1536.0000000000002</v>
      </c>
      <c r="DV243">
        <v>4</v>
      </c>
      <c r="DW243">
        <f t="shared" si="7"/>
        <v>6144.0000000000009</v>
      </c>
    </row>
    <row r="244" spans="124:135" x14ac:dyDescent="0.25">
      <c r="DT244" t="s">
        <v>198</v>
      </c>
      <c r="DU244">
        <f t="shared" si="8"/>
        <v>2436</v>
      </c>
      <c r="DV244">
        <v>4</v>
      </c>
      <c r="DW244">
        <f t="shared" si="7"/>
        <v>9744</v>
      </c>
    </row>
    <row r="245" spans="124:135" x14ac:dyDescent="0.25">
      <c r="DT245" t="s">
        <v>44</v>
      </c>
      <c r="DU245">
        <f t="shared" si="8"/>
        <v>48000</v>
      </c>
      <c r="DV245">
        <v>4</v>
      </c>
      <c r="DW245">
        <f t="shared" si="7"/>
        <v>192000</v>
      </c>
    </row>
    <row r="246" spans="124:135" x14ac:dyDescent="0.25">
      <c r="DT246" t="s">
        <v>308</v>
      </c>
      <c r="DU246">
        <f t="shared" si="8"/>
        <v>27200</v>
      </c>
      <c r="DV246">
        <f>3.4+1.2</f>
        <v>4.5999999999999996</v>
      </c>
      <c r="DW246">
        <f t="shared" si="7"/>
        <v>125119.99999999999</v>
      </c>
    </row>
    <row r="247" spans="124:135" x14ac:dyDescent="0.25">
      <c r="DT247" t="s">
        <v>308</v>
      </c>
      <c r="DU247">
        <f t="shared" si="8"/>
        <v>12000</v>
      </c>
      <c r="DV247">
        <v>0.6</v>
      </c>
      <c r="DW247">
        <f t="shared" si="7"/>
        <v>7200</v>
      </c>
    </row>
    <row r="248" spans="124:135" x14ac:dyDescent="0.25">
      <c r="DT248" t="s">
        <v>309</v>
      </c>
      <c r="DU248">
        <f>SUM(DU232:DU247)</f>
        <v>117680</v>
      </c>
      <c r="DV248">
        <f>SUM(DV232:DV247)</f>
        <v>63</v>
      </c>
      <c r="DW248">
        <f>SUM(DW232:DW247)</f>
        <v>453152</v>
      </c>
    </row>
    <row r="251" spans="124:135" x14ac:dyDescent="0.25">
      <c r="DW251">
        <f>DW248/DU248</f>
        <v>3.8507138001359618</v>
      </c>
    </row>
    <row r="252" spans="124:135" x14ac:dyDescent="0.25">
      <c r="DZ252" t="s">
        <v>95</v>
      </c>
      <c r="EA252">
        <v>210</v>
      </c>
    </row>
    <row r="253" spans="124:135" x14ac:dyDescent="0.25">
      <c r="DZ253" t="s">
        <v>193</v>
      </c>
      <c r="EA253">
        <f>15100*SQRT(EA252)</f>
        <v>218819.78886746051</v>
      </c>
    </row>
    <row r="254" spans="124:135" x14ac:dyDescent="0.25">
      <c r="DZ254" t="s">
        <v>314</v>
      </c>
      <c r="EA254">
        <v>512</v>
      </c>
    </row>
    <row r="255" spans="124:135" x14ac:dyDescent="0.25">
      <c r="DZ255" t="s">
        <v>315</v>
      </c>
      <c r="EA255">
        <v>362</v>
      </c>
    </row>
    <row r="256" spans="124:135" x14ac:dyDescent="0.25">
      <c r="EC256" t="s">
        <v>312</v>
      </c>
      <c r="ED256" t="s">
        <v>310</v>
      </c>
      <c r="EE256">
        <f>EA253*30*30/(EA255*(POWER(EA255/30,2)+3))</f>
        <v>3660.9073263459668</v>
      </c>
    </row>
    <row r="257" spans="133:135" x14ac:dyDescent="0.25">
      <c r="ED257" t="s">
        <v>311</v>
      </c>
      <c r="EE257">
        <f>EA253*20*15/(EA255*(POWER(EA255/15,2)+3))</f>
        <v>309.76573200956523</v>
      </c>
    </row>
    <row r="258" spans="133:135" x14ac:dyDescent="0.25">
      <c r="EC258" t="s">
        <v>313</v>
      </c>
      <c r="ED258" t="s">
        <v>310</v>
      </c>
      <c r="EE258">
        <f>EA253*30*30/(EA254*(POWER(EA254/30,2)+3))</f>
        <v>1307.1081244307011</v>
      </c>
    </row>
    <row r="259" spans="133:135" x14ac:dyDescent="0.25">
      <c r="ED259" t="s">
        <v>311</v>
      </c>
      <c r="EE259">
        <f>EA253*20*15/(EA254*(POWER(EA254/15,2)+3))</f>
        <v>109.76494092471899</v>
      </c>
    </row>
  </sheetData>
  <mergeCells count="136">
    <mergeCell ref="BV152:BX152"/>
    <mergeCell ref="BV153:BX153"/>
    <mergeCell ref="K27:L27"/>
    <mergeCell ref="K25:L25"/>
    <mergeCell ref="K26:L26"/>
    <mergeCell ref="M25:P25"/>
    <mergeCell ref="M26:P26"/>
    <mergeCell ref="Y16:AB16"/>
    <mergeCell ref="AC16:AF16"/>
    <mergeCell ref="AG16:AJ16"/>
    <mergeCell ref="AR56:AW56"/>
    <mergeCell ref="C13:F13"/>
    <mergeCell ref="M16:P16"/>
    <mergeCell ref="Q16:T16"/>
    <mergeCell ref="U16:X16"/>
    <mergeCell ref="Q26:T26"/>
    <mergeCell ref="U26:X26"/>
    <mergeCell ref="Y26:AB26"/>
    <mergeCell ref="AC26:AF26"/>
    <mergeCell ref="AG26:AJ26"/>
    <mergeCell ref="Q25:T25"/>
    <mergeCell ref="U25:X25"/>
    <mergeCell ref="Y25:AB25"/>
    <mergeCell ref="AC25:AF25"/>
    <mergeCell ref="CQ178:CR178"/>
    <mergeCell ref="CS178:CT178"/>
    <mergeCell ref="CU178:CV178"/>
    <mergeCell ref="CQ181:CR181"/>
    <mergeCell ref="CS181:CT181"/>
    <mergeCell ref="CU181:CV181"/>
    <mergeCell ref="BV151:BY151"/>
    <mergeCell ref="CH174:CI174"/>
    <mergeCell ref="AG25:AJ25"/>
    <mergeCell ref="AR45:AW45"/>
    <mergeCell ref="AR69:AW69"/>
    <mergeCell ref="AY81:BB81"/>
    <mergeCell ref="BE87:BI87"/>
    <mergeCell ref="BE109:BI109"/>
    <mergeCell ref="BV150:BY150"/>
    <mergeCell ref="BK125:BN125"/>
    <mergeCell ref="BK126:BN126"/>
    <mergeCell ref="BK132:BN132"/>
    <mergeCell ref="BK133:BN133"/>
    <mergeCell ref="BV145:BX145"/>
    <mergeCell ref="BV146:BX146"/>
    <mergeCell ref="CB159:CE159"/>
    <mergeCell ref="BV157:BY157"/>
    <mergeCell ref="BV158:BY158"/>
    <mergeCell ref="CU182:CV182"/>
    <mergeCell ref="CU183:CV183"/>
    <mergeCell ref="CU184:CV184"/>
    <mergeCell ref="CU185:CV185"/>
    <mergeCell ref="CW181:CX181"/>
    <mergeCell ref="CY181:CZ181"/>
    <mergeCell ref="CQ182:CR182"/>
    <mergeCell ref="CQ183:CR183"/>
    <mergeCell ref="CQ184:CR184"/>
    <mergeCell ref="CY182:CZ182"/>
    <mergeCell ref="CY183:CZ183"/>
    <mergeCell ref="CY184:CZ184"/>
    <mergeCell ref="CQ185:CR185"/>
    <mergeCell ref="CQ186:CR186"/>
    <mergeCell ref="CQ187:CR187"/>
    <mergeCell ref="CP177:DA177"/>
    <mergeCell ref="DA178:DA181"/>
    <mergeCell ref="CP178:CP181"/>
    <mergeCell ref="CW178:CX178"/>
    <mergeCell ref="CY178:CZ178"/>
    <mergeCell ref="CY185:CZ185"/>
    <mergeCell ref="CY186:CZ186"/>
    <mergeCell ref="CY187:CZ187"/>
    <mergeCell ref="CS182:CT182"/>
    <mergeCell ref="CS183:CT183"/>
    <mergeCell ref="CS184:CT184"/>
    <mergeCell ref="CS186:CT186"/>
    <mergeCell ref="CS187:CT187"/>
    <mergeCell ref="CU186:CV186"/>
    <mergeCell ref="CU187:CV187"/>
    <mergeCell ref="CW182:CX182"/>
    <mergeCell ref="CW183:CX183"/>
    <mergeCell ref="CW184:CX184"/>
    <mergeCell ref="CW185:CX185"/>
    <mergeCell ref="CW186:CX186"/>
    <mergeCell ref="CW187:CX187"/>
    <mergeCell ref="CS185:CT185"/>
    <mergeCell ref="DD195:DE195"/>
    <mergeCell ref="DF195:DG195"/>
    <mergeCell ref="DJ195:DK195"/>
    <mergeCell ref="DH195:DI195"/>
    <mergeCell ref="DC190:DL190"/>
    <mergeCell ref="DC191:DC194"/>
    <mergeCell ref="DD191:DE191"/>
    <mergeCell ref="DF191:DG191"/>
    <mergeCell ref="DJ191:DK191"/>
    <mergeCell ref="DL191:DL194"/>
    <mergeCell ref="DD194:DE194"/>
    <mergeCell ref="DF194:DG194"/>
    <mergeCell ref="DJ194:DK194"/>
    <mergeCell ref="DH191:DI191"/>
    <mergeCell ref="DH194:DI194"/>
    <mergeCell ref="DD198:DE198"/>
    <mergeCell ref="DF198:DG198"/>
    <mergeCell ref="DJ198:DK198"/>
    <mergeCell ref="DH198:DI198"/>
    <mergeCell ref="DD197:DE197"/>
    <mergeCell ref="DF197:DG197"/>
    <mergeCell ref="DJ197:DK197"/>
    <mergeCell ref="DH197:DI197"/>
    <mergeCell ref="DD196:DE196"/>
    <mergeCell ref="DF196:DG196"/>
    <mergeCell ref="DJ196:DK196"/>
    <mergeCell ref="DH196:DI196"/>
    <mergeCell ref="DD201:DE201"/>
    <mergeCell ref="DF201:DG201"/>
    <mergeCell ref="DJ201:DK201"/>
    <mergeCell ref="DH201:DI201"/>
    <mergeCell ref="DD200:DE200"/>
    <mergeCell ref="DF200:DG200"/>
    <mergeCell ref="DJ200:DK200"/>
    <mergeCell ref="DH200:DI200"/>
    <mergeCell ref="DD199:DE199"/>
    <mergeCell ref="DF199:DG199"/>
    <mergeCell ref="DJ199:DK199"/>
    <mergeCell ref="DH199:DI199"/>
    <mergeCell ref="DD204:DE204"/>
    <mergeCell ref="DF204:DG204"/>
    <mergeCell ref="DJ204:DK204"/>
    <mergeCell ref="DH204:DI204"/>
    <mergeCell ref="DD203:DE203"/>
    <mergeCell ref="DF203:DG203"/>
    <mergeCell ref="DJ203:DK203"/>
    <mergeCell ref="DH203:DI203"/>
    <mergeCell ref="DD202:DE202"/>
    <mergeCell ref="DF202:DG202"/>
    <mergeCell ref="DJ202:DK202"/>
    <mergeCell ref="DH202:DI20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zoomScale="115" zoomScaleNormal="115" workbookViewId="0">
      <selection activeCell="B2" sqref="B2:H17"/>
    </sheetView>
  </sheetViews>
  <sheetFormatPr baseColWidth="10" defaultRowHeight="15" x14ac:dyDescent="0.25"/>
  <cols>
    <col min="3" max="3" width="9.5703125" customWidth="1"/>
    <col min="4" max="4" width="15.5703125" customWidth="1"/>
    <col min="5" max="5" width="11.140625" customWidth="1"/>
    <col min="6" max="6" width="9.140625" customWidth="1"/>
    <col min="7" max="7" width="12" customWidth="1"/>
    <col min="8" max="8" width="9.140625" bestFit="1" customWidth="1"/>
  </cols>
  <sheetData>
    <row r="1" spans="2:8" ht="15.75" thickBot="1" x14ac:dyDescent="0.3"/>
    <row r="2" spans="2:8" ht="15.75" thickBot="1" x14ac:dyDescent="0.3">
      <c r="B2" s="226" t="s">
        <v>384</v>
      </c>
      <c r="C2" s="227"/>
      <c r="D2" s="227"/>
      <c r="E2" s="227"/>
      <c r="F2" s="227"/>
      <c r="G2" s="227"/>
      <c r="H2" s="228"/>
    </row>
    <row r="3" spans="2:8" ht="15.75" thickBot="1" x14ac:dyDescent="0.3">
      <c r="B3" s="226" t="s">
        <v>385</v>
      </c>
      <c r="C3" s="227"/>
      <c r="D3" s="227"/>
      <c r="E3" s="227"/>
      <c r="F3" s="227"/>
      <c r="G3" s="227"/>
      <c r="H3" s="228"/>
    </row>
    <row r="4" spans="2:8" ht="42.75" x14ac:dyDescent="0.25">
      <c r="B4" s="240" t="s">
        <v>38</v>
      </c>
      <c r="C4" s="229" t="s">
        <v>378</v>
      </c>
      <c r="D4" s="229" t="s">
        <v>388</v>
      </c>
      <c r="E4" s="229" t="s">
        <v>389</v>
      </c>
      <c r="F4" s="229" t="s">
        <v>366</v>
      </c>
      <c r="G4" s="229" t="s">
        <v>390</v>
      </c>
      <c r="H4" s="231"/>
    </row>
    <row r="5" spans="2:8" ht="16.5" customHeight="1" x14ac:dyDescent="0.25">
      <c r="B5" s="241"/>
      <c r="C5" s="225" t="s">
        <v>371</v>
      </c>
      <c r="D5" s="225" t="s">
        <v>370</v>
      </c>
      <c r="E5" s="225" t="s">
        <v>369</v>
      </c>
      <c r="F5" s="225" t="s">
        <v>367</v>
      </c>
      <c r="G5" s="225" t="s">
        <v>368</v>
      </c>
      <c r="H5" s="233" t="s">
        <v>372</v>
      </c>
    </row>
    <row r="6" spans="2:8" x14ac:dyDescent="0.25">
      <c r="B6" s="232" t="s">
        <v>364</v>
      </c>
      <c r="C6" s="224">
        <v>0.6</v>
      </c>
      <c r="D6" s="224">
        <v>0.04</v>
      </c>
      <c r="E6" s="224">
        <f>C6-D6</f>
        <v>0.55999999999999994</v>
      </c>
      <c r="F6" s="224">
        <v>6.1</v>
      </c>
      <c r="G6" s="224">
        <f>4*E6</f>
        <v>2.2399999999999998</v>
      </c>
      <c r="H6" s="234" t="str">
        <f>IF(F6&gt;=G6,"Correcto","Incorrecto")</f>
        <v>Correcto</v>
      </c>
    </row>
    <row r="7" spans="2:8" ht="15.75" thickBot="1" x14ac:dyDescent="0.3">
      <c r="B7" s="235" t="s">
        <v>365</v>
      </c>
      <c r="C7" s="230">
        <v>0.4</v>
      </c>
      <c r="D7" s="230">
        <v>0.04</v>
      </c>
      <c r="E7" s="230">
        <f>C7-D7</f>
        <v>0.36000000000000004</v>
      </c>
      <c r="F7" s="230">
        <v>2.9</v>
      </c>
      <c r="G7" s="230">
        <f>4*E7</f>
        <v>1.4400000000000002</v>
      </c>
      <c r="H7" s="236" t="str">
        <f>IF(F7&gt;=G7,"Correcto","Incorrecto")</f>
        <v>Correcto</v>
      </c>
    </row>
    <row r="8" spans="2:8" ht="15.75" thickBot="1" x14ac:dyDescent="0.3">
      <c r="B8" s="226" t="s">
        <v>386</v>
      </c>
      <c r="C8" s="227"/>
      <c r="D8" s="227"/>
      <c r="E8" s="227"/>
      <c r="F8" s="227"/>
      <c r="G8" s="227"/>
      <c r="H8" s="228"/>
    </row>
    <row r="9" spans="2:8" ht="58.5" customHeight="1" x14ac:dyDescent="0.25">
      <c r="B9" s="240" t="s">
        <v>38</v>
      </c>
      <c r="C9" s="229" t="s">
        <v>378</v>
      </c>
      <c r="D9" s="229" t="s">
        <v>391</v>
      </c>
      <c r="E9" s="229" t="s">
        <v>391</v>
      </c>
      <c r="F9" s="229" t="s">
        <v>377</v>
      </c>
      <c r="G9" s="229" t="s">
        <v>375</v>
      </c>
      <c r="H9" s="231"/>
    </row>
    <row r="10" spans="2:8" ht="49.5" customHeight="1" x14ac:dyDescent="0.25">
      <c r="B10" s="241"/>
      <c r="C10" s="225" t="s">
        <v>371</v>
      </c>
      <c r="D10" s="225" t="s">
        <v>374</v>
      </c>
      <c r="E10" s="225" t="s">
        <v>373</v>
      </c>
      <c r="F10" s="225" t="s">
        <v>379</v>
      </c>
      <c r="G10" s="225" t="s">
        <v>376</v>
      </c>
      <c r="H10" s="233" t="s">
        <v>372</v>
      </c>
    </row>
    <row r="11" spans="2:8" x14ac:dyDescent="0.25">
      <c r="B11" s="232" t="s">
        <v>364</v>
      </c>
      <c r="C11" s="224">
        <v>0.6</v>
      </c>
      <c r="D11" s="224">
        <f>0.3*C11</f>
        <v>0.18</v>
      </c>
      <c r="E11" s="224">
        <f>10*2.54/100</f>
        <v>0.254</v>
      </c>
      <c r="F11" s="224">
        <v>0.3</v>
      </c>
      <c r="G11" s="224">
        <f>MIN(D11,E11)</f>
        <v>0.18</v>
      </c>
      <c r="H11" s="234" t="str">
        <f>IF(F11&gt;=G11,"Correcto","Incorrecto")</f>
        <v>Correcto</v>
      </c>
    </row>
    <row r="12" spans="2:8" ht="15.75" thickBot="1" x14ac:dyDescent="0.3">
      <c r="B12" s="235" t="s">
        <v>365</v>
      </c>
      <c r="C12" s="230">
        <v>0.4</v>
      </c>
      <c r="D12" s="230">
        <f>0.3*C12</f>
        <v>0.12</v>
      </c>
      <c r="E12" s="230">
        <f>E11</f>
        <v>0.254</v>
      </c>
      <c r="F12" s="230">
        <v>0.3</v>
      </c>
      <c r="G12" s="230">
        <f>MIN(D12,E12)</f>
        <v>0.12</v>
      </c>
      <c r="H12" s="236" t="str">
        <f>IF(F12&gt;=G12,"Correcto","Incorrecto")</f>
        <v>Correcto</v>
      </c>
    </row>
    <row r="13" spans="2:8" ht="15.75" thickBot="1" x14ac:dyDescent="0.3">
      <c r="B13" s="226" t="s">
        <v>387</v>
      </c>
      <c r="C13" s="227"/>
      <c r="D13" s="227"/>
      <c r="E13" s="227"/>
      <c r="F13" s="227"/>
      <c r="G13" s="227"/>
      <c r="H13" s="228"/>
    </row>
    <row r="14" spans="2:8" ht="45" customHeight="1" x14ac:dyDescent="0.25">
      <c r="B14" s="240" t="s">
        <v>38</v>
      </c>
      <c r="C14" s="229" t="s">
        <v>382</v>
      </c>
      <c r="D14" s="229" t="s">
        <v>391</v>
      </c>
      <c r="E14" s="229" t="s">
        <v>391</v>
      </c>
      <c r="F14" s="229" t="s">
        <v>377</v>
      </c>
      <c r="G14" s="229" t="s">
        <v>375</v>
      </c>
      <c r="H14" s="231"/>
    </row>
    <row r="15" spans="2:8" ht="30" customHeight="1" x14ac:dyDescent="0.25">
      <c r="B15" s="241"/>
      <c r="C15" s="225" t="s">
        <v>383</v>
      </c>
      <c r="D15" s="225" t="s">
        <v>380</v>
      </c>
      <c r="E15" s="225" t="s">
        <v>381</v>
      </c>
      <c r="F15" s="225" t="s">
        <v>379</v>
      </c>
      <c r="G15" s="225" t="s">
        <v>376</v>
      </c>
      <c r="H15" s="233" t="s">
        <v>372</v>
      </c>
    </row>
    <row r="16" spans="2:8" x14ac:dyDescent="0.25">
      <c r="B16" s="232" t="s">
        <v>364</v>
      </c>
      <c r="C16" s="224">
        <v>0.4</v>
      </c>
      <c r="D16" s="224">
        <v>0.4</v>
      </c>
      <c r="E16" s="224">
        <v>0.3</v>
      </c>
      <c r="F16" s="224">
        <v>0.3</v>
      </c>
      <c r="G16" s="224">
        <f>MIN(D16,E16)</f>
        <v>0.3</v>
      </c>
      <c r="H16" s="234" t="str">
        <f>IF(F16&lt;=G16,"Correcto","Incorrecto")</f>
        <v>Correcto</v>
      </c>
    </row>
    <row r="17" spans="2:8" ht="15.75" thickBot="1" x14ac:dyDescent="0.3">
      <c r="B17" s="237" t="s">
        <v>365</v>
      </c>
      <c r="C17" s="238">
        <v>0.4</v>
      </c>
      <c r="D17" s="238">
        <f>D16</f>
        <v>0.4</v>
      </c>
      <c r="E17" s="238">
        <f>E16</f>
        <v>0.3</v>
      </c>
      <c r="F17" s="238">
        <v>0.3</v>
      </c>
      <c r="G17" s="238">
        <f>MIN(D17,E17)</f>
        <v>0.3</v>
      </c>
      <c r="H17" s="239" t="str">
        <f>IF(F17&lt;=G17,"Correcto","Incorrecto")</f>
        <v>Correcto</v>
      </c>
    </row>
  </sheetData>
  <mergeCells count="7">
    <mergeCell ref="B2:H2"/>
    <mergeCell ref="B3:H3"/>
    <mergeCell ref="B8:H8"/>
    <mergeCell ref="B13:H13"/>
    <mergeCell ref="B14:B15"/>
    <mergeCell ref="B9:B10"/>
    <mergeCell ref="B4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topLeftCell="K1" workbookViewId="0">
      <selection activeCell="R16" sqref="R16"/>
    </sheetView>
  </sheetViews>
  <sheetFormatPr baseColWidth="10" defaultRowHeight="15" x14ac:dyDescent="0.25"/>
  <sheetData>
    <row r="2" spans="2:18" x14ac:dyDescent="0.25">
      <c r="B2" t="s">
        <v>316</v>
      </c>
      <c r="C2">
        <v>20000</v>
      </c>
    </row>
    <row r="3" spans="2:18" x14ac:dyDescent="0.25">
      <c r="B3" t="s">
        <v>96</v>
      </c>
      <c r="C3">
        <v>2810</v>
      </c>
    </row>
    <row r="4" spans="2:18" x14ac:dyDescent="0.25">
      <c r="B4" t="s">
        <v>95</v>
      </c>
      <c r="C4">
        <v>210</v>
      </c>
    </row>
    <row r="5" spans="2:18" x14ac:dyDescent="0.25">
      <c r="B5" t="s">
        <v>326</v>
      </c>
      <c r="C5">
        <v>0.15</v>
      </c>
    </row>
    <row r="6" spans="2:18" x14ac:dyDescent="0.25">
      <c r="B6" t="s">
        <v>317</v>
      </c>
    </row>
    <row r="7" spans="2:18" x14ac:dyDescent="0.25">
      <c r="B7" t="s">
        <v>319</v>
      </c>
    </row>
    <row r="8" spans="2:18" x14ac:dyDescent="0.25">
      <c r="B8" t="s">
        <v>192</v>
      </c>
      <c r="C8">
        <v>1666.67</v>
      </c>
    </row>
    <row r="9" spans="2:18" x14ac:dyDescent="0.25">
      <c r="B9" t="s">
        <v>31</v>
      </c>
      <c r="C9">
        <v>2000</v>
      </c>
    </row>
    <row r="10" spans="2:18" x14ac:dyDescent="0.25">
      <c r="B10" t="s">
        <v>320</v>
      </c>
      <c r="C10" t="s">
        <v>154</v>
      </c>
      <c r="D10" t="s">
        <v>318</v>
      </c>
      <c r="E10" t="s">
        <v>321</v>
      </c>
      <c r="F10" t="s">
        <v>322</v>
      </c>
      <c r="G10" t="s">
        <v>323</v>
      </c>
      <c r="H10" t="s">
        <v>98</v>
      </c>
      <c r="I10" t="s">
        <v>99</v>
      </c>
      <c r="J10" t="s">
        <v>97</v>
      </c>
      <c r="K10" t="s">
        <v>324</v>
      </c>
      <c r="L10" t="s">
        <v>325</v>
      </c>
      <c r="M10" t="s">
        <v>328</v>
      </c>
      <c r="N10" t="s">
        <v>31</v>
      </c>
      <c r="O10" t="s">
        <v>327</v>
      </c>
      <c r="Q10" t="s">
        <v>100</v>
      </c>
      <c r="R10">
        <f>(14.1*100*J11*100)/(C3)</f>
        <v>8.7811387900355857</v>
      </c>
    </row>
    <row r="11" spans="2:18" x14ac:dyDescent="0.25">
      <c r="B11">
        <v>1</v>
      </c>
      <c r="C11">
        <f>0.25*2400</f>
        <v>600</v>
      </c>
      <c r="D11">
        <f>0.6*1800</f>
        <v>1080</v>
      </c>
      <c r="E11">
        <f>C2-(2400*0.25)-(0.6*1800)</f>
        <v>18320</v>
      </c>
      <c r="F11">
        <f>(C8+C9)/(E11)</f>
        <v>0.20014574235807861</v>
      </c>
      <c r="G11">
        <v>0.45</v>
      </c>
      <c r="H11">
        <v>0.25</v>
      </c>
      <c r="I11">
        <v>7.4999999999999997E-2</v>
      </c>
      <c r="J11">
        <f>H11-I11</f>
        <v>0.17499999999999999</v>
      </c>
      <c r="K11">
        <f>((1.4*C8)+(1.7*C9))/(G11)</f>
        <v>12740.751111111111</v>
      </c>
      <c r="L11">
        <f>((G11)-(C5)-(J11))*(K11)</f>
        <v>1592.5938888888895</v>
      </c>
      <c r="M11">
        <f>0.53*0.85*SQRT(C4)*100*J11*100</f>
        <v>11424.639142277096</v>
      </c>
      <c r="N11">
        <f>G11/2-C5/4</f>
        <v>0.1875</v>
      </c>
      <c r="O11">
        <f>N11*K11*N11/2</f>
        <v>223.95851562500002</v>
      </c>
      <c r="P11">
        <f>((100*J11*100)-SQRT(POWER(100*J11*100,2)-((O11*100)/(0.003825*C4))))*((0.85*C4)/(C3))</f>
        <v>0.50719220211392957</v>
      </c>
      <c r="Q11" t="s">
        <v>101</v>
      </c>
      <c r="R11">
        <f>(0.8*100*J11*100*SQRT(C4))/(C3)</f>
        <v>7.2199030052189368</v>
      </c>
    </row>
    <row r="13" spans="2:18" x14ac:dyDescent="0.25">
      <c r="Q13" t="s">
        <v>102</v>
      </c>
      <c r="R13">
        <f>IF(R10&lt;R11,R11,R10)</f>
        <v>8.7811387900355857</v>
      </c>
    </row>
    <row r="15" spans="2:18" x14ac:dyDescent="0.25">
      <c r="R15">
        <f>2/8*2.54</f>
        <v>0.63500000000000001</v>
      </c>
    </row>
    <row r="16" spans="2:18" x14ac:dyDescent="0.25">
      <c r="R16">
        <f>PI()*R15*R15/4</f>
        <v>0.31669217443593611</v>
      </c>
    </row>
    <row r="18" spans="18:18" x14ac:dyDescent="0.25">
      <c r="R18">
        <f>R13/R16</f>
        <v>27.727678480454301</v>
      </c>
    </row>
    <row r="19" spans="18:18" x14ac:dyDescent="0.25">
      <c r="R19">
        <f>100/R18</f>
        <v>3.6065046004659802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B2" sqref="B2:C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zoomScale="10" zoomScaleNormal="10" workbookViewId="0">
      <selection activeCell="B3" sqref="B3"/>
    </sheetView>
  </sheetViews>
  <sheetFormatPr baseColWidth="10" defaultRowHeight="15" x14ac:dyDescent="0.25"/>
  <sheetData>
    <row r="2" spans="2:3" x14ac:dyDescent="0.25">
      <c r="B2" t="s">
        <v>146</v>
      </c>
      <c r="C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1"/>
  <sheetViews>
    <sheetView zoomScale="70" zoomScaleNormal="70" workbookViewId="0">
      <selection activeCell="H12" sqref="H12"/>
    </sheetView>
  </sheetViews>
  <sheetFormatPr baseColWidth="10" defaultRowHeight="15" x14ac:dyDescent="0.25"/>
  <sheetData>
    <row r="5" spans="2:8" x14ac:dyDescent="0.25">
      <c r="B5" t="s">
        <v>147</v>
      </c>
      <c r="C5">
        <v>4.7E-2</v>
      </c>
      <c r="F5">
        <v>0.5</v>
      </c>
    </row>
    <row r="6" spans="2:8" x14ac:dyDescent="0.25">
      <c r="B6" t="s">
        <v>149</v>
      </c>
      <c r="C6">
        <v>7.82</v>
      </c>
      <c r="F6">
        <v>1</v>
      </c>
    </row>
    <row r="7" spans="2:8" x14ac:dyDescent="0.25">
      <c r="B7" t="s">
        <v>148</v>
      </c>
      <c r="C7">
        <v>0.9</v>
      </c>
      <c r="F7">
        <v>1.3</v>
      </c>
    </row>
    <row r="8" spans="2:8" x14ac:dyDescent="0.25">
      <c r="F8">
        <v>1</v>
      </c>
      <c r="H8">
        <f>F5/F6</f>
        <v>0.5</v>
      </c>
    </row>
    <row r="9" spans="2:8" x14ac:dyDescent="0.25">
      <c r="B9" t="s">
        <v>150</v>
      </c>
      <c r="C9">
        <f>C5*POWER(C6,C7)</f>
        <v>0.29921539564568717</v>
      </c>
      <c r="H9">
        <f>F7/F8</f>
        <v>1.3</v>
      </c>
    </row>
    <row r="11" spans="2:8" x14ac:dyDescent="0.25">
      <c r="H11">
        <f>H8/H9</f>
        <v>0.38461538461538458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6"/>
  <sheetViews>
    <sheetView zoomScale="70" zoomScaleNormal="70" workbookViewId="0">
      <selection activeCell="B19" sqref="B19"/>
    </sheetView>
  </sheetViews>
  <sheetFormatPr baseColWidth="10" defaultRowHeight="15" x14ac:dyDescent="0.25"/>
  <cols>
    <col min="5" max="5" width="10.85546875" customWidth="1"/>
  </cols>
  <sheetData>
    <row r="2" spans="1:7" x14ac:dyDescent="0.25">
      <c r="B2" t="s">
        <v>95</v>
      </c>
      <c r="C2">
        <v>281</v>
      </c>
      <c r="E2" t="s">
        <v>100</v>
      </c>
      <c r="F2">
        <f>(14.1*C4*C7)/(C3)</f>
        <v>3.8607142857142858</v>
      </c>
    </row>
    <row r="3" spans="1:7" x14ac:dyDescent="0.25">
      <c r="B3" t="s">
        <v>96</v>
      </c>
      <c r="C3">
        <v>4200</v>
      </c>
      <c r="E3" t="s">
        <v>101</v>
      </c>
      <c r="F3">
        <f>(0.8*C4*C7*SQRT(C2))/(C3)</f>
        <v>3.6719072012145224</v>
      </c>
    </row>
    <row r="4" spans="1:7" x14ac:dyDescent="0.25">
      <c r="B4" t="s">
        <v>30</v>
      </c>
      <c r="C4">
        <v>25</v>
      </c>
    </row>
    <row r="5" spans="1:7" x14ac:dyDescent="0.25">
      <c r="B5" t="s">
        <v>98</v>
      </c>
      <c r="C5">
        <v>50</v>
      </c>
      <c r="E5" t="s">
        <v>102</v>
      </c>
      <c r="F5">
        <f>IF(F2&lt;F3,F3,F2)</f>
        <v>3.8607142857142858</v>
      </c>
    </row>
    <row r="6" spans="1:7" x14ac:dyDescent="0.25">
      <c r="B6" t="s">
        <v>99</v>
      </c>
      <c r="C6">
        <v>4</v>
      </c>
    </row>
    <row r="7" spans="1:7" x14ac:dyDescent="0.25">
      <c r="B7" t="s">
        <v>97</v>
      </c>
      <c r="C7">
        <f>C5-C6</f>
        <v>46</v>
      </c>
    </row>
    <row r="8" spans="1:7" x14ac:dyDescent="0.25">
      <c r="B8" t="s">
        <v>104</v>
      </c>
      <c r="C8">
        <v>0.85</v>
      </c>
      <c r="E8" t="s">
        <v>103</v>
      </c>
      <c r="F8">
        <f>((0.85*C8*C2)/(C3))*((6120)/(6120+C3))</f>
        <v>2.8665967607973422E-2</v>
      </c>
    </row>
    <row r="10" spans="1:7" x14ac:dyDescent="0.25">
      <c r="E10" t="s">
        <v>105</v>
      </c>
      <c r="F10">
        <f>0.5*F8*C4*C7</f>
        <v>16.482931374584719</v>
      </c>
    </row>
    <row r="13" spans="1:7" x14ac:dyDescent="0.25">
      <c r="C13" t="s">
        <v>109</v>
      </c>
      <c r="D13" t="s">
        <v>110</v>
      </c>
      <c r="E13" t="s">
        <v>111</v>
      </c>
      <c r="F13" t="s">
        <v>112</v>
      </c>
      <c r="G13" t="s">
        <v>102</v>
      </c>
    </row>
    <row r="14" spans="1:7" x14ac:dyDescent="0.25">
      <c r="A14" s="64"/>
      <c r="B14" t="s">
        <v>106</v>
      </c>
      <c r="C14">
        <v>2000</v>
      </c>
      <c r="D14">
        <f>((C4*C7)-SQRT(POWER(C4*C7,2)-((C14*C4)/(0.003825*C2))))*((0.85*C2)/(C3))</f>
        <v>1.1605152378162795</v>
      </c>
      <c r="E14">
        <f>F5</f>
        <v>3.8607142857142858</v>
      </c>
      <c r="F14">
        <f>F10</f>
        <v>16.482931374584719</v>
      </c>
      <c r="G14">
        <f>IF(D14&gt;F14,"Cambiar Seccion",IF(E14&gt;D14,E14,D14))</f>
        <v>3.8607142857142858</v>
      </c>
    </row>
    <row r="15" spans="1:7" x14ac:dyDescent="0.25">
      <c r="B15" t="s">
        <v>107</v>
      </c>
      <c r="C15">
        <v>4342</v>
      </c>
      <c r="D15">
        <f>((C4*C7)-SQRT(POWER(C4*C7,2)-((C15*C4)/(0.003825*C2))))*((0.85*C2)/(C3))</f>
        <v>2.5467100110690128</v>
      </c>
      <c r="E15">
        <f>E14</f>
        <v>3.8607142857142858</v>
      </c>
      <c r="F15">
        <f>F14</f>
        <v>16.482931374584719</v>
      </c>
      <c r="G15">
        <f>IF(D15&gt;F15,"Cambiar Seccion",IF(E15&gt;D15,E15,D15))</f>
        <v>3.8607142857142858</v>
      </c>
    </row>
    <row r="16" spans="1:7" x14ac:dyDescent="0.25">
      <c r="B16" t="s">
        <v>108</v>
      </c>
      <c r="C16">
        <v>8752</v>
      </c>
      <c r="D16">
        <f>((C4*C7)-SQRT(POWER(C4*C7,2)-((C16*C4)/(0.003825*C2))))*((0.85*C2)/(C3))</f>
        <v>5.2435644275646229</v>
      </c>
      <c r="E16">
        <f>E15</f>
        <v>3.8607142857142858</v>
      </c>
      <c r="F16">
        <f>F15</f>
        <v>16.482931374584719</v>
      </c>
      <c r="G16">
        <f>IF(D16&gt;F16,"Cambiar Seccion",IF(E16&gt;D16,E16,D16))</f>
        <v>5.2435644275646229</v>
      </c>
    </row>
    <row r="18" spans="2:24" x14ac:dyDescent="0.25">
      <c r="B18" t="s">
        <v>113</v>
      </c>
      <c r="C18">
        <f>E14</f>
        <v>3.8607142857142858</v>
      </c>
      <c r="F18">
        <f>E14</f>
        <v>3.8607142857142858</v>
      </c>
      <c r="U18">
        <v>13.55</v>
      </c>
      <c r="V18">
        <v>0.15</v>
      </c>
      <c r="W18">
        <f>U18-V18</f>
        <v>13.4</v>
      </c>
      <c r="X18">
        <f>W18*2</f>
        <v>26.8</v>
      </c>
    </row>
    <row r="19" spans="2:24" x14ac:dyDescent="0.25">
      <c r="C19">
        <v>2.5299999999999998</v>
      </c>
      <c r="F19">
        <v>2.5299999999999998</v>
      </c>
      <c r="U19">
        <v>22.05</v>
      </c>
      <c r="V19">
        <v>0.15</v>
      </c>
      <c r="W19">
        <f>U19-V19</f>
        <v>21.900000000000002</v>
      </c>
      <c r="X19">
        <f>W19*2</f>
        <v>43.800000000000004</v>
      </c>
    </row>
    <row r="20" spans="2:24" x14ac:dyDescent="0.25">
      <c r="C20">
        <f>0.33*MAX(G14,G16)</f>
        <v>1.7303762610963256</v>
      </c>
      <c r="F20">
        <f>0.5*MAX(G14,G16)</f>
        <v>2.6217822137823115</v>
      </c>
    </row>
    <row r="21" spans="2:24" x14ac:dyDescent="0.25">
      <c r="B21" t="s">
        <v>114</v>
      </c>
      <c r="C21">
        <f>MAX(C18:C20)</f>
        <v>3.8607142857142858</v>
      </c>
      <c r="F21">
        <f>0.5*G15</f>
        <v>1.9303571428571429</v>
      </c>
    </row>
    <row r="22" spans="2:24" x14ac:dyDescent="0.25">
      <c r="F22">
        <f>MAX(F18:F21)</f>
        <v>3.8607142857142858</v>
      </c>
      <c r="X22">
        <f>X18+X19</f>
        <v>70.600000000000009</v>
      </c>
    </row>
    <row r="24" spans="2:24" x14ac:dyDescent="0.25">
      <c r="B24" t="s">
        <v>117</v>
      </c>
      <c r="C24">
        <f>0.85*0.53*SQRT(C2)*C4*C7</f>
        <v>8684.5195192724968</v>
      </c>
      <c r="X24">
        <f>X22*2</f>
        <v>141.20000000000002</v>
      </c>
    </row>
    <row r="26" spans="2:24" x14ac:dyDescent="0.25">
      <c r="B26" s="64">
        <v>0.375</v>
      </c>
      <c r="C26" s="63">
        <f>B26*2.54</f>
        <v>0.95250000000000001</v>
      </c>
      <c r="D26">
        <f>PI()*C26*C26/4</f>
        <v>0.71255739248085614</v>
      </c>
      <c r="E26">
        <v>0</v>
      </c>
      <c r="F26">
        <f>E26*D26</f>
        <v>0</v>
      </c>
    </row>
    <row r="27" spans="2:24" x14ac:dyDescent="0.25">
      <c r="B27" s="64">
        <v>0.5</v>
      </c>
      <c r="C27" s="63">
        <f>B27*2.54</f>
        <v>1.27</v>
      </c>
      <c r="D27">
        <f>PI()*C27*C27/4</f>
        <v>1.2667686977437445</v>
      </c>
      <c r="E27">
        <v>0</v>
      </c>
      <c r="F27">
        <f>E27*D27</f>
        <v>0</v>
      </c>
    </row>
    <row r="28" spans="2:24" x14ac:dyDescent="0.25">
      <c r="B28" s="64">
        <v>0.625</v>
      </c>
      <c r="C28" s="63">
        <f>B28*2.54</f>
        <v>1.5874999999999999</v>
      </c>
      <c r="D28">
        <f>PI()*C28*C28/4</f>
        <v>1.9793260902246004</v>
      </c>
      <c r="E28">
        <v>2</v>
      </c>
      <c r="F28">
        <f>E28*D28</f>
        <v>3.9586521804492008</v>
      </c>
    </row>
    <row r="29" spans="2:24" x14ac:dyDescent="0.25">
      <c r="B29" s="64">
        <v>0.75</v>
      </c>
      <c r="C29" s="63">
        <f>B29*2.54</f>
        <v>1.905</v>
      </c>
      <c r="D29">
        <f>PI()*C29*C29/4</f>
        <v>2.8502295699234246</v>
      </c>
      <c r="E29">
        <v>1</v>
      </c>
      <c r="F29">
        <f>E29*D29</f>
        <v>2.8502295699234246</v>
      </c>
    </row>
    <row r="30" spans="2:24" x14ac:dyDescent="0.25">
      <c r="F30">
        <f>SUM(F26:F29)</f>
        <v>6.8088817503726258</v>
      </c>
    </row>
    <row r="38" spans="2:9" x14ac:dyDescent="0.25">
      <c r="B38">
        <v>3.25</v>
      </c>
    </row>
    <row r="39" spans="2:9" x14ac:dyDescent="0.25">
      <c r="C39">
        <f>B38/24</f>
        <v>0.13541666666666666</v>
      </c>
    </row>
    <row r="40" spans="2:9" x14ac:dyDescent="0.25">
      <c r="C40">
        <f>B38*0.08</f>
        <v>0.26</v>
      </c>
    </row>
    <row r="41" spans="2:9" x14ac:dyDescent="0.25">
      <c r="C41">
        <f>B38*0.12</f>
        <v>0.39</v>
      </c>
    </row>
    <row r="43" spans="2:9" x14ac:dyDescent="0.25">
      <c r="B43" t="s">
        <v>54</v>
      </c>
      <c r="F43" t="s">
        <v>158</v>
      </c>
      <c r="G43">
        <v>3.25</v>
      </c>
    </row>
    <row r="44" spans="2:9" x14ac:dyDescent="0.25">
      <c r="B44" t="s">
        <v>30</v>
      </c>
      <c r="C44">
        <v>1.1000000000000001</v>
      </c>
      <c r="F44" t="s">
        <v>155</v>
      </c>
      <c r="G44" t="s">
        <v>156</v>
      </c>
      <c r="H44" t="s">
        <v>157</v>
      </c>
      <c r="I44" t="s">
        <v>152</v>
      </c>
    </row>
    <row r="45" spans="2:9" x14ac:dyDescent="0.25">
      <c r="B45" t="s">
        <v>134</v>
      </c>
      <c r="C45">
        <v>3.25</v>
      </c>
      <c r="F45" t="s">
        <v>44</v>
      </c>
      <c r="G45">
        <f>C59</f>
        <v>240</v>
      </c>
      <c r="H45" s="66">
        <f>C55</f>
        <v>4.7300000000000004</v>
      </c>
      <c r="I45">
        <f>G45*H45/G43</f>
        <v>349.2923076923077</v>
      </c>
    </row>
    <row r="46" spans="2:9" x14ac:dyDescent="0.25">
      <c r="B46" t="s">
        <v>98</v>
      </c>
      <c r="C46">
        <v>1.075</v>
      </c>
      <c r="F46" t="s">
        <v>74</v>
      </c>
      <c r="G46">
        <v>25</v>
      </c>
      <c r="H46" s="66">
        <f>H45</f>
        <v>4.7300000000000004</v>
      </c>
      <c r="I46">
        <f>G46*H46/G43</f>
        <v>36.384615384615387</v>
      </c>
    </row>
    <row r="47" spans="2:9" x14ac:dyDescent="0.25">
      <c r="B47" t="s">
        <v>132</v>
      </c>
      <c r="C47" s="66">
        <f>ROUND((C44+C45)*C46/2,2)</f>
        <v>2.34</v>
      </c>
      <c r="F47" t="s">
        <v>41</v>
      </c>
      <c r="G47">
        <v>35</v>
      </c>
      <c r="H47" s="66">
        <f>H46</f>
        <v>4.7300000000000004</v>
      </c>
      <c r="I47">
        <f>G47*H47/G43</f>
        <v>50.938461538461539</v>
      </c>
    </row>
    <row r="48" spans="2:9" x14ac:dyDescent="0.25">
      <c r="F48" t="s">
        <v>159</v>
      </c>
      <c r="I48">
        <f>I60/G43</f>
        <v>566.99999999999989</v>
      </c>
    </row>
    <row r="49" spans="2:11" x14ac:dyDescent="0.25">
      <c r="B49" t="s">
        <v>54</v>
      </c>
      <c r="F49" t="s">
        <v>54</v>
      </c>
      <c r="I49">
        <f>0.4*0.2*2400</f>
        <v>192.00000000000003</v>
      </c>
    </row>
    <row r="50" spans="2:11" x14ac:dyDescent="0.25">
      <c r="B50" t="s">
        <v>30</v>
      </c>
      <c r="C50">
        <v>1.1000000000000001</v>
      </c>
      <c r="F50" t="s">
        <v>13</v>
      </c>
      <c r="I50">
        <f>SUM(I45:I49)</f>
        <v>1195.6153846153845</v>
      </c>
      <c r="K50">
        <f>I50*1.4</f>
        <v>1673.8615384615382</v>
      </c>
    </row>
    <row r="51" spans="2:11" x14ac:dyDescent="0.25">
      <c r="B51" t="s">
        <v>134</v>
      </c>
      <c r="C51">
        <v>3.25</v>
      </c>
    </row>
    <row r="52" spans="2:11" x14ac:dyDescent="0.25">
      <c r="B52" t="s">
        <v>98</v>
      </c>
      <c r="C52">
        <v>1.1000000000000001</v>
      </c>
      <c r="F52" t="s">
        <v>165</v>
      </c>
      <c r="G52">
        <v>200</v>
      </c>
      <c r="H52">
        <v>4.7300000000000004</v>
      </c>
      <c r="I52">
        <f>H52*G52/G43</f>
        <v>291.07692307692309</v>
      </c>
      <c r="K52">
        <f>I52*1.7</f>
        <v>494.83076923076925</v>
      </c>
    </row>
    <row r="53" spans="2:11" x14ac:dyDescent="0.25">
      <c r="B53" t="s">
        <v>132</v>
      </c>
      <c r="C53" s="66">
        <f>ROUND((C50+C51)*C52/2,2)</f>
        <v>2.39</v>
      </c>
    </row>
    <row r="54" spans="2:11" x14ac:dyDescent="0.25">
      <c r="K54">
        <f>K52+K50</f>
        <v>2168.6923076923076</v>
      </c>
    </row>
    <row r="55" spans="2:11" x14ac:dyDescent="0.25">
      <c r="B55" t="s">
        <v>153</v>
      </c>
      <c r="C55" s="66">
        <f>C53+C47</f>
        <v>4.7300000000000004</v>
      </c>
    </row>
    <row r="57" spans="2:11" x14ac:dyDescent="0.25">
      <c r="B57" t="s">
        <v>120</v>
      </c>
      <c r="C57">
        <v>0.1</v>
      </c>
    </row>
    <row r="58" spans="2:11" x14ac:dyDescent="0.25">
      <c r="B58" t="s">
        <v>154</v>
      </c>
      <c r="C58">
        <v>2400</v>
      </c>
      <c r="F58" t="s">
        <v>160</v>
      </c>
      <c r="G58">
        <f>0.4*3.25*0.15</f>
        <v>0.19500000000000001</v>
      </c>
      <c r="H58">
        <v>2400</v>
      </c>
      <c r="I58">
        <f>H58*G58</f>
        <v>468</v>
      </c>
    </row>
    <row r="59" spans="2:11" x14ac:dyDescent="0.25">
      <c r="B59" t="s">
        <v>156</v>
      </c>
      <c r="C59">
        <f>C58*C57</f>
        <v>240</v>
      </c>
      <c r="F59" t="s">
        <v>161</v>
      </c>
      <c r="G59">
        <f>3.25*0.15*2.82</f>
        <v>1.3747499999999999</v>
      </c>
      <c r="H59">
        <f>F63</f>
        <v>999.99999999999989</v>
      </c>
      <c r="I59">
        <f>H59*G59</f>
        <v>1374.7499999999998</v>
      </c>
    </row>
    <row r="60" spans="2:11" x14ac:dyDescent="0.25">
      <c r="I60">
        <f>I59+I58</f>
        <v>1842.7499999999998</v>
      </c>
    </row>
    <row r="61" spans="2:11" x14ac:dyDescent="0.25">
      <c r="E61" t="s">
        <v>162</v>
      </c>
      <c r="F61">
        <v>12</v>
      </c>
    </row>
    <row r="62" spans="2:11" x14ac:dyDescent="0.25">
      <c r="E62" t="s">
        <v>163</v>
      </c>
      <c r="F62">
        <f>0.4*0.2*0.15</f>
        <v>1.2000000000000002E-2</v>
      </c>
    </row>
    <row r="63" spans="2:11" x14ac:dyDescent="0.25">
      <c r="E63" t="s">
        <v>164</v>
      </c>
      <c r="F63">
        <f>F61/F62</f>
        <v>999.99999999999989</v>
      </c>
    </row>
    <row r="71" spans="14:22" x14ac:dyDescent="0.25">
      <c r="N71" s="64">
        <v>0.375</v>
      </c>
      <c r="O71" s="63">
        <f>N71*2.54</f>
        <v>0.95250000000000001</v>
      </c>
      <c r="P71">
        <f>PI()*O71*O71/4</f>
        <v>0.71255739248085614</v>
      </c>
      <c r="Q71">
        <v>0</v>
      </c>
      <c r="R71">
        <f>Q71*P71</f>
        <v>0</v>
      </c>
    </row>
    <row r="72" spans="14:22" x14ac:dyDescent="0.25">
      <c r="N72" s="64">
        <v>0.5</v>
      </c>
      <c r="O72" s="63">
        <f>N72*2.54</f>
        <v>1.27</v>
      </c>
      <c r="P72">
        <f>PI()*O72*O72/4</f>
        <v>1.2667686977437445</v>
      </c>
      <c r="Q72">
        <v>2</v>
      </c>
      <c r="R72">
        <f>Q72*P72</f>
        <v>2.5335373954874889</v>
      </c>
    </row>
    <row r="73" spans="14:22" x14ac:dyDescent="0.25">
      <c r="N73" s="64">
        <v>0.625</v>
      </c>
      <c r="O73" s="63">
        <f>N73*2.54</f>
        <v>1.5874999999999999</v>
      </c>
      <c r="P73">
        <f>PI()*O73*O73/4</f>
        <v>1.9793260902246004</v>
      </c>
      <c r="Q73">
        <v>1</v>
      </c>
      <c r="R73">
        <f>Q73*P73</f>
        <v>1.9793260902246004</v>
      </c>
      <c r="T73" t="s">
        <v>109</v>
      </c>
      <c r="U73" t="s">
        <v>110</v>
      </c>
      <c r="V73" t="s">
        <v>115</v>
      </c>
    </row>
    <row r="74" spans="14:22" x14ac:dyDescent="0.25">
      <c r="N74" s="64">
        <v>0.75</v>
      </c>
      <c r="O74" s="63">
        <f>N74*2.54</f>
        <v>1.905</v>
      </c>
      <c r="P74">
        <f>PI()*O74*O74/4</f>
        <v>2.8502295699234246</v>
      </c>
      <c r="Q74">
        <v>0</v>
      </c>
      <c r="R74">
        <f>Q74*P74</f>
        <v>0</v>
      </c>
      <c r="V74" t="s">
        <v>116</v>
      </c>
    </row>
    <row r="75" spans="14:22" x14ac:dyDescent="0.25">
      <c r="R75">
        <f>SUM(R71:R74)</f>
        <v>4.5128634857120895</v>
      </c>
    </row>
    <row r="81" spans="14:18" x14ac:dyDescent="0.25">
      <c r="N81" s="64">
        <v>0.375</v>
      </c>
      <c r="O81" s="63">
        <f>N81*2.54</f>
        <v>0.95250000000000001</v>
      </c>
      <c r="P81">
        <f>PI()*O81*O81/4</f>
        <v>0.71255739248085614</v>
      </c>
      <c r="Q81">
        <v>0</v>
      </c>
      <c r="R81">
        <f>Q81*P81</f>
        <v>0</v>
      </c>
    </row>
    <row r="82" spans="14:18" x14ac:dyDescent="0.25">
      <c r="N82" s="64">
        <v>0.5</v>
      </c>
      <c r="O82" s="63">
        <f>N82*2.54</f>
        <v>1.27</v>
      </c>
      <c r="P82">
        <f>PI()*O82*O82/4</f>
        <v>1.2667686977437445</v>
      </c>
      <c r="Q82">
        <v>3</v>
      </c>
      <c r="R82">
        <f>Q82*P82</f>
        <v>3.8003060932312334</v>
      </c>
    </row>
    <row r="83" spans="14:18" x14ac:dyDescent="0.25">
      <c r="N83" s="64">
        <v>0.625</v>
      </c>
      <c r="O83" s="63">
        <f>N83*2.54</f>
        <v>1.5874999999999999</v>
      </c>
      <c r="P83">
        <f>PI()*O83*O83/4</f>
        <v>1.9793260902246004</v>
      </c>
      <c r="Q83">
        <v>0</v>
      </c>
      <c r="R83">
        <f>Q83*P83</f>
        <v>0</v>
      </c>
    </row>
    <row r="84" spans="14:18" x14ac:dyDescent="0.25">
      <c r="N84" s="64">
        <v>0.75</v>
      </c>
      <c r="O84" s="63">
        <f>N84*2.54</f>
        <v>1.905</v>
      </c>
      <c r="P84">
        <f>PI()*O84*O84/4</f>
        <v>2.8502295699234246</v>
      </c>
      <c r="Q84">
        <v>0</v>
      </c>
      <c r="R84">
        <f>Q84*P84</f>
        <v>0</v>
      </c>
    </row>
    <row r="85" spans="14:18" x14ac:dyDescent="0.25">
      <c r="R85">
        <f>SUM(R81:R84)</f>
        <v>3.8003060932312334</v>
      </c>
    </row>
    <row r="89" spans="14:18" x14ac:dyDescent="0.25">
      <c r="N89" s="64">
        <v>0.375</v>
      </c>
      <c r="O89" s="63">
        <f>N89*2.54</f>
        <v>0.95250000000000001</v>
      </c>
      <c r="P89">
        <f>PI()*O89*O89/4</f>
        <v>0.71255739248085614</v>
      </c>
      <c r="Q89">
        <v>0</v>
      </c>
      <c r="R89">
        <f>Q89*P89</f>
        <v>0</v>
      </c>
    </row>
    <row r="90" spans="14:18" x14ac:dyDescent="0.25">
      <c r="N90" s="64">
        <v>0.5</v>
      </c>
      <c r="O90" s="63">
        <f>N90*2.54</f>
        <v>1.27</v>
      </c>
      <c r="P90">
        <f>PI()*O90*O90/4</f>
        <v>1.2667686977437445</v>
      </c>
      <c r="Q90">
        <v>3</v>
      </c>
      <c r="R90">
        <f>Q90*P90</f>
        <v>3.8003060932312334</v>
      </c>
    </row>
    <row r="91" spans="14:18" x14ac:dyDescent="0.25">
      <c r="N91" s="64">
        <v>0.625</v>
      </c>
      <c r="O91" s="63">
        <f>N91*2.54</f>
        <v>1.5874999999999999</v>
      </c>
      <c r="P91">
        <f>PI()*O91*O91/4</f>
        <v>1.9793260902246004</v>
      </c>
      <c r="Q91">
        <v>0</v>
      </c>
      <c r="R91">
        <f>Q91*P91</f>
        <v>0</v>
      </c>
    </row>
    <row r="92" spans="14:18" x14ac:dyDescent="0.25">
      <c r="N92" s="64">
        <v>0.75</v>
      </c>
      <c r="O92" s="63">
        <f>N92*2.54</f>
        <v>1.905</v>
      </c>
      <c r="P92">
        <f>PI()*O92*O92/4</f>
        <v>2.8502295699234246</v>
      </c>
      <c r="Q92">
        <v>0</v>
      </c>
      <c r="R92">
        <f>Q92*P92</f>
        <v>0</v>
      </c>
    </row>
    <row r="93" spans="14:18" x14ac:dyDescent="0.25">
      <c r="R93">
        <f>SUM(R89:R92)</f>
        <v>3.8003060932312334</v>
      </c>
    </row>
    <row r="97" spans="14:17" x14ac:dyDescent="0.25">
      <c r="P97">
        <f>P89*2</f>
        <v>1.4251147849617123</v>
      </c>
    </row>
    <row r="98" spans="14:17" x14ac:dyDescent="0.25">
      <c r="P98">
        <f>P97/15.5</f>
        <v>9.1942889352368537E-2</v>
      </c>
    </row>
    <row r="104" spans="14:17" x14ac:dyDescent="0.25">
      <c r="N104" t="s">
        <v>160</v>
      </c>
      <c r="O104">
        <f>0.4*0.15</f>
        <v>0.06</v>
      </c>
      <c r="P104">
        <v>2400</v>
      </c>
      <c r="Q104">
        <f>P104*O104</f>
        <v>144</v>
      </c>
    </row>
    <row r="105" spans="14:17" x14ac:dyDescent="0.25">
      <c r="N105" t="s">
        <v>161</v>
      </c>
      <c r="O105">
        <f>0.15*2.82</f>
        <v>0.42299999999999999</v>
      </c>
      <c r="P105">
        <f>F63</f>
        <v>999.99999999999989</v>
      </c>
      <c r="Q105">
        <f>P105*O105</f>
        <v>422.99999999999994</v>
      </c>
    </row>
    <row r="106" spans="14:17" x14ac:dyDescent="0.25">
      <c r="Q106">
        <f>Q105+Q104</f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Integración de cargas (2)</vt:lpstr>
      <vt:lpstr>Formato</vt:lpstr>
      <vt:lpstr>Hoja1</vt:lpstr>
      <vt:lpstr>Viguitas</vt:lpstr>
      <vt:lpstr>Cimiento Corrido</vt:lpstr>
      <vt:lpstr>Hoja2</vt:lpstr>
      <vt:lpstr>SEAOC</vt:lpstr>
      <vt:lpstr>AGIES</vt:lpstr>
      <vt:lpstr>Viga</vt:lpstr>
      <vt:lpstr>Hoja4</vt:lpstr>
      <vt:lpstr>Integración de cargas</vt:lpstr>
      <vt:lpstr>Losa</vt:lpstr>
      <vt:lpstr>Zapata</vt:lpstr>
      <vt:lpstr>Zapata (3)</vt:lpstr>
      <vt:lpstr>Zapata (4)</vt:lpstr>
      <vt:lpstr>Zapata (5)</vt:lpstr>
      <vt:lpstr>Zapata (2)</vt:lpstr>
      <vt:lpstr>Costanera</vt:lpstr>
      <vt:lpstr>Zapata (6)</vt:lpstr>
      <vt:lpstr>Zapata (7)</vt:lpstr>
      <vt:lpstr>Zapata (8)</vt:lpstr>
      <vt:lpstr>Zapata (9)</vt:lpstr>
      <vt:lpstr>Zapata (10)</vt:lpstr>
      <vt:lpstr>Zapata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2021-08-23T12:15:24Z</cp:lastPrinted>
  <dcterms:created xsi:type="dcterms:W3CDTF">2021-02-05T18:05:57Z</dcterms:created>
  <dcterms:modified xsi:type="dcterms:W3CDTF">2022-08-02T05:50:11Z</dcterms:modified>
</cp:coreProperties>
</file>