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EB0A8F2-FEC9-42E4-81C4-8C4EDAA9415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G10" i="2"/>
  <c r="W30" i="1"/>
  <c r="V30" i="1"/>
  <c r="O26" i="1"/>
  <c r="M26" i="1"/>
  <c r="Q25" i="2" l="1"/>
  <c r="AA6" i="2"/>
  <c r="Q24" i="2" s="1"/>
  <c r="AB6" i="2"/>
  <c r="AA8" i="2"/>
  <c r="AB8" i="2"/>
  <c r="AA10" i="2"/>
  <c r="Q26" i="2" s="1"/>
  <c r="AB10" i="2"/>
  <c r="AA12" i="2"/>
  <c r="Q27" i="2" s="1"/>
  <c r="AB12" i="2"/>
  <c r="AA14" i="2"/>
  <c r="Q28" i="2" s="1"/>
  <c r="AB14" i="2"/>
  <c r="AA16" i="2"/>
  <c r="Q29" i="2" s="1"/>
  <c r="AB16" i="2"/>
  <c r="AA18" i="2"/>
  <c r="Q30" i="2" s="1"/>
  <c r="AB18" i="2"/>
  <c r="AB4" i="2"/>
  <c r="AA4" i="2"/>
  <c r="K23" i="1"/>
  <c r="S33" i="1"/>
  <c r="R33" i="1"/>
  <c r="F37" i="2"/>
  <c r="N23" i="2" l="1"/>
  <c r="N24" i="2"/>
  <c r="AB7" i="1"/>
  <c r="AB13" i="1"/>
  <c r="AB6" i="1"/>
  <c r="AB9" i="1"/>
  <c r="AB11" i="1"/>
  <c r="AB15" i="1"/>
  <c r="AB17" i="1"/>
  <c r="AB19" i="1"/>
  <c r="AB21" i="1"/>
  <c r="AB5" i="1"/>
  <c r="O32" i="1"/>
  <c r="N26" i="2"/>
  <c r="N27" i="2"/>
  <c r="N28" i="2"/>
  <c r="N29" i="2"/>
  <c r="N25" i="2"/>
  <c r="K13" i="1"/>
  <c r="K15" i="1"/>
  <c r="K17" i="1"/>
  <c r="K19" i="1"/>
  <c r="K21" i="1"/>
  <c r="K11" i="1"/>
  <c r="N21" i="2"/>
  <c r="G35" i="2" s="1"/>
  <c r="N20" i="2"/>
  <c r="G34" i="2" s="1"/>
  <c r="N19" i="2"/>
  <c r="G33" i="2" s="1"/>
  <c r="H32" i="2" s="1"/>
  <c r="N18" i="2"/>
  <c r="G31" i="2" s="1"/>
  <c r="N17" i="2"/>
  <c r="G30" i="2" s="1"/>
  <c r="N16" i="2"/>
  <c r="G29" i="2" s="1"/>
  <c r="H28" i="2" s="1"/>
  <c r="N15" i="2"/>
  <c r="G27" i="2" s="1"/>
  <c r="N14" i="2"/>
  <c r="G26" i="2" s="1"/>
  <c r="N13" i="2"/>
  <c r="G25" i="2" s="1"/>
  <c r="H24" i="2" s="1"/>
  <c r="N12" i="2"/>
  <c r="G23" i="2" s="1"/>
  <c r="N11" i="2"/>
  <c r="G22" i="2" s="1"/>
  <c r="N10" i="2"/>
  <c r="G21" i="2" s="1"/>
  <c r="H20" i="2" s="1"/>
  <c r="N3" i="2"/>
  <c r="G11" i="2" s="1"/>
  <c r="N1" i="2"/>
  <c r="G9" i="2" s="1"/>
  <c r="H8" i="2" s="1"/>
  <c r="N2" i="2"/>
  <c r="N9" i="2"/>
  <c r="G19" i="2" s="1"/>
  <c r="N5" i="2"/>
  <c r="G14" i="2" s="1"/>
  <c r="N6" i="2"/>
  <c r="G15" i="2" s="1"/>
  <c r="N7" i="2"/>
  <c r="G17" i="2" s="1"/>
  <c r="H16" i="2" s="1"/>
  <c r="N8" i="2"/>
  <c r="G18" i="2" s="1"/>
  <c r="N4" i="2"/>
  <c r="G13" i="2" s="1"/>
  <c r="P29" i="2" l="1"/>
  <c r="S29" i="2" s="1"/>
  <c r="O42" i="1" s="1"/>
  <c r="O21" i="1" s="1"/>
  <c r="Q21" i="1" s="1"/>
  <c r="P26" i="2"/>
  <c r="S26" i="2" s="1"/>
  <c r="O39" i="1" s="1"/>
  <c r="O15" i="1" s="1"/>
  <c r="Q15" i="1" s="1"/>
  <c r="P27" i="2"/>
  <c r="S27" i="2" s="1"/>
  <c r="O40" i="1" s="1"/>
  <c r="O17" i="1" s="1"/>
  <c r="O24" i="2"/>
  <c r="R24" i="2" s="1"/>
  <c r="M37" i="1" s="1"/>
  <c r="M11" i="1" s="1"/>
  <c r="P28" i="2"/>
  <c r="S28" i="2" s="1"/>
  <c r="O41" i="1" s="1"/>
  <c r="O19" i="1" s="1"/>
  <c r="Q19" i="1" s="1"/>
  <c r="P25" i="2"/>
  <c r="S25" i="2" s="1"/>
  <c r="O38" i="1" s="1"/>
  <c r="O13" i="1" s="1"/>
  <c r="Q13" i="1" s="1"/>
  <c r="AC10" i="1"/>
  <c r="AC12" i="1" s="1"/>
  <c r="H10" i="2"/>
  <c r="I8" i="2" s="1"/>
  <c r="Q3" i="2" s="1"/>
  <c r="R3" i="2" s="1"/>
  <c r="S3" i="2" s="1"/>
  <c r="H34" i="2"/>
  <c r="I32" i="2" s="1"/>
  <c r="Q9" i="2" s="1"/>
  <c r="H26" i="2"/>
  <c r="I24" i="2" s="1"/>
  <c r="Q7" i="2" s="1"/>
  <c r="H22" i="2"/>
  <c r="I20" i="2" s="1"/>
  <c r="H30" i="2"/>
  <c r="I28" i="2" s="1"/>
  <c r="O25" i="2"/>
  <c r="R25" i="2" s="1"/>
  <c r="M38" i="1" s="1"/>
  <c r="M13" i="1" s="1"/>
  <c r="O28" i="2"/>
  <c r="R28" i="2" s="1"/>
  <c r="M41" i="1" s="1"/>
  <c r="M19" i="1" s="1"/>
  <c r="O29" i="2"/>
  <c r="R29" i="2" s="1"/>
  <c r="M42" i="1" s="1"/>
  <c r="M21" i="1" s="1"/>
  <c r="O27" i="2"/>
  <c r="R27" i="2" s="1"/>
  <c r="M40" i="1" s="1"/>
  <c r="M17" i="1" s="1"/>
  <c r="P24" i="2"/>
  <c r="S24" i="2" s="1"/>
  <c r="O37" i="1" s="1"/>
  <c r="O11" i="1" s="1"/>
  <c r="Q11" i="1" s="1"/>
  <c r="O26" i="2"/>
  <c r="R26" i="2" s="1"/>
  <c r="M39" i="1" s="1"/>
  <c r="M15" i="1" s="1"/>
  <c r="H18" i="2"/>
  <c r="I16" i="2" s="1"/>
  <c r="P11" i="1" l="1"/>
  <c r="M25" i="1"/>
  <c r="M27" i="1" s="1"/>
  <c r="P17" i="1" s="1"/>
  <c r="P21" i="1"/>
  <c r="O25" i="1"/>
  <c r="O27" i="1" s="1"/>
  <c r="Q17" i="1"/>
  <c r="P13" i="1"/>
  <c r="AD10" i="1"/>
  <c r="P15" i="1"/>
  <c r="P19" i="1"/>
  <c r="AE10" i="1"/>
  <c r="AF10" i="1" s="1"/>
  <c r="AD12" i="1"/>
  <c r="AE12" i="1" s="1"/>
  <c r="AC14" i="1"/>
  <c r="N30" i="2"/>
  <c r="Q6" i="2"/>
  <c r="R6" i="2" s="1"/>
  <c r="Q8" i="2"/>
  <c r="R8" i="2" s="1"/>
  <c r="R7" i="2"/>
  <c r="S7" i="2" s="1"/>
  <c r="R9" i="2"/>
  <c r="S9" i="2" s="1"/>
  <c r="Q5" i="2"/>
  <c r="P30" i="2" l="1"/>
  <c r="S30" i="2" s="1"/>
  <c r="O43" i="1" s="1"/>
  <c r="O30" i="2"/>
  <c r="R30" i="2" s="1"/>
  <c r="M43" i="1" s="1"/>
  <c r="AF12" i="1"/>
  <c r="AD14" i="1"/>
  <c r="AE14" i="1" s="1"/>
  <c r="AF14" i="1" s="1"/>
  <c r="AC16" i="1"/>
  <c r="S6" i="2"/>
  <c r="S8" i="2"/>
  <c r="R5" i="2"/>
  <c r="S5" i="2" s="1"/>
  <c r="N33" i="2" l="1"/>
  <c r="AD16" i="1"/>
  <c r="AC18" i="1"/>
  <c r="H14" i="2"/>
  <c r="H12" i="2"/>
  <c r="I12" i="2" s="1"/>
  <c r="J14" i="2" s="1"/>
  <c r="J18" i="2" l="1"/>
  <c r="N34" i="2"/>
  <c r="O33" i="2"/>
  <c r="AC20" i="1"/>
  <c r="AD18" i="1"/>
  <c r="AE18" i="1" s="1"/>
  <c r="AE16" i="1"/>
  <c r="AF16" i="1" s="1"/>
  <c r="Q4" i="2"/>
  <c r="R4" i="2" s="1"/>
  <c r="S4" i="2" s="1"/>
  <c r="K25" i="1"/>
  <c r="P33" i="2" l="1"/>
  <c r="Q33" i="2" s="1"/>
  <c r="O34" i="2"/>
  <c r="P34" i="2" s="1"/>
  <c r="Q34" i="2" s="1"/>
  <c r="J22" i="2"/>
  <c r="N35" i="2"/>
  <c r="Q23" i="1"/>
  <c r="AF18" i="1"/>
  <c r="AD20" i="1"/>
  <c r="AC22" i="1"/>
  <c r="J26" i="2" l="1"/>
  <c r="N36" i="2"/>
  <c r="O35" i="2"/>
  <c r="P35" i="2"/>
  <c r="S12" i="1"/>
  <c r="W31" i="1" s="1"/>
  <c r="AE20" i="1"/>
  <c r="AF20" i="1" s="1"/>
  <c r="Q35" i="2" l="1"/>
  <c r="O36" i="2"/>
  <c r="J30" i="2"/>
  <c r="N37" i="2"/>
  <c r="Q25" i="1"/>
  <c r="V26" i="1" s="1"/>
  <c r="M28" i="1"/>
  <c r="M29" i="1" s="1"/>
  <c r="P23" i="1"/>
  <c r="P36" i="2" l="1"/>
  <c r="Q36" i="2" s="1"/>
  <c r="O37" i="2"/>
  <c r="P37" i="2" s="1"/>
  <c r="Q37" i="2"/>
  <c r="J34" i="2"/>
  <c r="N39" i="2" s="1"/>
  <c r="N38" i="2"/>
  <c r="S14" i="1"/>
  <c r="P25" i="1"/>
  <c r="U26" i="1" s="1"/>
  <c r="R12" i="1"/>
  <c r="O38" i="2" l="1"/>
  <c r="P38" i="2" s="1"/>
  <c r="Q38" i="2"/>
  <c r="O39" i="2"/>
  <c r="P39" i="2" s="1"/>
  <c r="S16" i="1"/>
  <c r="W32" i="1"/>
  <c r="R14" i="1"/>
  <c r="V31" i="1"/>
  <c r="Q39" i="2" l="1"/>
  <c r="S18" i="1"/>
  <c r="W33" i="1"/>
  <c r="R16" i="1"/>
  <c r="V32" i="1"/>
  <c r="S20" i="1" l="1"/>
  <c r="W34" i="1"/>
  <c r="R18" i="1"/>
  <c r="V33" i="1"/>
  <c r="R20" i="1" l="1"/>
  <c r="V34" i="1"/>
  <c r="S22" i="1"/>
  <c r="W35" i="1"/>
  <c r="W22" i="1" l="1"/>
  <c r="W36" i="1"/>
  <c r="R22" i="1"/>
  <c r="V35" i="1"/>
  <c r="V22" i="1" l="1"/>
  <c r="V36" i="1"/>
</calcChain>
</file>

<file path=xl/sharedStrings.xml><?xml version="1.0" encoding="utf-8"?>
<sst xmlns="http://schemas.openxmlformats.org/spreadsheetml/2006/main" count="122" uniqueCount="77">
  <si>
    <t>ВЕДОМОСТЬ  ВЫЧИСЛЕНИЯ  КООРДИНАТ</t>
  </si>
  <si>
    <t>№</t>
  </si>
  <si>
    <t>углы</t>
  </si>
  <si>
    <t>Дир. углы</t>
  </si>
  <si>
    <t>румбы</t>
  </si>
  <si>
    <t>измеренные</t>
  </si>
  <si>
    <t>исправленные</t>
  </si>
  <si>
    <t>вычисленные</t>
  </si>
  <si>
    <t>o</t>
  </si>
  <si>
    <t>¢</t>
  </si>
  <si>
    <t>назв</t>
  </si>
  <si>
    <t>Х</t>
  </si>
  <si>
    <t>У</t>
  </si>
  <si>
    <t>Замкнутый ход</t>
  </si>
  <si>
    <t>Σβпрак=</t>
  </si>
  <si>
    <t>Σβтеор=</t>
  </si>
  <si>
    <t>fβпрак=</t>
  </si>
  <si>
    <t>fβдоп=</t>
  </si>
  <si>
    <t xml:space="preserve">fабс =                                                  </t>
  </si>
  <si>
    <t>fотн =</t>
  </si>
  <si>
    <t>ЮЗ</t>
  </si>
  <si>
    <t>СЗ</t>
  </si>
  <si>
    <t>СВ</t>
  </si>
  <si>
    <t>ЮВ</t>
  </si>
  <si>
    <t xml:space="preserve">ΣΔх пр=                   </t>
  </si>
  <si>
    <t xml:space="preserve">ΣΔх теор=                  </t>
  </si>
  <si>
    <t xml:space="preserve">ΣΔy пр= </t>
  </si>
  <si>
    <t xml:space="preserve">ΣΔy теор=    </t>
  </si>
  <si>
    <t xml:space="preserve">fΔх =                      </t>
  </si>
  <si>
    <t xml:space="preserve">fΔy = </t>
  </si>
  <si>
    <t>КЛ</t>
  </si>
  <si>
    <t>Горизонтальные проложения</t>
  </si>
  <si>
    <t>КП</t>
  </si>
  <si>
    <t>Точки</t>
  </si>
  <si>
    <t>Стою</t>
  </si>
  <si>
    <t>Смотрю</t>
  </si>
  <si>
    <t>Положение круга</t>
  </si>
  <si>
    <t>Отчет</t>
  </si>
  <si>
    <t>Гор. угол</t>
  </si>
  <si>
    <t>Ср. знач.</t>
  </si>
  <si>
    <r>
      <t>D</t>
    </r>
    <r>
      <rPr>
        <sz val="11"/>
        <color theme="1"/>
        <rFont val="Times New Roman"/>
        <family val="1"/>
        <charset val="204"/>
      </rPr>
      <t>Х</t>
    </r>
  </si>
  <si>
    <r>
      <t>D</t>
    </r>
    <r>
      <rPr>
        <sz val="11"/>
        <color theme="1"/>
        <rFont val="Times New Roman"/>
        <family val="1"/>
        <charset val="204"/>
      </rPr>
      <t>У</t>
    </r>
  </si>
  <si>
    <r>
      <t>Σ</t>
    </r>
    <r>
      <rPr>
        <sz val="11"/>
        <color theme="1"/>
        <rFont val="Calibri"/>
        <family val="2"/>
        <charset val="204"/>
      </rPr>
      <t>d</t>
    </r>
    <r>
      <rPr>
        <sz val="11"/>
        <color theme="1"/>
        <rFont val="Times New Roman"/>
        <family val="1"/>
        <charset val="204"/>
      </rPr>
      <t>=</t>
    </r>
  </si>
  <si>
    <t>49'18"</t>
  </si>
  <si>
    <t>29'18"</t>
  </si>
  <si>
    <t>27'03"</t>
  </si>
  <si>
    <t>59'56"</t>
  </si>
  <si>
    <t>31'51"</t>
  </si>
  <si>
    <t>14'38"</t>
  </si>
  <si>
    <t>27'54"</t>
  </si>
  <si>
    <t>899 59 58</t>
  </si>
  <si>
    <t>34'28"</t>
  </si>
  <si>
    <t>2"</t>
  </si>
  <si>
    <t>29'19"</t>
  </si>
  <si>
    <t>27'04"</t>
  </si>
  <si>
    <t>19,84"</t>
  </si>
  <si>
    <t>сред</t>
  </si>
  <si>
    <t>cos</t>
  </si>
  <si>
    <t>sin</t>
  </si>
  <si>
    <t>d</t>
  </si>
  <si>
    <t>ΔX</t>
  </si>
  <si>
    <t>ΔY</t>
  </si>
  <si>
    <t>Приращения координат</t>
  </si>
  <si>
    <t>53'5"</t>
  </si>
  <si>
    <t>23'46"</t>
  </si>
  <si>
    <t>20'09"</t>
  </si>
  <si>
    <t>20'05"</t>
  </si>
  <si>
    <t>51'56"</t>
  </si>
  <si>
    <t>06'34"</t>
  </si>
  <si>
    <t>36'14"</t>
  </si>
  <si>
    <t>6'55"</t>
  </si>
  <si>
    <t>20'9"</t>
  </si>
  <si>
    <t>53'26"</t>
  </si>
  <si>
    <t>Расстояния и превышения</t>
  </si>
  <si>
    <t>Углы</t>
  </si>
  <si>
    <t>Бэта теория</t>
  </si>
  <si>
    <t>Делал 314-313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</si>
</sst>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E+00"/>
    <numFmt numFmtId="167" formatCode="0.00000000000000000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Symbol"/>
      <family val="1"/>
      <charset val="204"/>
    </font>
    <font>
      <sz val="11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4" fillId="0" borderId="1" xfId="0" applyNumberFormat="1" applyFont="1" applyBorder="1" applyAlignment="1">
      <alignment vertical="center" wrapText="1"/>
    </xf>
    <xf numFmtId="166" fontId="0" fillId="0" borderId="0" xfId="0" applyNumberFormat="1"/>
    <xf numFmtId="164" fontId="4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164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167" fontId="4" fillId="0" borderId="1" xfId="0" applyNumberFormat="1" applyFont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2" fontId="0" fillId="4" borderId="1" xfId="0" applyNumberForma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tabSelected="1" zoomScale="90" zoomScaleNormal="90" workbookViewId="0">
      <selection activeCell="G23" sqref="G23"/>
    </sheetView>
  </sheetViews>
  <sheetFormatPr defaultRowHeight="15" x14ac:dyDescent="0.25"/>
  <cols>
    <col min="1" max="1" width="4.140625" customWidth="1"/>
    <col min="2" max="2" width="5.5703125" customWidth="1"/>
    <col min="3" max="3" width="10.42578125" customWidth="1"/>
    <col min="4" max="4" width="5.5703125" customWidth="1"/>
    <col min="5" max="5" width="8.7109375" customWidth="1"/>
    <col min="6" max="6" width="6" customWidth="1"/>
    <col min="7" max="7" width="8.7109375" customWidth="1"/>
    <col min="8" max="8" width="5.28515625" customWidth="1"/>
    <col min="9" max="9" width="6.7109375" customWidth="1"/>
    <col min="10" max="10" width="8" customWidth="1"/>
    <col min="11" max="11" width="12" customWidth="1"/>
    <col min="12" max="12" width="5.42578125" customWidth="1"/>
    <col min="13" max="13" width="9.5703125" customWidth="1"/>
    <col min="14" max="14" width="4.85546875" customWidth="1"/>
    <col min="15" max="15" width="9.140625" customWidth="1"/>
    <col min="16" max="16" width="11" customWidth="1"/>
    <col min="17" max="17" width="11.42578125" customWidth="1"/>
    <col min="18" max="18" width="9.28515625" bestFit="1" customWidth="1"/>
    <col min="19" max="19" width="8.5703125" bestFit="1" customWidth="1"/>
    <col min="21" max="21" width="21.42578125" bestFit="1" customWidth="1"/>
    <col min="22" max="22" width="10" bestFit="1" customWidth="1"/>
  </cols>
  <sheetData>
    <row r="1" spans="1:32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32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32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32" ht="27" customHeight="1" x14ac:dyDescent="0.25">
      <c r="A4" s="41" t="s">
        <v>1</v>
      </c>
      <c r="B4" s="41" t="s">
        <v>2</v>
      </c>
      <c r="C4" s="41"/>
      <c r="D4" s="41"/>
      <c r="E4" s="41"/>
      <c r="F4" s="41" t="s">
        <v>3</v>
      </c>
      <c r="G4" s="41"/>
      <c r="H4" s="41" t="s">
        <v>4</v>
      </c>
      <c r="I4" s="41"/>
      <c r="J4" s="41"/>
      <c r="K4" s="41" t="s">
        <v>31</v>
      </c>
      <c r="L4" s="41" t="s">
        <v>62</v>
      </c>
      <c r="M4" s="41"/>
      <c r="N4" s="41"/>
      <c r="O4" s="41"/>
      <c r="P4" s="41"/>
      <c r="Q4" s="41"/>
      <c r="R4" s="41"/>
      <c r="S4" s="41"/>
      <c r="U4" s="2">
        <v>314</v>
      </c>
    </row>
    <row r="5" spans="1:32" ht="15.75" customHeight="1" x14ac:dyDescent="0.25">
      <c r="A5" s="41"/>
      <c r="B5" s="41" t="s">
        <v>5</v>
      </c>
      <c r="C5" s="41"/>
      <c r="D5" s="41" t="s">
        <v>6</v>
      </c>
      <c r="E5" s="41"/>
      <c r="F5" s="41"/>
      <c r="G5" s="41"/>
      <c r="H5" s="41"/>
      <c r="I5" s="41"/>
      <c r="J5" s="41"/>
      <c r="K5" s="41"/>
      <c r="L5" s="41" t="s">
        <v>7</v>
      </c>
      <c r="M5" s="41"/>
      <c r="N5" s="41"/>
      <c r="O5" s="41"/>
      <c r="P5" s="41" t="s">
        <v>6</v>
      </c>
      <c r="Q5" s="41"/>
      <c r="R5" s="41"/>
      <c r="S5" s="41"/>
      <c r="U5" s="2"/>
      <c r="V5">
        <v>114.91200000000001</v>
      </c>
      <c r="W5">
        <v>0.89050000000000007</v>
      </c>
      <c r="Y5">
        <v>80</v>
      </c>
      <c r="Z5">
        <v>34</v>
      </c>
      <c r="AA5">
        <v>28</v>
      </c>
      <c r="AB5">
        <f>Y5+(Z5/60)+(AA5/3600)</f>
        <v>80.574444444444438</v>
      </c>
    </row>
    <row r="6" spans="1:32" x14ac:dyDescent="0.25">
      <c r="A6" s="41"/>
      <c r="B6" s="12" t="s">
        <v>8</v>
      </c>
      <c r="C6" s="12" t="s">
        <v>9</v>
      </c>
      <c r="D6" s="12" t="s">
        <v>8</v>
      </c>
      <c r="E6" s="12" t="s">
        <v>9</v>
      </c>
      <c r="F6" s="12" t="s">
        <v>8</v>
      </c>
      <c r="G6" s="12" t="s">
        <v>9</v>
      </c>
      <c r="H6" s="7" t="s">
        <v>10</v>
      </c>
      <c r="I6" s="12" t="s">
        <v>8</v>
      </c>
      <c r="J6" s="12" t="s">
        <v>9</v>
      </c>
      <c r="K6" s="41"/>
      <c r="L6" s="45" t="s">
        <v>40</v>
      </c>
      <c r="M6" s="45"/>
      <c r="N6" s="45" t="s">
        <v>41</v>
      </c>
      <c r="O6" s="45"/>
      <c r="P6" s="12" t="s">
        <v>40</v>
      </c>
      <c r="Q6" s="12" t="s">
        <v>41</v>
      </c>
      <c r="R6" s="7" t="s">
        <v>11</v>
      </c>
      <c r="S6" s="7" t="s">
        <v>12</v>
      </c>
      <c r="U6" s="2">
        <v>313</v>
      </c>
      <c r="Y6">
        <v>260</v>
      </c>
      <c r="Z6">
        <v>34</v>
      </c>
      <c r="AA6">
        <v>28</v>
      </c>
      <c r="AB6">
        <f t="shared" ref="AB6" si="0">Y6+(Z6/60)+(AA6/3600)</f>
        <v>260.57444444444445</v>
      </c>
    </row>
    <row r="7" spans="1:32" x14ac:dyDescent="0.25">
      <c r="A7" s="41" t="s">
        <v>13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U7" s="2"/>
      <c r="V7">
        <v>29.138500000000001</v>
      </c>
      <c r="W7">
        <v>0.186</v>
      </c>
      <c r="Y7">
        <v>180</v>
      </c>
      <c r="Z7">
        <v>0</v>
      </c>
      <c r="AA7">
        <v>0</v>
      </c>
      <c r="AB7">
        <f>Y7+(Z7/60)+(AA7/3600)</f>
        <v>180</v>
      </c>
    </row>
    <row r="8" spans="1:32" x14ac:dyDescent="0.25">
      <c r="A8" s="7">
        <v>314</v>
      </c>
      <c r="B8" s="14"/>
      <c r="C8" s="14"/>
      <c r="D8" s="14"/>
      <c r="E8" s="14"/>
      <c r="F8" s="7"/>
      <c r="G8" s="7"/>
      <c r="H8" s="7"/>
      <c r="I8" s="7"/>
      <c r="J8" s="7"/>
      <c r="K8" s="7"/>
      <c r="L8" s="7"/>
      <c r="M8" s="7"/>
      <c r="N8" s="7"/>
      <c r="O8" s="7"/>
      <c r="P8" s="13"/>
      <c r="Q8" s="13"/>
      <c r="R8" s="26">
        <v>83272.59</v>
      </c>
      <c r="S8" s="26">
        <v>28076.04</v>
      </c>
      <c r="U8" s="2">
        <v>1</v>
      </c>
      <c r="AC8">
        <v>80.574444444444438</v>
      </c>
    </row>
    <row r="9" spans="1:32" x14ac:dyDescent="0.25">
      <c r="A9" s="14"/>
      <c r="B9" s="14"/>
      <c r="C9" s="14"/>
      <c r="D9" s="7"/>
      <c r="E9" s="7"/>
      <c r="F9" s="7">
        <v>80</v>
      </c>
      <c r="G9" s="7" t="s">
        <v>51</v>
      </c>
      <c r="H9" s="7" t="s">
        <v>22</v>
      </c>
      <c r="I9" s="7">
        <v>80</v>
      </c>
      <c r="J9" s="7" t="s">
        <v>51</v>
      </c>
      <c r="K9" s="1"/>
      <c r="L9" s="15"/>
      <c r="M9" s="7"/>
      <c r="N9" s="7"/>
      <c r="O9" s="7"/>
      <c r="P9" s="13"/>
      <c r="Q9" s="13"/>
      <c r="R9" s="26"/>
      <c r="S9" s="26"/>
      <c r="U9" s="2"/>
      <c r="V9">
        <v>30.184999999999999</v>
      </c>
      <c r="W9">
        <v>0.3085</v>
      </c>
      <c r="Y9">
        <v>23</v>
      </c>
      <c r="Z9">
        <v>49</v>
      </c>
      <c r="AA9">
        <v>18</v>
      </c>
      <c r="AB9">
        <f>Y9+(Z9/60)+(AA9/3600)</f>
        <v>23.821666666666665</v>
      </c>
    </row>
    <row r="10" spans="1:32" x14ac:dyDescent="0.25">
      <c r="A10" s="7">
        <v>313</v>
      </c>
      <c r="B10" s="7">
        <v>23</v>
      </c>
      <c r="C10" s="7" t="s">
        <v>43</v>
      </c>
      <c r="D10" s="7">
        <v>23</v>
      </c>
      <c r="E10" s="7" t="s">
        <v>43</v>
      </c>
      <c r="F10" s="14"/>
      <c r="G10" s="14"/>
      <c r="H10" s="7"/>
      <c r="I10" s="7"/>
      <c r="J10" s="7"/>
      <c r="K10" s="14"/>
      <c r="L10" s="15"/>
      <c r="M10" s="14"/>
      <c r="N10" s="7"/>
      <c r="O10" s="14"/>
      <c r="P10" s="13"/>
      <c r="Q10" s="13"/>
      <c r="R10" s="26">
        <v>83253.77</v>
      </c>
      <c r="S10" s="26">
        <v>27962.67</v>
      </c>
      <c r="U10" s="2">
        <v>2</v>
      </c>
      <c r="AC10">
        <f>AB5+AB9</f>
        <v>104.39611111111111</v>
      </c>
      <c r="AD10">
        <f>TRUNC(AC10)</f>
        <v>104</v>
      </c>
      <c r="AE10">
        <f>TRUNC((AC10-AD10)*60)</f>
        <v>23</v>
      </c>
      <c r="AF10">
        <f>ROUND((AC10-AD10-AE10/60)*3600,0)</f>
        <v>46</v>
      </c>
    </row>
    <row r="11" spans="1:32" x14ac:dyDescent="0.25">
      <c r="A11" s="14"/>
      <c r="B11" s="14"/>
      <c r="C11" s="14"/>
      <c r="D11" s="7"/>
      <c r="E11" s="7"/>
      <c r="F11" s="16">
        <v>104</v>
      </c>
      <c r="G11" s="16" t="s">
        <v>64</v>
      </c>
      <c r="H11" s="7" t="s">
        <v>23</v>
      </c>
      <c r="I11" s="7">
        <v>75</v>
      </c>
      <c r="J11" s="7" t="s">
        <v>69</v>
      </c>
      <c r="K11" s="15">
        <f>V7-((W7^2)/(2*V7)+(W7^4)/(8*(V7^3)))</f>
        <v>29.137906346373057</v>
      </c>
      <c r="L11" s="15"/>
      <c r="M11" s="38">
        <f>M37</f>
        <v>-7.24</v>
      </c>
      <c r="N11" s="32"/>
      <c r="O11" s="38">
        <f>O37</f>
        <v>28.23</v>
      </c>
      <c r="P11" s="39">
        <f>M11</f>
        <v>-7.24</v>
      </c>
      <c r="Q11" s="39">
        <f>O11</f>
        <v>28.23</v>
      </c>
      <c r="R11" s="13"/>
      <c r="S11" s="13"/>
      <c r="U11" s="2"/>
      <c r="V11">
        <v>30.561</v>
      </c>
      <c r="W11">
        <v>0.34450000000000003</v>
      </c>
      <c r="Y11">
        <v>238</v>
      </c>
      <c r="Z11">
        <v>29</v>
      </c>
      <c r="AA11">
        <v>19</v>
      </c>
      <c r="AB11">
        <f>Y11+(Z11/60)+(AA11/3600)</f>
        <v>238.48861111111111</v>
      </c>
    </row>
    <row r="12" spans="1:32" x14ac:dyDescent="0.25">
      <c r="A12" s="7">
        <v>1</v>
      </c>
      <c r="B12" s="7">
        <v>238</v>
      </c>
      <c r="C12" s="7" t="s">
        <v>44</v>
      </c>
      <c r="D12" s="7">
        <v>238</v>
      </c>
      <c r="E12" s="7" t="s">
        <v>53</v>
      </c>
      <c r="F12" s="7"/>
      <c r="G12" s="7"/>
      <c r="H12" s="7"/>
      <c r="I12" s="7"/>
      <c r="J12" s="7"/>
      <c r="K12" s="15"/>
      <c r="L12" s="15"/>
      <c r="M12" s="33"/>
      <c r="N12" s="32"/>
      <c r="O12" s="33"/>
      <c r="P12" s="39"/>
      <c r="Q12" s="39"/>
      <c r="R12" s="13">
        <f>R10+P11</f>
        <v>83246.53</v>
      </c>
      <c r="S12" s="13">
        <f>S10+Q11</f>
        <v>27990.899999999998</v>
      </c>
      <c r="U12" s="2">
        <v>3</v>
      </c>
      <c r="AC12">
        <f>AC10-AB7+AB11</f>
        <v>162.88472222222222</v>
      </c>
      <c r="AD12">
        <f t="shared" ref="AD12:AD20" si="1">TRUNC(AC12)</f>
        <v>162</v>
      </c>
      <c r="AE12">
        <f t="shared" ref="AE12:AE20" si="2">TRUNC((AC12-AD12)*60)</f>
        <v>53</v>
      </c>
      <c r="AF12">
        <f t="shared" ref="AF12:AF20" si="3">ROUND((AC12-AD12-AE12/60)*3600,0)</f>
        <v>5</v>
      </c>
    </row>
    <row r="13" spans="1:32" x14ac:dyDescent="0.25">
      <c r="A13" s="14"/>
      <c r="B13" s="14"/>
      <c r="C13" s="14"/>
      <c r="D13" s="7"/>
      <c r="E13" s="7"/>
      <c r="F13" s="7">
        <v>162</v>
      </c>
      <c r="G13" s="7" t="s">
        <v>63</v>
      </c>
      <c r="H13" s="7" t="s">
        <v>23</v>
      </c>
      <c r="I13" s="7">
        <v>17</v>
      </c>
      <c r="J13" s="7" t="s">
        <v>70</v>
      </c>
      <c r="K13" s="15">
        <f>V9-((W9^2)/(2*V9)+(W9^4)/(8*(V9^3)))</f>
        <v>30.183423476307816</v>
      </c>
      <c r="L13" s="15"/>
      <c r="M13" s="38">
        <f>M38</f>
        <v>-28.85</v>
      </c>
      <c r="N13" s="32"/>
      <c r="O13" s="38">
        <f>O38</f>
        <v>8.8800000000000008</v>
      </c>
      <c r="P13" s="39">
        <f>M13-M27/5</f>
        <v>-28.860000000001513</v>
      </c>
      <c r="Q13" s="39">
        <f>O13-0.01</f>
        <v>8.870000000000001</v>
      </c>
      <c r="R13" s="13"/>
      <c r="S13" s="13"/>
      <c r="U13" s="2"/>
      <c r="V13">
        <v>42.935499999999998</v>
      </c>
      <c r="W13">
        <v>-0.47899999999999998</v>
      </c>
      <c r="Y13">
        <v>204</v>
      </c>
      <c r="Z13">
        <v>27</v>
      </c>
      <c r="AA13">
        <v>4</v>
      </c>
      <c r="AB13">
        <f>Y13+(Z13/60)+(AA13/3600)</f>
        <v>204.45111111111109</v>
      </c>
    </row>
    <row r="14" spans="1:32" x14ac:dyDescent="0.25">
      <c r="A14" s="7">
        <v>2</v>
      </c>
      <c r="B14" s="7">
        <v>204</v>
      </c>
      <c r="C14" s="7" t="s">
        <v>45</v>
      </c>
      <c r="D14" s="7">
        <v>204</v>
      </c>
      <c r="E14" s="7" t="s">
        <v>54</v>
      </c>
      <c r="F14" s="7"/>
      <c r="G14" s="7"/>
      <c r="H14" s="7"/>
      <c r="I14" s="7"/>
      <c r="J14" s="7"/>
      <c r="K14" s="15"/>
      <c r="L14" s="15"/>
      <c r="M14" s="33"/>
      <c r="N14" s="32"/>
      <c r="O14" s="33"/>
      <c r="P14" s="39"/>
      <c r="Q14" s="39"/>
      <c r="R14" s="13">
        <f>R12+P13</f>
        <v>83217.67</v>
      </c>
      <c r="S14" s="13">
        <f t="shared" ref="S14:S20" si="4">S12+Q13</f>
        <v>27999.769999999997</v>
      </c>
      <c r="U14" s="2">
        <v>4</v>
      </c>
      <c r="AC14">
        <f>AC12-AB7+AB13</f>
        <v>187.33583333333331</v>
      </c>
      <c r="AD14">
        <f t="shared" si="1"/>
        <v>187</v>
      </c>
      <c r="AE14">
        <f t="shared" si="2"/>
        <v>20</v>
      </c>
      <c r="AF14">
        <f t="shared" si="3"/>
        <v>9</v>
      </c>
    </row>
    <row r="15" spans="1:32" x14ac:dyDescent="0.25">
      <c r="A15" s="14"/>
      <c r="B15" s="14"/>
      <c r="C15" s="14"/>
      <c r="D15" s="7"/>
      <c r="E15" s="7"/>
      <c r="F15" s="7">
        <v>187</v>
      </c>
      <c r="G15" s="7" t="s">
        <v>65</v>
      </c>
      <c r="H15" s="7" t="s">
        <v>20</v>
      </c>
      <c r="I15" s="7">
        <v>7</v>
      </c>
      <c r="J15" s="7" t="s">
        <v>71</v>
      </c>
      <c r="K15" s="15">
        <f>V11-((W11^2)/(2*V11)+(W11^4)/(8*(V11^3)))</f>
        <v>30.559058243837285</v>
      </c>
      <c r="L15" s="15"/>
      <c r="M15" s="38">
        <f>M39</f>
        <v>-30.31</v>
      </c>
      <c r="N15" s="32"/>
      <c r="O15" s="38">
        <f>O39</f>
        <v>-3.9</v>
      </c>
      <c r="P15" s="39">
        <f>M15-M27/5</f>
        <v>-30.32000000000151</v>
      </c>
      <c r="Q15" s="39">
        <f>O15-0.01</f>
        <v>-3.9099999999999997</v>
      </c>
      <c r="R15" s="13"/>
      <c r="S15" s="13"/>
      <c r="U15" s="2"/>
      <c r="V15">
        <v>64.204499999999996</v>
      </c>
      <c r="W15">
        <v>-0.60699999999999998</v>
      </c>
      <c r="Y15">
        <v>67</v>
      </c>
      <c r="Z15">
        <v>59</v>
      </c>
      <c r="AA15">
        <v>56</v>
      </c>
      <c r="AB15">
        <f>Y15+(Z15/60)+(AA15/3600)</f>
        <v>67.998888888888885</v>
      </c>
    </row>
    <row r="16" spans="1:32" x14ac:dyDescent="0.25">
      <c r="A16" s="7">
        <v>3</v>
      </c>
      <c r="B16" s="7">
        <v>67</v>
      </c>
      <c r="C16" s="7" t="s">
        <v>46</v>
      </c>
      <c r="D16" s="7">
        <v>67</v>
      </c>
      <c r="E16" s="7" t="s">
        <v>46</v>
      </c>
      <c r="F16" s="7"/>
      <c r="G16" s="7"/>
      <c r="H16" s="7"/>
      <c r="I16" s="7"/>
      <c r="J16" s="7"/>
      <c r="K16" s="15"/>
      <c r="L16" s="15"/>
      <c r="M16" s="33"/>
      <c r="N16" s="32"/>
      <c r="O16" s="33"/>
      <c r="P16" s="39"/>
      <c r="Q16" s="39"/>
      <c r="R16" s="13">
        <f>R14+P15</f>
        <v>83187.349999999991</v>
      </c>
      <c r="S16" s="13">
        <f t="shared" si="4"/>
        <v>27995.859999999997</v>
      </c>
      <c r="U16" s="2">
        <v>5</v>
      </c>
      <c r="AC16">
        <f>AC14-AB7+AB15</f>
        <v>75.334722222222197</v>
      </c>
      <c r="AD16">
        <f t="shared" si="1"/>
        <v>75</v>
      </c>
      <c r="AE16">
        <f t="shared" si="2"/>
        <v>20</v>
      </c>
      <c r="AF16">
        <f t="shared" si="3"/>
        <v>5</v>
      </c>
    </row>
    <row r="17" spans="1:32" x14ac:dyDescent="0.25">
      <c r="A17" s="14"/>
      <c r="B17" s="14"/>
      <c r="C17" s="14"/>
      <c r="D17" s="7"/>
      <c r="E17" s="7"/>
      <c r="F17" s="7">
        <v>75</v>
      </c>
      <c r="G17" s="7" t="s">
        <v>66</v>
      </c>
      <c r="H17" s="7" t="s">
        <v>22</v>
      </c>
      <c r="I17" s="7">
        <v>75</v>
      </c>
      <c r="J17" s="7" t="s">
        <v>66</v>
      </c>
      <c r="K17" s="15">
        <f>V13-((W13^2)/(2*V13)+(W13^4)/(8*(V13^3)))</f>
        <v>42.932827990367045</v>
      </c>
      <c r="L17" s="15"/>
      <c r="M17" s="38">
        <f>M40</f>
        <v>10.87</v>
      </c>
      <c r="N17" s="32"/>
      <c r="O17" s="39">
        <f>O40</f>
        <v>41.54</v>
      </c>
      <c r="P17" s="39">
        <f>M17-M27/5</f>
        <v>10.859999999998488</v>
      </c>
      <c r="Q17" s="39">
        <f>O17-0.01</f>
        <v>41.53</v>
      </c>
      <c r="R17" s="13"/>
      <c r="S17" s="13"/>
      <c r="U17" s="2"/>
      <c r="V17">
        <v>63.277000000000001</v>
      </c>
      <c r="W17">
        <v>-0.65450000000000008</v>
      </c>
      <c r="Y17">
        <v>180</v>
      </c>
      <c r="Z17">
        <v>31</v>
      </c>
      <c r="AA17">
        <v>51</v>
      </c>
      <c r="AB17">
        <f>Y17+(Z17/60)+(AA17/3600)</f>
        <v>180.53083333333333</v>
      </c>
    </row>
    <row r="18" spans="1:32" x14ac:dyDescent="0.25">
      <c r="A18" s="7">
        <v>4</v>
      </c>
      <c r="B18" s="7">
        <v>180</v>
      </c>
      <c r="C18" s="7" t="s">
        <v>47</v>
      </c>
      <c r="D18" s="7">
        <v>180</v>
      </c>
      <c r="E18" s="7" t="s">
        <v>47</v>
      </c>
      <c r="F18" s="7"/>
      <c r="G18" s="7"/>
      <c r="H18" s="7"/>
      <c r="I18" s="7"/>
      <c r="J18" s="7"/>
      <c r="K18" s="15"/>
      <c r="L18" s="15"/>
      <c r="M18" s="33"/>
      <c r="N18" s="32"/>
      <c r="O18" s="33"/>
      <c r="P18" s="39"/>
      <c r="Q18" s="39"/>
      <c r="R18" s="13">
        <f>R16+P17</f>
        <v>83198.209999999992</v>
      </c>
      <c r="S18" s="13">
        <f t="shared" si="4"/>
        <v>28037.389999999996</v>
      </c>
      <c r="U18" s="2">
        <v>314</v>
      </c>
      <c r="AC18">
        <f>AC16-AB7+AB17</f>
        <v>75.865555555555531</v>
      </c>
      <c r="AD18">
        <f t="shared" si="1"/>
        <v>75</v>
      </c>
      <c r="AE18">
        <f t="shared" si="2"/>
        <v>51</v>
      </c>
      <c r="AF18">
        <f t="shared" si="3"/>
        <v>56</v>
      </c>
    </row>
    <row r="19" spans="1:32" x14ac:dyDescent="0.25">
      <c r="A19" s="14"/>
      <c r="B19" s="14"/>
      <c r="C19" s="14"/>
      <c r="D19" s="7"/>
      <c r="E19" s="7"/>
      <c r="F19" s="7">
        <v>75</v>
      </c>
      <c r="G19" s="7" t="s">
        <v>67</v>
      </c>
      <c r="H19" s="7" t="s">
        <v>22</v>
      </c>
      <c r="I19" s="7">
        <v>75</v>
      </c>
      <c r="J19" s="7" t="s">
        <v>67</v>
      </c>
      <c r="K19" s="15">
        <f>V15-((W15^2)/(2*V15)+(W15^4)/(8*(V15^3)))</f>
        <v>64.201630596507187</v>
      </c>
      <c r="L19" s="15"/>
      <c r="M19" s="38">
        <f>M41</f>
        <v>15.68</v>
      </c>
      <c r="N19" s="32"/>
      <c r="O19" s="38">
        <f>O41</f>
        <v>62.26</v>
      </c>
      <c r="P19" s="39">
        <f>M19-M27/5</f>
        <v>15.669999999998488</v>
      </c>
      <c r="Q19" s="39">
        <f>O19-0.01</f>
        <v>62.25</v>
      </c>
      <c r="R19" s="13"/>
      <c r="S19" s="13"/>
      <c r="U19" s="2"/>
      <c r="V19">
        <v>114.9455</v>
      </c>
      <c r="W19">
        <v>-0.89400000000000002</v>
      </c>
      <c r="Y19">
        <v>82</v>
      </c>
      <c r="Z19">
        <v>14</v>
      </c>
      <c r="AA19">
        <v>38</v>
      </c>
      <c r="AB19">
        <f>Y19+(Z19/60)+(AA19/3600)</f>
        <v>82.24388888888889</v>
      </c>
    </row>
    <row r="20" spans="1:32" x14ac:dyDescent="0.25">
      <c r="A20" s="7">
        <v>5</v>
      </c>
      <c r="B20" s="7">
        <v>82</v>
      </c>
      <c r="C20" s="7" t="s">
        <v>48</v>
      </c>
      <c r="D20" s="7">
        <v>82</v>
      </c>
      <c r="E20" s="7" t="s">
        <v>48</v>
      </c>
      <c r="F20" s="7"/>
      <c r="G20" s="7"/>
      <c r="H20" s="7"/>
      <c r="I20" s="7"/>
      <c r="J20" s="7"/>
      <c r="K20" s="15"/>
      <c r="L20" s="15"/>
      <c r="M20" s="33"/>
      <c r="N20" s="32"/>
      <c r="O20" s="33"/>
      <c r="P20" s="39"/>
      <c r="Q20" s="39"/>
      <c r="R20" s="40">
        <f>R18+P19</f>
        <v>83213.87999999999</v>
      </c>
      <c r="S20" s="13">
        <f t="shared" si="4"/>
        <v>28099.639999999996</v>
      </c>
      <c r="U20" s="2">
        <v>313</v>
      </c>
      <c r="AC20">
        <f>AC18-AB7+AB19+360</f>
        <v>338.10944444444442</v>
      </c>
      <c r="AD20">
        <f t="shared" si="1"/>
        <v>338</v>
      </c>
      <c r="AE20">
        <f t="shared" si="2"/>
        <v>6</v>
      </c>
      <c r="AF20">
        <f t="shared" si="3"/>
        <v>34</v>
      </c>
    </row>
    <row r="21" spans="1:32" x14ac:dyDescent="0.25">
      <c r="A21" s="14"/>
      <c r="B21" s="14"/>
      <c r="C21" s="14"/>
      <c r="D21" s="7"/>
      <c r="E21" s="7"/>
      <c r="F21" s="7">
        <v>338</v>
      </c>
      <c r="G21" s="7" t="s">
        <v>68</v>
      </c>
      <c r="H21" s="7" t="s">
        <v>21</v>
      </c>
      <c r="I21" s="7">
        <v>21</v>
      </c>
      <c r="J21" s="7" t="s">
        <v>72</v>
      </c>
      <c r="K21" s="15">
        <f>V17-((W17^2)/(2*V17)+(W17^4)/(8*(V17^3)))</f>
        <v>63.273615028308704</v>
      </c>
      <c r="L21" s="15"/>
      <c r="M21" s="38">
        <f>M42</f>
        <v>58.72</v>
      </c>
      <c r="N21" s="32"/>
      <c r="O21" s="38">
        <f>O42</f>
        <v>-23.59</v>
      </c>
      <c r="P21" s="39">
        <f>M21-M27/5</f>
        <v>58.709999999998487</v>
      </c>
      <c r="Q21" s="39">
        <f>O21-0.01</f>
        <v>-23.6</v>
      </c>
      <c r="R21" s="13"/>
      <c r="S21" s="24"/>
      <c r="Y21">
        <v>102</v>
      </c>
      <c r="Z21">
        <v>27</v>
      </c>
      <c r="AA21">
        <v>54</v>
      </c>
      <c r="AB21">
        <f>Y21+(Z21/60)+(AA21/3600)</f>
        <v>102.465</v>
      </c>
    </row>
    <row r="22" spans="1:32" x14ac:dyDescent="0.25">
      <c r="A22" s="7">
        <v>314</v>
      </c>
      <c r="B22" s="7">
        <v>102</v>
      </c>
      <c r="C22" s="7" t="s">
        <v>49</v>
      </c>
      <c r="D22" s="7">
        <v>102</v>
      </c>
      <c r="E22" s="7" t="s">
        <v>49</v>
      </c>
      <c r="F22" s="7"/>
      <c r="G22" s="7"/>
      <c r="H22" s="7"/>
      <c r="I22" s="7"/>
      <c r="J22" s="7"/>
      <c r="K22" s="15"/>
      <c r="L22" s="17"/>
      <c r="M22" s="7"/>
      <c r="N22" s="7"/>
      <c r="O22" s="7"/>
      <c r="P22" s="24"/>
      <c r="Q22" s="24"/>
      <c r="R22" s="27">
        <f>R20+P21</f>
        <v>83272.589999999982</v>
      </c>
      <c r="S22" s="27">
        <f>S20+Q21</f>
        <v>28076.039999999997</v>
      </c>
      <c r="T22" s="26">
        <v>83272.59</v>
      </c>
      <c r="U22" s="26">
        <v>28076.04</v>
      </c>
      <c r="V22" s="25">
        <f>R22-T22</f>
        <v>0</v>
      </c>
      <c r="W22" s="35">
        <f>S22-U22</f>
        <v>0</v>
      </c>
      <c r="AC22">
        <f>AC20-AB7+AB21</f>
        <v>260.57444444444445</v>
      </c>
    </row>
    <row r="23" spans="1:32" x14ac:dyDescent="0.25">
      <c r="A23" s="14"/>
      <c r="B23" s="7"/>
      <c r="C23" s="7"/>
      <c r="D23" s="7"/>
      <c r="E23" s="7"/>
      <c r="F23" s="7">
        <v>260</v>
      </c>
      <c r="G23" s="7" t="s">
        <v>51</v>
      </c>
      <c r="H23" s="7" t="s">
        <v>20</v>
      </c>
      <c r="I23" s="7">
        <v>80</v>
      </c>
      <c r="J23" s="7" t="s">
        <v>51</v>
      </c>
      <c r="K23" s="15">
        <f t="shared" ref="K23" si="5">V19-((W19^2)/(2*V19)+(W19^4)/(8*(V19^3)))</f>
        <v>114.94202336069417</v>
      </c>
      <c r="L23" s="18"/>
      <c r="M23" s="29">
        <v>-18.823589890136169</v>
      </c>
      <c r="N23" s="30"/>
      <c r="O23" s="29">
        <v>-113.39019281952017</v>
      </c>
      <c r="P23" s="31">
        <f>M23+K23*($M$27/$K$25)</f>
        <v>-18.808273700759248</v>
      </c>
      <c r="Q23" s="31">
        <f t="shared" ref="Q23" si="6">O23+K23*($O$27/$K$25)</f>
        <v>-113.37487663014636</v>
      </c>
      <c r="R23" s="27"/>
      <c r="S23" s="28"/>
    </row>
    <row r="24" spans="1:32" x14ac:dyDescent="0.25">
      <c r="A24" s="14">
        <v>313</v>
      </c>
      <c r="B24" s="7"/>
      <c r="C24" s="7"/>
      <c r="D24" s="7"/>
      <c r="E24" s="7"/>
      <c r="F24" s="7"/>
      <c r="G24" s="7"/>
      <c r="H24" s="7"/>
      <c r="I24" s="7"/>
      <c r="J24" s="7"/>
      <c r="K24" s="17"/>
      <c r="L24" s="17"/>
      <c r="M24" s="7"/>
      <c r="N24" s="7"/>
      <c r="O24" s="7"/>
      <c r="P24" s="13"/>
      <c r="Q24" s="13"/>
      <c r="R24" s="26">
        <v>83253.77</v>
      </c>
      <c r="S24" s="26">
        <v>27962.67</v>
      </c>
    </row>
    <row r="25" spans="1:32" ht="47.25" customHeight="1" x14ac:dyDescent="0.25">
      <c r="A25" s="5" t="s">
        <v>14</v>
      </c>
      <c r="B25" s="41" t="s">
        <v>50</v>
      </c>
      <c r="C25" s="41"/>
      <c r="D25" s="7"/>
      <c r="E25" s="7"/>
      <c r="F25" s="7"/>
      <c r="G25" s="7"/>
      <c r="H25" s="7"/>
      <c r="I25" s="7"/>
      <c r="J25" s="19" t="s">
        <v>42</v>
      </c>
      <c r="K25" s="20">
        <f>SUM(K8:K24)</f>
        <v>375.23048504239529</v>
      </c>
      <c r="L25" s="5" t="s">
        <v>24</v>
      </c>
      <c r="M25" s="5">
        <f>SUM(M11:M21)</f>
        <v>18.86999999999999</v>
      </c>
      <c r="N25" s="5" t="s">
        <v>26</v>
      </c>
      <c r="O25" s="5">
        <f>SUM(O11:O21)</f>
        <v>113.41999999999999</v>
      </c>
      <c r="P25" s="6">
        <f>SUM(P11:P22)</f>
        <v>18.819999999992433</v>
      </c>
      <c r="Q25" s="6">
        <f>SUM(Q11:Q22)</f>
        <v>113.37</v>
      </c>
      <c r="R25" s="7"/>
      <c r="S25" s="7"/>
    </row>
    <row r="26" spans="1:32" ht="42.75" customHeight="1" x14ac:dyDescent="0.25">
      <c r="A26" s="5" t="s">
        <v>15</v>
      </c>
      <c r="B26" s="41">
        <v>900</v>
      </c>
      <c r="C26" s="41"/>
      <c r="D26" s="41">
        <v>900</v>
      </c>
      <c r="E26" s="41"/>
      <c r="F26" s="7"/>
      <c r="G26" s="7"/>
      <c r="H26" s="7"/>
      <c r="I26" s="7"/>
      <c r="J26" s="7"/>
      <c r="K26" s="7"/>
      <c r="L26" s="5" t="s">
        <v>25</v>
      </c>
      <c r="M26" s="6">
        <f>T22-R10</f>
        <v>18.819999999992433</v>
      </c>
      <c r="N26" s="5" t="s">
        <v>27</v>
      </c>
      <c r="O26" s="5">
        <f>U22-S10</f>
        <v>113.37000000000262</v>
      </c>
      <c r="P26" s="34" t="s">
        <v>76</v>
      </c>
      <c r="Q26" s="6"/>
      <c r="R26" s="7"/>
      <c r="S26" s="7"/>
      <c r="U26" s="25">
        <f>P25+M26</f>
        <v>37.639999999984866</v>
      </c>
      <c r="V26" s="25">
        <f>Q25+O26</f>
        <v>226.74000000000262</v>
      </c>
    </row>
    <row r="27" spans="1:32" ht="30" customHeight="1" x14ac:dyDescent="0.25">
      <c r="A27" s="46" t="s">
        <v>16</v>
      </c>
      <c r="B27" s="46"/>
      <c r="C27" s="7" t="s">
        <v>52</v>
      </c>
      <c r="D27" s="7"/>
      <c r="E27" s="7"/>
      <c r="F27" s="7"/>
      <c r="G27" s="7"/>
      <c r="H27" s="7"/>
      <c r="I27" s="7"/>
      <c r="J27" s="7"/>
      <c r="K27" s="7"/>
      <c r="L27" s="5" t="s">
        <v>28</v>
      </c>
      <c r="M27" s="14">
        <f>M25-M26</f>
        <v>5.0000000007557333E-2</v>
      </c>
      <c r="N27" s="5" t="s">
        <v>29</v>
      </c>
      <c r="O27" s="14">
        <f>O25-O26</f>
        <v>4.999999999736815E-2</v>
      </c>
      <c r="P27" s="5"/>
      <c r="Q27" s="5"/>
      <c r="R27" s="7"/>
      <c r="S27" s="7"/>
    </row>
    <row r="28" spans="1:32" ht="37.5" customHeight="1" x14ac:dyDescent="0.25">
      <c r="A28" s="41" t="s">
        <v>17</v>
      </c>
      <c r="B28" s="41"/>
      <c r="C28" s="5" t="s">
        <v>55</v>
      </c>
      <c r="D28" s="41"/>
      <c r="E28" s="41"/>
      <c r="F28" s="41"/>
      <c r="G28" s="41"/>
      <c r="H28" s="41"/>
      <c r="I28" s="41"/>
      <c r="J28" s="41"/>
      <c r="K28" s="41"/>
      <c r="L28" s="5" t="s">
        <v>18</v>
      </c>
      <c r="M28" s="6">
        <f>SQRT((M27^2)+(O27^2))</f>
        <v>7.0710678122137591E-2</v>
      </c>
      <c r="N28" s="5"/>
      <c r="O28" s="5"/>
      <c r="P28" s="5"/>
      <c r="Q28" s="5"/>
      <c r="R28" s="41"/>
      <c r="S28" s="41"/>
    </row>
    <row r="29" spans="1:32" ht="30" x14ac:dyDescent="0.25">
      <c r="A29" s="5"/>
      <c r="B29" s="5"/>
      <c r="C29" s="5"/>
      <c r="D29" s="41"/>
      <c r="E29" s="41"/>
      <c r="F29" s="41"/>
      <c r="G29" s="41"/>
      <c r="H29" s="41"/>
      <c r="I29" s="41"/>
      <c r="J29" s="41"/>
      <c r="K29" s="41"/>
      <c r="L29" s="5" t="s">
        <v>19</v>
      </c>
      <c r="M29" s="22">
        <f>M28/K25</f>
        <v>1.884459843771712E-4</v>
      </c>
      <c r="N29" s="5"/>
      <c r="O29" s="5"/>
      <c r="P29" s="5"/>
      <c r="Q29" s="5"/>
      <c r="R29" s="41"/>
      <c r="S29" s="41"/>
    </row>
    <row r="30" spans="1:32" x14ac:dyDescent="0.25">
      <c r="U30">
        <v>313</v>
      </c>
      <c r="V30" s="26">
        <f>R10</f>
        <v>83253.77</v>
      </c>
      <c r="W30" s="26">
        <f>S10</f>
        <v>27962.67</v>
      </c>
    </row>
    <row r="31" spans="1:32" x14ac:dyDescent="0.25">
      <c r="Q31">
        <v>313</v>
      </c>
      <c r="R31" s="26">
        <v>83272.59</v>
      </c>
      <c r="S31" s="26">
        <v>28076.04</v>
      </c>
      <c r="U31">
        <v>1</v>
      </c>
      <c r="V31" s="35">
        <f>R12</f>
        <v>83246.53</v>
      </c>
      <c r="W31" s="35">
        <f>S12</f>
        <v>27990.899999999998</v>
      </c>
    </row>
    <row r="32" spans="1:32" x14ac:dyDescent="0.25">
      <c r="O32">
        <f>1/2000</f>
        <v>5.0000000000000001E-4</v>
      </c>
      <c r="Q32">
        <v>314</v>
      </c>
      <c r="R32" s="26">
        <v>83253.77</v>
      </c>
      <c r="S32" s="26">
        <v>27962.67</v>
      </c>
      <c r="U32">
        <v>2</v>
      </c>
      <c r="V32" s="35">
        <f>R14</f>
        <v>83217.67</v>
      </c>
      <c r="W32" s="35">
        <f>S14</f>
        <v>27999.769999999997</v>
      </c>
    </row>
    <row r="33" spans="13:23" x14ac:dyDescent="0.25">
      <c r="R33">
        <f>R32-R31</f>
        <v>-18.819999999992433</v>
      </c>
      <c r="S33">
        <f>S32-S31</f>
        <v>-113.37000000000262</v>
      </c>
      <c r="U33">
        <v>3</v>
      </c>
      <c r="V33" s="35">
        <f>R16</f>
        <v>83187.349999999991</v>
      </c>
      <c r="W33" s="35">
        <f>S16</f>
        <v>27995.859999999997</v>
      </c>
    </row>
    <row r="34" spans="13:23" x14ac:dyDescent="0.25">
      <c r="M34" s="23"/>
      <c r="U34">
        <v>4</v>
      </c>
      <c r="V34" s="35">
        <f>R18</f>
        <v>83198.209999999992</v>
      </c>
      <c r="W34" s="35">
        <f>S18</f>
        <v>28037.389999999996</v>
      </c>
    </row>
    <row r="35" spans="13:23" x14ac:dyDescent="0.25">
      <c r="U35">
        <v>5</v>
      </c>
      <c r="V35" s="35">
        <f>R20</f>
        <v>83213.87999999999</v>
      </c>
      <c r="W35" s="35">
        <f>S20</f>
        <v>28099.639999999996</v>
      </c>
    </row>
    <row r="36" spans="13:23" x14ac:dyDescent="0.25">
      <c r="M36" s="37" t="s">
        <v>40</v>
      </c>
      <c r="O36" s="37" t="s">
        <v>41</v>
      </c>
      <c r="U36">
        <v>314</v>
      </c>
      <c r="V36" s="27">
        <f>R22</f>
        <v>83272.589999999982</v>
      </c>
      <c r="W36" s="27">
        <f>S22</f>
        <v>28076.039999999997</v>
      </c>
    </row>
    <row r="37" spans="13:23" x14ac:dyDescent="0.25">
      <c r="M37" s="35">
        <f>Лист2!R24</f>
        <v>-7.24</v>
      </c>
      <c r="O37" s="35">
        <f>Лист2!S24</f>
        <v>28.23</v>
      </c>
    </row>
    <row r="38" spans="13:23" x14ac:dyDescent="0.25">
      <c r="M38" s="35">
        <f>Лист2!R25</f>
        <v>-28.85</v>
      </c>
      <c r="O38" s="35">
        <f>Лист2!S25</f>
        <v>8.8800000000000008</v>
      </c>
    </row>
    <row r="39" spans="13:23" x14ac:dyDescent="0.25">
      <c r="M39" s="35">
        <f>Лист2!R26</f>
        <v>-30.31</v>
      </c>
      <c r="O39" s="35">
        <f>Лист2!S26</f>
        <v>-3.9</v>
      </c>
    </row>
    <row r="40" spans="13:23" x14ac:dyDescent="0.25">
      <c r="M40" s="35">
        <f>Лист2!R27</f>
        <v>10.87</v>
      </c>
      <c r="O40" s="35">
        <f>Лист2!S27</f>
        <v>41.54</v>
      </c>
    </row>
    <row r="41" spans="13:23" x14ac:dyDescent="0.25">
      <c r="M41" s="35">
        <f>Лист2!R28</f>
        <v>15.68</v>
      </c>
      <c r="O41" s="35">
        <f>Лист2!S28</f>
        <v>62.26</v>
      </c>
    </row>
    <row r="42" spans="13:23" x14ac:dyDescent="0.25">
      <c r="M42" s="35">
        <f>Лист2!R29</f>
        <v>58.72</v>
      </c>
      <c r="O42" s="35">
        <f>Лист2!S29</f>
        <v>-23.59</v>
      </c>
    </row>
    <row r="43" spans="13:23" x14ac:dyDescent="0.25">
      <c r="M43" s="35">
        <f>Лист2!R30</f>
        <v>-18.82</v>
      </c>
      <c r="O43" s="35">
        <f>Лист2!S30</f>
        <v>-113.4</v>
      </c>
    </row>
    <row r="44" spans="13:23" x14ac:dyDescent="0.25">
      <c r="M44" s="35"/>
    </row>
    <row r="45" spans="13:23" x14ac:dyDescent="0.25">
      <c r="M45" s="35"/>
    </row>
    <row r="46" spans="13:23" x14ac:dyDescent="0.25">
      <c r="M46" s="35"/>
    </row>
  </sheetData>
  <mergeCells count="32">
    <mergeCell ref="J28:J29"/>
    <mergeCell ref="K28:K29"/>
    <mergeCell ref="G28:G29"/>
    <mergeCell ref="D5:E5"/>
    <mergeCell ref="P5:Q5"/>
    <mergeCell ref="A7:S7"/>
    <mergeCell ref="A28:B28"/>
    <mergeCell ref="B26:C26"/>
    <mergeCell ref="B25:C25"/>
    <mergeCell ref="D26:E26"/>
    <mergeCell ref="A27:B27"/>
    <mergeCell ref="D28:D29"/>
    <mergeCell ref="E28:E29"/>
    <mergeCell ref="F28:F29"/>
    <mergeCell ref="R28:R29"/>
    <mergeCell ref="S28:S29"/>
    <mergeCell ref="H28:H29"/>
    <mergeCell ref="I28:I29"/>
    <mergeCell ref="A1:S1"/>
    <mergeCell ref="A2:S2"/>
    <mergeCell ref="A3:S3"/>
    <mergeCell ref="A4:A6"/>
    <mergeCell ref="B4:E4"/>
    <mergeCell ref="F4:G5"/>
    <mergeCell ref="H4:J5"/>
    <mergeCell ref="R4:S5"/>
    <mergeCell ref="B5:C5"/>
    <mergeCell ref="K4:K6"/>
    <mergeCell ref="L4:Q4"/>
    <mergeCell ref="N6:O6"/>
    <mergeCell ref="L6:M6"/>
    <mergeCell ref="L5:O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AB39"/>
  <sheetViews>
    <sheetView topLeftCell="A10" workbookViewId="0">
      <selection activeCell="Q26" sqref="Q26"/>
    </sheetView>
  </sheetViews>
  <sheetFormatPr defaultRowHeight="15" x14ac:dyDescent="0.25"/>
  <cols>
    <col min="1" max="5" width="9.140625" style="2"/>
    <col min="6" max="6" width="11.42578125" style="2" customWidth="1"/>
    <col min="7" max="17" width="9.140625" style="2"/>
    <col min="18" max="19" width="10.28515625" style="2" bestFit="1" customWidth="1"/>
    <col min="20" max="16384" width="9.140625" style="2"/>
  </cols>
  <sheetData>
    <row r="1" spans="4:28" x14ac:dyDescent="0.25">
      <c r="K1" s="2">
        <v>23</v>
      </c>
      <c r="L1" s="2">
        <v>49</v>
      </c>
      <c r="M1" s="2">
        <v>28</v>
      </c>
      <c r="N1" s="2">
        <f t="shared" ref="N1:N3" si="0">K1+(L1/60)+(M1/3600)</f>
        <v>23.824444444444445</v>
      </c>
    </row>
    <row r="2" spans="4:28" x14ac:dyDescent="0.25">
      <c r="K2" s="2">
        <v>179</v>
      </c>
      <c r="L2" s="2">
        <v>59</v>
      </c>
      <c r="M2" s="2">
        <v>59</v>
      </c>
      <c r="N2" s="2">
        <f t="shared" si="0"/>
        <v>179.9997222222222</v>
      </c>
      <c r="V2" s="2" t="s">
        <v>73</v>
      </c>
      <c r="AA2" s="47" t="s">
        <v>56</v>
      </c>
      <c r="AB2" s="47"/>
    </row>
    <row r="3" spans="4:28" x14ac:dyDescent="0.25">
      <c r="K3" s="2">
        <v>203</v>
      </c>
      <c r="L3" s="2">
        <v>49</v>
      </c>
      <c r="M3" s="2">
        <v>10</v>
      </c>
      <c r="N3" s="2">
        <f t="shared" si="0"/>
        <v>203.81944444444443</v>
      </c>
      <c r="P3" s="2">
        <v>313</v>
      </c>
      <c r="Q3" s="2">
        <f>TRUNC(I8)</f>
        <v>23</v>
      </c>
      <c r="R3" s="2">
        <f>TRUNC((I8-Q3)*60)</f>
        <v>49</v>
      </c>
      <c r="S3" s="2">
        <f>ROUND((I8-Q3-R3/60)*3600,0)</f>
        <v>18</v>
      </c>
      <c r="V3" s="2">
        <v>314</v>
      </c>
    </row>
    <row r="4" spans="4:28" x14ac:dyDescent="0.25">
      <c r="K4" s="2">
        <v>238</v>
      </c>
      <c r="L4" s="2">
        <v>29</v>
      </c>
      <c r="M4" s="2">
        <v>52</v>
      </c>
      <c r="N4" s="2">
        <f>K4+(L4/60)+(M4/3600)</f>
        <v>238.49777777777777</v>
      </c>
      <c r="P4" s="2">
        <v>1</v>
      </c>
      <c r="Q4" s="2">
        <f>TRUNC(I12)</f>
        <v>238</v>
      </c>
      <c r="R4" s="2">
        <f>TRUNC((I12-Q4)*60)</f>
        <v>29</v>
      </c>
      <c r="S4" s="2">
        <f>ROUND((I12-Q4-R4/60)*3600,0)</f>
        <v>18</v>
      </c>
      <c r="W4" s="2">
        <v>114.905</v>
      </c>
      <c r="X4" s="2">
        <v>114.919</v>
      </c>
      <c r="Y4" s="2">
        <v>0.88600000000000001</v>
      </c>
      <c r="Z4" s="2">
        <v>0.89500000000000002</v>
      </c>
      <c r="AA4" s="2">
        <f>ROUND(AVERAGE(W4,X4), 2)</f>
        <v>114.91</v>
      </c>
      <c r="AB4" s="2">
        <f>ROUND(AVERAGE(Z4,Y4), 2)</f>
        <v>0.89</v>
      </c>
    </row>
    <row r="5" spans="4:28" x14ac:dyDescent="0.25">
      <c r="D5" s="47" t="s">
        <v>74</v>
      </c>
      <c r="E5" s="47"/>
      <c r="F5" s="47"/>
      <c r="G5" s="47"/>
      <c r="H5" s="47"/>
      <c r="I5" s="47"/>
      <c r="K5" s="2">
        <v>179</v>
      </c>
      <c r="L5" s="2">
        <v>59</v>
      </c>
      <c r="M5" s="2">
        <v>18</v>
      </c>
      <c r="N5" s="2">
        <f t="shared" ref="N5:N21" si="1">K5+(L5/60)+(M5/3600)</f>
        <v>179.98833333333332</v>
      </c>
      <c r="P5" s="2">
        <v>2</v>
      </c>
      <c r="Q5" s="2">
        <f>TRUNC(I16)</f>
        <v>204</v>
      </c>
      <c r="R5" s="2">
        <f>TRUNC((I16-Q5)*60)</f>
        <v>27</v>
      </c>
      <c r="S5" s="2">
        <f>ROUND((I16-Q5-R5/60)*3600,0)</f>
        <v>3</v>
      </c>
      <c r="V5" s="2">
        <v>313</v>
      </c>
    </row>
    <row r="6" spans="4:28" ht="15.75" customHeight="1" x14ac:dyDescent="0.25">
      <c r="D6" s="47" t="s">
        <v>33</v>
      </c>
      <c r="E6" s="47"/>
      <c r="F6" s="49" t="s">
        <v>36</v>
      </c>
      <c r="G6" s="50" t="s">
        <v>37</v>
      </c>
      <c r="H6" s="48" t="s">
        <v>38</v>
      </c>
      <c r="I6" s="47" t="s">
        <v>39</v>
      </c>
      <c r="J6" s="3"/>
      <c r="K6" s="2">
        <v>58</v>
      </c>
      <c r="L6" s="2">
        <v>29</v>
      </c>
      <c r="M6" s="2">
        <v>27</v>
      </c>
      <c r="N6" s="2">
        <f t="shared" si="1"/>
        <v>58.490833333333335</v>
      </c>
      <c r="P6" s="2">
        <v>3</v>
      </c>
      <c r="Q6" s="2">
        <f>TRUNC(I20)</f>
        <v>67</v>
      </c>
      <c r="R6" s="2">
        <f>TRUNC((I20-Q6)*60)</f>
        <v>59</v>
      </c>
      <c r="S6" s="2">
        <f>ROUND((I20-Q6-R6/60)*3600,0)</f>
        <v>56</v>
      </c>
      <c r="W6" s="2">
        <v>29.135000000000002</v>
      </c>
      <c r="X6" s="2">
        <v>29.141999999999999</v>
      </c>
      <c r="Y6" s="2">
        <v>0.186</v>
      </c>
      <c r="Z6" s="2">
        <v>0.186</v>
      </c>
      <c r="AA6" s="2">
        <f t="shared" ref="AA6" si="2">ROUND(AVERAGE(W6,X6), 2)</f>
        <v>29.14</v>
      </c>
      <c r="AB6" s="2">
        <f t="shared" ref="AB6" si="3">ROUND(AVERAGE(Z6,Y6), 2)</f>
        <v>0.19</v>
      </c>
    </row>
    <row r="7" spans="4:28" x14ac:dyDescent="0.25">
      <c r="D7" s="2" t="s">
        <v>34</v>
      </c>
      <c r="E7" s="2" t="s">
        <v>35</v>
      </c>
      <c r="F7" s="49"/>
      <c r="G7" s="50"/>
      <c r="H7" s="48"/>
      <c r="I7" s="47"/>
      <c r="K7" s="4">
        <v>204</v>
      </c>
      <c r="L7" s="2">
        <v>26</v>
      </c>
      <c r="M7" s="3">
        <v>37</v>
      </c>
      <c r="N7" s="2">
        <f t="shared" si="1"/>
        <v>204.44361111111112</v>
      </c>
      <c r="P7" s="2">
        <v>4</v>
      </c>
      <c r="Q7" s="2">
        <f>TRUNC(I24)</f>
        <v>180</v>
      </c>
      <c r="R7" s="2">
        <f>TRUNC((I24-Q7)*60)</f>
        <v>31</v>
      </c>
      <c r="S7" s="2">
        <f>ROUND((I24-Q7-R7/60)*3600,0)</f>
        <v>51</v>
      </c>
      <c r="V7" s="2">
        <v>1</v>
      </c>
    </row>
    <row r="8" spans="4:28" x14ac:dyDescent="0.25">
      <c r="D8" s="47">
        <v>313</v>
      </c>
      <c r="E8" s="2">
        <v>314</v>
      </c>
      <c r="F8" s="47" t="s">
        <v>30</v>
      </c>
      <c r="G8" s="2">
        <v>0</v>
      </c>
      <c r="H8" s="47">
        <f>G9</f>
        <v>23.824444444444445</v>
      </c>
      <c r="I8" s="47">
        <f>AVERAGE(H8,H10)</f>
        <v>23.821805555555553</v>
      </c>
      <c r="K8" s="2">
        <v>180</v>
      </c>
      <c r="L8" s="2">
        <v>0</v>
      </c>
      <c r="M8" s="2">
        <v>16</v>
      </c>
      <c r="N8" s="2">
        <f t="shared" si="1"/>
        <v>180.00444444444443</v>
      </c>
      <c r="P8" s="2">
        <v>5</v>
      </c>
      <c r="Q8" s="2">
        <f>TRUNC(I28)</f>
        <v>82</v>
      </c>
      <c r="R8" s="2">
        <f>TRUNC((I28-Q8)*60)</f>
        <v>14</v>
      </c>
      <c r="S8" s="2">
        <f>ROUND((I28-Q8-R8/60)*3600,0)</f>
        <v>38</v>
      </c>
      <c r="W8" s="2">
        <v>30.178999999999998</v>
      </c>
      <c r="X8" s="2">
        <v>30.190999999999999</v>
      </c>
      <c r="Y8" s="2">
        <v>0.309</v>
      </c>
      <c r="Z8" s="2">
        <v>0.308</v>
      </c>
      <c r="AA8" s="2">
        <f t="shared" ref="AA8" si="4">ROUND(AVERAGE(W8,X8), 2)</f>
        <v>30.19</v>
      </c>
      <c r="AB8" s="2">
        <f t="shared" ref="AB8" si="5">ROUND(AVERAGE(Z8,Y8), 2)</f>
        <v>0.31</v>
      </c>
    </row>
    <row r="9" spans="4:28" x14ac:dyDescent="0.25">
      <c r="D9" s="47"/>
      <c r="E9" s="2">
        <v>1</v>
      </c>
      <c r="F9" s="47"/>
      <c r="G9" s="2">
        <f>N1</f>
        <v>23.824444444444445</v>
      </c>
      <c r="H9" s="47"/>
      <c r="I9" s="47"/>
      <c r="K9" s="2">
        <v>24</v>
      </c>
      <c r="L9" s="2">
        <v>27</v>
      </c>
      <c r="M9" s="2">
        <v>14</v>
      </c>
      <c r="N9" s="2">
        <f t="shared" si="1"/>
        <v>24.453888888888887</v>
      </c>
      <c r="P9" s="2">
        <v>314</v>
      </c>
      <c r="Q9" s="2">
        <f>TRUNC(I32)</f>
        <v>102</v>
      </c>
      <c r="R9" s="2">
        <f>TRUNC((I32-Q9)*60)</f>
        <v>27</v>
      </c>
      <c r="S9" s="2">
        <f>ROUND((I32-Q9-R9/60)*3600,0)</f>
        <v>54</v>
      </c>
      <c r="V9" s="2">
        <v>2</v>
      </c>
    </row>
    <row r="10" spans="4:28" x14ac:dyDescent="0.25">
      <c r="D10" s="47"/>
      <c r="E10" s="2">
        <v>314</v>
      </c>
      <c r="F10" s="47" t="s">
        <v>32</v>
      </c>
      <c r="G10" s="2">
        <f>N2</f>
        <v>179.9997222222222</v>
      </c>
      <c r="H10" s="47">
        <f>(G10+G11)-360</f>
        <v>23.819166666666661</v>
      </c>
      <c r="I10" s="47"/>
      <c r="J10" s="47">
        <f>N30-180+I8</f>
        <v>104.39625000000001</v>
      </c>
      <c r="K10" s="2">
        <v>68</v>
      </c>
      <c r="L10" s="2">
        <v>0</v>
      </c>
      <c r="M10" s="2">
        <v>1</v>
      </c>
      <c r="N10" s="2">
        <f t="shared" si="1"/>
        <v>68.000277777777782</v>
      </c>
      <c r="W10" s="2">
        <v>30.556000000000001</v>
      </c>
      <c r="X10" s="2">
        <v>30.565999999999999</v>
      </c>
      <c r="Y10" s="2">
        <v>0.34300000000000003</v>
      </c>
      <c r="Z10" s="2">
        <v>0.34599999999999997</v>
      </c>
      <c r="AA10" s="2">
        <f t="shared" ref="AA10" si="6">ROUND(AVERAGE(W10,X10), 2)</f>
        <v>30.56</v>
      </c>
      <c r="AB10" s="2">
        <f t="shared" ref="AB10" si="7">ROUND(AVERAGE(Z10,Y10), 2)</f>
        <v>0.34</v>
      </c>
    </row>
    <row r="11" spans="4:28" x14ac:dyDescent="0.25">
      <c r="D11" s="47"/>
      <c r="E11" s="2">
        <v>1</v>
      </c>
      <c r="F11" s="47"/>
      <c r="G11" s="2">
        <f>N3</f>
        <v>203.81944444444443</v>
      </c>
      <c r="H11" s="47"/>
      <c r="I11" s="47"/>
      <c r="J11" s="47"/>
      <c r="K11" s="2">
        <v>180</v>
      </c>
      <c r="L11" s="2">
        <v>0</v>
      </c>
      <c r="M11" s="2">
        <v>16</v>
      </c>
      <c r="N11" s="2">
        <f t="shared" si="1"/>
        <v>180.00444444444443</v>
      </c>
      <c r="Q11" s="2">
        <v>899</v>
      </c>
      <c r="R11" s="2">
        <v>59</v>
      </c>
      <c r="S11" s="2">
        <v>58</v>
      </c>
      <c r="V11" s="2">
        <v>3</v>
      </c>
    </row>
    <row r="12" spans="4:28" x14ac:dyDescent="0.25">
      <c r="D12" s="47">
        <v>1</v>
      </c>
      <c r="E12" s="2">
        <v>313</v>
      </c>
      <c r="F12" s="47" t="s">
        <v>30</v>
      </c>
      <c r="G12" s="2">
        <v>0</v>
      </c>
      <c r="H12" s="47">
        <f>G13</f>
        <v>238.49777777777777</v>
      </c>
      <c r="I12" s="47">
        <f>AVERAGE(H12,H14)</f>
        <v>238.48847222222221</v>
      </c>
      <c r="J12" s="47"/>
      <c r="K12" s="2">
        <v>247</v>
      </c>
      <c r="L12" s="2">
        <v>59</v>
      </c>
      <c r="M12" s="2">
        <v>34</v>
      </c>
      <c r="N12" s="2">
        <f t="shared" si="1"/>
        <v>247.99277777777777</v>
      </c>
      <c r="W12" s="2">
        <v>42.933999999999997</v>
      </c>
      <c r="X12" s="2">
        <v>42.936999999999998</v>
      </c>
      <c r="Y12" s="2">
        <v>-0.47299999999999998</v>
      </c>
      <c r="Z12" s="2">
        <v>-0.48499999999999999</v>
      </c>
      <c r="AA12" s="2">
        <f t="shared" ref="AA12" si="8">ROUND(AVERAGE(W12,X12), 2)</f>
        <v>42.94</v>
      </c>
      <c r="AB12" s="2">
        <f t="shared" ref="AB12" si="9">ROUND(AVERAGE(Z12,Y12), 2)</f>
        <v>-0.48</v>
      </c>
    </row>
    <row r="13" spans="4:28" x14ac:dyDescent="0.25">
      <c r="D13" s="47"/>
      <c r="E13" s="2">
        <v>2</v>
      </c>
      <c r="F13" s="47"/>
      <c r="G13" s="2">
        <f>N4</f>
        <v>238.49777777777777</v>
      </c>
      <c r="H13" s="47"/>
      <c r="I13" s="47"/>
      <c r="J13" s="47"/>
      <c r="K13" s="2">
        <v>180</v>
      </c>
      <c r="L13" s="2">
        <v>31</v>
      </c>
      <c r="M13" s="2">
        <v>53</v>
      </c>
      <c r="N13" s="2">
        <f t="shared" si="1"/>
        <v>180.5313888888889</v>
      </c>
      <c r="V13" s="2">
        <v>4</v>
      </c>
    </row>
    <row r="14" spans="4:28" x14ac:dyDescent="0.25">
      <c r="D14" s="47"/>
      <c r="E14" s="2">
        <v>313</v>
      </c>
      <c r="F14" s="47" t="s">
        <v>32</v>
      </c>
      <c r="G14" s="2">
        <f>N5</f>
        <v>179.98833333333332</v>
      </c>
      <c r="H14" s="47">
        <f>G14+G15</f>
        <v>238.47916666666666</v>
      </c>
      <c r="I14" s="47"/>
      <c r="J14" s="47">
        <f>J10-180+I12</f>
        <v>162.88472222222222</v>
      </c>
      <c r="K14" s="2">
        <v>179</v>
      </c>
      <c r="L14" s="2">
        <v>59</v>
      </c>
      <c r="M14" s="2">
        <v>56</v>
      </c>
      <c r="N14" s="2">
        <f t="shared" si="1"/>
        <v>179.99888888888887</v>
      </c>
      <c r="W14" s="2">
        <v>64.203000000000003</v>
      </c>
      <c r="X14" s="2">
        <v>64.206000000000003</v>
      </c>
      <c r="Y14" s="2">
        <v>-0.61199999999999999</v>
      </c>
      <c r="Z14" s="2">
        <v>-0.60199999999999998</v>
      </c>
      <c r="AA14" s="2">
        <f t="shared" ref="AA14" si="10">ROUND(AVERAGE(W14,X14), 2)</f>
        <v>64.2</v>
      </c>
      <c r="AB14" s="2">
        <f t="shared" ref="AB14" si="11">ROUND(AVERAGE(Z14,Y14), 2)</f>
        <v>-0.61</v>
      </c>
    </row>
    <row r="15" spans="4:28" x14ac:dyDescent="0.25">
      <c r="D15" s="47"/>
      <c r="E15" s="2">
        <v>2</v>
      </c>
      <c r="F15" s="47"/>
      <c r="G15" s="2">
        <f>N6</f>
        <v>58.490833333333335</v>
      </c>
      <c r="H15" s="47"/>
      <c r="I15" s="47"/>
      <c r="J15" s="47"/>
      <c r="K15" s="2">
        <v>0</v>
      </c>
      <c r="L15" s="2">
        <v>31</v>
      </c>
      <c r="M15" s="2">
        <v>53</v>
      </c>
      <c r="N15" s="2">
        <f t="shared" si="1"/>
        <v>0.53138888888888891</v>
      </c>
      <c r="V15" s="2">
        <v>5</v>
      </c>
    </row>
    <row r="16" spans="4:28" x14ac:dyDescent="0.25">
      <c r="D16" s="47">
        <v>2</v>
      </c>
      <c r="E16" s="2">
        <v>1</v>
      </c>
      <c r="F16" s="47" t="s">
        <v>30</v>
      </c>
      <c r="G16" s="2">
        <v>0</v>
      </c>
      <c r="H16" s="47">
        <f>G17</f>
        <v>204.44361111111112</v>
      </c>
      <c r="I16" s="47">
        <f>AVERAGE(H16,H18)</f>
        <v>204.45097222222222</v>
      </c>
      <c r="J16" s="47"/>
      <c r="K16" s="2">
        <v>82</v>
      </c>
      <c r="L16" s="2">
        <v>14</v>
      </c>
      <c r="M16" s="2">
        <v>14</v>
      </c>
      <c r="N16" s="2">
        <f t="shared" si="1"/>
        <v>82.237222222222229</v>
      </c>
      <c r="W16" s="2">
        <v>63.273000000000003</v>
      </c>
      <c r="X16" s="2">
        <v>63.280999999999999</v>
      </c>
      <c r="Y16" s="2">
        <v>-0.65300000000000002</v>
      </c>
      <c r="Z16" s="2">
        <v>-0.65600000000000003</v>
      </c>
      <c r="AA16" s="2">
        <f t="shared" ref="AA16" si="12">ROUND(AVERAGE(W16,X16), 2)</f>
        <v>63.28</v>
      </c>
      <c r="AB16" s="2">
        <f t="shared" ref="AB16" si="13">ROUND(AVERAGE(Z16,Y16), 2)</f>
        <v>-0.65</v>
      </c>
    </row>
    <row r="17" spans="4:28" x14ac:dyDescent="0.25">
      <c r="D17" s="47"/>
      <c r="E17" s="2">
        <v>3</v>
      </c>
      <c r="F17" s="47"/>
      <c r="G17" s="2">
        <f>N7</f>
        <v>204.44361111111112</v>
      </c>
      <c r="H17" s="47"/>
      <c r="I17" s="47"/>
      <c r="J17" s="47"/>
      <c r="K17" s="2">
        <v>180</v>
      </c>
      <c r="L17" s="2">
        <v>0</v>
      </c>
      <c r="M17" s="2">
        <v>56</v>
      </c>
      <c r="N17" s="2">
        <f t="shared" si="1"/>
        <v>180.01555555555555</v>
      </c>
      <c r="V17" s="2">
        <v>314</v>
      </c>
    </row>
    <row r="18" spans="4:28" x14ac:dyDescent="0.25">
      <c r="D18" s="47"/>
      <c r="E18" s="2">
        <v>1</v>
      </c>
      <c r="F18" s="47" t="s">
        <v>32</v>
      </c>
      <c r="G18" s="2">
        <f>N8</f>
        <v>180.00444444444443</v>
      </c>
      <c r="H18" s="47">
        <f>G18+G19</f>
        <v>204.45833333333331</v>
      </c>
      <c r="I18" s="47"/>
      <c r="J18" s="47">
        <f t="shared" ref="J18" si="14">J14-180+I16</f>
        <v>187.33569444444444</v>
      </c>
      <c r="K18" s="2">
        <v>262</v>
      </c>
      <c r="L18" s="2">
        <v>14</v>
      </c>
      <c r="M18" s="2">
        <v>5</v>
      </c>
      <c r="N18" s="2">
        <f t="shared" si="1"/>
        <v>262.23472222222222</v>
      </c>
      <c r="W18" s="2">
        <v>114.94499999999999</v>
      </c>
      <c r="X18" s="2">
        <v>114.946</v>
      </c>
      <c r="Y18" s="2">
        <v>-0.89600000000000002</v>
      </c>
      <c r="Z18" s="2">
        <v>-0.89200000000000002</v>
      </c>
      <c r="AA18" s="2">
        <f t="shared" ref="AA18" si="15">ROUND(AVERAGE(W18,X18), 2)</f>
        <v>114.95</v>
      </c>
      <c r="AB18" s="2">
        <f t="shared" ref="AB18" si="16">ROUND(AVERAGE(Z18,Y18), 2)</f>
        <v>-0.89</v>
      </c>
    </row>
    <row r="19" spans="4:28" x14ac:dyDescent="0.25">
      <c r="D19" s="47"/>
      <c r="E19" s="2">
        <v>3</v>
      </c>
      <c r="F19" s="47"/>
      <c r="G19" s="2">
        <f>N9</f>
        <v>24.453888888888887</v>
      </c>
      <c r="H19" s="47"/>
      <c r="I19" s="47"/>
      <c r="J19" s="47"/>
      <c r="K19" s="2">
        <v>102</v>
      </c>
      <c r="L19" s="2">
        <v>28</v>
      </c>
      <c r="M19" s="2">
        <v>7</v>
      </c>
      <c r="N19" s="2">
        <f t="shared" si="1"/>
        <v>102.46861111111112</v>
      </c>
      <c r="V19" s="2">
        <v>313</v>
      </c>
    </row>
    <row r="20" spans="4:28" x14ac:dyDescent="0.25">
      <c r="D20" s="47">
        <v>3</v>
      </c>
      <c r="E20" s="2">
        <v>2</v>
      </c>
      <c r="F20" s="47" t="s">
        <v>30</v>
      </c>
      <c r="G20" s="2">
        <v>0</v>
      </c>
      <c r="H20" s="47">
        <f>G21</f>
        <v>68.000277777777782</v>
      </c>
      <c r="I20" s="47">
        <f t="shared" ref="I20" si="17">AVERAGE(H20,H22)</f>
        <v>67.998750000000001</v>
      </c>
      <c r="J20" s="47"/>
      <c r="K20" s="2">
        <v>179</v>
      </c>
      <c r="L20" s="2">
        <v>59</v>
      </c>
      <c r="M20" s="2">
        <v>45</v>
      </c>
      <c r="N20" s="2">
        <f t="shared" si="1"/>
        <v>179.99583333333331</v>
      </c>
    </row>
    <row r="21" spans="4:28" x14ac:dyDescent="0.25">
      <c r="D21" s="47"/>
      <c r="E21" s="2">
        <v>4</v>
      </c>
      <c r="F21" s="47"/>
      <c r="G21" s="2">
        <f>N10</f>
        <v>68.000277777777782</v>
      </c>
      <c r="H21" s="47"/>
      <c r="I21" s="47"/>
      <c r="J21" s="47"/>
      <c r="K21" s="2">
        <v>282</v>
      </c>
      <c r="L21" s="2">
        <v>27</v>
      </c>
      <c r="M21" s="2">
        <v>56</v>
      </c>
      <c r="N21" s="2">
        <f t="shared" si="1"/>
        <v>282.46555555555557</v>
      </c>
    </row>
    <row r="22" spans="4:28" x14ac:dyDescent="0.25">
      <c r="D22" s="47"/>
      <c r="E22" s="2">
        <v>2</v>
      </c>
      <c r="F22" s="47" t="s">
        <v>32</v>
      </c>
      <c r="G22" s="2">
        <f>N11</f>
        <v>180.00444444444443</v>
      </c>
      <c r="H22" s="47">
        <f>(G22+G23)-360</f>
        <v>67.997222222222206</v>
      </c>
      <c r="I22" s="47"/>
      <c r="J22" s="47">
        <f t="shared" ref="J22" si="18">J18-180+I20</f>
        <v>75.334444444444443</v>
      </c>
      <c r="O22" s="2" t="s">
        <v>57</v>
      </c>
      <c r="P22" s="2" t="s">
        <v>58</v>
      </c>
      <c r="Q22" s="2" t="s">
        <v>59</v>
      </c>
      <c r="R22" s="3" t="s">
        <v>60</v>
      </c>
      <c r="S22" s="2" t="s">
        <v>61</v>
      </c>
      <c r="U22" s="7">
        <v>80</v>
      </c>
      <c r="V22" s="7" t="s">
        <v>51</v>
      </c>
    </row>
    <row r="23" spans="4:28" x14ac:dyDescent="0.25">
      <c r="D23" s="47"/>
      <c r="E23" s="2">
        <v>4</v>
      </c>
      <c r="F23" s="47"/>
      <c r="G23" s="2">
        <f>N12</f>
        <v>247.99277777777777</v>
      </c>
      <c r="H23" s="47"/>
      <c r="I23" s="47"/>
      <c r="J23" s="47"/>
      <c r="K23" s="2">
        <v>80</v>
      </c>
      <c r="L23" s="2">
        <v>34</v>
      </c>
      <c r="M23" s="2">
        <v>28</v>
      </c>
      <c r="N23" s="2">
        <f t="shared" ref="N23:N30" si="19">K23+(L23/60)+(M23/3600)</f>
        <v>80.574444444444438</v>
      </c>
      <c r="Q23" s="11"/>
      <c r="R23" s="21"/>
      <c r="S23" s="21"/>
      <c r="U23" s="14"/>
      <c r="V23" s="14"/>
    </row>
    <row r="24" spans="4:28" x14ac:dyDescent="0.25">
      <c r="D24" s="47">
        <v>4</v>
      </c>
      <c r="E24" s="2">
        <v>3</v>
      </c>
      <c r="F24" s="47" t="s">
        <v>30</v>
      </c>
      <c r="G24" s="2">
        <v>0</v>
      </c>
      <c r="H24" s="47">
        <f>G25</f>
        <v>180.5313888888889</v>
      </c>
      <c r="I24" s="47">
        <f t="shared" ref="I24" si="20">AVERAGE(H24,H26)</f>
        <v>180.53083333333333</v>
      </c>
      <c r="J24" s="47"/>
      <c r="K24" s="9">
        <v>104</v>
      </c>
      <c r="L24" s="9">
        <v>23</v>
      </c>
      <c r="M24" s="2">
        <v>46</v>
      </c>
      <c r="N24" s="2">
        <f t="shared" si="19"/>
        <v>104.39611111111111</v>
      </c>
      <c r="O24" s="2">
        <f>COS(RADIANS(N24))</f>
        <v>-0.24862414506057137</v>
      </c>
      <c r="P24" s="2">
        <f>SIN(RADIANS((N24)))</f>
        <v>0.96860003845390175</v>
      </c>
      <c r="Q24" s="11">
        <f>AA6</f>
        <v>29.14</v>
      </c>
      <c r="R24" s="36">
        <f>ROUND(O24*Q24, 2)</f>
        <v>-7.24</v>
      </c>
      <c r="S24" s="36">
        <f>ROUND(P24*Q24, 2)</f>
        <v>28.23</v>
      </c>
      <c r="U24" s="16">
        <v>104</v>
      </c>
      <c r="V24" s="16" t="s">
        <v>64</v>
      </c>
    </row>
    <row r="25" spans="4:28" x14ac:dyDescent="0.25">
      <c r="D25" s="47"/>
      <c r="E25" s="2">
        <v>5</v>
      </c>
      <c r="F25" s="47"/>
      <c r="G25" s="2">
        <f>N13</f>
        <v>180.5313888888889</v>
      </c>
      <c r="H25" s="47"/>
      <c r="I25" s="47"/>
      <c r="J25" s="47"/>
      <c r="K25" s="8">
        <v>162</v>
      </c>
      <c r="L25" s="8">
        <v>53</v>
      </c>
      <c r="M25" s="2">
        <v>5</v>
      </c>
      <c r="N25" s="2">
        <f t="shared" si="19"/>
        <v>162.88472222222222</v>
      </c>
      <c r="O25" s="2">
        <f t="shared" ref="O25:O30" si="21">COS(RADIANS(N25))</f>
        <v>-0.95571457569552765</v>
      </c>
      <c r="P25" s="2">
        <f t="shared" ref="P25:P30" si="22">SIN(RADIANS((N25)))</f>
        <v>0.29429517461745358</v>
      </c>
      <c r="Q25" s="11">
        <f>AA8</f>
        <v>30.19</v>
      </c>
      <c r="R25" s="36">
        <f t="shared" ref="R25:R30" si="23">ROUND(O25*Q25, 2)</f>
        <v>-28.85</v>
      </c>
      <c r="S25" s="36">
        <f t="shared" ref="S25:S30" si="24">ROUND(P25*Q25, 2)</f>
        <v>8.8800000000000008</v>
      </c>
      <c r="U25" s="7"/>
      <c r="V25" s="7"/>
    </row>
    <row r="26" spans="4:28" x14ac:dyDescent="0.25">
      <c r="D26" s="47"/>
      <c r="E26" s="2">
        <v>3</v>
      </c>
      <c r="F26" s="47" t="s">
        <v>32</v>
      </c>
      <c r="G26" s="2">
        <f>N14</f>
        <v>179.99888888888887</v>
      </c>
      <c r="H26" s="47">
        <f>G26+G27</f>
        <v>180.53027777777777</v>
      </c>
      <c r="I26" s="47"/>
      <c r="J26" s="47">
        <f t="shared" ref="J26" si="25">J22-180+I24</f>
        <v>75.865277777777777</v>
      </c>
      <c r="K26" s="8">
        <v>187</v>
      </c>
      <c r="L26" s="8">
        <v>20</v>
      </c>
      <c r="M26" s="2">
        <v>9</v>
      </c>
      <c r="N26" s="2">
        <f t="shared" si="19"/>
        <v>187.33583333333334</v>
      </c>
      <c r="O26" s="2">
        <f t="shared" si="21"/>
        <v>-0.99181478117957589</v>
      </c>
      <c r="P26" s="2">
        <f t="shared" si="22"/>
        <v>-0.12768492406588169</v>
      </c>
      <c r="Q26" s="11">
        <f>AA10</f>
        <v>30.56</v>
      </c>
      <c r="R26" s="36">
        <f t="shared" si="23"/>
        <v>-30.31</v>
      </c>
      <c r="S26" s="36">
        <f t="shared" si="24"/>
        <v>-3.9</v>
      </c>
      <c r="U26" s="7">
        <v>162</v>
      </c>
      <c r="V26" s="7" t="s">
        <v>63</v>
      </c>
    </row>
    <row r="27" spans="4:28" x14ac:dyDescent="0.25">
      <c r="D27" s="47"/>
      <c r="E27" s="2">
        <v>5</v>
      </c>
      <c r="F27" s="47"/>
      <c r="G27" s="2">
        <f>N15</f>
        <v>0.53138888888888891</v>
      </c>
      <c r="H27" s="47"/>
      <c r="I27" s="47"/>
      <c r="J27" s="47"/>
      <c r="K27" s="8">
        <v>75</v>
      </c>
      <c r="L27" s="8">
        <v>20</v>
      </c>
      <c r="M27" s="2">
        <v>5</v>
      </c>
      <c r="N27" s="2">
        <f t="shared" si="19"/>
        <v>75.334722222222211</v>
      </c>
      <c r="O27" s="2">
        <f t="shared" si="21"/>
        <v>0.25317171722372861</v>
      </c>
      <c r="P27" s="2">
        <f t="shared" si="22"/>
        <v>0.96742135680270591</v>
      </c>
      <c r="Q27" s="2">
        <f>AA12</f>
        <v>42.94</v>
      </c>
      <c r="R27" s="36">
        <f t="shared" si="23"/>
        <v>10.87</v>
      </c>
      <c r="S27" s="36">
        <f t="shared" si="24"/>
        <v>41.54</v>
      </c>
      <c r="U27" s="7"/>
      <c r="V27" s="7"/>
    </row>
    <row r="28" spans="4:28" x14ac:dyDescent="0.25">
      <c r="D28" s="47">
        <v>5</v>
      </c>
      <c r="E28" s="2">
        <v>4</v>
      </c>
      <c r="F28" s="47" t="s">
        <v>30</v>
      </c>
      <c r="G28" s="2">
        <v>0</v>
      </c>
      <c r="H28" s="47">
        <f>G29</f>
        <v>82.237222222222229</v>
      </c>
      <c r="I28" s="47">
        <f t="shared" ref="I28" si="26">AVERAGE(H28,H30)</f>
        <v>82.243750000000006</v>
      </c>
      <c r="J28" s="47"/>
      <c r="K28" s="8">
        <v>75</v>
      </c>
      <c r="L28" s="8">
        <v>51</v>
      </c>
      <c r="M28" s="2">
        <v>56</v>
      </c>
      <c r="N28" s="2">
        <f t="shared" si="19"/>
        <v>75.865555555555545</v>
      </c>
      <c r="O28" s="2">
        <f t="shared" si="21"/>
        <v>0.24419802468436902</v>
      </c>
      <c r="P28" s="2">
        <f t="shared" si="22"/>
        <v>0.96972538625131</v>
      </c>
      <c r="Q28" s="2">
        <f>AA14</f>
        <v>64.2</v>
      </c>
      <c r="R28" s="36">
        <f t="shared" si="23"/>
        <v>15.68</v>
      </c>
      <c r="S28" s="36">
        <f t="shared" si="24"/>
        <v>62.26</v>
      </c>
      <c r="U28" s="7">
        <v>187</v>
      </c>
      <c r="V28" s="7" t="s">
        <v>65</v>
      </c>
    </row>
    <row r="29" spans="4:28" x14ac:dyDescent="0.25">
      <c r="D29" s="47"/>
      <c r="E29" s="2">
        <v>314</v>
      </c>
      <c r="F29" s="47"/>
      <c r="G29" s="2">
        <f>N16</f>
        <v>82.237222222222229</v>
      </c>
      <c r="H29" s="47"/>
      <c r="I29" s="47"/>
      <c r="J29" s="47"/>
      <c r="K29" s="8">
        <v>338</v>
      </c>
      <c r="L29" s="8">
        <v>6</v>
      </c>
      <c r="M29" s="2">
        <v>34</v>
      </c>
      <c r="N29" s="2">
        <f t="shared" si="19"/>
        <v>338.10944444444448</v>
      </c>
      <c r="O29" s="2">
        <f t="shared" si="21"/>
        <v>0.92789772335062481</v>
      </c>
      <c r="P29" s="2">
        <f t="shared" si="22"/>
        <v>-0.37283483608794826</v>
      </c>
      <c r="Q29" s="2">
        <f>AA16</f>
        <v>63.28</v>
      </c>
      <c r="R29" s="36">
        <f t="shared" si="23"/>
        <v>58.72</v>
      </c>
      <c r="S29" s="36">
        <f t="shared" si="24"/>
        <v>-23.59</v>
      </c>
      <c r="U29" s="7"/>
      <c r="V29" s="7"/>
    </row>
    <row r="30" spans="4:28" x14ac:dyDescent="0.25">
      <c r="D30" s="47"/>
      <c r="E30" s="2">
        <v>4</v>
      </c>
      <c r="F30" s="47" t="s">
        <v>32</v>
      </c>
      <c r="G30" s="2">
        <f>N17</f>
        <v>180.01555555555555</v>
      </c>
      <c r="H30" s="47">
        <f>(G30+G31)-360</f>
        <v>82.250277777777796</v>
      </c>
      <c r="I30" s="47"/>
      <c r="J30" s="47">
        <f>J26-180+I28+360</f>
        <v>338.10902777777778</v>
      </c>
      <c r="K30" s="8">
        <v>260</v>
      </c>
      <c r="L30" s="8">
        <v>34</v>
      </c>
      <c r="M30" s="2">
        <v>28</v>
      </c>
      <c r="N30" s="2">
        <f t="shared" si="19"/>
        <v>260.57444444444445</v>
      </c>
      <c r="O30" s="2">
        <f t="shared" si="21"/>
        <v>-0.16376598536771739</v>
      </c>
      <c r="P30" s="2">
        <f t="shared" si="22"/>
        <v>-0.98649921542621644</v>
      </c>
      <c r="Q30" s="2">
        <f>AA18</f>
        <v>114.95</v>
      </c>
      <c r="R30" s="36">
        <f t="shared" si="23"/>
        <v>-18.82</v>
      </c>
      <c r="S30" s="36">
        <f t="shared" si="24"/>
        <v>-113.4</v>
      </c>
      <c r="U30" s="7">
        <v>75</v>
      </c>
      <c r="V30" s="7" t="s">
        <v>66</v>
      </c>
    </row>
    <row r="31" spans="4:28" x14ac:dyDescent="0.25">
      <c r="D31" s="47"/>
      <c r="E31" s="2">
        <v>314</v>
      </c>
      <c r="F31" s="47"/>
      <c r="G31" s="2">
        <f>N18</f>
        <v>262.23472222222222</v>
      </c>
      <c r="H31" s="47"/>
      <c r="I31" s="47"/>
      <c r="J31" s="47"/>
      <c r="U31" s="7"/>
      <c r="V31" s="7"/>
    </row>
    <row r="32" spans="4:28" x14ac:dyDescent="0.25">
      <c r="D32" s="47">
        <v>314</v>
      </c>
      <c r="E32" s="2">
        <v>5</v>
      </c>
      <c r="F32" s="47" t="s">
        <v>30</v>
      </c>
      <c r="G32" s="2">
        <v>0</v>
      </c>
      <c r="H32" s="47">
        <f>G33</f>
        <v>102.46861111111112</v>
      </c>
      <c r="I32" s="47">
        <f t="shared" ref="I32" si="27">AVERAGE(H32,H34)</f>
        <v>102.465</v>
      </c>
      <c r="J32" s="47"/>
      <c r="K32" s="8"/>
      <c r="L32" s="8"/>
      <c r="U32" s="7">
        <v>75</v>
      </c>
      <c r="V32" s="7" t="s">
        <v>67</v>
      </c>
    </row>
    <row r="33" spans="4:22" x14ac:dyDescent="0.25">
      <c r="D33" s="47"/>
      <c r="E33" s="2">
        <v>313</v>
      </c>
      <c r="F33" s="47"/>
      <c r="G33" s="2">
        <f>N19</f>
        <v>102.46861111111112</v>
      </c>
      <c r="H33" s="47"/>
      <c r="I33" s="47"/>
      <c r="J33" s="47"/>
      <c r="K33" s="8"/>
      <c r="L33" s="8"/>
      <c r="N33" s="2">
        <f>N24-J10</f>
        <v>-1.3888888889823647E-4</v>
      </c>
      <c r="O33" s="2">
        <f>TRUNC(N33)</f>
        <v>0</v>
      </c>
      <c r="P33" s="2">
        <f>TRUNC((N33-O33)*60)</f>
        <v>0</v>
      </c>
      <c r="Q33" s="2">
        <f>ROUND((N33-O33-P33/60)*3600,0)</f>
        <v>-1</v>
      </c>
      <c r="U33" s="7"/>
      <c r="V33" s="7"/>
    </row>
    <row r="34" spans="4:22" x14ac:dyDescent="0.25">
      <c r="D34" s="47"/>
      <c r="E34" s="2">
        <v>5</v>
      </c>
      <c r="F34" s="47" t="s">
        <v>32</v>
      </c>
      <c r="G34" s="2">
        <f>N20</f>
        <v>179.99583333333331</v>
      </c>
      <c r="H34" s="47">
        <f>(G34+G35)-360</f>
        <v>102.46138888888891</v>
      </c>
      <c r="I34" s="47"/>
      <c r="J34" s="47">
        <f>J30-180+I32</f>
        <v>260.57402777777781</v>
      </c>
      <c r="K34" s="8"/>
      <c r="L34" s="8"/>
      <c r="N34" s="2">
        <f>N25-J14</f>
        <v>0</v>
      </c>
      <c r="O34" s="2">
        <f t="shared" ref="O34:O39" si="28">TRUNC(N34)</f>
        <v>0</v>
      </c>
      <c r="P34" s="2">
        <f t="shared" ref="P34:P38" si="29">TRUNC((N34-O34)*60)</f>
        <v>0</v>
      </c>
      <c r="Q34" s="2">
        <f t="shared" ref="Q34:Q38" si="30">ROUND((N34-O34-P34/60)*3600,0)</f>
        <v>0</v>
      </c>
      <c r="U34" s="7">
        <v>338</v>
      </c>
      <c r="V34" s="7" t="s">
        <v>68</v>
      </c>
    </row>
    <row r="35" spans="4:22" x14ac:dyDescent="0.25">
      <c r="D35" s="47"/>
      <c r="E35" s="2">
        <v>313</v>
      </c>
      <c r="F35" s="47"/>
      <c r="G35" s="2">
        <f>N21</f>
        <v>282.46555555555557</v>
      </c>
      <c r="H35" s="47"/>
      <c r="I35" s="47"/>
      <c r="J35" s="47"/>
      <c r="K35" s="8"/>
      <c r="L35" s="8"/>
      <c r="N35" s="2">
        <f>N26-J18</f>
        <v>1.3888888889823647E-4</v>
      </c>
      <c r="O35" s="2">
        <f t="shared" si="28"/>
        <v>0</v>
      </c>
      <c r="P35" s="2">
        <f t="shared" si="29"/>
        <v>0</v>
      </c>
      <c r="Q35" s="2">
        <f t="shared" si="30"/>
        <v>1</v>
      </c>
      <c r="U35" s="7"/>
      <c r="V35" s="7"/>
    </row>
    <row r="36" spans="4:22" x14ac:dyDescent="0.25">
      <c r="J36" s="47"/>
      <c r="K36" s="8"/>
      <c r="L36" s="8"/>
      <c r="N36" s="2">
        <f>N27-J22</f>
        <v>2.7777777776805124E-4</v>
      </c>
      <c r="O36" s="2">
        <f t="shared" si="28"/>
        <v>0</v>
      </c>
      <c r="P36" s="2">
        <f t="shared" si="29"/>
        <v>0</v>
      </c>
      <c r="Q36" s="2">
        <f t="shared" si="30"/>
        <v>1</v>
      </c>
      <c r="U36" s="7">
        <v>260</v>
      </c>
      <c r="V36" s="7" t="s">
        <v>51</v>
      </c>
    </row>
    <row r="37" spans="4:22" x14ac:dyDescent="0.25">
      <c r="D37" s="2" t="s">
        <v>75</v>
      </c>
      <c r="F37" s="2">
        <f>180*7</f>
        <v>1260</v>
      </c>
      <c r="J37" s="47"/>
      <c r="K37" s="10"/>
      <c r="L37" s="10"/>
      <c r="N37" s="2">
        <f>N28-J26</f>
        <v>2.7777777776805124E-4</v>
      </c>
      <c r="O37" s="2">
        <f t="shared" si="28"/>
        <v>0</v>
      </c>
      <c r="P37" s="2">
        <f t="shared" si="29"/>
        <v>0</v>
      </c>
      <c r="Q37" s="2">
        <f t="shared" si="30"/>
        <v>1</v>
      </c>
    </row>
    <row r="38" spans="4:22" x14ac:dyDescent="0.25">
      <c r="K38" s="10"/>
      <c r="L38" s="10"/>
      <c r="N38" s="2">
        <f>N29-J30</f>
        <v>4.1666666669470942E-4</v>
      </c>
      <c r="O38" s="2">
        <f t="shared" si="28"/>
        <v>0</v>
      </c>
      <c r="P38" s="2">
        <f t="shared" si="29"/>
        <v>0</v>
      </c>
      <c r="Q38" s="2">
        <f t="shared" si="30"/>
        <v>2</v>
      </c>
    </row>
    <row r="39" spans="4:22" x14ac:dyDescent="0.25">
      <c r="N39" s="2">
        <f>N30-J34</f>
        <v>4.16666666637866E-4</v>
      </c>
      <c r="O39" s="2">
        <f t="shared" si="28"/>
        <v>0</v>
      </c>
      <c r="P39" s="2">
        <f t="shared" ref="P39" si="31">TRUNC((N39-O39)*60)</f>
        <v>0</v>
      </c>
      <c r="Q39" s="2">
        <f t="shared" ref="Q39" si="32">ROUND((N39-O39-P39/60)*3600,0)</f>
        <v>1</v>
      </c>
    </row>
  </sheetData>
  <mergeCells count="56">
    <mergeCell ref="J10:J13"/>
    <mergeCell ref="J14:J17"/>
    <mergeCell ref="J18:J21"/>
    <mergeCell ref="J22:J25"/>
    <mergeCell ref="J26:J29"/>
    <mergeCell ref="J30:J33"/>
    <mergeCell ref="J34:J37"/>
    <mergeCell ref="D5:I5"/>
    <mergeCell ref="D8:D11"/>
    <mergeCell ref="I12:I15"/>
    <mergeCell ref="H14:H15"/>
    <mergeCell ref="H12:H13"/>
    <mergeCell ref="H6:H7"/>
    <mergeCell ref="I6:I7"/>
    <mergeCell ref="D6:E6"/>
    <mergeCell ref="F6:F7"/>
    <mergeCell ref="G6:G7"/>
    <mergeCell ref="F12:F13"/>
    <mergeCell ref="F14:F15"/>
    <mergeCell ref="D12:D15"/>
    <mergeCell ref="F10:F11"/>
    <mergeCell ref="F20:F21"/>
    <mergeCell ref="D16:D19"/>
    <mergeCell ref="D20:D23"/>
    <mergeCell ref="D28:D31"/>
    <mergeCell ref="D24:D27"/>
    <mergeCell ref="F30:F31"/>
    <mergeCell ref="F28:F29"/>
    <mergeCell ref="F26:F27"/>
    <mergeCell ref="F24:F25"/>
    <mergeCell ref="F22:F23"/>
    <mergeCell ref="I28:I31"/>
    <mergeCell ref="I24:I27"/>
    <mergeCell ref="I20:I23"/>
    <mergeCell ref="I8:I11"/>
    <mergeCell ref="H30:H31"/>
    <mergeCell ref="H28:H29"/>
    <mergeCell ref="H26:H27"/>
    <mergeCell ref="H24:H25"/>
    <mergeCell ref="H22:H23"/>
    <mergeCell ref="AA2:AB2"/>
    <mergeCell ref="F18:F19"/>
    <mergeCell ref="F16:F17"/>
    <mergeCell ref="D32:D35"/>
    <mergeCell ref="I32:I35"/>
    <mergeCell ref="H34:H35"/>
    <mergeCell ref="H32:H33"/>
    <mergeCell ref="F34:F35"/>
    <mergeCell ref="F32:F33"/>
    <mergeCell ref="H20:H21"/>
    <mergeCell ref="H10:H11"/>
    <mergeCell ref="H8:H9"/>
    <mergeCell ref="I16:I19"/>
    <mergeCell ref="H18:H19"/>
    <mergeCell ref="H16:H17"/>
    <mergeCell ref="F8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2023-01-01T10:00:28Z</dcterms:modified>
</cp:coreProperties>
</file>