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LINA\SUMMER SEMESTER\Engineering geodesy\"/>
    </mc:Choice>
  </mc:AlternateContent>
  <xr:revisionPtr revIDLastSave="0" documentId="13_ncr:1_{621E17C6-D488-432D-8928-DB39AEEFD9D8}" xr6:coauthVersionLast="47" xr6:coauthVersionMax="47" xr10:uidLastSave="{00000000-0000-0000-0000-000000000000}"/>
  <bookViews>
    <workbookView xWindow="-108" yWindow="-108" windowWidth="23256" windowHeight="12576" activeTab="3" xr2:uid="{F7AD49F9-96D9-4403-9702-C28CE84F7326}"/>
  </bookViews>
  <sheets>
    <sheet name="TASK 1" sheetId="1" r:id="rId1"/>
    <sheet name="TASK 2" sheetId="2" r:id="rId2"/>
    <sheet name="TASK 3" sheetId="3" r:id="rId3"/>
    <sheet name="Geodesy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F19" i="4"/>
  <c r="G22" i="4"/>
  <c r="E19" i="4"/>
  <c r="B26" i="4"/>
  <c r="G32" i="4"/>
  <c r="F32" i="4"/>
  <c r="G31" i="4"/>
  <c r="F31" i="4"/>
  <c r="B4" i="3"/>
  <c r="H32" i="4" l="1"/>
  <c r="I32" i="4"/>
  <c r="K32" i="4" s="1"/>
  <c r="H31" i="4"/>
  <c r="I31" i="4"/>
  <c r="K31" i="4" s="1"/>
  <c r="C3" i="4" s="1"/>
  <c r="B19" i="4" l="1"/>
  <c r="B22" i="4" s="1"/>
  <c r="B21" i="4"/>
  <c r="C1" i="3"/>
  <c r="B3" i="3" s="1"/>
  <c r="C56" i="2"/>
  <c r="N35" i="2"/>
  <c r="M35" i="2"/>
  <c r="N33" i="2"/>
  <c r="N34" i="2"/>
  <c r="M34" i="2"/>
  <c r="M33" i="2"/>
  <c r="N32" i="2"/>
  <c r="M32" i="2"/>
  <c r="N31" i="2"/>
  <c r="M31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54" i="2"/>
  <c r="D44" i="2"/>
  <c r="D43" i="2"/>
  <c r="Q15" i="1"/>
  <c r="R15" i="1"/>
  <c r="Q16" i="1"/>
  <c r="R16" i="1"/>
  <c r="Q17" i="1"/>
  <c r="R17" i="1"/>
  <c r="Q18" i="1"/>
  <c r="R18" i="1"/>
  <c r="Q19" i="1"/>
  <c r="R19" i="1"/>
  <c r="R14" i="1"/>
  <c r="Q14" i="1"/>
  <c r="P8" i="1"/>
  <c r="Q8" i="1"/>
  <c r="R8" i="1"/>
  <c r="Q7" i="1"/>
  <c r="R7" i="1"/>
  <c r="P7" i="1"/>
  <c r="B23" i="4" l="1"/>
  <c r="B25" i="4" s="1"/>
  <c r="B28" i="4" s="1"/>
  <c r="C5" i="4" s="1"/>
  <c r="L16" i="2"/>
  <c r="K16" i="2"/>
  <c r="M16" i="2" s="1"/>
  <c r="C7" i="4" l="1"/>
  <c r="E6" i="4"/>
  <c r="F6" i="4"/>
  <c r="B27" i="4"/>
  <c r="N16" i="2"/>
  <c r="P16" i="2" s="1"/>
  <c r="P17" i="2" s="1"/>
  <c r="I25" i="1"/>
  <c r="H25" i="1"/>
  <c r="H24" i="1"/>
  <c r="C12" i="2"/>
  <c r="C11" i="2"/>
  <c r="B12" i="2"/>
  <c r="B11" i="2"/>
  <c r="H17" i="1"/>
  <c r="J5" i="2"/>
  <c r="J6" i="2"/>
  <c r="J7" i="2"/>
  <c r="J8" i="2"/>
  <c r="I6" i="2"/>
  <c r="I7" i="2"/>
  <c r="I8" i="2"/>
  <c r="I5" i="2"/>
  <c r="G47" i="1"/>
  <c r="E47" i="1"/>
  <c r="G46" i="1"/>
  <c r="E46" i="1"/>
  <c r="G40" i="1"/>
  <c r="G41" i="1"/>
  <c r="G42" i="1"/>
  <c r="G43" i="1"/>
  <c r="G44" i="1"/>
  <c r="G39" i="1"/>
  <c r="F42" i="1"/>
  <c r="F43" i="1"/>
  <c r="F44" i="1"/>
  <c r="F41" i="1"/>
  <c r="F40" i="1"/>
  <c r="F39" i="1"/>
  <c r="E40" i="1"/>
  <c r="E41" i="1"/>
  <c r="E42" i="1"/>
  <c r="E43" i="1"/>
  <c r="E44" i="1"/>
  <c r="E39" i="1"/>
  <c r="D43" i="1"/>
  <c r="D44" i="1"/>
  <c r="D42" i="1"/>
  <c r="D41" i="1"/>
  <c r="D40" i="1"/>
  <c r="D39" i="1"/>
  <c r="C45" i="1"/>
  <c r="B45" i="1"/>
  <c r="B40" i="1"/>
  <c r="C40" i="1"/>
  <c r="B41" i="1"/>
  <c r="C41" i="1"/>
  <c r="B42" i="1"/>
  <c r="C42" i="1"/>
  <c r="B43" i="1"/>
  <c r="C43" i="1"/>
  <c r="B44" i="1"/>
  <c r="C44" i="1"/>
  <c r="C39" i="1"/>
  <c r="B39" i="1"/>
  <c r="C38" i="1"/>
  <c r="B38" i="1"/>
  <c r="I19" i="1"/>
  <c r="I20" i="1"/>
  <c r="I21" i="1"/>
  <c r="I22" i="1"/>
  <c r="I23" i="1"/>
  <c r="I18" i="1"/>
  <c r="H19" i="1"/>
  <c r="H20" i="1"/>
  <c r="H21" i="1"/>
  <c r="H22" i="1"/>
  <c r="H23" i="1"/>
  <c r="H18" i="1"/>
  <c r="H33" i="1"/>
  <c r="H32" i="1"/>
  <c r="H31" i="1"/>
  <c r="H30" i="1"/>
  <c r="H29" i="1"/>
  <c r="H28" i="1"/>
  <c r="F29" i="1"/>
  <c r="F30" i="1"/>
  <c r="F31" i="1"/>
  <c r="F32" i="1"/>
  <c r="F33" i="1"/>
  <c r="F28" i="1"/>
  <c r="J4" i="1"/>
  <c r="E8" i="4" l="1"/>
  <c r="F8" i="4"/>
  <c r="C9" i="4"/>
  <c r="D12" i="2"/>
  <c r="D11" i="2"/>
  <c r="E12" i="2"/>
  <c r="G12" i="2" s="1"/>
  <c r="E11" i="2"/>
  <c r="G11" i="2" s="1"/>
  <c r="M4" i="1"/>
  <c r="M6" i="1" s="1"/>
  <c r="J5" i="1"/>
  <c r="J6" i="1"/>
  <c r="E10" i="4" l="1"/>
  <c r="C11" i="4"/>
  <c r="F10" i="4"/>
  <c r="C43" i="2"/>
  <c r="H15" i="2"/>
  <c r="C25" i="2"/>
  <c r="C15" i="2"/>
  <c r="H16" i="2"/>
  <c r="D29" i="1"/>
  <c r="D30" i="1"/>
  <c r="D31" i="1"/>
  <c r="D32" i="1"/>
  <c r="D33" i="1"/>
  <c r="D28" i="1"/>
  <c r="C30" i="1"/>
  <c r="E30" i="1" s="1"/>
  <c r="D20" i="1" s="1"/>
  <c r="C31" i="1"/>
  <c r="C32" i="1"/>
  <c r="C33" i="1"/>
  <c r="C29" i="1"/>
  <c r="E29" i="1" s="1"/>
  <c r="D19" i="1" s="1"/>
  <c r="C28" i="1"/>
  <c r="C13" i="4" l="1"/>
  <c r="F12" i="4"/>
  <c r="E12" i="4"/>
  <c r="D49" i="2"/>
  <c r="C54" i="2" s="1"/>
  <c r="C55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J72" i="2" s="1"/>
  <c r="C18" i="2"/>
  <c r="H17" i="2"/>
  <c r="C44" i="2"/>
  <c r="J53" i="2"/>
  <c r="K53" i="2"/>
  <c r="C24" i="2"/>
  <c r="H18" i="2"/>
  <c r="C27" i="2"/>
  <c r="C17" i="2"/>
  <c r="D24" i="2" s="1"/>
  <c r="C16" i="2"/>
  <c r="H19" i="2"/>
  <c r="E33" i="1"/>
  <c r="D23" i="1" s="1"/>
  <c r="E32" i="1"/>
  <c r="D22" i="1" s="1"/>
  <c r="E28" i="1"/>
  <c r="D18" i="1" s="1"/>
  <c r="C20" i="1"/>
  <c r="E31" i="1"/>
  <c r="D21" i="1" s="1"/>
  <c r="D17" i="1"/>
  <c r="E14" i="4" l="1"/>
  <c r="F14" i="4"/>
  <c r="C15" i="4"/>
  <c r="J69" i="2"/>
  <c r="K54" i="2"/>
  <c r="J67" i="2"/>
  <c r="K68" i="2"/>
  <c r="J64" i="2"/>
  <c r="J71" i="2"/>
  <c r="K70" i="2"/>
  <c r="J61" i="2"/>
  <c r="J66" i="2"/>
  <c r="J63" i="2"/>
  <c r="K64" i="2"/>
  <c r="K62" i="2"/>
  <c r="K55" i="2"/>
  <c r="J58" i="2"/>
  <c r="J54" i="2"/>
  <c r="K71" i="2"/>
  <c r="K72" i="2"/>
  <c r="J59" i="2"/>
  <c r="K60" i="2"/>
  <c r="J56" i="2"/>
  <c r="J65" i="2"/>
  <c r="K65" i="2"/>
  <c r="J57" i="2"/>
  <c r="J55" i="2"/>
  <c r="K67" i="2"/>
  <c r="K63" i="2"/>
  <c r="K69" i="2"/>
  <c r="K58" i="2"/>
  <c r="K61" i="2"/>
  <c r="J68" i="2"/>
  <c r="J60" i="2"/>
  <c r="K56" i="2"/>
  <c r="J70" i="2"/>
  <c r="K59" i="2"/>
  <c r="K66" i="2"/>
  <c r="K57" i="2"/>
  <c r="J62" i="2"/>
  <c r="C36" i="2"/>
  <c r="C35" i="2"/>
  <c r="C30" i="2"/>
  <c r="C28" i="2"/>
  <c r="D25" i="2"/>
  <c r="H21" i="2"/>
  <c r="H20" i="2"/>
  <c r="K20" i="2" s="1"/>
  <c r="C23" i="1"/>
  <c r="C18" i="1"/>
  <c r="C19" i="1"/>
  <c r="C21" i="1"/>
  <c r="C22" i="1"/>
  <c r="G4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  <c r="F4" i="1"/>
  <c r="E16" i="4" l="1"/>
  <c r="E18" i="4" s="1"/>
  <c r="E20" i="4" s="1"/>
  <c r="F25" i="4" s="1"/>
  <c r="F16" i="4"/>
  <c r="F18" i="4" s="1"/>
  <c r="F20" i="4" s="1"/>
  <c r="F26" i="4" s="1"/>
  <c r="C17" i="4"/>
  <c r="F35" i="2"/>
  <c r="M20" i="2"/>
  <c r="M21" i="2"/>
  <c r="K21" i="2"/>
  <c r="F36" i="2" s="1"/>
  <c r="C31" i="2"/>
  <c r="C32" i="2" s="1"/>
  <c r="C29" i="2"/>
  <c r="H16" i="4" l="1"/>
  <c r="H6" i="4"/>
  <c r="H8" i="4"/>
  <c r="H10" i="4"/>
  <c r="H12" i="4"/>
  <c r="H14" i="4"/>
  <c r="G10" i="4"/>
  <c r="G14" i="4"/>
  <c r="G8" i="4"/>
  <c r="G12" i="4"/>
  <c r="G16" i="4"/>
  <c r="G6" i="4"/>
  <c r="G21" i="4"/>
  <c r="G36" i="2"/>
  <c r="H36" i="2" s="1"/>
  <c r="F24" i="2"/>
  <c r="F43" i="2" s="1"/>
  <c r="G55" i="2" s="1"/>
  <c r="F25" i="2"/>
  <c r="E25" i="2"/>
  <c r="E24" i="2"/>
  <c r="E43" i="2" s="1"/>
  <c r="G35" i="2"/>
  <c r="H35" i="2" s="1"/>
  <c r="H18" i="4" l="1"/>
  <c r="J7" i="4"/>
  <c r="J9" i="4" s="1"/>
  <c r="J11" i="4" s="1"/>
  <c r="J13" i="4" s="1"/>
  <c r="J15" i="4" s="1"/>
  <c r="J16" i="4" s="1"/>
  <c r="I7" i="4"/>
  <c r="I9" i="4" s="1"/>
  <c r="I11" i="4" s="1"/>
  <c r="I13" i="4" s="1"/>
  <c r="I15" i="4" s="1"/>
  <c r="I16" i="4" s="1"/>
  <c r="G18" i="4"/>
  <c r="F44" i="2"/>
  <c r="F45" i="2" s="1"/>
  <c r="J50" i="2"/>
  <c r="G59" i="2"/>
  <c r="G83" i="2" s="1"/>
  <c r="G67" i="2"/>
  <c r="G91" i="2" s="1"/>
  <c r="G72" i="2"/>
  <c r="G96" i="2" s="1"/>
  <c r="G74" i="2"/>
  <c r="G98" i="2" s="1"/>
  <c r="G60" i="2"/>
  <c r="G84" i="2" s="1"/>
  <c r="G68" i="2"/>
  <c r="G92" i="2" s="1"/>
  <c r="G61" i="2"/>
  <c r="G85" i="2" s="1"/>
  <c r="G69" i="2"/>
  <c r="G93" i="2" s="1"/>
  <c r="G56" i="2"/>
  <c r="G80" i="2" s="1"/>
  <c r="G73" i="2"/>
  <c r="G97" i="2" s="1"/>
  <c r="G58" i="2"/>
  <c r="G82" i="2" s="1"/>
  <c r="G75" i="2"/>
  <c r="G62" i="2"/>
  <c r="G86" i="2" s="1"/>
  <c r="G70" i="2"/>
  <c r="G94" i="2" s="1"/>
  <c r="G64" i="2"/>
  <c r="G88" i="2" s="1"/>
  <c r="G57" i="2"/>
  <c r="G81" i="2" s="1"/>
  <c r="G65" i="2"/>
  <c r="G89" i="2" s="1"/>
  <c r="G63" i="2"/>
  <c r="G87" i="2" s="1"/>
  <c r="G71" i="2"/>
  <c r="G95" i="2" s="1"/>
  <c r="G66" i="2"/>
  <c r="G90" i="2" s="1"/>
  <c r="E44" i="2"/>
  <c r="E45" i="2" s="1"/>
  <c r="I50" i="2"/>
  <c r="F55" i="2"/>
  <c r="G76" i="2" l="1"/>
  <c r="F57" i="2"/>
  <c r="F81" i="2" s="1"/>
  <c r="F65" i="2"/>
  <c r="F89" i="2" s="1"/>
  <c r="F73" i="2"/>
  <c r="F97" i="2" s="1"/>
  <c r="F63" i="2"/>
  <c r="F87" i="2" s="1"/>
  <c r="F64" i="2"/>
  <c r="F88" i="2" s="1"/>
  <c r="F58" i="2"/>
  <c r="F82" i="2" s="1"/>
  <c r="F66" i="2"/>
  <c r="F90" i="2" s="1"/>
  <c r="F74" i="2"/>
  <c r="F98" i="2" s="1"/>
  <c r="F75" i="2"/>
  <c r="F76" i="2" s="1"/>
  <c r="F59" i="2"/>
  <c r="F83" i="2" s="1"/>
  <c r="F67" i="2"/>
  <c r="F91" i="2" s="1"/>
  <c r="F62" i="2"/>
  <c r="F86" i="2" s="1"/>
  <c r="F72" i="2"/>
  <c r="F96" i="2" s="1"/>
  <c r="F60" i="2"/>
  <c r="F84" i="2" s="1"/>
  <c r="F68" i="2"/>
  <c r="F92" i="2" s="1"/>
  <c r="F56" i="2"/>
  <c r="F80" i="2" s="1"/>
  <c r="F71" i="2"/>
  <c r="F95" i="2" s="1"/>
  <c r="F61" i="2"/>
  <c r="F85" i="2" s="1"/>
  <c r="F69" i="2"/>
  <c r="F93" i="2" s="1"/>
  <c r="F70" i="2"/>
  <c r="F94" i="2" s="1"/>
  <c r="G23" i="4" l="1"/>
</calcChain>
</file>

<file path=xl/sharedStrings.xml><?xml version="1.0" encoding="utf-8"?>
<sst xmlns="http://schemas.openxmlformats.org/spreadsheetml/2006/main" count="252" uniqueCount="160">
  <si>
    <t>CALCULATION OF AREA OF THE SETTING-OUT OBJECT USING RECTANGULAR COORDINATES</t>
  </si>
  <si>
    <t>Data</t>
  </si>
  <si>
    <t>№</t>
  </si>
  <si>
    <t>Y</t>
  </si>
  <si>
    <t>X</t>
  </si>
  <si>
    <t>AutoCAD</t>
  </si>
  <si>
    <t>-X</t>
  </si>
  <si>
    <t>-Y</t>
  </si>
  <si>
    <t>Calculation of angles and distances (Polar setting-out elements)</t>
  </si>
  <si>
    <t>Polar setting-out elements</t>
  </si>
  <si>
    <t>STATION 5001</t>
  </si>
  <si>
    <t>direction</t>
  </si>
  <si>
    <t>distance (m)</t>
  </si>
  <si>
    <t>Ortogonal setting-out elements</t>
  </si>
  <si>
    <t>Stationing (m)</t>
  </si>
  <si>
    <t>Perpendicular (m)</t>
  </si>
  <si>
    <t>ΔX</t>
  </si>
  <si>
    <t>ϕ</t>
  </si>
  <si>
    <t>ΔY</t>
  </si>
  <si>
    <t>ϭ1</t>
  </si>
  <si>
    <t>5002-5001</t>
  </si>
  <si>
    <t>d</t>
  </si>
  <si>
    <t>2 quadrant</t>
  </si>
  <si>
    <t>Control</t>
  </si>
  <si>
    <t>1-5001</t>
  </si>
  <si>
    <t>2-5001</t>
  </si>
  <si>
    <t>3-5001</t>
  </si>
  <si>
    <t>4-5001</t>
  </si>
  <si>
    <t>5-5001</t>
  </si>
  <si>
    <t>6-5001</t>
  </si>
  <si>
    <t>quadrant</t>
  </si>
  <si>
    <t>ϭ</t>
  </si>
  <si>
    <t>angle (grad)</t>
  </si>
  <si>
    <t>Grad</t>
  </si>
  <si>
    <t>TASK 1A</t>
  </si>
  <si>
    <t>TASK 1B</t>
  </si>
  <si>
    <t>CALCULATION OF AREA OF THE SETTIONG-OUT OBJECT USING RECTANGULAR COORDINATES</t>
  </si>
  <si>
    <t>Bod</t>
  </si>
  <si>
    <t>Xn</t>
  </si>
  <si>
    <t>Yn</t>
  </si>
  <si>
    <t>Xn+1-Xn-1</t>
  </si>
  <si>
    <t>Yn(Xn+1-Xn-1)</t>
  </si>
  <si>
    <t>Yn-1-Yn+1</t>
  </si>
  <si>
    <t>Xn(Yn-1-Yn+1)</t>
  </si>
  <si>
    <t>TASK 2</t>
  </si>
  <si>
    <t>CIRCULAR ARC SETTING-OUT</t>
  </si>
  <si>
    <t>Input data</t>
  </si>
  <si>
    <t>Point</t>
  </si>
  <si>
    <t>P1</t>
  </si>
  <si>
    <t>P2</t>
  </si>
  <si>
    <t>P3</t>
  </si>
  <si>
    <t>P4</t>
  </si>
  <si>
    <t>X [m]</t>
  </si>
  <si>
    <t>Y [m]</t>
  </si>
  <si>
    <t>Radius [m]</t>
  </si>
  <si>
    <t>P1-P2</t>
  </si>
  <si>
    <t>P3-P4</t>
  </si>
  <si>
    <t>5002-1</t>
  </si>
  <si>
    <t>CALCULATIONS</t>
  </si>
  <si>
    <t>α</t>
  </si>
  <si>
    <t>central angle</t>
  </si>
  <si>
    <t>τ</t>
  </si>
  <si>
    <t>t</t>
  </si>
  <si>
    <t>o</t>
  </si>
  <si>
    <t>σP2VB</t>
  </si>
  <si>
    <t>z</t>
  </si>
  <si>
    <t>R/cos(α/2)</t>
  </si>
  <si>
    <t>σP3VB</t>
  </si>
  <si>
    <t>ω2</t>
  </si>
  <si>
    <t>ω3</t>
  </si>
  <si>
    <t>ω2+ω3</t>
  </si>
  <si>
    <t>P3-P2</t>
  </si>
  <si>
    <t>P2-P3</t>
  </si>
  <si>
    <t>m</t>
  </si>
  <si>
    <t xml:space="preserve"> </t>
  </si>
  <si>
    <t>Calculations of VB point from Point P2 and P3 respectively</t>
  </si>
  <si>
    <t>cos(α/2)</t>
  </si>
  <si>
    <t>χ</t>
  </si>
  <si>
    <t>Coordinates of V</t>
  </si>
  <si>
    <t>σVBV</t>
  </si>
  <si>
    <t xml:space="preserve">Calculations of TK and KT points from Point VB </t>
  </si>
  <si>
    <t>For AutoCAD</t>
  </si>
  <si>
    <t>LIST OF SETTING-OUT NET POINTS COORDINATES</t>
  </si>
  <si>
    <t>POINT</t>
  </si>
  <si>
    <t>LIST OF DETAILED SURVEY POINTS COORDINATES</t>
  </si>
  <si>
    <t>TK</t>
  </si>
  <si>
    <t>KT</t>
  </si>
  <si>
    <t>from σ43</t>
  </si>
  <si>
    <t>from σ12</t>
  </si>
  <si>
    <t>Coordinates of the circular arc centre S: from points TK and KT</t>
  </si>
  <si>
    <t>Bearing calculation:</t>
  </si>
  <si>
    <t>Coordinates of S</t>
  </si>
  <si>
    <t>TKS</t>
  </si>
  <si>
    <t>KTS</t>
  </si>
  <si>
    <t xml:space="preserve">Detailed points coordinates calculation </t>
  </si>
  <si>
    <t xml:space="preserve">Number of detailed points </t>
  </si>
  <si>
    <t>n</t>
  </si>
  <si>
    <t>ϕi</t>
  </si>
  <si>
    <t>Detailed points coordinate difference calculation from the circular arc centre</t>
  </si>
  <si>
    <t>Δyi</t>
  </si>
  <si>
    <t>Δxi</t>
  </si>
  <si>
    <t>Detailed points coordinates calculation:</t>
  </si>
  <si>
    <t>Points</t>
  </si>
  <si>
    <t>Setting-out elements</t>
  </si>
  <si>
    <t>dist [m]</t>
  </si>
  <si>
    <t>Circular arc detailed points coordinates</t>
  </si>
  <si>
    <t>2)</t>
  </si>
  <si>
    <t>1)</t>
  </si>
  <si>
    <t>d(P2VB)</t>
  </si>
  <si>
    <t>d(P3VB)</t>
  </si>
  <si>
    <t xml:space="preserve">3) </t>
  </si>
  <si>
    <t>4)</t>
  </si>
  <si>
    <t>d=t</t>
  </si>
  <si>
    <t xml:space="preserve">5) </t>
  </si>
  <si>
    <t>6)</t>
  </si>
  <si>
    <t>7)</t>
  </si>
  <si>
    <t>8)</t>
  </si>
  <si>
    <t>Points coordinates determining tangents</t>
  </si>
  <si>
    <t>Для AutoCAD</t>
  </si>
  <si>
    <t>Circular arc main points coordinates</t>
  </si>
  <si>
    <t>S</t>
  </si>
  <si>
    <t>VB</t>
  </si>
  <si>
    <t>V</t>
  </si>
  <si>
    <t>φi  [gon]</t>
  </si>
  <si>
    <t>угол</t>
  </si>
  <si>
    <t>b</t>
  </si>
  <si>
    <t>s</t>
  </si>
  <si>
    <t>σA-C</t>
  </si>
  <si>
    <t>A</t>
  </si>
  <si>
    <t>B</t>
  </si>
  <si>
    <t>σB-D</t>
  </si>
  <si>
    <t>Angles</t>
  </si>
  <si>
    <t>Adjustment</t>
  </si>
  <si>
    <t>Bearings</t>
  </si>
  <si>
    <t>Dist</t>
  </si>
  <si>
    <t>Coordinates</t>
  </si>
  <si>
    <t>C</t>
  </si>
  <si>
    <t>D</t>
  </si>
  <si>
    <t>AC</t>
  </si>
  <si>
    <t>BD</t>
  </si>
  <si>
    <t>IS</t>
  </si>
  <si>
    <t>SHOULD BE</t>
  </si>
  <si>
    <t>difference</t>
  </si>
  <si>
    <r>
      <t>0</t>
    </r>
    <r>
      <rPr>
        <sz val="11"/>
        <color theme="1"/>
        <rFont val="Calibri"/>
        <family val="2"/>
        <charset val="204"/>
      </rPr>
      <t>ω</t>
    </r>
  </si>
  <si>
    <r>
      <t>0ω&lt;</t>
    </r>
    <r>
      <rPr>
        <sz val="11"/>
        <color theme="1"/>
        <rFont val="Calibri"/>
        <family val="2"/>
        <charset val="204"/>
      </rPr>
      <t>Δω</t>
    </r>
  </si>
  <si>
    <t>Δω</t>
  </si>
  <si>
    <t>sec</t>
  </si>
  <si>
    <r>
      <t>c</t>
    </r>
    <r>
      <rPr>
        <sz val="11"/>
        <color theme="1"/>
        <rFont val="Calibri"/>
        <family val="2"/>
        <charset val="204"/>
      </rPr>
      <t>ω</t>
    </r>
  </si>
  <si>
    <r>
      <rPr>
        <sz val="11"/>
        <color theme="1"/>
        <rFont val="Calibri"/>
        <family val="2"/>
        <charset val="204"/>
      </rPr>
      <t>ΔY(</t>
    </r>
    <r>
      <rPr>
        <sz val="11"/>
        <color theme="1"/>
        <rFont val="Calibri"/>
        <family val="2"/>
        <charset val="204"/>
        <scheme val="minor"/>
      </rPr>
      <t>sin)</t>
    </r>
  </si>
  <si>
    <t>ΔX(cos)</t>
  </si>
  <si>
    <t>Coordinate misclosure</t>
  </si>
  <si>
    <t>Position of misclosure</t>
  </si>
  <si>
    <t>Op</t>
  </si>
  <si>
    <r>
      <t>Op&lt;</t>
    </r>
    <r>
      <rPr>
        <sz val="11"/>
        <color theme="1"/>
        <rFont val="Calibri"/>
        <family val="2"/>
        <charset val="204"/>
      </rPr>
      <t>Δp</t>
    </r>
  </si>
  <si>
    <t>Δp</t>
  </si>
  <si>
    <t>kY</t>
  </si>
  <si>
    <t>kX</t>
  </si>
  <si>
    <t>ΔY(corrected)</t>
  </si>
  <si>
    <t>ΔX(corrected)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</si>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</sst>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"/>
    <numFmt numFmtId="168" formatCode="0.000000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1" fillId="0" borderId="1" xfId="0" applyFont="1" applyBorder="1"/>
    <xf numFmtId="164" fontId="0" fillId="0" borderId="1" xfId="0" applyNumberFormat="1" applyBorder="1"/>
    <xf numFmtId="164" fontId="0" fillId="3" borderId="1" xfId="0" applyNumberFormat="1" applyFill="1" applyBorder="1"/>
    <xf numFmtId="165" fontId="0" fillId="0" borderId="1" xfId="0" applyNumberFormat="1" applyBorder="1"/>
    <xf numFmtId="0" fontId="3" fillId="0" borderId="0" xfId="0" applyFont="1"/>
    <xf numFmtId="0" fontId="1" fillId="4" borderId="1" xfId="0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3" fillId="0" borderId="0" xfId="0" applyNumberFormat="1" applyFont="1" applyFill="1" applyBorder="1"/>
    <xf numFmtId="2" fontId="0" fillId="0" borderId="0" xfId="0" applyNumberFormat="1"/>
    <xf numFmtId="0" fontId="0" fillId="0" borderId="4" xfId="0" applyBorder="1"/>
    <xf numFmtId="164" fontId="0" fillId="0" borderId="1" xfId="0" applyNumberFormat="1" applyFill="1" applyBorder="1"/>
    <xf numFmtId="165" fontId="0" fillId="0" borderId="0" xfId="0" applyNumberFormat="1"/>
    <xf numFmtId="0" fontId="1" fillId="0" borderId="1" xfId="0" applyFont="1" applyFill="1" applyBorder="1"/>
    <xf numFmtId="0" fontId="1" fillId="0" borderId="3" xfId="0" applyFont="1" applyFill="1" applyBorder="1"/>
    <xf numFmtId="165" fontId="0" fillId="3" borderId="1" xfId="0" applyNumberFormat="1" applyFill="1" applyBorder="1"/>
    <xf numFmtId="2" fontId="0" fillId="3" borderId="0" xfId="0" applyNumberFormat="1" applyFill="1"/>
    <xf numFmtId="0" fontId="6" fillId="0" borderId="1" xfId="0" applyFont="1" applyBorder="1" applyAlignment="1">
      <alignment horizontal="center" vertical="center"/>
    </xf>
    <xf numFmtId="2" fontId="0" fillId="3" borderId="1" xfId="0" applyNumberFormat="1" applyFill="1" applyBorder="1"/>
    <xf numFmtId="2" fontId="0" fillId="0" borderId="1" xfId="0" applyNumberFormat="1" applyFont="1" applyFill="1" applyBorder="1"/>
    <xf numFmtId="2" fontId="0" fillId="0" borderId="1" xfId="0" applyNumberFormat="1" applyFont="1" applyBorder="1"/>
    <xf numFmtId="2" fontId="0" fillId="3" borderId="4" xfId="0" applyNumberFormat="1" applyFill="1" applyBorder="1"/>
    <xf numFmtId="2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" fontId="0" fillId="0" borderId="0" xfId="0" applyNumberFormat="1"/>
    <xf numFmtId="0" fontId="4" fillId="0" borderId="0" xfId="0" applyFont="1"/>
    <xf numFmtId="0" fontId="3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3" borderId="4" xfId="0" applyNumberFormat="1" applyFill="1" applyBorder="1"/>
    <xf numFmtId="164" fontId="0" fillId="0" borderId="4" xfId="0" applyNumberFormat="1" applyBorder="1"/>
    <xf numFmtId="2" fontId="0" fillId="0" borderId="1" xfId="0" applyNumberFormat="1" applyFill="1" applyBorder="1"/>
    <xf numFmtId="0" fontId="0" fillId="6" borderId="0" xfId="0" applyFill="1" applyAlignment="1">
      <alignment horizontal="right"/>
    </xf>
    <xf numFmtId="164" fontId="0" fillId="0" borderId="0" xfId="0" applyNumberFormat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167" fontId="0" fillId="0" borderId="0" xfId="0" applyNumberFormat="1"/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8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/>
    <xf numFmtId="167" fontId="0" fillId="0" borderId="1" xfId="0" applyNumberFormat="1" applyBorder="1"/>
    <xf numFmtId="164" fontId="8" fillId="3" borderId="1" xfId="0" applyNumberFormat="1" applyFont="1" applyFill="1" applyBorder="1"/>
    <xf numFmtId="164" fontId="8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3" borderId="1" xfId="0" applyFill="1" applyBorder="1" applyAlignment="1">
      <alignment horizontal="center"/>
    </xf>
    <xf numFmtId="0" fontId="8" fillId="0" borderId="1" xfId="0" applyFont="1" applyBorder="1"/>
    <xf numFmtId="0" fontId="6" fillId="0" borderId="1" xfId="0" applyFont="1" applyFill="1" applyBorder="1" applyAlignment="1">
      <alignment horizontal="center" vertical="center" textRotation="90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F3B9-912B-4112-8DEC-3CD4D65A6B44}">
  <dimension ref="A1:S47"/>
  <sheetViews>
    <sheetView topLeftCell="B10" workbookViewId="0">
      <selection activeCell="D29" sqref="D29"/>
    </sheetView>
  </sheetViews>
  <sheetFormatPr defaultRowHeight="14.4" x14ac:dyDescent="0.3"/>
  <cols>
    <col min="2" max="2" width="10.88671875" customWidth="1"/>
    <col min="3" max="3" width="12.44140625" customWidth="1"/>
    <col min="4" max="4" width="11.109375" customWidth="1"/>
    <col min="5" max="5" width="12.77734375" customWidth="1"/>
    <col min="6" max="6" width="9.77734375" customWidth="1"/>
    <col min="7" max="7" width="13.5546875" customWidth="1"/>
    <col min="8" max="8" width="12.33203125" customWidth="1"/>
    <col min="9" max="9" width="16.33203125" customWidth="1"/>
    <col min="13" max="13" width="10.77734375" customWidth="1"/>
    <col min="14" max="14" width="10.44140625" customWidth="1"/>
    <col min="17" max="17" width="10" customWidth="1"/>
    <col min="18" max="18" width="12.44140625" customWidth="1"/>
    <col min="19" max="19" width="15.109375" customWidth="1"/>
  </cols>
  <sheetData>
    <row r="1" spans="1:18" x14ac:dyDescent="0.3">
      <c r="A1" s="10" t="s">
        <v>34</v>
      </c>
      <c r="B1" s="10" t="s">
        <v>0</v>
      </c>
      <c r="C1" s="10"/>
      <c r="D1" s="10"/>
      <c r="E1" s="10"/>
      <c r="F1" s="10"/>
      <c r="G1" s="10"/>
      <c r="H1" s="10"/>
      <c r="I1" s="10"/>
    </row>
    <row r="2" spans="1:18" x14ac:dyDescent="0.3">
      <c r="A2" t="s">
        <v>1</v>
      </c>
    </row>
    <row r="3" spans="1:18" x14ac:dyDescent="0.3">
      <c r="A3" s="3" t="s">
        <v>2</v>
      </c>
      <c r="B3" s="3" t="s">
        <v>3</v>
      </c>
      <c r="C3" s="3" t="s">
        <v>4</v>
      </c>
      <c r="E3" s="1"/>
      <c r="F3" s="4" t="s">
        <v>6</v>
      </c>
      <c r="G3" s="4" t="s">
        <v>7</v>
      </c>
      <c r="I3" s="12" t="s">
        <v>20</v>
      </c>
      <c r="J3" s="13"/>
      <c r="K3" s="13"/>
      <c r="L3" s="13"/>
      <c r="M3" s="13" t="s">
        <v>33</v>
      </c>
      <c r="P3" t="s">
        <v>81</v>
      </c>
    </row>
    <row r="4" spans="1:18" ht="14.4" customHeight="1" x14ac:dyDescent="0.3">
      <c r="A4" s="1">
        <v>5001</v>
      </c>
      <c r="B4" s="1">
        <v>438313.92</v>
      </c>
      <c r="C4" s="1">
        <v>1164829.3799999999</v>
      </c>
      <c r="E4" s="5" t="s">
        <v>5</v>
      </c>
      <c r="F4" s="1">
        <f t="shared" ref="F4:G11" si="0">-B4</f>
        <v>-438313.92</v>
      </c>
      <c r="G4" s="1">
        <f t="shared" si="0"/>
        <v>-1164829.3799999999</v>
      </c>
      <c r="I4" s="6" t="s">
        <v>16</v>
      </c>
      <c r="J4" s="1">
        <f>C5-C4</f>
        <v>-139.11999999987893</v>
      </c>
      <c r="K4" s="1"/>
      <c r="L4" s="6" t="s">
        <v>17</v>
      </c>
      <c r="M4" s="1">
        <f>(ABS(DEGREES(ATAN((J5/J4)))))*1.111111</f>
        <v>31.246014290564599</v>
      </c>
      <c r="P4" s="82" t="s">
        <v>82</v>
      </c>
      <c r="Q4" s="83"/>
      <c r="R4" s="84"/>
    </row>
    <row r="5" spans="1:18" x14ac:dyDescent="0.3">
      <c r="A5" s="1">
        <v>5002</v>
      </c>
      <c r="B5" s="1">
        <v>438388.27</v>
      </c>
      <c r="C5" s="1">
        <v>1164690.26</v>
      </c>
      <c r="E5" s="1"/>
      <c r="F5" s="1">
        <f t="shared" si="0"/>
        <v>-438388.27</v>
      </c>
      <c r="G5" s="1">
        <f t="shared" si="0"/>
        <v>-1164690.26</v>
      </c>
      <c r="I5" s="6" t="s">
        <v>18</v>
      </c>
      <c r="J5" s="1">
        <f>B5-B4</f>
        <v>74.350000000034925</v>
      </c>
      <c r="K5" s="1"/>
      <c r="L5" s="1" t="s">
        <v>22</v>
      </c>
      <c r="M5" s="1"/>
      <c r="P5" s="85"/>
      <c r="Q5" s="86"/>
      <c r="R5" s="87"/>
    </row>
    <row r="6" spans="1:18" x14ac:dyDescent="0.3">
      <c r="A6" s="1">
        <v>1</v>
      </c>
      <c r="B6" s="1">
        <v>438323.84</v>
      </c>
      <c r="C6" s="1">
        <v>1164718.6599999999</v>
      </c>
      <c r="E6" s="1"/>
      <c r="F6" s="1">
        <f t="shared" si="0"/>
        <v>-438323.84</v>
      </c>
      <c r="G6" s="1">
        <f t="shared" si="0"/>
        <v>-1164718.6599999999</v>
      </c>
      <c r="I6" s="6" t="s">
        <v>21</v>
      </c>
      <c r="J6" s="8">
        <f>SQRT(J4^2+J5^2)</f>
        <v>157.74123398772912</v>
      </c>
      <c r="K6" s="1"/>
      <c r="L6" s="6" t="s">
        <v>19</v>
      </c>
      <c r="M6" s="1">
        <f>200-M4</f>
        <v>168.7539857094354</v>
      </c>
      <c r="P6" s="23" t="s">
        <v>83</v>
      </c>
      <c r="Q6" s="23" t="s">
        <v>53</v>
      </c>
      <c r="R6" s="23" t="s">
        <v>52</v>
      </c>
    </row>
    <row r="7" spans="1:18" x14ac:dyDescent="0.3">
      <c r="A7" s="1">
        <v>2</v>
      </c>
      <c r="B7" s="1">
        <v>438282.74</v>
      </c>
      <c r="C7" s="1">
        <v>1164741.92</v>
      </c>
      <c r="E7" s="1"/>
      <c r="F7" s="1">
        <f t="shared" si="0"/>
        <v>-438282.74</v>
      </c>
      <c r="G7" s="1">
        <f t="shared" si="0"/>
        <v>-1164741.92</v>
      </c>
      <c r="P7" s="23">
        <f>A4</f>
        <v>5001</v>
      </c>
      <c r="Q7" s="23">
        <f t="shared" ref="Q7:R7" si="1">B4</f>
        <v>438313.92</v>
      </c>
      <c r="R7" s="23">
        <f t="shared" si="1"/>
        <v>1164829.3799999999</v>
      </c>
    </row>
    <row r="8" spans="1:18" x14ac:dyDescent="0.3">
      <c r="A8" s="1">
        <v>3</v>
      </c>
      <c r="B8" s="1">
        <v>438298.35</v>
      </c>
      <c r="C8" s="1">
        <v>1164769.5</v>
      </c>
      <c r="E8" s="1"/>
      <c r="F8" s="1">
        <f t="shared" si="0"/>
        <v>-438298.35</v>
      </c>
      <c r="G8" s="1">
        <f t="shared" si="0"/>
        <v>-1164769.5</v>
      </c>
      <c r="P8" s="23">
        <f>A5</f>
        <v>5002</v>
      </c>
      <c r="Q8" s="23">
        <f t="shared" ref="Q8" si="2">B5</f>
        <v>438388.27</v>
      </c>
      <c r="R8" s="23">
        <f t="shared" ref="R8" si="3">C5</f>
        <v>1164690.26</v>
      </c>
    </row>
    <row r="9" spans="1:18" x14ac:dyDescent="0.3">
      <c r="A9" s="1">
        <v>4</v>
      </c>
      <c r="B9" s="1">
        <v>438326.41</v>
      </c>
      <c r="C9" s="1">
        <v>1164753.6200000001</v>
      </c>
      <c r="E9" s="1"/>
      <c r="F9" s="1">
        <f t="shared" si="0"/>
        <v>-438326.41</v>
      </c>
      <c r="G9" s="1">
        <f t="shared" si="0"/>
        <v>-1164753.6200000001</v>
      </c>
    </row>
    <row r="10" spans="1:18" x14ac:dyDescent="0.3">
      <c r="A10" s="1">
        <v>5</v>
      </c>
      <c r="B10" s="2">
        <v>438319.3</v>
      </c>
      <c r="C10" s="1">
        <v>1164741.07</v>
      </c>
      <c r="E10" s="1"/>
      <c r="F10" s="1">
        <f t="shared" si="0"/>
        <v>-438319.3</v>
      </c>
      <c r="G10" s="1">
        <f t="shared" si="0"/>
        <v>-1164741.07</v>
      </c>
    </row>
    <row r="11" spans="1:18" x14ac:dyDescent="0.3">
      <c r="A11" s="1">
        <v>6</v>
      </c>
      <c r="B11" s="1">
        <v>438332.35</v>
      </c>
      <c r="C11" s="1">
        <v>1164733.69</v>
      </c>
      <c r="E11" s="1"/>
      <c r="F11" s="1">
        <f t="shared" si="0"/>
        <v>-438332.35</v>
      </c>
      <c r="G11" s="1">
        <f t="shared" si="0"/>
        <v>-1164733.69</v>
      </c>
      <c r="P11" s="82" t="s">
        <v>84</v>
      </c>
      <c r="Q11" s="83"/>
      <c r="R11" s="84"/>
    </row>
    <row r="12" spans="1:18" x14ac:dyDescent="0.3">
      <c r="P12" s="85"/>
      <c r="Q12" s="86"/>
      <c r="R12" s="87"/>
    </row>
    <row r="13" spans="1:18" x14ac:dyDescent="0.3">
      <c r="A13" t="s">
        <v>8</v>
      </c>
      <c r="P13" s="23" t="s">
        <v>83</v>
      </c>
      <c r="Q13" s="23" t="s">
        <v>53</v>
      </c>
      <c r="R13" s="23" t="s">
        <v>52</v>
      </c>
    </row>
    <row r="14" spans="1:18" x14ac:dyDescent="0.3">
      <c r="P14" s="23">
        <v>1</v>
      </c>
      <c r="Q14" s="23">
        <f>B6</f>
        <v>438323.84</v>
      </c>
      <c r="R14" s="23">
        <f>C6</f>
        <v>1164718.6599999999</v>
      </c>
    </row>
    <row r="15" spans="1:18" ht="14.4" customHeight="1" x14ac:dyDescent="0.3">
      <c r="A15" s="74" t="s">
        <v>9</v>
      </c>
      <c r="B15" s="75"/>
      <c r="C15" s="75"/>
      <c r="D15" s="76"/>
      <c r="F15" s="80" t="s">
        <v>13</v>
      </c>
      <c r="G15" s="80"/>
      <c r="H15" s="80"/>
      <c r="I15" s="80"/>
      <c r="P15" s="23">
        <v>2</v>
      </c>
      <c r="Q15" s="23">
        <f t="shared" ref="Q15:R15" si="4">B7</f>
        <v>438282.74</v>
      </c>
      <c r="R15" s="23">
        <f t="shared" si="4"/>
        <v>1164741.92</v>
      </c>
    </row>
    <row r="16" spans="1:18" ht="14.4" customHeight="1" x14ac:dyDescent="0.3">
      <c r="A16" s="77" t="s">
        <v>10</v>
      </c>
      <c r="B16" s="13" t="s">
        <v>11</v>
      </c>
      <c r="C16" s="13" t="s">
        <v>32</v>
      </c>
      <c r="D16" s="13" t="s">
        <v>12</v>
      </c>
      <c r="F16" s="81" t="s">
        <v>10</v>
      </c>
      <c r="G16" s="13" t="s">
        <v>11</v>
      </c>
      <c r="H16" s="13" t="s">
        <v>14</v>
      </c>
      <c r="I16" s="13" t="s">
        <v>15</v>
      </c>
      <c r="P16" s="23">
        <v>3</v>
      </c>
      <c r="Q16" s="23">
        <f t="shared" ref="Q16:R16" si="5">B8</f>
        <v>438298.35</v>
      </c>
      <c r="R16" s="23">
        <f t="shared" si="5"/>
        <v>1164769.5</v>
      </c>
    </row>
    <row r="17" spans="1:19" x14ac:dyDescent="0.3">
      <c r="A17" s="78"/>
      <c r="B17" s="1">
        <v>5002</v>
      </c>
      <c r="C17" s="1">
        <v>0</v>
      </c>
      <c r="D17" s="2">
        <f>J6</f>
        <v>157.74123398772912</v>
      </c>
      <c r="F17" s="81"/>
      <c r="G17" s="1">
        <v>5002</v>
      </c>
      <c r="H17" s="24">
        <f>D17</f>
        <v>157.74123398772912</v>
      </c>
      <c r="I17" s="1">
        <v>0</v>
      </c>
      <c r="P17" s="23">
        <v>4</v>
      </c>
      <c r="Q17" s="23">
        <f t="shared" ref="Q17:R17" si="6">B9</f>
        <v>438326.41</v>
      </c>
      <c r="R17" s="23">
        <f t="shared" si="6"/>
        <v>1164753.6200000001</v>
      </c>
    </row>
    <row r="18" spans="1:19" x14ac:dyDescent="0.3">
      <c r="A18" s="78"/>
      <c r="B18" s="1">
        <v>1</v>
      </c>
      <c r="C18" s="9">
        <f t="shared" ref="C18:C23" si="7">H28-$M$6</f>
        <v>25.55738514765784</v>
      </c>
      <c r="D18" s="2">
        <f>E28</f>
        <v>111.16350480258637</v>
      </c>
      <c r="F18" s="81"/>
      <c r="G18" s="1">
        <v>1</v>
      </c>
      <c r="H18" s="25">
        <f>D18*COS((RADIANS(C18)*360)/400)</f>
        <v>102.32529736845387</v>
      </c>
      <c r="I18" s="2">
        <f>D18*SIN((RADIANS(C18)*360)/400)</f>
        <v>43.43798243993534</v>
      </c>
      <c r="P18" s="23">
        <v>5</v>
      </c>
      <c r="Q18" s="28">
        <f t="shared" ref="Q18:R18" si="8">B10</f>
        <v>438319.3</v>
      </c>
      <c r="R18" s="23">
        <f t="shared" si="8"/>
        <v>1164741.07</v>
      </c>
    </row>
    <row r="19" spans="1:19" x14ac:dyDescent="0.3">
      <c r="A19" s="78"/>
      <c r="B19" s="1">
        <v>2</v>
      </c>
      <c r="C19" s="9">
        <f t="shared" si="7"/>
        <v>53.047620407421533</v>
      </c>
      <c r="D19" s="2">
        <f t="shared" ref="D19:D23" si="9">E29</f>
        <v>92.851731270844112</v>
      </c>
      <c r="F19" s="81"/>
      <c r="G19" s="1">
        <v>2</v>
      </c>
      <c r="H19" s="26">
        <f t="shared" ref="H19:H23" si="10">D19*COS((RADIANS(C19)*360)/400)</f>
        <v>62.438988552917209</v>
      </c>
      <c r="I19" s="2">
        <f t="shared" ref="I19:I23" si="11">D19*SIN((RADIANS(C19)*360)/400)</f>
        <v>68.722752480395641</v>
      </c>
      <c r="P19" s="23">
        <v>6</v>
      </c>
      <c r="Q19" s="23">
        <f t="shared" ref="Q19:R19" si="12">B11</f>
        <v>438332.35</v>
      </c>
      <c r="R19" s="23">
        <f t="shared" si="12"/>
        <v>1164733.69</v>
      </c>
    </row>
    <row r="20" spans="1:19" x14ac:dyDescent="0.3">
      <c r="A20" s="78"/>
      <c r="B20" s="1">
        <v>3</v>
      </c>
      <c r="C20" s="9">
        <f t="shared" si="7"/>
        <v>47.440781227216746</v>
      </c>
      <c r="D20" s="2">
        <f t="shared" si="9"/>
        <v>61.871150789255836</v>
      </c>
      <c r="F20" s="81"/>
      <c r="G20" s="1">
        <v>3</v>
      </c>
      <c r="H20" s="26">
        <f t="shared" si="10"/>
        <v>45.472426022224276</v>
      </c>
      <c r="I20" s="2">
        <f t="shared" si="11"/>
        <v>41.955902703197481</v>
      </c>
    </row>
    <row r="21" spans="1:19" x14ac:dyDescent="0.3">
      <c r="A21" s="78"/>
      <c r="B21" s="1">
        <v>4</v>
      </c>
      <c r="C21" s="9">
        <f t="shared" si="7"/>
        <v>20.844095250010213</v>
      </c>
      <c r="D21" s="2">
        <f t="shared" si="9"/>
        <v>76.782665361173159</v>
      </c>
      <c r="F21" s="81"/>
      <c r="G21" s="1">
        <v>4</v>
      </c>
      <c r="H21" s="26">
        <f t="shared" si="10"/>
        <v>72.703645949580064</v>
      </c>
      <c r="I21" s="2">
        <f t="shared" si="11"/>
        <v>24.693269641827708</v>
      </c>
    </row>
    <row r="22" spans="1:19" x14ac:dyDescent="0.3">
      <c r="A22" s="78"/>
      <c r="B22" s="1">
        <v>5</v>
      </c>
      <c r="C22" s="9">
        <f t="shared" si="7"/>
        <v>27.372402948395433</v>
      </c>
      <c r="D22" s="2">
        <f t="shared" si="9"/>
        <v>88.473727738627574</v>
      </c>
      <c r="F22" s="81"/>
      <c r="G22" s="1">
        <v>5</v>
      </c>
      <c r="H22" s="26">
        <f t="shared" si="10"/>
        <v>80.420890146447093</v>
      </c>
      <c r="I22" s="2">
        <f t="shared" si="11"/>
        <v>36.87927504740145</v>
      </c>
      <c r="K22" s="88" t="s">
        <v>9</v>
      </c>
      <c r="L22" s="88"/>
      <c r="M22" s="88"/>
      <c r="N22" s="88"/>
    </row>
    <row r="23" spans="1:19" x14ac:dyDescent="0.3">
      <c r="A23" s="79"/>
      <c r="B23" s="1">
        <v>6</v>
      </c>
      <c r="C23" s="9">
        <f t="shared" si="7"/>
        <v>19.132973184917546</v>
      </c>
      <c r="D23" s="2">
        <f t="shared" si="9"/>
        <v>97.448658277007851</v>
      </c>
      <c r="F23" s="81"/>
      <c r="G23" s="1">
        <v>6</v>
      </c>
      <c r="H23" s="26">
        <f t="shared" si="10"/>
        <v>93.080693396159205</v>
      </c>
      <c r="I23" s="2">
        <f t="shared" si="11"/>
        <v>28.848319134383829</v>
      </c>
      <c r="K23" s="70" t="s">
        <v>10</v>
      </c>
      <c r="L23" s="23" t="s">
        <v>11</v>
      </c>
      <c r="M23" s="23" t="s">
        <v>32</v>
      </c>
      <c r="N23" s="23" t="s">
        <v>12</v>
      </c>
    </row>
    <row r="24" spans="1:19" x14ac:dyDescent="0.3">
      <c r="F24" s="1"/>
      <c r="G24" s="1" t="s">
        <v>57</v>
      </c>
      <c r="H24" s="2">
        <f>H17-H18</f>
        <v>55.415936619275243</v>
      </c>
      <c r="I24" s="7"/>
      <c r="K24" s="70"/>
      <c r="L24" s="23">
        <v>5002</v>
      </c>
      <c r="M24" s="23">
        <v>0</v>
      </c>
      <c r="N24" s="28">
        <v>157.74123398772912</v>
      </c>
    </row>
    <row r="25" spans="1:19" x14ac:dyDescent="0.3">
      <c r="F25" s="1"/>
      <c r="G25" s="16" t="s">
        <v>23</v>
      </c>
      <c r="H25" s="27">
        <f>H20+H19-H20+H21-H19+H22-H21+H23-H22+H18-H23+H24</f>
        <v>157.74123398772912</v>
      </c>
      <c r="I25" s="17" t="b">
        <f>H25=H17</f>
        <v>1</v>
      </c>
      <c r="K25" s="70"/>
      <c r="L25" s="23">
        <v>1</v>
      </c>
      <c r="M25" s="29">
        <v>25.55738514765784</v>
      </c>
      <c r="N25" s="28">
        <v>111.16350480258637</v>
      </c>
    </row>
    <row r="26" spans="1:19" x14ac:dyDescent="0.3">
      <c r="K26" s="70"/>
      <c r="L26" s="23">
        <v>2</v>
      </c>
      <c r="M26" s="29">
        <v>53.047620407421533</v>
      </c>
      <c r="N26" s="28">
        <v>92.851731270844112</v>
      </c>
    </row>
    <row r="27" spans="1:19" x14ac:dyDescent="0.3">
      <c r="B27" s="13" t="s">
        <v>11</v>
      </c>
      <c r="C27" s="11" t="s">
        <v>16</v>
      </c>
      <c r="D27" s="11" t="s">
        <v>18</v>
      </c>
      <c r="E27" s="11" t="s">
        <v>21</v>
      </c>
      <c r="F27" s="11" t="s">
        <v>17</v>
      </c>
      <c r="G27" s="11" t="s">
        <v>30</v>
      </c>
      <c r="H27" s="11" t="s">
        <v>31</v>
      </c>
      <c r="K27" s="70"/>
      <c r="L27" s="23">
        <v>3</v>
      </c>
      <c r="M27" s="29">
        <v>47.440781227216746</v>
      </c>
      <c r="N27" s="28">
        <v>61.871150789255836</v>
      </c>
    </row>
    <row r="28" spans="1:19" x14ac:dyDescent="0.3">
      <c r="B28" s="4" t="s">
        <v>24</v>
      </c>
      <c r="C28" s="1">
        <f>C6-C4</f>
        <v>-110.71999999997206</v>
      </c>
      <c r="D28" s="1">
        <f>B6-$B$4</f>
        <v>9.9200000000419095</v>
      </c>
      <c r="E28" s="7">
        <f>SQRT(C28^2+D28^2)</f>
        <v>111.16350480258637</v>
      </c>
      <c r="F28" s="9">
        <f>(ABS(DEGREES(ATAN((D28/C28)))))*1.111111</f>
        <v>5.6886291429067573</v>
      </c>
      <c r="G28" s="1">
        <v>2</v>
      </c>
      <c r="H28" s="9">
        <f>200-F28</f>
        <v>194.31137085709324</v>
      </c>
      <c r="K28" s="70"/>
      <c r="L28" s="23">
        <v>4</v>
      </c>
      <c r="M28" s="29">
        <v>20.844095250010213</v>
      </c>
      <c r="N28" s="28">
        <v>76.782665361173159</v>
      </c>
    </row>
    <row r="29" spans="1:19" x14ac:dyDescent="0.3">
      <c r="B29" s="4" t="s">
        <v>25</v>
      </c>
      <c r="C29" s="1">
        <f>C7-$C$4</f>
        <v>-87.459999999962747</v>
      </c>
      <c r="D29" s="1">
        <f t="shared" ref="D29:D33" si="13">B7-$B$4</f>
        <v>-31.179999999993015</v>
      </c>
      <c r="E29" s="7">
        <f t="shared" ref="E29:E33" si="14">SQRT(C29^2+D29^2)</f>
        <v>92.851731270844112</v>
      </c>
      <c r="F29" s="9">
        <f t="shared" ref="F29:F33" si="15">(ABS(DEGREES(ATAN((D29/C29)))))*1.111111</f>
        <v>21.80160611685692</v>
      </c>
      <c r="G29" s="1">
        <v>3</v>
      </c>
      <c r="H29" s="9">
        <f>200+F29</f>
        <v>221.80160611685693</v>
      </c>
      <c r="K29" s="70"/>
      <c r="L29" s="23">
        <v>5</v>
      </c>
      <c r="M29" s="29">
        <v>27.372402948395433</v>
      </c>
      <c r="N29" s="28">
        <v>88.473727738627574</v>
      </c>
    </row>
    <row r="30" spans="1:19" x14ac:dyDescent="0.3">
      <c r="B30" s="4" t="s">
        <v>26</v>
      </c>
      <c r="C30" s="1">
        <f t="shared" ref="C30:C33" si="16">C8-$C$4</f>
        <v>-59.879999999888241</v>
      </c>
      <c r="D30" s="1">
        <f t="shared" si="13"/>
        <v>-15.570000000006985</v>
      </c>
      <c r="E30" s="7">
        <f t="shared" si="14"/>
        <v>61.871150789255836</v>
      </c>
      <c r="F30" s="9">
        <f t="shared" si="15"/>
        <v>16.194766936652137</v>
      </c>
      <c r="G30" s="1">
        <v>3</v>
      </c>
      <c r="H30" s="9">
        <f>200+F30</f>
        <v>216.19476693665214</v>
      </c>
      <c r="K30" s="70"/>
      <c r="L30" s="23">
        <v>6</v>
      </c>
      <c r="M30" s="29">
        <v>19.132973184917546</v>
      </c>
      <c r="N30" s="28">
        <v>97.448658277007851</v>
      </c>
    </row>
    <row r="31" spans="1:19" x14ac:dyDescent="0.3">
      <c r="B31" s="4" t="s">
        <v>27</v>
      </c>
      <c r="C31" s="1">
        <f t="shared" si="16"/>
        <v>-75.759999999776483</v>
      </c>
      <c r="D31" s="1">
        <f t="shared" si="13"/>
        <v>12.489999999990687</v>
      </c>
      <c r="E31" s="7">
        <f t="shared" si="14"/>
        <v>76.782665361173159</v>
      </c>
      <c r="F31" s="9">
        <f t="shared" si="15"/>
        <v>10.401919040554375</v>
      </c>
      <c r="G31" s="1">
        <v>2</v>
      </c>
      <c r="H31" s="9">
        <f>200-F31</f>
        <v>189.59808095944561</v>
      </c>
      <c r="P31" s="71" t="s">
        <v>13</v>
      </c>
      <c r="Q31" s="72"/>
      <c r="R31" s="72"/>
      <c r="S31" s="73"/>
    </row>
    <row r="32" spans="1:19" x14ac:dyDescent="0.3">
      <c r="B32" s="4" t="s">
        <v>28</v>
      </c>
      <c r="C32" s="1">
        <f t="shared" si="16"/>
        <v>-88.309999999823049</v>
      </c>
      <c r="D32" s="1">
        <f t="shared" si="13"/>
        <v>5.3800000000046566</v>
      </c>
      <c r="E32" s="7">
        <f t="shared" si="14"/>
        <v>88.473727738627574</v>
      </c>
      <c r="F32" s="9">
        <f t="shared" si="15"/>
        <v>3.8736113421691556</v>
      </c>
      <c r="G32" s="1">
        <v>2</v>
      </c>
      <c r="H32" s="9">
        <f>200-F32</f>
        <v>196.12638865783083</v>
      </c>
      <c r="P32" s="70" t="s">
        <v>10</v>
      </c>
      <c r="Q32" s="30" t="s">
        <v>11</v>
      </c>
      <c r="R32" s="30" t="s">
        <v>14</v>
      </c>
      <c r="S32" s="30" t="s">
        <v>15</v>
      </c>
    </row>
    <row r="33" spans="1:19" x14ac:dyDescent="0.3">
      <c r="B33" s="4" t="s">
        <v>29</v>
      </c>
      <c r="C33" s="1">
        <f t="shared" si="16"/>
        <v>-95.689999999944121</v>
      </c>
      <c r="D33" s="1">
        <f t="shared" si="13"/>
        <v>18.429999999993015</v>
      </c>
      <c r="E33" s="7">
        <f t="shared" si="14"/>
        <v>97.448658277007851</v>
      </c>
      <c r="F33" s="9">
        <f t="shared" si="15"/>
        <v>12.113041105647049</v>
      </c>
      <c r="G33" s="1">
        <v>2</v>
      </c>
      <c r="H33" s="9">
        <f>200-F33</f>
        <v>187.88695889435294</v>
      </c>
      <c r="P33" s="70"/>
      <c r="Q33" s="30">
        <v>5002</v>
      </c>
      <c r="R33" s="31">
        <v>157.74123398772912</v>
      </c>
      <c r="S33" s="30">
        <v>0</v>
      </c>
    </row>
    <row r="34" spans="1:19" x14ac:dyDescent="0.3">
      <c r="P34" s="70"/>
      <c r="Q34" s="30">
        <v>1</v>
      </c>
      <c r="R34" s="31">
        <v>102.32529736845387</v>
      </c>
      <c r="S34" s="31">
        <v>43.43798243993534</v>
      </c>
    </row>
    <row r="35" spans="1:19" x14ac:dyDescent="0.3">
      <c r="A35" s="10" t="s">
        <v>35</v>
      </c>
      <c r="B35" s="14" t="s">
        <v>36</v>
      </c>
      <c r="P35" s="70"/>
      <c r="Q35" s="30">
        <v>2</v>
      </c>
      <c r="R35" s="31">
        <v>62.438988552917209</v>
      </c>
      <c r="S35" s="31">
        <v>68.722752480395641</v>
      </c>
    </row>
    <row r="36" spans="1:19" x14ac:dyDescent="0.3">
      <c r="P36" s="70"/>
      <c r="Q36" s="30">
        <v>3</v>
      </c>
      <c r="R36" s="31">
        <v>45.472426022224276</v>
      </c>
      <c r="S36" s="31">
        <v>41.955902703197481</v>
      </c>
    </row>
    <row r="37" spans="1:19" x14ac:dyDescent="0.3">
      <c r="A37" s="13" t="s">
        <v>37</v>
      </c>
      <c r="B37" s="13" t="s">
        <v>38</v>
      </c>
      <c r="C37" s="13" t="s">
        <v>39</v>
      </c>
      <c r="D37" s="13" t="s">
        <v>40</v>
      </c>
      <c r="E37" s="13" t="s">
        <v>41</v>
      </c>
      <c r="F37" s="13" t="s">
        <v>42</v>
      </c>
      <c r="G37" s="13" t="s">
        <v>43</v>
      </c>
      <c r="P37" s="70"/>
      <c r="Q37" s="30">
        <v>4</v>
      </c>
      <c r="R37" s="31">
        <v>72.703645949580064</v>
      </c>
      <c r="S37" s="31">
        <v>24.693269641827708</v>
      </c>
    </row>
    <row r="38" spans="1:19" x14ac:dyDescent="0.3">
      <c r="A38" s="1">
        <v>6</v>
      </c>
      <c r="B38" s="2">
        <f>C11</f>
        <v>1164733.69</v>
      </c>
      <c r="C38" s="2">
        <f>B11</f>
        <v>438332.35</v>
      </c>
      <c r="D38" s="1"/>
      <c r="E38" s="1"/>
      <c r="F38" s="1"/>
      <c r="G38" s="1"/>
      <c r="P38" s="70"/>
      <c r="Q38" s="30">
        <v>5</v>
      </c>
      <c r="R38" s="31">
        <v>80.420890146447093</v>
      </c>
      <c r="S38" s="31">
        <v>36.87927504740145</v>
      </c>
    </row>
    <row r="39" spans="1:19" x14ac:dyDescent="0.3">
      <c r="A39" s="1">
        <v>1</v>
      </c>
      <c r="B39" s="2">
        <f>C6</f>
        <v>1164718.6599999999</v>
      </c>
      <c r="C39" s="2">
        <f>B6</f>
        <v>438323.84</v>
      </c>
      <c r="D39" s="2">
        <f>B40-B44</f>
        <v>8.2299999999813735</v>
      </c>
      <c r="E39" s="2">
        <f>C39*D39</f>
        <v>3607405.2031918359</v>
      </c>
      <c r="F39" s="1">
        <f>C44-C40</f>
        <v>49.60999999998603</v>
      </c>
      <c r="G39" s="2">
        <f>B39*F39</f>
        <v>57781692.722583726</v>
      </c>
      <c r="P39" s="70"/>
      <c r="Q39" s="30">
        <v>6</v>
      </c>
      <c r="R39" s="31">
        <v>93.080693396159205</v>
      </c>
      <c r="S39" s="31">
        <v>28.848319134383829</v>
      </c>
    </row>
    <row r="40" spans="1:19" x14ac:dyDescent="0.3">
      <c r="A40" s="1">
        <v>2</v>
      </c>
      <c r="B40" s="2">
        <f t="shared" ref="B40:B44" si="17">C7</f>
        <v>1164741.92</v>
      </c>
      <c r="C40" s="2">
        <f t="shared" ref="C40:C44" si="18">B7</f>
        <v>438282.74</v>
      </c>
      <c r="D40" s="2">
        <f>B41-B39</f>
        <v>50.840000000083819</v>
      </c>
      <c r="E40" s="2">
        <f t="shared" ref="E40:E44" si="19">C40*D40</f>
        <v>22282294.501636736</v>
      </c>
      <c r="F40" s="1">
        <f>C39-C41</f>
        <v>25.490000000048894</v>
      </c>
      <c r="G40" s="2">
        <f t="shared" ref="G40:G44" si="20">B40*F40</f>
        <v>29689271.540856946</v>
      </c>
      <c r="P40" s="30"/>
      <c r="Q40" s="30" t="s">
        <v>57</v>
      </c>
      <c r="R40" s="31">
        <v>55.415936619275243</v>
      </c>
      <c r="S40" s="30">
        <v>0</v>
      </c>
    </row>
    <row r="41" spans="1:19" x14ac:dyDescent="0.3">
      <c r="A41" s="1">
        <v>3</v>
      </c>
      <c r="B41" s="2">
        <f t="shared" si="17"/>
        <v>1164769.5</v>
      </c>
      <c r="C41" s="2">
        <f t="shared" si="18"/>
        <v>438298.35</v>
      </c>
      <c r="D41" s="2">
        <f>B42-B40</f>
        <v>11.700000000186265</v>
      </c>
      <c r="E41" s="2">
        <f t="shared" si="19"/>
        <v>5128090.6950816391</v>
      </c>
      <c r="F41" s="1">
        <f>C40-C42</f>
        <v>-43.669999999983702</v>
      </c>
      <c r="G41" s="2">
        <f t="shared" si="20"/>
        <v>-50865484.064981014</v>
      </c>
    </row>
    <row r="42" spans="1:19" x14ac:dyDescent="0.3">
      <c r="A42" s="1">
        <v>4</v>
      </c>
      <c r="B42" s="2">
        <f t="shared" si="17"/>
        <v>1164753.6200000001</v>
      </c>
      <c r="C42" s="2">
        <f t="shared" si="18"/>
        <v>438326.41</v>
      </c>
      <c r="D42" s="2">
        <f>B43-B41</f>
        <v>-28.429999999934807</v>
      </c>
      <c r="E42" s="2">
        <f t="shared" si="19"/>
        <v>-12461619.836271424</v>
      </c>
      <c r="F42" s="1">
        <f t="shared" ref="F42:F44" si="21">C41-C43</f>
        <v>-20.950000000011642</v>
      </c>
      <c r="G42" s="2">
        <f t="shared" si="20"/>
        <v>-24401588.339013562</v>
      </c>
    </row>
    <row r="43" spans="1:19" x14ac:dyDescent="0.3">
      <c r="A43" s="1">
        <v>5</v>
      </c>
      <c r="B43" s="2">
        <f t="shared" si="17"/>
        <v>1164741.07</v>
      </c>
      <c r="C43" s="2">
        <f t="shared" si="18"/>
        <v>438319.3</v>
      </c>
      <c r="D43" s="2">
        <f>B44-B42</f>
        <v>-19.930000000167638</v>
      </c>
      <c r="E43" s="2">
        <f t="shared" si="19"/>
        <v>-8735703.6490734797</v>
      </c>
      <c r="F43" s="1">
        <f t="shared" si="21"/>
        <v>-5.9400000000023283</v>
      </c>
      <c r="G43" s="2">
        <f t="shared" si="20"/>
        <v>-6918561.9558027126</v>
      </c>
    </row>
    <row r="44" spans="1:19" x14ac:dyDescent="0.3">
      <c r="A44" s="1">
        <v>6</v>
      </c>
      <c r="B44" s="2">
        <f t="shared" si="17"/>
        <v>1164733.69</v>
      </c>
      <c r="C44" s="2">
        <f t="shared" si="18"/>
        <v>438332.35</v>
      </c>
      <c r="D44" s="2">
        <f>B45-B43</f>
        <v>-22.410000000149012</v>
      </c>
      <c r="E44" s="2">
        <f t="shared" si="19"/>
        <v>-9823027.9635653161</v>
      </c>
      <c r="F44" s="1">
        <f t="shared" si="21"/>
        <v>-4.5400000000372529</v>
      </c>
      <c r="G44" s="2">
        <f t="shared" si="20"/>
        <v>-5287890.9526433898</v>
      </c>
    </row>
    <row r="45" spans="1:19" x14ac:dyDescent="0.3">
      <c r="A45" s="1">
        <v>1</v>
      </c>
      <c r="B45" s="2">
        <f>B39</f>
        <v>1164718.6599999999</v>
      </c>
      <c r="C45" s="2">
        <f>C39</f>
        <v>438323.84</v>
      </c>
      <c r="D45" s="1"/>
      <c r="E45" s="1"/>
      <c r="F45" s="1"/>
      <c r="G45" s="1"/>
    </row>
    <row r="46" spans="1:19" x14ac:dyDescent="0.3">
      <c r="E46" s="15">
        <f>SUM(E39:E45)</f>
        <v>-2561.0490000080317</v>
      </c>
      <c r="G46" s="15">
        <f>SUM(G39:G45)</f>
        <v>-2561.049000008963</v>
      </c>
    </row>
    <row r="47" spans="1:19" x14ac:dyDescent="0.3">
      <c r="E47" s="22">
        <f>ABS(E46/2)</f>
        <v>1280.5245000040159</v>
      </c>
      <c r="F47" s="15"/>
      <c r="G47" s="22">
        <f>ABS(G46/2)</f>
        <v>1280.5245000044815</v>
      </c>
    </row>
  </sheetData>
  <mergeCells count="10">
    <mergeCell ref="P4:R5"/>
    <mergeCell ref="P11:R12"/>
    <mergeCell ref="K22:N22"/>
    <mergeCell ref="K23:K30"/>
    <mergeCell ref="P32:P39"/>
    <mergeCell ref="P31:S31"/>
    <mergeCell ref="A15:D15"/>
    <mergeCell ref="A16:A23"/>
    <mergeCell ref="F15:I15"/>
    <mergeCell ref="F16:F2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B1B7-D1EF-493D-9C07-4097E24EFA7B}">
  <dimension ref="A1:P98"/>
  <sheetViews>
    <sheetView topLeftCell="A22" workbookViewId="0">
      <selection activeCell="F35" sqref="F35"/>
    </sheetView>
  </sheetViews>
  <sheetFormatPr defaultRowHeight="14.4" x14ac:dyDescent="0.3"/>
  <cols>
    <col min="1" max="1" width="11" customWidth="1"/>
    <col min="2" max="2" width="10.21875" customWidth="1"/>
    <col min="3" max="3" width="11" customWidth="1"/>
    <col min="4" max="4" width="10.88671875" customWidth="1"/>
    <col min="5" max="5" width="11.21875" customWidth="1"/>
    <col min="6" max="6" width="12.44140625" bestFit="1" customWidth="1"/>
    <col min="7" max="7" width="12.88671875" customWidth="1"/>
    <col min="8" max="8" width="12.44140625" bestFit="1" customWidth="1"/>
    <col min="9" max="9" width="14.33203125" customWidth="1"/>
    <col min="10" max="10" width="11.77734375" customWidth="1"/>
    <col min="11" max="11" width="13" customWidth="1"/>
    <col min="12" max="12" width="11.44140625" customWidth="1"/>
    <col min="13" max="13" width="12.77734375" customWidth="1"/>
    <col min="14" max="14" width="13.109375" customWidth="1"/>
    <col min="15" max="15" width="14" customWidth="1"/>
  </cols>
  <sheetData>
    <row r="1" spans="1:16" x14ac:dyDescent="0.3">
      <c r="B1" s="10" t="s">
        <v>44</v>
      </c>
      <c r="C1" s="10" t="s">
        <v>45</v>
      </c>
      <c r="D1" s="10"/>
    </row>
    <row r="2" spans="1:16" x14ac:dyDescent="0.3">
      <c r="A2" t="s">
        <v>46</v>
      </c>
    </row>
    <row r="3" spans="1:16" x14ac:dyDescent="0.3">
      <c r="A3" s="89" t="s">
        <v>117</v>
      </c>
      <c r="B3" s="89"/>
      <c r="C3" s="89"/>
    </row>
    <row r="4" spans="1:16" x14ac:dyDescent="0.3">
      <c r="A4" s="46" t="s">
        <v>47</v>
      </c>
      <c r="B4" s="46" t="s">
        <v>53</v>
      </c>
      <c r="C4" s="46" t="s">
        <v>52</v>
      </c>
      <c r="E4" s="1" t="s">
        <v>54</v>
      </c>
      <c r="F4" s="5">
        <v>116</v>
      </c>
      <c r="H4" t="s">
        <v>5</v>
      </c>
      <c r="I4" s="4" t="s">
        <v>6</v>
      </c>
      <c r="J4" s="4" t="s">
        <v>7</v>
      </c>
    </row>
    <row r="5" spans="1:16" x14ac:dyDescent="0.3">
      <c r="A5" s="46" t="s">
        <v>48</v>
      </c>
      <c r="B5" s="46">
        <v>445200.97</v>
      </c>
      <c r="C5" s="46">
        <v>1100499.79</v>
      </c>
      <c r="I5" s="1">
        <f>-B5</f>
        <v>-445200.97</v>
      </c>
      <c r="J5" s="1">
        <f>-C5</f>
        <v>-1100499.79</v>
      </c>
    </row>
    <row r="6" spans="1:16" x14ac:dyDescent="0.3">
      <c r="A6" s="46" t="s">
        <v>49</v>
      </c>
      <c r="B6" s="46">
        <v>445150.76</v>
      </c>
      <c r="C6" s="46">
        <v>1100350.94</v>
      </c>
      <c r="I6" s="1">
        <f t="shared" ref="I6:J8" si="0">-B6</f>
        <v>-445150.76</v>
      </c>
      <c r="J6" s="1">
        <f t="shared" si="0"/>
        <v>-1100350.94</v>
      </c>
    </row>
    <row r="7" spans="1:16" x14ac:dyDescent="0.3">
      <c r="A7" s="46" t="s">
        <v>50</v>
      </c>
      <c r="B7" s="46">
        <v>445127.73</v>
      </c>
      <c r="C7" s="46">
        <v>1100354.99</v>
      </c>
      <c r="I7" s="1">
        <f t="shared" si="0"/>
        <v>-445127.73</v>
      </c>
      <c r="J7" s="1">
        <f t="shared" si="0"/>
        <v>-1100354.99</v>
      </c>
    </row>
    <row r="8" spans="1:16" x14ac:dyDescent="0.3">
      <c r="A8" s="46" t="s">
        <v>51</v>
      </c>
      <c r="B8" s="46">
        <v>445001.18</v>
      </c>
      <c r="C8" s="46">
        <v>1100399.07</v>
      </c>
      <c r="I8" s="1">
        <f t="shared" si="0"/>
        <v>-445001.18</v>
      </c>
      <c r="J8" s="1">
        <f t="shared" si="0"/>
        <v>-1100399.07</v>
      </c>
    </row>
    <row r="9" spans="1:16" x14ac:dyDescent="0.3">
      <c r="A9" s="44" t="s">
        <v>107</v>
      </c>
    </row>
    <row r="10" spans="1:16" x14ac:dyDescent="0.3">
      <c r="A10" s="13" t="s">
        <v>11</v>
      </c>
      <c r="B10" s="11" t="s">
        <v>16</v>
      </c>
      <c r="C10" s="11" t="s">
        <v>18</v>
      </c>
      <c r="D10" s="11" t="s">
        <v>21</v>
      </c>
      <c r="E10" s="11" t="s">
        <v>17</v>
      </c>
      <c r="F10" s="11" t="s">
        <v>30</v>
      </c>
      <c r="G10" s="11" t="s">
        <v>31</v>
      </c>
    </row>
    <row r="11" spans="1:16" x14ac:dyDescent="0.3">
      <c r="A11" s="4" t="s">
        <v>55</v>
      </c>
      <c r="B11" s="1">
        <f>C6-C5</f>
        <v>-148.85000000009313</v>
      </c>
      <c r="C11" s="1">
        <f>B6-B5</f>
        <v>-50.209999999962747</v>
      </c>
      <c r="D11" s="2">
        <f>SQRT(B11^2+C11^2)</f>
        <v>157.09031351430929</v>
      </c>
      <c r="E11" s="9">
        <f>(ABS(DEGREES(ATAN((C11/B11)))))*1.111111</f>
        <v>20.711388245481064</v>
      </c>
      <c r="F11" s="1">
        <v>3</v>
      </c>
      <c r="G11" s="9">
        <f>200+E11</f>
        <v>220.71138824548106</v>
      </c>
    </row>
    <row r="12" spans="1:16" x14ac:dyDescent="0.3">
      <c r="A12" s="4" t="s">
        <v>56</v>
      </c>
      <c r="B12" s="1">
        <f>C8-C7</f>
        <v>44.080000000074506</v>
      </c>
      <c r="C12" s="1">
        <f>B8-B7</f>
        <v>-126.54999999998836</v>
      </c>
      <c r="D12" s="2">
        <f t="shared" ref="D12" si="1">SQRT(B12^2+C12^2)</f>
        <v>134.00727181762795</v>
      </c>
      <c r="E12" s="9">
        <f t="shared" ref="E12" si="2">(ABS(DEGREES(ATAN((C12/B12)))))*1.111111</f>
        <v>78.661890940843975</v>
      </c>
      <c r="F12" s="1">
        <v>4</v>
      </c>
      <c r="G12" s="9">
        <f>400-E12</f>
        <v>321.33810905915601</v>
      </c>
    </row>
    <row r="14" spans="1:16" x14ac:dyDescent="0.3">
      <c r="A14" t="s">
        <v>58</v>
      </c>
    </row>
    <row r="15" spans="1:16" x14ac:dyDescent="0.3">
      <c r="A15" s="44" t="s">
        <v>106</v>
      </c>
      <c r="B15" s="6" t="s">
        <v>59</v>
      </c>
      <c r="C15" s="21">
        <f>G12-G11</f>
        <v>100.62672081367495</v>
      </c>
      <c r="D15" t="s">
        <v>60</v>
      </c>
      <c r="F15" s="44" t="s">
        <v>110</v>
      </c>
      <c r="G15" s="19" t="s">
        <v>64</v>
      </c>
      <c r="H15" s="9">
        <f>G11</f>
        <v>220.71138824548106</v>
      </c>
      <c r="J15" s="1"/>
      <c r="K15" s="11" t="s">
        <v>16</v>
      </c>
      <c r="L15" s="11" t="s">
        <v>18</v>
      </c>
      <c r="M15" s="11" t="s">
        <v>21</v>
      </c>
      <c r="N15" s="11" t="s">
        <v>17</v>
      </c>
      <c r="O15" s="11" t="s">
        <v>30</v>
      </c>
      <c r="P15" s="11" t="s">
        <v>31</v>
      </c>
    </row>
    <row r="16" spans="1:16" x14ac:dyDescent="0.3">
      <c r="B16" s="19" t="s">
        <v>61</v>
      </c>
      <c r="C16" s="21">
        <f>200-C15</f>
        <v>99.37327918632505</v>
      </c>
      <c r="G16" s="19" t="s">
        <v>67</v>
      </c>
      <c r="H16" s="9">
        <f>G12-200</f>
        <v>121.33810905915601</v>
      </c>
      <c r="J16" s="4" t="s">
        <v>71</v>
      </c>
      <c r="K16" s="1">
        <f>C6-C7</f>
        <v>-4.0500000000465661</v>
      </c>
      <c r="L16" s="1">
        <f>B6-B7</f>
        <v>23.03000000002794</v>
      </c>
      <c r="M16" s="2">
        <f t="shared" ref="M16" si="3">SQRT(K16^2+L16^2)</f>
        <v>23.383400094974728</v>
      </c>
      <c r="N16" s="9">
        <f t="shared" ref="N16" si="4">(ABS(DEGREES(ATAN((L16/K16)))))*1.111111</f>
        <v>88.917864397538736</v>
      </c>
      <c r="O16" s="1">
        <v>2</v>
      </c>
      <c r="P16" s="9">
        <f>200-N16</f>
        <v>111.08213560246126</v>
      </c>
    </row>
    <row r="17" spans="1:16" x14ac:dyDescent="0.3">
      <c r="B17" s="19" t="s">
        <v>62</v>
      </c>
      <c r="C17" s="24">
        <f>F4*TAN((RADIANS(C15/2)*360)/400)</f>
        <v>117.14762102269326</v>
      </c>
      <c r="D17" t="s">
        <v>73</v>
      </c>
      <c r="G17" s="6" t="s">
        <v>70</v>
      </c>
      <c r="H17" s="9">
        <f>H16+200-H15</f>
        <v>100.62672081367495</v>
      </c>
      <c r="I17" s="18"/>
      <c r="J17" s="4" t="s">
        <v>72</v>
      </c>
      <c r="K17" s="1"/>
      <c r="L17" s="1"/>
      <c r="M17" s="1"/>
      <c r="N17" s="1"/>
      <c r="O17" s="1"/>
      <c r="P17" s="9">
        <f>P16+200</f>
        <v>311.08213560246128</v>
      </c>
    </row>
    <row r="18" spans="1:16" x14ac:dyDescent="0.3">
      <c r="B18" s="19" t="s">
        <v>63</v>
      </c>
      <c r="C18" s="24">
        <f>F4*RADIANS(C15*0.9)</f>
        <v>183.35433678058197</v>
      </c>
      <c r="D18" t="s">
        <v>73</v>
      </c>
      <c r="G18" s="20" t="s">
        <v>68</v>
      </c>
      <c r="H18" s="9">
        <f>P17-H15</f>
        <v>90.370747356980218</v>
      </c>
      <c r="I18" s="18"/>
    </row>
    <row r="19" spans="1:16" x14ac:dyDescent="0.3">
      <c r="G19" s="6" t="s">
        <v>69</v>
      </c>
      <c r="H19" s="9">
        <f>H16-P16</f>
        <v>10.255973456694747</v>
      </c>
      <c r="J19" s="104" t="s">
        <v>75</v>
      </c>
      <c r="K19" s="104"/>
      <c r="L19" s="104"/>
      <c r="M19" s="104"/>
      <c r="N19" s="104"/>
    </row>
    <row r="20" spans="1:16" x14ac:dyDescent="0.3">
      <c r="G20" s="1" t="s">
        <v>108</v>
      </c>
      <c r="H20" s="2">
        <f>(M16*(SIN((RADIANS(H19)*360)/400)))/SIN((RADIANS(C16)*360)/400)</f>
        <v>3.7509845592281859</v>
      </c>
      <c r="I20" t="s">
        <v>73</v>
      </c>
      <c r="J20" s="16" t="s">
        <v>3</v>
      </c>
      <c r="K20" s="41">
        <f>B6+$H$20*(SIN((RADIANS(H15)*360)/400))</f>
        <v>445149.56109147193</v>
      </c>
      <c r="L20" s="16" t="s">
        <v>3</v>
      </c>
      <c r="M20" s="42">
        <f>B7+$H$21*SIN((RADIANS(H16)*360)/400)</f>
        <v>445149.56109090627</v>
      </c>
    </row>
    <row r="21" spans="1:16" x14ac:dyDescent="0.3">
      <c r="G21" s="1" t="s">
        <v>109</v>
      </c>
      <c r="H21" s="2">
        <f>(M16*SIN((RADIANS(H18)*360)/400))/SIN((RADIANS(C16)*360)/400)</f>
        <v>23.117542940043403</v>
      </c>
      <c r="I21" t="s">
        <v>73</v>
      </c>
      <c r="J21" s="1" t="s">
        <v>4</v>
      </c>
      <c r="K21" s="8">
        <f>C6+$H$20*COS((RADIANS($H$15)*360)/400)</f>
        <v>1100347.3857766665</v>
      </c>
      <c r="L21" s="1" t="s">
        <v>4</v>
      </c>
      <c r="M21" s="7">
        <f>C7+$H$21*COS((RADIANS(H16)*360)/400)</f>
        <v>1100347.3857734497</v>
      </c>
    </row>
    <row r="22" spans="1:16" x14ac:dyDescent="0.3">
      <c r="A22" s="44" t="s">
        <v>111</v>
      </c>
      <c r="B22" s="105" t="s">
        <v>80</v>
      </c>
      <c r="C22" s="105"/>
      <c r="D22" s="105"/>
      <c r="E22" s="105"/>
      <c r="F22" s="105"/>
      <c r="M22" s="18"/>
    </row>
    <row r="23" spans="1:16" x14ac:dyDescent="0.3">
      <c r="B23" s="1"/>
      <c r="C23" s="11" t="s">
        <v>31</v>
      </c>
      <c r="D23" s="1" t="s">
        <v>112</v>
      </c>
      <c r="E23" s="1" t="s">
        <v>3</v>
      </c>
      <c r="F23" s="1" t="s">
        <v>4</v>
      </c>
    </row>
    <row r="24" spans="1:16" x14ac:dyDescent="0.3">
      <c r="B24" s="1" t="s">
        <v>85</v>
      </c>
      <c r="C24" s="9">
        <f>H15+200</f>
        <v>420.71138824548109</v>
      </c>
      <c r="D24" s="2">
        <f>C17</f>
        <v>117.14762102269326</v>
      </c>
      <c r="E24" s="8">
        <f>K20+D24*(SIN((RADIANS(C24)*360)/400))</f>
        <v>445187.00440260081</v>
      </c>
      <c r="F24" s="8">
        <f>K21+D24*(COS((RADIANS(C24)*360)/400))</f>
        <v>1100458.3883152094</v>
      </c>
    </row>
    <row r="25" spans="1:16" x14ac:dyDescent="0.3">
      <c r="B25" s="1" t="s">
        <v>86</v>
      </c>
      <c r="C25" s="9">
        <f>G12</f>
        <v>321.33810905915601</v>
      </c>
      <c r="D25" s="2">
        <f>D24</f>
        <v>117.14762102269326</v>
      </c>
      <c r="E25" s="8">
        <f>K20+D25*(SIN((RADIANS(C25)*360)/400))</f>
        <v>445038.93253675784</v>
      </c>
      <c r="F25" s="8">
        <f>K21+D25*(COS((RADIANS(C25)*360)/400))</f>
        <v>1100385.9200210881</v>
      </c>
    </row>
    <row r="27" spans="1:16" x14ac:dyDescent="0.3">
      <c r="A27" s="44" t="s">
        <v>113</v>
      </c>
      <c r="B27" s="1" t="s">
        <v>76</v>
      </c>
      <c r="C27" s="32">
        <f>COS((RADIANS(C15/2)*360)/400)</f>
        <v>0.70361767014873566</v>
      </c>
    </row>
    <row r="28" spans="1:16" x14ac:dyDescent="0.3">
      <c r="B28" s="19" t="s">
        <v>65</v>
      </c>
      <c r="C28" s="24">
        <f>F4*((1/C27)-1)</f>
        <v>48.862261028036869</v>
      </c>
      <c r="D28" t="s">
        <v>73</v>
      </c>
      <c r="L28" t="s">
        <v>118</v>
      </c>
    </row>
    <row r="29" spans="1:16" x14ac:dyDescent="0.3">
      <c r="B29" s="19" t="s">
        <v>77</v>
      </c>
      <c r="C29" s="2">
        <f>F4+C28</f>
        <v>164.86226102803687</v>
      </c>
      <c r="D29" t="s">
        <v>73</v>
      </c>
      <c r="L29" s="89" t="s">
        <v>119</v>
      </c>
      <c r="M29" s="89"/>
      <c r="N29" s="89"/>
    </row>
    <row r="30" spans="1:16" x14ac:dyDescent="0.3">
      <c r="B30" s="19" t="s">
        <v>77</v>
      </c>
      <c r="C30" s="2">
        <f>F4/C27</f>
        <v>164.86226102803687</v>
      </c>
      <c r="D30" t="s">
        <v>73</v>
      </c>
      <c r="L30" s="46" t="s">
        <v>47</v>
      </c>
      <c r="M30" s="46" t="s">
        <v>53</v>
      </c>
      <c r="N30" s="46" t="s">
        <v>52</v>
      </c>
    </row>
    <row r="31" spans="1:16" x14ac:dyDescent="0.3">
      <c r="B31" s="19" t="s">
        <v>66</v>
      </c>
      <c r="C31" s="2">
        <f>F4+C28</f>
        <v>164.86226102803687</v>
      </c>
      <c r="D31" t="s">
        <v>73</v>
      </c>
      <c r="L31" s="46" t="s">
        <v>120</v>
      </c>
      <c r="M31" s="47">
        <f>E43</f>
        <v>445077.08928560076</v>
      </c>
      <c r="N31" s="46">
        <f>F43</f>
        <v>1100495.4648179419</v>
      </c>
    </row>
    <row r="32" spans="1:16" x14ac:dyDescent="0.3">
      <c r="B32" s="19" t="s">
        <v>65</v>
      </c>
      <c r="C32" s="2">
        <f>C31-F4</f>
        <v>48.862261028036869</v>
      </c>
      <c r="D32" t="s">
        <v>73</v>
      </c>
      <c r="L32" s="46" t="s">
        <v>121</v>
      </c>
      <c r="M32" s="47">
        <f>K20</f>
        <v>445149.56109147193</v>
      </c>
      <c r="N32" s="46">
        <f>K21</f>
        <v>1100347.3857766665</v>
      </c>
    </row>
    <row r="33" spans="1:14" x14ac:dyDescent="0.3">
      <c r="L33" s="46" t="s">
        <v>85</v>
      </c>
      <c r="M33" s="47">
        <f>E24</f>
        <v>445187.00440260081</v>
      </c>
      <c r="N33" s="46">
        <f>F24</f>
        <v>1100458.3883152094</v>
      </c>
    </row>
    <row r="34" spans="1:14" x14ac:dyDescent="0.3">
      <c r="A34" s="44" t="s">
        <v>114</v>
      </c>
      <c r="B34" s="1"/>
      <c r="C34" s="19" t="s">
        <v>79</v>
      </c>
      <c r="E34" s="106" t="s">
        <v>78</v>
      </c>
      <c r="F34" s="106"/>
      <c r="G34" t="s">
        <v>23</v>
      </c>
      <c r="L34" s="46" t="s">
        <v>86</v>
      </c>
      <c r="M34" s="47">
        <f>E25</f>
        <v>445038.93253675784</v>
      </c>
      <c r="N34" s="47">
        <f>F25</f>
        <v>1100385.9200210881</v>
      </c>
    </row>
    <row r="35" spans="1:14" x14ac:dyDescent="0.3">
      <c r="B35" s="1" t="s">
        <v>87</v>
      </c>
      <c r="C35" s="9">
        <f>G12+C16/2</f>
        <v>371.02474865231852</v>
      </c>
      <c r="E35" s="1" t="s">
        <v>3</v>
      </c>
      <c r="F35" s="8">
        <f>K20+C28*(SIN((RADIANS(C35)*360)/400))</f>
        <v>445128.08172879933</v>
      </c>
      <c r="G35" s="45">
        <f>K20+C28*(SIN((RADIANS(H16+200+(C16/2))*360)/400))</f>
        <v>445128.08172879933</v>
      </c>
      <c r="H35" t="b">
        <f>F35=G35</f>
        <v>1</v>
      </c>
      <c r="L35" s="46" t="s">
        <v>122</v>
      </c>
      <c r="M35" s="47">
        <f>F35</f>
        <v>445128.08172879933</v>
      </c>
      <c r="N35" s="46">
        <f>F36</f>
        <v>1100391.2737879218</v>
      </c>
    </row>
    <row r="36" spans="1:14" x14ac:dyDescent="0.3">
      <c r="B36" s="1" t="s">
        <v>88</v>
      </c>
      <c r="C36" s="9">
        <f>G11+200-C16/2</f>
        <v>371.02474865231858</v>
      </c>
      <c r="E36" s="1" t="s">
        <v>4</v>
      </c>
      <c r="F36" s="8">
        <f>K21+C28*(COS((RADIANS(C35)*360)/400))</f>
        <v>1100391.2737879218</v>
      </c>
      <c r="G36" s="45">
        <f>K21+C28*(COS((RADIANS(H16+200+(C16/2))*360)/400))</f>
        <v>1100391.2737879218</v>
      </c>
      <c r="H36" t="b">
        <f>F36=G36</f>
        <v>1</v>
      </c>
    </row>
    <row r="38" spans="1:14" x14ac:dyDescent="0.3">
      <c r="G38" s="33"/>
    </row>
    <row r="39" spans="1:14" x14ac:dyDescent="0.3">
      <c r="A39" s="44" t="s">
        <v>115</v>
      </c>
      <c r="B39" s="104" t="s">
        <v>89</v>
      </c>
      <c r="C39" s="104"/>
      <c r="D39" s="104"/>
      <c r="E39" s="104"/>
      <c r="F39" s="104"/>
    </row>
    <row r="40" spans="1:14" x14ac:dyDescent="0.3">
      <c r="B40" t="s">
        <v>90</v>
      </c>
      <c r="D40" s="34"/>
      <c r="E40" s="18"/>
      <c r="G40" s="18"/>
    </row>
    <row r="41" spans="1:14" x14ac:dyDescent="0.3">
      <c r="B41" s="104" t="s">
        <v>91</v>
      </c>
      <c r="C41" s="104"/>
      <c r="D41" s="104"/>
      <c r="E41" s="104"/>
      <c r="F41" s="104"/>
    </row>
    <row r="42" spans="1:14" x14ac:dyDescent="0.3">
      <c r="B42" s="1"/>
      <c r="C42" s="11" t="s">
        <v>31</v>
      </c>
      <c r="D42" s="1" t="s">
        <v>21</v>
      </c>
      <c r="E42" s="1" t="s">
        <v>3</v>
      </c>
      <c r="F42" s="1" t="s">
        <v>4</v>
      </c>
    </row>
    <row r="43" spans="1:14" x14ac:dyDescent="0.3">
      <c r="A43">
        <v>1</v>
      </c>
      <c r="B43" s="1" t="s">
        <v>92</v>
      </c>
      <c r="C43" s="9">
        <f>G11+100</f>
        <v>320.71138824548109</v>
      </c>
      <c r="D43" s="1">
        <f>F4</f>
        <v>116</v>
      </c>
      <c r="E43" s="8">
        <f>E24+D43*SIN(RADIANS(C43*0.9))</f>
        <v>445077.08928560076</v>
      </c>
      <c r="F43" s="8">
        <f>F24+D43*COS(RADIANS(C43*0.9))</f>
        <v>1100495.4648179419</v>
      </c>
    </row>
    <row r="44" spans="1:14" x14ac:dyDescent="0.3">
      <c r="A44">
        <v>2</v>
      </c>
      <c r="B44" s="1" t="s">
        <v>93</v>
      </c>
      <c r="C44" s="9">
        <f>H16-100</f>
        <v>21.338109059156011</v>
      </c>
      <c r="D44" s="1">
        <f>F4</f>
        <v>116</v>
      </c>
      <c r="E44" s="43">
        <f>E25+D44*SIN(RADIANS(C44*0.9))</f>
        <v>445077.08928560076</v>
      </c>
      <c r="F44" s="43">
        <f>F25+D44*COS(RADIANS(C44*0.9))</f>
        <v>1100495.4648179419</v>
      </c>
    </row>
    <row r="45" spans="1:14" x14ac:dyDescent="0.3">
      <c r="E45" t="b">
        <f>E43=E44</f>
        <v>1</v>
      </c>
      <c r="F45" t="b">
        <f>F43=F44</f>
        <v>1</v>
      </c>
    </row>
    <row r="46" spans="1:14" x14ac:dyDescent="0.3">
      <c r="A46" s="44" t="s">
        <v>116</v>
      </c>
      <c r="B46" s="10" t="s">
        <v>94</v>
      </c>
      <c r="C46" s="10"/>
      <c r="D46" s="10"/>
    </row>
    <row r="47" spans="1:14" x14ac:dyDescent="0.3">
      <c r="E47" s="18"/>
    </row>
    <row r="48" spans="1:14" x14ac:dyDescent="0.3">
      <c r="A48" s="90" t="s">
        <v>95</v>
      </c>
      <c r="B48" s="91"/>
      <c r="C48" s="35" t="s">
        <v>96</v>
      </c>
      <c r="D48" s="36">
        <v>20</v>
      </c>
    </row>
    <row r="49" spans="1:11" x14ac:dyDescent="0.3">
      <c r="A49" s="90"/>
      <c r="B49" s="91"/>
      <c r="C49" s="6" t="s">
        <v>97</v>
      </c>
      <c r="D49" s="9">
        <f>C15/D48</f>
        <v>5.0313360406837475</v>
      </c>
    </row>
    <row r="50" spans="1:11" x14ac:dyDescent="0.3">
      <c r="A50" t="s">
        <v>98</v>
      </c>
      <c r="H50" t="s">
        <v>86</v>
      </c>
      <c r="I50" s="15">
        <f>E25</f>
        <v>445038.93253675784</v>
      </c>
      <c r="J50" s="15">
        <f>F25</f>
        <v>1100385.9200210881</v>
      </c>
    </row>
    <row r="51" spans="1:11" ht="10.8" customHeight="1" x14ac:dyDescent="0.3">
      <c r="E51" s="103" t="s">
        <v>101</v>
      </c>
      <c r="F51" s="103"/>
      <c r="G51" s="103"/>
    </row>
    <row r="52" spans="1:11" ht="16.8" customHeight="1" x14ac:dyDescent="0.3">
      <c r="A52" s="92" t="s">
        <v>102</v>
      </c>
      <c r="B52" s="94" t="s">
        <v>103</v>
      </c>
      <c r="C52" s="95"/>
      <c r="E52" s="96" t="s">
        <v>102</v>
      </c>
      <c r="F52" s="99" t="s">
        <v>105</v>
      </c>
      <c r="G52" s="100"/>
      <c r="I52" s="38"/>
      <c r="J52" s="39" t="s">
        <v>99</v>
      </c>
      <c r="K52" s="39" t="s">
        <v>100</v>
      </c>
    </row>
    <row r="53" spans="1:11" x14ac:dyDescent="0.3">
      <c r="A53" s="93"/>
      <c r="B53" s="46" t="s">
        <v>104</v>
      </c>
      <c r="C53" s="46" t="s">
        <v>123</v>
      </c>
      <c r="E53" s="97"/>
      <c r="F53" s="101"/>
      <c r="G53" s="102"/>
      <c r="I53" s="37">
        <v>1</v>
      </c>
      <c r="J53" s="40">
        <f t="shared" ref="J53:J72" si="5">$F$4*SIN(RADIANS(($C$43-200)+C54)*0.9)</f>
        <v>106.64484496833805</v>
      </c>
      <c r="K53" s="40">
        <f t="shared" ref="K53:K72" si="6">$F$4*COS(RADIANS(($C$43-200)+C54)*0.9)</f>
        <v>-45.638547760409111</v>
      </c>
    </row>
    <row r="54" spans="1:11" x14ac:dyDescent="0.3">
      <c r="A54" s="46">
        <v>1</v>
      </c>
      <c r="B54" s="46">
        <f>$F$4</f>
        <v>116</v>
      </c>
      <c r="C54" s="48">
        <f>D49</f>
        <v>5.0313360406837475</v>
      </c>
      <c r="E54" s="98"/>
      <c r="F54" s="46" t="s">
        <v>53</v>
      </c>
      <c r="G54" s="46" t="s">
        <v>52</v>
      </c>
      <c r="I54" s="37">
        <v>2</v>
      </c>
      <c r="J54" s="40">
        <f t="shared" si="5"/>
        <v>102.7088090923271</v>
      </c>
      <c r="K54" s="40">
        <f t="shared" si="6"/>
        <v>-53.91567986064819</v>
      </c>
    </row>
    <row r="55" spans="1:11" x14ac:dyDescent="0.3">
      <c r="A55" s="46">
        <v>2</v>
      </c>
      <c r="B55" s="46">
        <f t="shared" ref="B55:B73" si="7">$F$4</f>
        <v>116</v>
      </c>
      <c r="C55" s="48">
        <f t="shared" ref="C55:C73" si="8">C54+$C$54</f>
        <v>10.062672081367495</v>
      </c>
      <c r="E55" s="46">
        <v>0</v>
      </c>
      <c r="F55" s="47">
        <f>E43</f>
        <v>445077.08928560076</v>
      </c>
      <c r="G55" s="47">
        <f>F43</f>
        <v>1100495.4648179419</v>
      </c>
      <c r="I55" s="37">
        <v>3</v>
      </c>
      <c r="J55" s="40">
        <f t="shared" si="5"/>
        <v>98.131581308663115</v>
      </c>
      <c r="K55" s="40">
        <f t="shared" si="6"/>
        <v>-61.856226443756185</v>
      </c>
    </row>
    <row r="56" spans="1:11" x14ac:dyDescent="0.3">
      <c r="A56" s="46">
        <v>3</v>
      </c>
      <c r="B56" s="46">
        <f t="shared" si="7"/>
        <v>116</v>
      </c>
      <c r="C56" s="48">
        <f t="shared" si="8"/>
        <v>15.094008122051243</v>
      </c>
      <c r="E56" s="46">
        <v>1</v>
      </c>
      <c r="F56" s="47">
        <f t="shared" ref="F56:F75" si="9">$F$55+J53</f>
        <v>445183.73413056909</v>
      </c>
      <c r="G56" s="47">
        <f t="shared" ref="G56:G75" si="10">$G$55+K53</f>
        <v>1100449.8262701815</v>
      </c>
      <c r="I56" s="37">
        <v>4</v>
      </c>
      <c r="J56" s="40">
        <f t="shared" si="5"/>
        <v>92.941736395306265</v>
      </c>
      <c r="K56" s="40">
        <f t="shared" si="6"/>
        <v>-69.410616160825157</v>
      </c>
    </row>
    <row r="57" spans="1:11" x14ac:dyDescent="0.3">
      <c r="A57" s="46">
        <v>4</v>
      </c>
      <c r="B57" s="46">
        <f t="shared" si="7"/>
        <v>116</v>
      </c>
      <c r="C57" s="48">
        <f t="shared" si="8"/>
        <v>20.12534416273499</v>
      </c>
      <c r="E57" s="46">
        <v>2</v>
      </c>
      <c r="F57" s="47">
        <f t="shared" si="9"/>
        <v>445179.79809469311</v>
      </c>
      <c r="G57" s="47">
        <f t="shared" si="10"/>
        <v>1100441.5491380813</v>
      </c>
      <c r="I57" s="37">
        <v>5</v>
      </c>
      <c r="J57" s="40">
        <f t="shared" si="5"/>
        <v>87.171673584511566</v>
      </c>
      <c r="K57" s="40">
        <f t="shared" si="6"/>
        <v>-76.531688368122204</v>
      </c>
    </row>
    <row r="58" spans="1:11" x14ac:dyDescent="0.3">
      <c r="A58" s="46">
        <v>5</v>
      </c>
      <c r="B58" s="46">
        <f t="shared" si="7"/>
        <v>116</v>
      </c>
      <c r="C58" s="48">
        <f t="shared" si="8"/>
        <v>25.156680203418738</v>
      </c>
      <c r="E58" s="46">
        <v>3</v>
      </c>
      <c r="F58" s="47">
        <f t="shared" si="9"/>
        <v>445175.22086690943</v>
      </c>
      <c r="G58" s="47">
        <f t="shared" si="10"/>
        <v>1100433.6085914981</v>
      </c>
      <c r="I58" s="37">
        <v>6</v>
      </c>
      <c r="J58" s="40">
        <f t="shared" si="5"/>
        <v>80.857414300474574</v>
      </c>
      <c r="K58" s="40">
        <f t="shared" si="6"/>
        <v>-83.174987542177661</v>
      </c>
    </row>
    <row r="59" spans="1:11" x14ac:dyDescent="0.3">
      <c r="A59" s="46">
        <v>6</v>
      </c>
      <c r="B59" s="46">
        <f t="shared" si="7"/>
        <v>116</v>
      </c>
      <c r="C59" s="48">
        <f t="shared" si="8"/>
        <v>30.188016244102485</v>
      </c>
      <c r="E59" s="46">
        <v>4</v>
      </c>
      <c r="F59" s="47">
        <f t="shared" si="9"/>
        <v>445170.03102199605</v>
      </c>
      <c r="G59" s="47">
        <f t="shared" si="10"/>
        <v>1100426.0542017811</v>
      </c>
      <c r="I59" s="37">
        <v>7</v>
      </c>
      <c r="J59" s="40">
        <f t="shared" si="5"/>
        <v>74.038377284309377</v>
      </c>
      <c r="K59" s="40">
        <f t="shared" si="6"/>
        <v>-89.299040807313602</v>
      </c>
    </row>
    <row r="60" spans="1:11" x14ac:dyDescent="0.3">
      <c r="A60" s="46">
        <v>7</v>
      </c>
      <c r="B60" s="46">
        <f t="shared" si="7"/>
        <v>116</v>
      </c>
      <c r="C60" s="48">
        <f t="shared" si="8"/>
        <v>35.219352284786233</v>
      </c>
      <c r="E60" s="46">
        <v>5</v>
      </c>
      <c r="F60" s="47">
        <f t="shared" si="9"/>
        <v>445164.26095918525</v>
      </c>
      <c r="G60" s="47">
        <f t="shared" si="10"/>
        <v>1100418.9331295737</v>
      </c>
      <c r="I60" s="37">
        <v>8</v>
      </c>
      <c r="J60" s="40">
        <f t="shared" si="5"/>
        <v>66.757132510211818</v>
      </c>
      <c r="K60" s="40">
        <f t="shared" si="6"/>
        <v>-94.865616843058689</v>
      </c>
    </row>
    <row r="61" spans="1:11" x14ac:dyDescent="0.3">
      <c r="A61" s="46">
        <v>8</v>
      </c>
      <c r="B61" s="46">
        <f t="shared" si="7"/>
        <v>116</v>
      </c>
      <c r="C61" s="48">
        <f t="shared" si="8"/>
        <v>40.25068832546998</v>
      </c>
      <c r="E61" s="46">
        <v>6</v>
      </c>
      <c r="F61" s="47">
        <f t="shared" si="9"/>
        <v>445157.94669990125</v>
      </c>
      <c r="G61" s="47">
        <f t="shared" si="10"/>
        <v>1100412.2898303997</v>
      </c>
      <c r="I61" s="37">
        <v>9</v>
      </c>
      <c r="J61" s="40">
        <f t="shared" si="5"/>
        <v>59.059135429063467</v>
      </c>
      <c r="K61" s="40">
        <f t="shared" si="6"/>
        <v>-99.839964555139645</v>
      </c>
    </row>
    <row r="62" spans="1:11" x14ac:dyDescent="0.3">
      <c r="A62" s="46">
        <v>9</v>
      </c>
      <c r="B62" s="46">
        <f t="shared" si="7"/>
        <v>116</v>
      </c>
      <c r="C62" s="48">
        <f t="shared" si="8"/>
        <v>45.282024366153728</v>
      </c>
      <c r="E62" s="46">
        <v>7</v>
      </c>
      <c r="F62" s="47">
        <f t="shared" si="9"/>
        <v>445151.12766288506</v>
      </c>
      <c r="G62" s="47">
        <f t="shared" si="10"/>
        <v>1100406.1657771345</v>
      </c>
      <c r="I62" s="37">
        <v>10</v>
      </c>
      <c r="J62" s="40">
        <f t="shared" si="5"/>
        <v>50.992443198543221</v>
      </c>
      <c r="K62" s="40">
        <f t="shared" si="6"/>
        <v>-104.19103002007104</v>
      </c>
    </row>
    <row r="63" spans="1:11" x14ac:dyDescent="0.3">
      <c r="A63" s="46">
        <v>10</v>
      </c>
      <c r="B63" s="46">
        <f t="shared" si="7"/>
        <v>116</v>
      </c>
      <c r="C63" s="48">
        <f t="shared" si="8"/>
        <v>50.313360406837475</v>
      </c>
      <c r="E63" s="46">
        <v>8</v>
      </c>
      <c r="F63" s="47">
        <f t="shared" si="9"/>
        <v>445143.84641811094</v>
      </c>
      <c r="G63" s="47">
        <f t="shared" si="10"/>
        <v>1100400.5992010988</v>
      </c>
      <c r="I63" s="37">
        <v>11</v>
      </c>
      <c r="J63" s="40">
        <f t="shared" si="5"/>
        <v>42.60741467127</v>
      </c>
      <c r="K63" s="40">
        <f t="shared" si="6"/>
        <v>-107.89165034899803</v>
      </c>
    </row>
    <row r="64" spans="1:11" x14ac:dyDescent="0.3">
      <c r="A64" s="46">
        <v>11</v>
      </c>
      <c r="B64" s="46">
        <f t="shared" si="7"/>
        <v>116</v>
      </c>
      <c r="C64" s="48">
        <f t="shared" si="8"/>
        <v>55.344696447521223</v>
      </c>
      <c r="E64" s="46">
        <v>9</v>
      </c>
      <c r="F64" s="47">
        <f t="shared" si="9"/>
        <v>445136.14842102979</v>
      </c>
      <c r="G64" s="47">
        <f t="shared" si="10"/>
        <v>1100395.6248533868</v>
      </c>
      <c r="I64" s="37">
        <v>12</v>
      </c>
      <c r="J64" s="40">
        <f t="shared" si="5"/>
        <v>33.956396013893354</v>
      </c>
      <c r="K64" s="40">
        <f t="shared" si="6"/>
        <v>-110.91872326053726</v>
      </c>
    </row>
    <row r="65" spans="1:11" x14ac:dyDescent="0.3">
      <c r="A65" s="46">
        <v>12</v>
      </c>
      <c r="B65" s="46">
        <f t="shared" si="7"/>
        <v>116</v>
      </c>
      <c r="C65" s="48">
        <f t="shared" si="8"/>
        <v>60.37603248820497</v>
      </c>
      <c r="E65" s="46">
        <v>10</v>
      </c>
      <c r="F65" s="47">
        <f t="shared" si="9"/>
        <v>445128.08172879933</v>
      </c>
      <c r="G65" s="47">
        <f t="shared" si="10"/>
        <v>1100391.2737879218</v>
      </c>
      <c r="I65" s="37">
        <v>13</v>
      </c>
      <c r="J65" s="40">
        <f t="shared" si="5"/>
        <v>25.093393919754195</v>
      </c>
      <c r="K65" s="40">
        <f t="shared" si="6"/>
        <v>-113.25335130400354</v>
      </c>
    </row>
    <row r="66" spans="1:11" x14ac:dyDescent="0.3">
      <c r="A66" s="46">
        <v>13</v>
      </c>
      <c r="B66" s="46">
        <f t="shared" si="7"/>
        <v>116</v>
      </c>
      <c r="C66" s="48">
        <f t="shared" si="8"/>
        <v>65.407368528888725</v>
      </c>
      <c r="E66" s="46">
        <v>11</v>
      </c>
      <c r="F66" s="47">
        <f t="shared" si="9"/>
        <v>445119.69670027203</v>
      </c>
      <c r="G66" s="47">
        <f t="shared" si="10"/>
        <v>1100387.573167593</v>
      </c>
      <c r="I66" s="37">
        <v>14</v>
      </c>
      <c r="J66" s="40">
        <f t="shared" si="5"/>
        <v>16.073738455187694</v>
      </c>
      <c r="K66" s="40">
        <f t="shared" si="6"/>
        <v>-114.88095983266427</v>
      </c>
    </row>
    <row r="67" spans="1:11" x14ac:dyDescent="0.3">
      <c r="A67" s="46">
        <v>14</v>
      </c>
      <c r="B67" s="46">
        <f t="shared" si="7"/>
        <v>116</v>
      </c>
      <c r="C67" s="48">
        <f t="shared" si="8"/>
        <v>70.438704569572479</v>
      </c>
      <c r="E67" s="46">
        <v>12</v>
      </c>
      <c r="F67" s="47">
        <f t="shared" si="9"/>
        <v>445111.04568161466</v>
      </c>
      <c r="G67" s="47">
        <f t="shared" si="10"/>
        <v>1100384.5460946814</v>
      </c>
      <c r="I67" s="37">
        <v>15</v>
      </c>
      <c r="J67" s="40">
        <f t="shared" si="5"/>
        <v>6.9537376442552512</v>
      </c>
      <c r="K67" s="40">
        <f t="shared" si="6"/>
        <v>-115.79138799053609</v>
      </c>
    </row>
    <row r="68" spans="1:11" x14ac:dyDescent="0.3">
      <c r="A68" s="46">
        <v>15</v>
      </c>
      <c r="B68" s="46">
        <f t="shared" si="7"/>
        <v>116</v>
      </c>
      <c r="C68" s="48">
        <f t="shared" si="8"/>
        <v>75.470040610256234</v>
      </c>
      <c r="E68" s="46">
        <v>13</v>
      </c>
      <c r="F68" s="47">
        <f t="shared" si="9"/>
        <v>445102.18267952051</v>
      </c>
      <c r="G68" s="47">
        <f t="shared" si="10"/>
        <v>1100382.2114666379</v>
      </c>
      <c r="I68" s="37">
        <v>16</v>
      </c>
      <c r="J68" s="40">
        <f t="shared" si="5"/>
        <v>-2.2096740517302087</v>
      </c>
      <c r="K68" s="40">
        <f t="shared" si="6"/>
        <v>-115.97895214471077</v>
      </c>
    </row>
    <row r="69" spans="1:11" x14ac:dyDescent="0.3">
      <c r="A69" s="46">
        <v>16</v>
      </c>
      <c r="B69" s="46">
        <f t="shared" si="7"/>
        <v>116</v>
      </c>
      <c r="C69" s="48">
        <f t="shared" si="8"/>
        <v>80.501376650939989</v>
      </c>
      <c r="E69" s="46">
        <v>14</v>
      </c>
      <c r="F69" s="47">
        <f t="shared" si="9"/>
        <v>445093.16302405595</v>
      </c>
      <c r="G69" s="47">
        <f t="shared" si="10"/>
        <v>1100380.5838581093</v>
      </c>
      <c r="I69" s="37">
        <v>17</v>
      </c>
      <c r="J69" s="40">
        <f t="shared" si="5"/>
        <v>-11.359291165410152</v>
      </c>
      <c r="K69" s="40">
        <f t="shared" si="6"/>
        <v>-115.44248136721349</v>
      </c>
    </row>
    <row r="70" spans="1:11" x14ac:dyDescent="0.3">
      <c r="A70" s="46">
        <v>17</v>
      </c>
      <c r="B70" s="46">
        <f t="shared" si="7"/>
        <v>116</v>
      </c>
      <c r="C70" s="48">
        <f t="shared" si="8"/>
        <v>85.532712691623743</v>
      </c>
      <c r="E70" s="46">
        <v>15</v>
      </c>
      <c r="F70" s="47">
        <f t="shared" si="9"/>
        <v>445084.043023245</v>
      </c>
      <c r="G70" s="47">
        <f t="shared" si="10"/>
        <v>1100379.6734299513</v>
      </c>
      <c r="I70" s="37">
        <v>18</v>
      </c>
      <c r="J70" s="40">
        <f t="shared" si="5"/>
        <v>-20.437994346426507</v>
      </c>
      <c r="K70" s="40">
        <f t="shared" si="6"/>
        <v>-114.18532474488758</v>
      </c>
    </row>
    <row r="71" spans="1:11" x14ac:dyDescent="0.3">
      <c r="A71" s="46">
        <v>18</v>
      </c>
      <c r="B71" s="46">
        <f t="shared" si="7"/>
        <v>116</v>
      </c>
      <c r="C71" s="48">
        <f t="shared" si="8"/>
        <v>90.564048732307498</v>
      </c>
      <c r="E71" s="46">
        <v>16</v>
      </c>
      <c r="F71" s="47">
        <f t="shared" si="9"/>
        <v>445074.87961154903</v>
      </c>
      <c r="G71" s="47">
        <f t="shared" si="10"/>
        <v>1100379.4858657971</v>
      </c>
      <c r="I71" s="37">
        <v>19</v>
      </c>
      <c r="J71" s="40">
        <f t="shared" si="5"/>
        <v>-29.389106946854856</v>
      </c>
      <c r="K71" s="40">
        <f t="shared" si="6"/>
        <v>-112.21533047167097</v>
      </c>
    </row>
    <row r="72" spans="1:11" x14ac:dyDescent="0.3">
      <c r="A72" s="46">
        <v>19</v>
      </c>
      <c r="B72" s="46">
        <f t="shared" si="7"/>
        <v>116</v>
      </c>
      <c r="C72" s="48">
        <f t="shared" si="8"/>
        <v>95.595384772991252</v>
      </c>
      <c r="E72" s="46">
        <v>17</v>
      </c>
      <c r="F72" s="47">
        <f t="shared" si="9"/>
        <v>445065.72999443533</v>
      </c>
      <c r="G72" s="47">
        <f t="shared" si="10"/>
        <v>1100380.0223365747</v>
      </c>
      <c r="I72" s="37">
        <v>20</v>
      </c>
      <c r="J72" s="40">
        <f t="shared" si="5"/>
        <v>-38.156748842929801</v>
      </c>
      <c r="K72" s="40">
        <f t="shared" si="6"/>
        <v>-109.54479685378752</v>
      </c>
    </row>
    <row r="73" spans="1:11" x14ac:dyDescent="0.3">
      <c r="A73" s="46">
        <v>20</v>
      </c>
      <c r="B73" s="46">
        <f t="shared" si="7"/>
        <v>116</v>
      </c>
      <c r="C73" s="48">
        <f t="shared" si="8"/>
        <v>100.62672081367501</v>
      </c>
      <c r="E73" s="46">
        <v>18</v>
      </c>
      <c r="F73" s="47">
        <f t="shared" si="9"/>
        <v>445056.65129125433</v>
      </c>
      <c r="G73" s="47">
        <f t="shared" si="10"/>
        <v>1100381.2794931971</v>
      </c>
    </row>
    <row r="74" spans="1:11" x14ac:dyDescent="0.3">
      <c r="E74" s="46">
        <v>19</v>
      </c>
      <c r="F74" s="47">
        <f t="shared" si="9"/>
        <v>445047.70017865387</v>
      </c>
      <c r="G74" s="47">
        <f t="shared" si="10"/>
        <v>1100383.2494874701</v>
      </c>
    </row>
    <row r="75" spans="1:11" x14ac:dyDescent="0.3">
      <c r="E75" s="46">
        <v>20</v>
      </c>
      <c r="F75" s="47">
        <f t="shared" si="9"/>
        <v>445038.93253675784</v>
      </c>
      <c r="G75" s="47">
        <f t="shared" si="10"/>
        <v>1100385.9200210881</v>
      </c>
    </row>
    <row r="76" spans="1:11" x14ac:dyDescent="0.3">
      <c r="E76" s="38" t="s">
        <v>23</v>
      </c>
      <c r="F76" s="2" t="b">
        <f>F75=I50</f>
        <v>1</v>
      </c>
      <c r="G76" s="40" t="b">
        <f>G75=J50</f>
        <v>1</v>
      </c>
    </row>
    <row r="79" spans="1:11" x14ac:dyDescent="0.3">
      <c r="E79" t="s">
        <v>5</v>
      </c>
      <c r="F79" s="4" t="s">
        <v>6</v>
      </c>
      <c r="G79" s="4" t="s">
        <v>7</v>
      </c>
    </row>
    <row r="80" spans="1:11" x14ac:dyDescent="0.3">
      <c r="F80" s="45">
        <f t="shared" ref="F80:G98" si="11">-F56</f>
        <v>-445183.73413056909</v>
      </c>
      <c r="G80" s="45">
        <f t="shared" si="11"/>
        <v>-1100449.8262701815</v>
      </c>
    </row>
    <row r="81" spans="6:7" x14ac:dyDescent="0.3">
      <c r="F81" s="45">
        <f t="shared" si="11"/>
        <v>-445179.79809469311</v>
      </c>
      <c r="G81" s="45">
        <f t="shared" si="11"/>
        <v>-1100441.5491380813</v>
      </c>
    </row>
    <row r="82" spans="6:7" x14ac:dyDescent="0.3">
      <c r="F82" s="45">
        <f t="shared" si="11"/>
        <v>-445175.22086690943</v>
      </c>
      <c r="G82" s="45">
        <f t="shared" si="11"/>
        <v>-1100433.6085914981</v>
      </c>
    </row>
    <row r="83" spans="6:7" x14ac:dyDescent="0.3">
      <c r="F83" s="45">
        <f t="shared" si="11"/>
        <v>-445170.03102199605</v>
      </c>
      <c r="G83" s="45">
        <f t="shared" si="11"/>
        <v>-1100426.0542017811</v>
      </c>
    </row>
    <row r="84" spans="6:7" x14ac:dyDescent="0.3">
      <c r="F84" s="45">
        <f t="shared" si="11"/>
        <v>-445164.26095918525</v>
      </c>
      <c r="G84" s="45">
        <f t="shared" si="11"/>
        <v>-1100418.9331295737</v>
      </c>
    </row>
    <row r="85" spans="6:7" x14ac:dyDescent="0.3">
      <c r="F85" s="45">
        <f t="shared" si="11"/>
        <v>-445157.94669990125</v>
      </c>
      <c r="G85" s="45">
        <f t="shared" si="11"/>
        <v>-1100412.2898303997</v>
      </c>
    </row>
    <row r="86" spans="6:7" x14ac:dyDescent="0.3">
      <c r="F86" s="45">
        <f t="shared" si="11"/>
        <v>-445151.12766288506</v>
      </c>
      <c r="G86" s="45">
        <f t="shared" si="11"/>
        <v>-1100406.1657771345</v>
      </c>
    </row>
    <row r="87" spans="6:7" x14ac:dyDescent="0.3">
      <c r="F87" s="45">
        <f t="shared" si="11"/>
        <v>-445143.84641811094</v>
      </c>
      <c r="G87" s="45">
        <f t="shared" si="11"/>
        <v>-1100400.5992010988</v>
      </c>
    </row>
    <row r="88" spans="6:7" x14ac:dyDescent="0.3">
      <c r="F88" s="45">
        <f t="shared" si="11"/>
        <v>-445136.14842102979</v>
      </c>
      <c r="G88" s="45">
        <f t="shared" si="11"/>
        <v>-1100395.6248533868</v>
      </c>
    </row>
    <row r="89" spans="6:7" x14ac:dyDescent="0.3">
      <c r="F89" s="45">
        <f t="shared" si="11"/>
        <v>-445128.08172879933</v>
      </c>
      <c r="G89" s="45">
        <f t="shared" si="11"/>
        <v>-1100391.2737879218</v>
      </c>
    </row>
    <row r="90" spans="6:7" x14ac:dyDescent="0.3">
      <c r="F90" s="45">
        <f t="shared" si="11"/>
        <v>-445119.69670027203</v>
      </c>
      <c r="G90" s="45">
        <f t="shared" si="11"/>
        <v>-1100387.573167593</v>
      </c>
    </row>
    <row r="91" spans="6:7" x14ac:dyDescent="0.3">
      <c r="F91" s="45">
        <f t="shared" si="11"/>
        <v>-445111.04568161466</v>
      </c>
      <c r="G91" s="45">
        <f t="shared" si="11"/>
        <v>-1100384.5460946814</v>
      </c>
    </row>
    <row r="92" spans="6:7" x14ac:dyDescent="0.3">
      <c r="F92" s="45">
        <f t="shared" si="11"/>
        <v>-445102.18267952051</v>
      </c>
      <c r="G92" s="45">
        <f t="shared" si="11"/>
        <v>-1100382.2114666379</v>
      </c>
    </row>
    <row r="93" spans="6:7" x14ac:dyDescent="0.3">
      <c r="F93" s="45">
        <f t="shared" si="11"/>
        <v>-445093.16302405595</v>
      </c>
      <c r="G93" s="45">
        <f t="shared" si="11"/>
        <v>-1100380.5838581093</v>
      </c>
    </row>
    <row r="94" spans="6:7" x14ac:dyDescent="0.3">
      <c r="F94" s="45">
        <f t="shared" si="11"/>
        <v>-445084.043023245</v>
      </c>
      <c r="G94" s="45">
        <f t="shared" si="11"/>
        <v>-1100379.6734299513</v>
      </c>
    </row>
    <row r="95" spans="6:7" x14ac:dyDescent="0.3">
      <c r="F95" s="45">
        <f t="shared" si="11"/>
        <v>-445074.87961154903</v>
      </c>
      <c r="G95" s="45">
        <f t="shared" si="11"/>
        <v>-1100379.4858657971</v>
      </c>
    </row>
    <row r="96" spans="6:7" x14ac:dyDescent="0.3">
      <c r="F96" s="45">
        <f t="shared" si="11"/>
        <v>-445065.72999443533</v>
      </c>
      <c r="G96" s="45">
        <f t="shared" si="11"/>
        <v>-1100380.0223365747</v>
      </c>
    </row>
    <row r="97" spans="6:7" x14ac:dyDescent="0.3">
      <c r="F97" s="45">
        <f t="shared" si="11"/>
        <v>-445056.65129125433</v>
      </c>
      <c r="G97" s="45">
        <f t="shared" si="11"/>
        <v>-1100381.2794931971</v>
      </c>
    </row>
    <row r="98" spans="6:7" x14ac:dyDescent="0.3">
      <c r="F98" s="45">
        <f t="shared" si="11"/>
        <v>-445047.70017865387</v>
      </c>
      <c r="G98" s="45">
        <f t="shared" si="11"/>
        <v>-1100383.2494874701</v>
      </c>
    </row>
  </sheetData>
  <mergeCells count="13">
    <mergeCell ref="A3:C3"/>
    <mergeCell ref="L29:N29"/>
    <mergeCell ref="A48:B49"/>
    <mergeCell ref="A52:A53"/>
    <mergeCell ref="B52:C52"/>
    <mergeCell ref="E52:E54"/>
    <mergeCell ref="F52:G53"/>
    <mergeCell ref="E51:G51"/>
    <mergeCell ref="J19:N19"/>
    <mergeCell ref="B22:F22"/>
    <mergeCell ref="E34:F34"/>
    <mergeCell ref="B39:F39"/>
    <mergeCell ref="B41:F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B5AD-0A63-4C58-B1E0-A84E13592AEF}">
  <dimension ref="A1:F15"/>
  <sheetViews>
    <sheetView workbookViewId="0">
      <selection activeCell="J15" sqref="J15"/>
    </sheetView>
  </sheetViews>
  <sheetFormatPr defaultRowHeight="14.4" x14ac:dyDescent="0.3"/>
  <sheetData>
    <row r="1" spans="1:6" x14ac:dyDescent="0.3">
      <c r="A1" s="1" t="s">
        <v>124</v>
      </c>
      <c r="B1" s="1">
        <v>1.2267999999999999</v>
      </c>
      <c r="C1" s="1">
        <f>B1*0.9</f>
        <v>1.10412</v>
      </c>
      <c r="E1" s="34"/>
      <c r="F1" s="34"/>
    </row>
    <row r="2" spans="1:6" x14ac:dyDescent="0.3">
      <c r="A2" s="1" t="s">
        <v>125</v>
      </c>
      <c r="B2" s="1">
        <v>2</v>
      </c>
      <c r="C2" s="1" t="s">
        <v>73</v>
      </c>
      <c r="E2" s="34"/>
      <c r="F2" s="34"/>
    </row>
    <row r="3" spans="1:6" x14ac:dyDescent="0.3">
      <c r="A3" s="1"/>
      <c r="B3" s="1">
        <f>C1/B2</f>
        <v>0.55206</v>
      </c>
      <c r="C3" s="1"/>
      <c r="E3" s="34"/>
      <c r="F3" s="34"/>
    </row>
    <row r="4" spans="1:6" x14ac:dyDescent="0.3">
      <c r="A4" s="1" t="s">
        <v>126</v>
      </c>
      <c r="B4" s="2">
        <f>1/TAN(RADIANS(B3))</f>
        <v>103.7822092176646</v>
      </c>
      <c r="C4" s="1" t="s">
        <v>73</v>
      </c>
      <c r="E4" s="34"/>
      <c r="F4" s="34"/>
    </row>
    <row r="15" spans="1:6" x14ac:dyDescent="0.3">
      <c r="D15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706C-F031-4641-9730-F3A036753979}">
  <dimension ref="A1:K32"/>
  <sheetViews>
    <sheetView tabSelected="1" topLeftCell="A4" workbookViewId="0">
      <selection activeCell="H35" sqref="H35"/>
    </sheetView>
  </sheetViews>
  <sheetFormatPr defaultRowHeight="14.4" x14ac:dyDescent="0.3"/>
  <cols>
    <col min="1" max="1" width="10.77734375" customWidth="1"/>
    <col min="2" max="2" width="11.33203125" customWidth="1"/>
    <col min="3" max="3" width="12.44140625" customWidth="1"/>
    <col min="4" max="4" width="10.44140625" bestFit="1" customWidth="1"/>
    <col min="6" max="6" width="11.5546875" customWidth="1"/>
    <col min="7" max="7" width="12.5546875" customWidth="1"/>
    <col min="8" max="8" width="12.109375" customWidth="1"/>
    <col min="9" max="9" width="13.33203125" customWidth="1"/>
    <col min="10" max="10" width="14.109375" customWidth="1"/>
    <col min="11" max="11" width="12.44140625" bestFit="1" customWidth="1"/>
    <col min="13" max="13" width="11.21875" customWidth="1"/>
    <col min="14" max="14" width="12.5546875" customWidth="1"/>
    <col min="15" max="15" width="11.44140625" bestFit="1" customWidth="1"/>
  </cols>
  <sheetData>
    <row r="1" spans="1:11" x14ac:dyDescent="0.3">
      <c r="A1" s="52"/>
      <c r="B1" s="60" t="s">
        <v>131</v>
      </c>
      <c r="C1" s="60" t="s">
        <v>133</v>
      </c>
      <c r="D1" s="60" t="s">
        <v>134</v>
      </c>
      <c r="E1" s="108" t="s">
        <v>148</v>
      </c>
      <c r="F1" s="109" t="s">
        <v>149</v>
      </c>
      <c r="G1" s="110" t="s">
        <v>157</v>
      </c>
      <c r="H1" s="109" t="s">
        <v>158</v>
      </c>
      <c r="I1" s="107" t="s">
        <v>135</v>
      </c>
      <c r="J1" s="107"/>
    </row>
    <row r="2" spans="1:11" x14ac:dyDescent="0.3">
      <c r="A2" s="52"/>
      <c r="B2" s="60" t="s">
        <v>132</v>
      </c>
      <c r="C2" s="60"/>
      <c r="D2" s="60"/>
      <c r="E2" s="108"/>
      <c r="F2" s="109"/>
      <c r="G2" s="108"/>
      <c r="H2" s="109"/>
      <c r="I2" s="60" t="s">
        <v>3</v>
      </c>
      <c r="J2" s="60" t="s">
        <v>4</v>
      </c>
    </row>
    <row r="3" spans="1:11" x14ac:dyDescent="0.3">
      <c r="A3" s="53" t="s">
        <v>127</v>
      </c>
      <c r="B3" s="1"/>
      <c r="C3" s="50">
        <f>K31</f>
        <v>38.506630690591798</v>
      </c>
      <c r="D3" s="61"/>
      <c r="E3" s="61"/>
      <c r="F3" s="61"/>
      <c r="G3" s="1"/>
      <c r="H3" s="1"/>
      <c r="I3" s="61"/>
      <c r="J3" s="61"/>
    </row>
    <row r="4" spans="1:11" x14ac:dyDescent="0.3">
      <c r="A4" s="60"/>
      <c r="B4" s="61"/>
      <c r="C4" s="61"/>
      <c r="D4" s="61"/>
      <c r="E4" s="61"/>
      <c r="F4" s="61"/>
      <c r="G4" s="1"/>
      <c r="H4" s="1"/>
      <c r="I4" s="61"/>
      <c r="J4" s="61"/>
    </row>
    <row r="5" spans="1:11" x14ac:dyDescent="0.3">
      <c r="A5" s="60" t="s">
        <v>128</v>
      </c>
      <c r="B5" s="61">
        <v>269.3082</v>
      </c>
      <c r="C5" s="50">
        <f>C3+B5+$B$28</f>
        <v>307.81563004585456</v>
      </c>
      <c r="D5" s="61"/>
      <c r="E5" s="1"/>
      <c r="F5" s="1"/>
      <c r="G5" s="1"/>
      <c r="H5" s="1"/>
      <c r="I5" s="49">
        <v>497740.23</v>
      </c>
      <c r="J5" s="49">
        <v>1306872.1299999999</v>
      </c>
    </row>
    <row r="6" spans="1:11" x14ac:dyDescent="0.3">
      <c r="A6" s="60"/>
      <c r="B6" s="61"/>
      <c r="C6" s="61"/>
      <c r="D6" s="61">
        <v>195.43100000000001</v>
      </c>
      <c r="E6" s="62">
        <f>D6*(SIN(RADIANS(C5*0.9)))</f>
        <v>-193.96009148590218</v>
      </c>
      <c r="F6" s="62">
        <f>D6*(COS(RADIANS(C5*0.9)))</f>
        <v>23.932377060803141</v>
      </c>
      <c r="G6" s="63">
        <f>$F$25*ABS(E6)</f>
        <v>-5.3312869515680312E-4</v>
      </c>
      <c r="H6" s="7">
        <f>$F$26*ABS(F6)</f>
        <v>-8.4987568042089361E-4</v>
      </c>
      <c r="I6" s="1"/>
      <c r="J6" s="1"/>
    </row>
    <row r="7" spans="1:11" x14ac:dyDescent="0.3">
      <c r="A7" s="60">
        <v>1</v>
      </c>
      <c r="B7" s="61">
        <v>175.80439999999999</v>
      </c>
      <c r="C7" s="50">
        <f>C5+B7+$B$28-200</f>
        <v>283.62082940111731</v>
      </c>
      <c r="D7" s="1"/>
      <c r="E7" s="62"/>
      <c r="F7" s="62"/>
      <c r="G7" s="63"/>
      <c r="H7" s="7"/>
      <c r="I7" s="49">
        <f>I5+E6+G6</f>
        <v>497546.26937538543</v>
      </c>
      <c r="J7" s="49">
        <f>J5+F6+H6</f>
        <v>1306896.0615271851</v>
      </c>
    </row>
    <row r="8" spans="1:11" x14ac:dyDescent="0.3">
      <c r="A8" s="60"/>
      <c r="B8" s="61"/>
      <c r="C8" s="61"/>
      <c r="D8" s="61">
        <v>351.74</v>
      </c>
      <c r="E8" s="62">
        <f t="shared" ref="E8" si="0">D8*(SIN(RADIANS(C7*0.9)))</f>
        <v>-340.16240536768316</v>
      </c>
      <c r="F8" s="62">
        <f t="shared" ref="F8" si="1">D8*(COS(RADIANS(C7*0.9)))</f>
        <v>-89.501762968513702</v>
      </c>
      <c r="G8" s="63">
        <f>$F$25*ABS(E8)</f>
        <v>-9.3498790357218265E-4</v>
      </c>
      <c r="H8" s="7">
        <f>$F$26*ABS(F8)</f>
        <v>-3.1783458662915814E-3</v>
      </c>
      <c r="I8" s="61"/>
      <c r="J8" s="61"/>
    </row>
    <row r="9" spans="1:11" x14ac:dyDescent="0.3">
      <c r="A9" s="60">
        <v>2</v>
      </c>
      <c r="B9" s="61">
        <v>281.90949999999998</v>
      </c>
      <c r="C9" s="50">
        <f>C7+B9+$B$28-200</f>
        <v>365.5311287563801</v>
      </c>
      <c r="D9" s="1"/>
      <c r="E9" s="62"/>
      <c r="F9" s="62"/>
      <c r="G9" s="63"/>
      <c r="H9" s="7"/>
      <c r="I9" s="49">
        <f t="shared" ref="I9:J9" si="2">I7+E8+G8</f>
        <v>497206.10603502981</v>
      </c>
      <c r="J9" s="49">
        <f t="shared" si="2"/>
        <v>1306806.5565858707</v>
      </c>
    </row>
    <row r="10" spans="1:11" x14ac:dyDescent="0.3">
      <c r="A10" s="60"/>
      <c r="B10" s="61"/>
      <c r="C10" s="61"/>
      <c r="D10" s="61">
        <v>296.36799999999999</v>
      </c>
      <c r="E10" s="62">
        <f t="shared" ref="E10" si="3">D10*(SIN(RADIANS(C9*0.9)))</f>
        <v>-152.7382657244423</v>
      </c>
      <c r="F10" s="62">
        <f t="shared" ref="F10" si="4">D10*(COS(RADIANS(C9*0.9)))</f>
        <v>253.97837232230947</v>
      </c>
      <c r="G10" s="63">
        <f>$F$25*ABS(E10)</f>
        <v>-4.198242622096494E-4</v>
      </c>
      <c r="H10" s="7">
        <f>$F$26*ABS(F10)</f>
        <v>-9.0191643496682471E-3</v>
      </c>
      <c r="I10" s="61"/>
      <c r="J10" s="61"/>
      <c r="K10" s="18"/>
    </row>
    <row r="11" spans="1:11" x14ac:dyDescent="0.3">
      <c r="A11" s="60">
        <v>3</v>
      </c>
      <c r="B11" s="61">
        <v>311.1454</v>
      </c>
      <c r="C11" s="50">
        <f>C9+B11+$B$28-200-400</f>
        <v>76.677328111642851</v>
      </c>
      <c r="D11" s="1"/>
      <c r="E11" s="62"/>
      <c r="F11" s="62"/>
      <c r="G11" s="63"/>
      <c r="H11" s="7"/>
      <c r="I11" s="49">
        <f t="shared" ref="I11:J11" si="5">I9+E10+G10</f>
        <v>497053.36734948109</v>
      </c>
      <c r="J11" s="49">
        <f t="shared" si="5"/>
        <v>1307060.5259390287</v>
      </c>
    </row>
    <row r="12" spans="1:11" x14ac:dyDescent="0.3">
      <c r="A12" s="60"/>
      <c r="B12" s="61"/>
      <c r="C12" s="61"/>
      <c r="D12" s="61">
        <v>242.75899999999999</v>
      </c>
      <c r="E12" s="62">
        <f t="shared" ref="E12" si="6">D12*(SIN(RADIANS(C11*0.9)))</f>
        <v>226.64961693698174</v>
      </c>
      <c r="F12" s="62">
        <f t="shared" ref="F12" si="7">D12*(COS(RADIANS(C11*0.9)))</f>
        <v>86.959089365743836</v>
      </c>
      <c r="G12" s="63">
        <f>$F$25*ABS(E12)</f>
        <v>-6.2298080811219356E-4</v>
      </c>
      <c r="H12" s="7">
        <f>$F$26*ABS(F12)</f>
        <v>-3.0880515987078759E-3</v>
      </c>
      <c r="I12" s="61"/>
      <c r="J12" s="61"/>
      <c r="K12" s="18"/>
    </row>
    <row r="13" spans="1:11" x14ac:dyDescent="0.3">
      <c r="A13" s="60">
        <v>4</v>
      </c>
      <c r="B13" s="61">
        <v>196.55779999999999</v>
      </c>
      <c r="C13" s="50">
        <f>C11+B13+$B$28-200</f>
        <v>73.235927466905594</v>
      </c>
      <c r="D13" s="1"/>
      <c r="E13" s="62"/>
      <c r="F13" s="62"/>
      <c r="G13" s="63"/>
      <c r="H13" s="7"/>
      <c r="I13" s="49">
        <f t="shared" ref="I13:J13" si="8">I11+E12+G12</f>
        <v>497280.01634343725</v>
      </c>
      <c r="J13" s="49">
        <f t="shared" si="8"/>
        <v>1307147.4819403428</v>
      </c>
    </row>
    <row r="14" spans="1:11" x14ac:dyDescent="0.3">
      <c r="A14" s="60"/>
      <c r="B14" s="61"/>
      <c r="C14" s="61"/>
      <c r="D14" s="61">
        <v>148.072</v>
      </c>
      <c r="E14" s="62">
        <f t="shared" ref="E14" si="9">D14*(SIN(RADIANS(C13*0.9)))</f>
        <v>135.17819557409922</v>
      </c>
      <c r="F14" s="62">
        <f t="shared" ref="F14" si="10">D14*(COS(RADIANS(C13*0.9)))</f>
        <v>60.433207968223755</v>
      </c>
      <c r="G14" s="63">
        <f>$F$25*ABS(E14)</f>
        <v>-3.7155774916361494E-4</v>
      </c>
      <c r="H14" s="7">
        <f>$F$26*ABS(F14)</f>
        <v>-2.146076572816956E-3</v>
      </c>
      <c r="I14" s="61"/>
      <c r="J14" s="61"/>
      <c r="K14" s="18"/>
    </row>
    <row r="15" spans="1:11" x14ac:dyDescent="0.3">
      <c r="A15" s="60">
        <v>5</v>
      </c>
      <c r="B15" s="61">
        <v>101.8411</v>
      </c>
      <c r="C15" s="50">
        <f>C13+B15+$B$28+200</f>
        <v>375.07782682216839</v>
      </c>
      <c r="D15" s="1"/>
      <c r="E15" s="62"/>
      <c r="F15" s="62"/>
      <c r="G15" s="63"/>
      <c r="H15" s="7"/>
      <c r="I15" s="49">
        <f>I13+G14+E14</f>
        <v>497415.19416745356</v>
      </c>
      <c r="J15" s="49">
        <f>J13+H14+F14</f>
        <v>1307207.9130022344</v>
      </c>
    </row>
    <row r="16" spans="1:11" x14ac:dyDescent="0.3">
      <c r="A16" s="60"/>
      <c r="B16" s="61"/>
      <c r="C16" s="61"/>
      <c r="D16" s="61">
        <v>343.84100000000001</v>
      </c>
      <c r="E16" s="62">
        <f t="shared" ref="E16" si="11">D16*(SIN(RADIANS(C15*0.9)))</f>
        <v>-131.19380684756339</v>
      </c>
      <c r="F16" s="62">
        <f t="shared" ref="F16" si="12">D16*(COS(RADIANS(C15*0.9)))</f>
        <v>317.82828433895594</v>
      </c>
      <c r="G16" s="63">
        <f>$F$25*ABS(E16)</f>
        <v>-3.6060605313943607E-4</v>
      </c>
      <c r="H16" s="7">
        <f>$F$26*ABS(F16)</f>
        <v>-1.1286573361405611E-2</v>
      </c>
      <c r="I16" s="56">
        <f>I15+G16+E16</f>
        <v>497283.99999999994</v>
      </c>
      <c r="J16" s="56">
        <f>J15+H16+F16</f>
        <v>1307525.7300000002</v>
      </c>
      <c r="K16" s="18"/>
    </row>
    <row r="17" spans="1:11" x14ac:dyDescent="0.3">
      <c r="A17" s="60" t="s">
        <v>129</v>
      </c>
      <c r="B17" s="61">
        <v>210.2921</v>
      </c>
      <c r="C17" s="55">
        <f>C15+B17+$B$28-200</f>
        <v>385.37072617743115</v>
      </c>
      <c r="D17" s="61">
        <f>SUM(D6:D16)</f>
        <v>1578.2109999999998</v>
      </c>
      <c r="E17" s="62"/>
      <c r="F17" s="62"/>
      <c r="G17" s="63"/>
      <c r="H17" s="7"/>
      <c r="I17" s="56">
        <v>497284</v>
      </c>
      <c r="J17" s="56">
        <v>1307525.73</v>
      </c>
    </row>
    <row r="18" spans="1:11" x14ac:dyDescent="0.3">
      <c r="A18" s="60"/>
      <c r="B18" s="61"/>
      <c r="C18" s="61"/>
      <c r="D18" s="58" t="s">
        <v>140</v>
      </c>
      <c r="E18" s="62">
        <f>SUM(E6:E17)</f>
        <v>-456.22675691451002</v>
      </c>
      <c r="F18" s="62">
        <f>SUM(F6:F17)</f>
        <v>653.62956808752244</v>
      </c>
      <c r="G18" s="65">
        <f>SUM(G6:G16)</f>
        <v>-3.2430854713538801E-3</v>
      </c>
      <c r="H18" s="8">
        <f>SUM(H6:H16)</f>
        <v>-2.9568087429311166E-2</v>
      </c>
      <c r="I18" s="49"/>
      <c r="J18" s="49"/>
      <c r="K18" s="18"/>
    </row>
    <row r="19" spans="1:11" x14ac:dyDescent="0.3">
      <c r="A19" s="53" t="s">
        <v>130</v>
      </c>
      <c r="B19" s="55">
        <f>K32</f>
        <v>385.37072617743155</v>
      </c>
      <c r="C19" s="50"/>
      <c r="D19" s="58" t="s">
        <v>141</v>
      </c>
      <c r="E19" s="62">
        <f>I17-I5</f>
        <v>-456.22999999998137</v>
      </c>
      <c r="F19" s="62">
        <f>J17-J5</f>
        <v>653.60000000009313</v>
      </c>
      <c r="G19" s="63"/>
      <c r="H19" s="7"/>
      <c r="I19" s="61"/>
      <c r="J19" s="61"/>
    </row>
    <row r="20" spans="1:11" x14ac:dyDescent="0.3">
      <c r="A20" s="61"/>
      <c r="B20" s="61"/>
      <c r="C20" s="104" t="s">
        <v>150</v>
      </c>
      <c r="D20" s="104"/>
      <c r="E20" s="66">
        <f>E19-E18</f>
        <v>-3.2430854713538793E-3</v>
      </c>
      <c r="F20" s="66">
        <f>F19-F18</f>
        <v>-2.9568087429311163E-2</v>
      </c>
      <c r="G20" s="63"/>
      <c r="H20" s="7"/>
      <c r="I20" s="61"/>
      <c r="J20" s="61"/>
      <c r="K20" s="18"/>
    </row>
    <row r="21" spans="1:11" x14ac:dyDescent="0.3">
      <c r="A21" s="58" t="s">
        <v>140</v>
      </c>
      <c r="B21" s="9">
        <f>C3+B5+B7+B9+B11+B13+B15+B17</f>
        <v>1585.3651306905922</v>
      </c>
      <c r="D21" s="35" t="s">
        <v>151</v>
      </c>
      <c r="E21" s="69"/>
      <c r="F21" s="69" t="s">
        <v>152</v>
      </c>
      <c r="G21" s="62">
        <f>SQRT(E20^2+F20^2)</f>
        <v>2.9745409689595728E-2</v>
      </c>
      <c r="I21" s="45"/>
      <c r="J21" s="45"/>
    </row>
    <row r="22" spans="1:11" x14ac:dyDescent="0.3">
      <c r="A22" s="59" t="s">
        <v>141</v>
      </c>
      <c r="B22" s="9">
        <f>(200*6)+B19</f>
        <v>1585.3707261774316</v>
      </c>
      <c r="D22" s="1"/>
      <c r="E22" s="69"/>
      <c r="F22" s="69" t="s">
        <v>154</v>
      </c>
      <c r="G22" s="62">
        <f>0.01*SQRT(SUM(D6:D16))+0.04</f>
        <v>0.43726703865284361</v>
      </c>
      <c r="J22" s="18"/>
      <c r="K22" s="18"/>
    </row>
    <row r="23" spans="1:11" x14ac:dyDescent="0.3">
      <c r="A23" s="59" t="s">
        <v>142</v>
      </c>
      <c r="B23" s="9">
        <f>B22-B21</f>
        <v>5.5954868394110235E-3</v>
      </c>
      <c r="D23" s="1"/>
      <c r="E23" s="1"/>
      <c r="F23" s="1" t="s">
        <v>153</v>
      </c>
      <c r="G23" s="1" t="b">
        <f>G21&lt;G22</f>
        <v>1</v>
      </c>
      <c r="H23" t="s">
        <v>159</v>
      </c>
      <c r="I23" s="57"/>
    </row>
    <row r="24" spans="1:11" x14ac:dyDescent="0.3">
      <c r="A24" s="51" t="s">
        <v>96</v>
      </c>
      <c r="B24" s="1">
        <v>7</v>
      </c>
      <c r="D24" s="54"/>
    </row>
    <row r="25" spans="1:11" x14ac:dyDescent="0.3">
      <c r="A25" s="51" t="s">
        <v>143</v>
      </c>
      <c r="B25" s="67">
        <f>B23*1000</f>
        <v>5.5954868394110235</v>
      </c>
      <c r="C25" t="s">
        <v>146</v>
      </c>
      <c r="E25" s="1" t="s">
        <v>155</v>
      </c>
      <c r="F25" s="64">
        <f>E20/(ABS(E6)+ABS(E8)+ABS(E10)+ABS(E12)+ABS(E14)+ABS(E16))</f>
        <v>-2.7486514935756929E-6</v>
      </c>
    </row>
    <row r="26" spans="1:11" x14ac:dyDescent="0.3">
      <c r="A26" s="51" t="s">
        <v>145</v>
      </c>
      <c r="B26" s="67">
        <f>10*SQRT(B24+0.125)</f>
        <v>26.692695630078276</v>
      </c>
      <c r="C26" t="s">
        <v>146</v>
      </c>
      <c r="E26" s="1" t="s">
        <v>156</v>
      </c>
      <c r="F26" s="64">
        <f>F20/(ABS(F6)+ABS(F8)+ABS(F10)+ABS(F12)+ABS(F14)+ABS(F16))</f>
        <v>-3.5511544810683878E-5</v>
      </c>
    </row>
    <row r="27" spans="1:11" x14ac:dyDescent="0.3">
      <c r="A27" s="68" t="s">
        <v>144</v>
      </c>
      <c r="B27" s="5" t="b">
        <f>B25&lt;B26</f>
        <v>1</v>
      </c>
    </row>
    <row r="28" spans="1:11" x14ac:dyDescent="0.3">
      <c r="A28" s="51" t="s">
        <v>147</v>
      </c>
      <c r="B28" s="9">
        <f>(B25/B24)/1000</f>
        <v>7.9935526277300341E-4</v>
      </c>
    </row>
    <row r="30" spans="1:11" x14ac:dyDescent="0.3">
      <c r="A30" s="1"/>
      <c r="B30" s="11" t="s">
        <v>3</v>
      </c>
      <c r="C30" s="11" t="s">
        <v>4</v>
      </c>
      <c r="E30" s="11"/>
      <c r="F30" s="11" t="s">
        <v>16</v>
      </c>
      <c r="G30" s="11" t="s">
        <v>18</v>
      </c>
      <c r="H30" s="11" t="s">
        <v>21</v>
      </c>
      <c r="I30" s="11" t="s">
        <v>17</v>
      </c>
      <c r="J30" s="11" t="s">
        <v>30</v>
      </c>
      <c r="K30" s="11" t="s">
        <v>31</v>
      </c>
    </row>
    <row r="31" spans="1:11" x14ac:dyDescent="0.3">
      <c r="A31" s="11" t="s">
        <v>136</v>
      </c>
      <c r="B31" s="7">
        <v>498113.62</v>
      </c>
      <c r="C31" s="7">
        <v>1307412.26</v>
      </c>
      <c r="E31" s="11" t="s">
        <v>138</v>
      </c>
      <c r="F31" s="7">
        <f>C31-J5</f>
        <v>540.13000000012107</v>
      </c>
      <c r="G31" s="7">
        <f>B31-I5</f>
        <v>373.39000000001397</v>
      </c>
      <c r="H31" s="2">
        <f t="shared" ref="H31" si="13">SQRT(F31^2+G31^2)</f>
        <v>656.62813601013261</v>
      </c>
      <c r="I31" s="9">
        <f t="shared" ref="I31" si="14">(ABS(DEGREES(ATAN((G31/F31)))))*1.111111</f>
        <v>38.506630690591798</v>
      </c>
      <c r="J31" s="1">
        <v>1</v>
      </c>
      <c r="K31" s="9">
        <f>I31</f>
        <v>38.506630690591798</v>
      </c>
    </row>
    <row r="32" spans="1:11" x14ac:dyDescent="0.3">
      <c r="A32" s="11" t="s">
        <v>137</v>
      </c>
      <c r="B32" s="7">
        <v>497089.25</v>
      </c>
      <c r="C32" s="7">
        <v>1308358.25</v>
      </c>
      <c r="E32" s="11" t="s">
        <v>139</v>
      </c>
      <c r="F32" s="7">
        <f>C32-J17</f>
        <v>832.52000000001863</v>
      </c>
      <c r="G32" s="7">
        <f>B32-I17</f>
        <v>-194.75</v>
      </c>
      <c r="H32" s="2">
        <f t="shared" ref="H32" si="15">SQRT(F32^2+G32^2)</f>
        <v>854.9953876483961</v>
      </c>
      <c r="I32" s="9">
        <f t="shared" ref="I32" si="16">(ABS(DEGREES(ATAN((G32/F32)))))*1.111111</f>
        <v>14.629273822568441</v>
      </c>
      <c r="J32" s="1">
        <v>4</v>
      </c>
      <c r="K32" s="9">
        <f>400-I32</f>
        <v>385.37072617743155</v>
      </c>
    </row>
  </sheetData>
  <mergeCells count="6">
    <mergeCell ref="I1:J1"/>
    <mergeCell ref="E1:E2"/>
    <mergeCell ref="F1:F2"/>
    <mergeCell ref="C20:D20"/>
    <mergeCell ref="G1:G2"/>
    <mergeCell ref="H1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Geodesy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cp:lastPrinted>2022-05-17T21:11:35Z</cp:lastPrinted>
  <dcterms:created xsi:type="dcterms:W3CDTF">2022-03-14T10:12:33Z</dcterms:created>
  <dcterms:modified xsi:type="dcterms:W3CDTF">2022-05-17T21:11:39Z</dcterms:modified>
</cp:coreProperties>
</file>